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pivotTables/pivotTable7.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7.xml" ContentType="application/vnd.openxmlformats-officedocument.drawing+xml"/>
  <Override PartName="/xl/tables/table3.xml" ContentType="application/vnd.openxmlformats-officedocument.spreadsheetml.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12.xml" ContentType="application/vnd.openxmlformats-officedocument.drawing+xml"/>
  <Override PartName="/xl/activeX/activeX3.xml" ContentType="application/vnd.ms-office.activeX+xml"/>
  <Override PartName="/xl/activeX/activeX3.bin" ContentType="application/vnd.ms-office.activeX"/>
  <Override PartName="/xl/tables/table4.xml" ContentType="application/vnd.openxmlformats-officedocument.spreadsheetml.table+xml"/>
  <Override PartName="/xl/charts/chart10.xml" ContentType="application/vnd.openxmlformats-officedocument.drawingml.chart+xml"/>
  <Override PartName="/xl/charts/chart11.xml" ContentType="application/vnd.openxmlformats-officedocument.drawingml.chart+xml"/>
  <Override PartName="/xl/drawings/drawing13.xml" ContentType="application/vnd.openxmlformats-officedocument.drawing+xml"/>
  <Override PartName="/xl/tables/table5.xml" ContentType="application/vnd.openxmlformats-officedocument.spreadsheetml.table+xml"/>
  <Override PartName="/xl/drawings/drawing14.xml" ContentType="application/vnd.openxmlformats-officedocument.drawing+xml"/>
  <Override PartName="/xl/tables/table6.xml" ContentType="application/vnd.openxmlformats-officedocument.spreadsheetml.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drawings/drawing15.xml" ContentType="application/vnd.openxmlformats-officedocument.drawing+xml"/>
  <Override PartName="/xl/charts/chart12.xml" ContentType="application/vnd.openxmlformats-officedocument.drawingml.chart+xml"/>
  <Override PartName="/xl/pivotTables/pivotTable20.xml" ContentType="application/vnd.openxmlformats-officedocument.spreadsheetml.pivotTable+xml"/>
  <Override PartName="/xl/tables/table7.xml" ContentType="application/vnd.openxmlformats-officedocument.spreadsheetml.table+xml"/>
  <Override PartName="/xl/drawings/drawing1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7.xml" ContentType="application/vnd.openxmlformats-officedocument.drawing+xml"/>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8.xml" ContentType="application/vnd.openxmlformats-officedocument.spreadsheetml.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lwint\Documents\"/>
    </mc:Choice>
  </mc:AlternateContent>
  <bookViews>
    <workbookView xWindow="0" yWindow="0" windowWidth="25200" windowHeight="11985" tabRatio="817" activeTab="5"/>
  </bookViews>
  <sheets>
    <sheet name="Home" sheetId="35" r:id="rId1"/>
    <sheet name="Camp List" sheetId="14" r:id="rId2"/>
    <sheet name="DistanceToCamp" sheetId="90" state="hidden" r:id="rId3"/>
    <sheet name="Camp Analysis" sheetId="33" r:id="rId4"/>
    <sheet name="Camp List (printable)" sheetId="91" r:id="rId5"/>
    <sheet name="CCCM Dashboard" sheetId="40" r:id="rId6"/>
    <sheet name="ForGIS" sheetId="87" state="hidden" r:id="rId7"/>
    <sheet name="Shelter Cross Check" sheetId="88" state="hidden" r:id="rId8"/>
    <sheet name="Shelter Tracking" sheetId="19" r:id="rId9"/>
    <sheet name="Shelter Progress" sheetId="36" r:id="rId10"/>
    <sheet name="Shelter Summary (by Agency)" sheetId="45" r:id="rId11"/>
    <sheet name="Shelter Coverage Camp" sheetId="84" r:id="rId12"/>
    <sheet name="Shelter Coverage &amp; Gaps" sheetId="62" r:id="rId13"/>
    <sheet name="NFI Tracking" sheetId="20" r:id="rId14"/>
    <sheet name="NFI Pipeline" sheetId="30" r:id="rId15"/>
    <sheet name="Sheet2" sheetId="92" state="hidden" r:id="rId16"/>
    <sheet name="NFI Distribution (by Tship)" sheetId="37" r:id="rId17"/>
    <sheet name="Winter Item" sheetId="86" state="hidden" r:id="rId18"/>
    <sheet name="NFI Summary" sheetId="43" r:id="rId19"/>
    <sheet name="Map" sheetId="66" state="hidden" r:id="rId20"/>
    <sheet name="Define_TCL" sheetId="69" state="hidden" r:id="rId21"/>
    <sheet name="File_Details" sheetId="77" state="hidden" r:id="rId22"/>
    <sheet name="Definition" sheetId="49" state="hidden" r:id="rId23"/>
  </sheets>
  <definedNames>
    <definedName name="_xlnm._FilterDatabase" localSheetId="1" hidden="1">'Camp List'!$A$1:$C$3</definedName>
    <definedName name="_xlnm._FilterDatabase" localSheetId="13" hidden="1">'NFI Tracking'!$A$5:$A$989</definedName>
    <definedName name="_xlnm._FilterDatabase" localSheetId="8" hidden="1">'Shelter Tracking'!$A$2:$P$3</definedName>
    <definedName name="AllData_Camplist" localSheetId="19">CampList[#All]</definedName>
    <definedName name="AllData_Camplist" localSheetId="12">CampList[#All]</definedName>
    <definedName name="AllData_Camplist">CampList[#All]</definedName>
    <definedName name="Camp_Accessibility">Definition!$Q$2:$Q$4</definedName>
    <definedName name="Camp_List">CampList[#All]</definedName>
    <definedName name="Camp_Status">"Open, Close"</definedName>
    <definedName name="Camplist_HH">'Camp List'!$Q:$Q</definedName>
    <definedName name="Camplist_Popl">'Camp List'!$R:$R</definedName>
    <definedName name="CampList_Status">'Camp List'!$A:$A</definedName>
    <definedName name="Camplist_Township">'Camp List'!$F:$F</definedName>
    <definedName name="Camplist_Type_Of_Acc">'Camp List'!$V:$V</definedName>
    <definedName name="CL">Define_TCL!$G$4:$J$1000</definedName>
    <definedName name="Col_Shelter_org">'Shelter Tracking'!$B:$B</definedName>
    <definedName name="Col_Shelter_Perm_B">'Shelter Tracking'!$N:$N</definedName>
    <definedName name="Col_Shelter_Perm_P">'Shelter Tracking'!$M:$M</definedName>
    <definedName name="Col_Shelter_Perm_U">'Shelter Tracking'!$O:$O</definedName>
    <definedName name="Col_Shelter_State">'Shelter Tracking'!$D:$D</definedName>
    <definedName name="Col_Shelter_Temp_B">'Shelter Tracking'!$K:$K</definedName>
    <definedName name="Col_Shelter_Temp_P">'Shelter Tracking'!$J:$J</definedName>
    <definedName name="Col_Shelter_Temp_U">'Shelter Tracking'!$L:$L</definedName>
    <definedName name="Col_Shelter_Tent_Dist">'Shelter Tracking'!$I:$I</definedName>
    <definedName name="Col_Shelter_Township">'Shelter Tracking'!$E:$E</definedName>
    <definedName name="Kachin">Definition!$L$2:$L$17</definedName>
    <definedName name="Kashin">CampList[#All]</definedName>
    <definedName name="Kyauk_Phyu_G" localSheetId="19">Map!$P$44</definedName>
    <definedName name="Location">"Camp_G,Cluster_G"</definedName>
    <definedName name="NameTSPOP">Define_TCL!$M$4:$Q$2320</definedName>
    <definedName name="NFI">Definition!$A$2:$F$16</definedName>
    <definedName name="NFI_Blanket_Pipeline">'NFI Pipeline'!$V:$V</definedName>
    <definedName name="NFI_Blanket_Stock">'NFI Pipeline'!$U:$U</definedName>
    <definedName name="NFI_Blanket_Track">'NFI Tracking'!$AD:$AD</definedName>
    <definedName name="NFI_Clothes_Pipeline">'NFI Pipeline'!$AB:$AB</definedName>
    <definedName name="NFI_Clothes_Stock">'NFI Pipeline'!$AA:$AA</definedName>
    <definedName name="NFI_Clothes_Track">'NFI Tracking'!$AF:$AF</definedName>
    <definedName name="NFI_Core_Pipeline">'NFI Pipeline'!$J:$J</definedName>
    <definedName name="NFI_Core_Stock">'NFI Pipeline'!$I:$I</definedName>
    <definedName name="NFI_Core_Track">'NFI Tracking'!$Z:$Z</definedName>
    <definedName name="NFI_Expiration">'NFI Tracking'!$I$1</definedName>
    <definedName name="NFI_Hygiene_Pipeline">'NFI Pipeline'!$G:$G</definedName>
    <definedName name="NFI_Hygiene_Stock">'NFI Pipeline'!$F:$F</definedName>
    <definedName name="NFI_Hygiene_Track">'NFI Tracking'!$Y:$Y</definedName>
    <definedName name="NFI_Kitchen_Pipeline">'NFI Pipeline'!$Y:$Y</definedName>
    <definedName name="NFI_Kitchen_Stock">'NFI Pipeline'!$X:$X</definedName>
    <definedName name="NFI_Kitchen_Track">'NFI Tracking'!$AE:$AE</definedName>
    <definedName name="NFI_Monitor_Date">Definition!$B$24</definedName>
    <definedName name="NFI_Month">'NFI Tracking'!$A:$A</definedName>
    <definedName name="NFI_Mosquito_Pipeline">'NFI Pipeline'!$P:$P</definedName>
    <definedName name="NFI_Mosquito_Stock">'NFI Pipeline'!$O:$O</definedName>
    <definedName name="NFI_Mosquito_Track">'NFI Tracking'!$AB:$AB</definedName>
    <definedName name="NFI_Org">'NFI Tracking'!$C:$C</definedName>
    <definedName name="NFI_Pipeline_State">'NFI Pipeline'!$D:$D</definedName>
    <definedName name="NFI_Pipeline_Township">'NFI Pipeline'!$E:$E</definedName>
    <definedName name="NFI_Plastic_Bucket_Pipeline">'NFI Pipeline'!$AE:$AE</definedName>
    <definedName name="NFI_Plastic_Bucket_Stock">'NFI Pipeline'!$AD:$AD</definedName>
    <definedName name="NFI_Plastic_Bucket_Track">'NFI Tracking'!$AG:$AG</definedName>
    <definedName name="NFI_Plastic_Mat_Pipeline">'NFI Pipeline'!$AH:$AH</definedName>
    <definedName name="NFI_Plastic_Mat_Stock">'NFI Pipeline'!$AG:$AG</definedName>
    <definedName name="NFI_Plastic_Mat_Track">'NFI Tracking'!$AH:$AH</definedName>
    <definedName name="NFI_Sanitary_Pipeline">'NFI Pipeline'!$M:$M</definedName>
    <definedName name="NFI_Sanitary_Stock">'NFI Pipeline'!$L:$L</definedName>
    <definedName name="NFI_Sanitary_Track">'NFI Tracking'!$AA:$AA</definedName>
    <definedName name="NFI_State">'NFI Tracking'!$E:$E</definedName>
    <definedName name="NFI_Tarpaulin_Pipeline">'NFI Pipeline'!$S:$S</definedName>
    <definedName name="NFI_Tarpaulin_Stock">'NFI Pipeline'!$R:$R</definedName>
    <definedName name="NFI_Tarpaulin_Track">'NFI Tracking'!$AC:$AC</definedName>
    <definedName name="NFI_Township">'NFI Tracking'!$F:$F</definedName>
    <definedName name="NFI_Winter_Blanket_Pipeline">'NFI Pipeline'!$AT:$AT</definedName>
    <definedName name="NFI_Winter_Blanket_Stock">'NFI Pipeline'!$AS:$AS</definedName>
    <definedName name="NFI_Winter_Blanket_Track">'NFI Tracking'!$AL:$AL</definedName>
    <definedName name="NFI_Winter_Clothes_Adult_Pipeline">'NFI Pipeline'!$AK:$AK</definedName>
    <definedName name="NFI_Winter_Clothes_Adult_Stock">'NFI Pipeline'!$AJ:$AJ</definedName>
    <definedName name="NFI_Winter_Clothes_Adult_Track">'NFI Tracking'!$AI:$AI</definedName>
    <definedName name="NFI_Winter_Clothes_Children_Pipeline">'NFI Pipeline'!$AN:$AN</definedName>
    <definedName name="NFI_Winter_Clothes_Children_Stock">'NFI Pipeline'!$AM:$AM</definedName>
    <definedName name="NFI_Winter_Clothes_Children_Track">'NFI Tracking'!$AJ:$AJ</definedName>
    <definedName name="NFI_Winter_Items_Other_Pipeline">'NFI Pipeline'!$AQ:$AQ</definedName>
    <definedName name="NFI_Winter_Items_Other_Stock">'NFI Pipeline'!$AP:$AP</definedName>
    <definedName name="NFI_Winter_Items_Other_Track">'NFI Tracking'!$AK:$AK</definedName>
    <definedName name="Pcode_Priority">Table10[[Pcode]:[Priority]]</definedName>
    <definedName name="_xlnm.Print_Area" localSheetId="3">'Camp Analysis'!$A$2:$K$78</definedName>
    <definedName name="_xlnm.Print_Area" localSheetId="1">'Camp List'!$L$4:$R$103</definedName>
    <definedName name="_xlnm.Print_Area" localSheetId="5">'CCCM Dashboard'!$C$4:$T$42</definedName>
    <definedName name="_xlnm.Print_Area" localSheetId="19">Map!$A:$O</definedName>
    <definedName name="_xlnm.Print_Area" localSheetId="16">'NFI Distribution (by Tship)'!$A$2:$Z$28</definedName>
    <definedName name="_xlnm.Print_Area" localSheetId="14">'NFI Pipeline'!$A$5:$AI$6</definedName>
    <definedName name="_xlnm.Print_Area" localSheetId="18">'NFI Summary'!$C$4:$S$39</definedName>
    <definedName name="_xlnm.Print_Area" localSheetId="13">'NFI Tracking'!$A$5:$O$5</definedName>
    <definedName name="_xlnm.Print_Area" localSheetId="12">'Shelter Coverage &amp; Gaps'!$C$4:$P$50</definedName>
    <definedName name="_xlnm.Print_Area" localSheetId="9">'Shelter Progress'!$A$2:$O$98</definedName>
    <definedName name="_xlnm.Print_Area" localSheetId="10">'Shelter Summary (by Agency)'!$A$2:$F$55</definedName>
    <definedName name="_xlnm.Print_Titles" localSheetId="4">'Camp List (printable)'!$7:$7</definedName>
    <definedName name="_xlnm.Print_Titles" localSheetId="7">'Shelter Cross Check'!$3:$3</definedName>
    <definedName name="PriorityCampWin">Table10[[Pcode]:[Priority]]</definedName>
    <definedName name="Rakhine_DB" localSheetId="19">Map!$T$2:$AD$23</definedName>
    <definedName name="Report_Date">Definition!$B$23</definedName>
    <definedName name="Shan_North">Definition!$N$2:$N$7</definedName>
    <definedName name="Shelter_Draw_Ratio">'Shelter Coverage &amp; Gaps'!$T$13</definedName>
    <definedName name="Shelter_HH_Covered">'Shelter Tracking'!$P:$P</definedName>
    <definedName name="Stat01">'Camp Analysis'!$A$56</definedName>
    <definedName name="State">Definition!$J$2:$J$4</definedName>
    <definedName name="TCL_C">Define_TCL!$B$4:$B$1000</definedName>
    <definedName name="TCL_T">Define_TCL!$A$4:$A$1000</definedName>
    <definedName name="TCL_T1">Define_TCL!$A$4</definedName>
    <definedName name="WinAccomo">Define_TCL!$U$4:$V$233</definedName>
  </definedNames>
  <calcPr calcId="152511"/>
  <pivotCaches>
    <pivotCache cacheId="0" r:id="rId24"/>
    <pivotCache cacheId="1" r:id="rId25"/>
    <pivotCache cacheId="10" r:id="rId26"/>
    <pivotCache cacheId="23" r:id="rId27"/>
  </pivotCaches>
</workbook>
</file>

<file path=xl/calcChain.xml><?xml version="1.0" encoding="utf-8"?>
<calcChain xmlns="http://schemas.openxmlformats.org/spreadsheetml/2006/main">
  <c r="AA3" i="66" l="1"/>
  <c r="A6" i="20"/>
  <c r="T4" i="62"/>
  <c r="W4" i="43" l="1"/>
  <c r="AS915" i="20"/>
  <c r="AS914" i="20"/>
  <c r="AS913" i="20"/>
  <c r="AS912" i="20"/>
  <c r="AS911" i="20"/>
  <c r="AS910" i="20"/>
  <c r="AS909" i="20"/>
  <c r="AS908" i="20"/>
  <c r="AS907" i="20"/>
  <c r="AS906" i="20"/>
  <c r="AS905" i="20"/>
  <c r="AS904" i="20"/>
  <c r="AS903" i="20"/>
  <c r="AS902" i="20"/>
  <c r="AS901" i="20"/>
  <c r="AS900" i="20"/>
  <c r="AS899" i="20"/>
  <c r="AS898" i="20"/>
  <c r="AS897" i="20"/>
  <c r="AS896" i="20"/>
  <c r="AS895" i="20"/>
  <c r="AS894" i="20"/>
  <c r="AS893" i="20"/>
  <c r="AS892" i="20"/>
  <c r="AS891" i="20"/>
  <c r="AS890" i="20"/>
  <c r="AS889" i="20"/>
  <c r="AS888" i="20"/>
  <c r="AS887" i="20"/>
  <c r="AS886" i="20"/>
  <c r="AS885" i="20"/>
  <c r="AS884" i="20"/>
  <c r="AS883" i="20"/>
  <c r="AS882" i="20"/>
  <c r="AS881" i="20"/>
  <c r="AS880" i="20"/>
  <c r="AS879" i="20"/>
  <c r="AS878" i="20"/>
  <c r="AS877" i="20"/>
  <c r="AS876" i="20"/>
  <c r="AS875" i="20"/>
  <c r="AS874" i="20"/>
  <c r="AS873" i="20"/>
  <c r="AS872" i="20"/>
  <c r="AS871" i="20"/>
  <c r="AS870" i="20"/>
  <c r="AS869" i="20"/>
  <c r="AS868" i="20"/>
  <c r="AS867" i="20"/>
  <c r="AS866" i="20"/>
  <c r="AS865" i="20"/>
  <c r="AS864" i="20"/>
  <c r="AS863" i="20"/>
  <c r="AS862" i="20"/>
  <c r="AS861" i="20"/>
  <c r="AS860" i="20"/>
  <c r="AS859" i="20"/>
  <c r="AS858" i="20"/>
  <c r="AS857" i="20"/>
  <c r="AS856" i="20"/>
  <c r="AS855" i="20"/>
  <c r="AS854" i="20"/>
  <c r="AS853" i="20"/>
  <c r="AS852" i="20"/>
  <c r="AS851" i="20"/>
  <c r="AS850" i="20"/>
  <c r="AS849" i="20"/>
  <c r="AS848" i="20"/>
  <c r="AS847" i="20"/>
  <c r="AS846" i="20"/>
  <c r="AS845" i="20"/>
  <c r="AS844" i="20"/>
  <c r="AS843" i="20"/>
  <c r="AS842" i="20"/>
  <c r="AS841" i="20"/>
  <c r="AS840" i="20"/>
  <c r="AS839" i="20"/>
  <c r="AS838" i="20"/>
  <c r="AS837" i="20"/>
  <c r="AS836" i="20"/>
  <c r="AS835" i="20"/>
  <c r="AS834" i="20"/>
  <c r="AS833" i="20"/>
  <c r="AS832" i="20"/>
  <c r="AS831" i="20"/>
  <c r="AS830" i="20"/>
  <c r="AS829" i="20"/>
  <c r="AS828" i="20"/>
  <c r="AS827" i="20"/>
  <c r="AS826" i="20"/>
  <c r="AS825" i="20"/>
  <c r="AS824" i="20"/>
  <c r="AS823" i="20"/>
  <c r="AS822" i="20"/>
  <c r="AS821" i="20"/>
  <c r="AS820" i="20"/>
  <c r="AS819" i="20"/>
  <c r="AS818" i="20"/>
  <c r="AS817" i="20"/>
  <c r="AS816" i="20"/>
  <c r="AS815" i="20"/>
  <c r="AS814" i="20"/>
  <c r="AS813" i="20"/>
  <c r="AS812" i="20"/>
  <c r="AS811" i="20"/>
  <c r="AS810" i="20"/>
  <c r="AS809" i="20"/>
  <c r="AS808" i="20"/>
  <c r="AS807" i="20"/>
  <c r="AS806" i="20"/>
  <c r="AS805" i="20"/>
  <c r="AS804" i="20"/>
  <c r="AS803" i="20"/>
  <c r="AS802" i="20"/>
  <c r="AS801" i="20"/>
  <c r="AS800" i="20"/>
  <c r="AS799" i="20"/>
  <c r="AS798" i="20"/>
  <c r="AS797" i="20"/>
  <c r="AS796" i="20"/>
  <c r="AS795" i="20"/>
  <c r="AS794" i="20"/>
  <c r="AS793" i="20"/>
  <c r="AS792" i="20"/>
  <c r="AS791" i="20"/>
  <c r="AS790" i="20"/>
  <c r="AS789" i="20"/>
  <c r="AS788" i="20"/>
  <c r="AS787" i="20"/>
  <c r="AS786" i="20"/>
  <c r="AS785" i="20"/>
  <c r="AS784" i="20"/>
  <c r="AS783" i="20"/>
  <c r="AS782" i="20"/>
  <c r="AS781" i="20"/>
  <c r="AS780" i="20"/>
  <c r="AS779" i="20"/>
  <c r="AS778" i="20"/>
  <c r="AS777" i="20"/>
  <c r="AS776" i="20"/>
  <c r="AS775" i="20"/>
  <c r="AS774" i="20"/>
  <c r="AS773" i="20"/>
  <c r="AS772" i="20"/>
  <c r="AS771" i="20"/>
  <c r="AS770" i="20"/>
  <c r="AS769" i="20"/>
  <c r="AS768" i="20"/>
  <c r="AS767" i="20"/>
  <c r="AS766" i="20"/>
  <c r="AS765" i="20"/>
  <c r="AS764" i="20"/>
  <c r="AS763" i="20"/>
  <c r="AS762" i="20"/>
  <c r="AS761" i="20"/>
  <c r="AS760" i="20"/>
  <c r="AS759" i="20"/>
  <c r="AS758" i="20"/>
  <c r="AS757" i="20"/>
  <c r="AS756" i="20"/>
  <c r="AS755" i="20"/>
  <c r="AS754" i="20"/>
  <c r="AS753" i="20"/>
  <c r="AS752" i="20"/>
  <c r="AS751" i="20"/>
  <c r="AS750" i="20"/>
  <c r="AS749" i="20"/>
  <c r="AS748" i="20"/>
  <c r="AS747" i="20"/>
  <c r="AS746" i="20"/>
  <c r="AS745" i="20"/>
  <c r="AS744" i="20"/>
  <c r="AS743" i="20"/>
  <c r="AS742" i="20"/>
  <c r="AS741" i="20"/>
  <c r="AS740" i="20"/>
  <c r="AS739" i="20"/>
  <c r="AS738" i="20"/>
  <c r="AS737" i="20"/>
  <c r="AS736" i="20"/>
  <c r="AS735" i="20"/>
  <c r="AS734" i="20"/>
  <c r="AS733" i="20"/>
  <c r="AS732" i="20"/>
  <c r="AS731" i="20"/>
  <c r="AS730" i="20"/>
  <c r="AS729" i="20"/>
  <c r="AS728" i="20"/>
  <c r="AS727" i="20"/>
  <c r="AS726" i="20"/>
  <c r="AS725" i="20"/>
  <c r="AS724" i="20"/>
  <c r="AS723" i="20"/>
  <c r="AS722" i="20"/>
  <c r="AS721" i="20"/>
  <c r="AS720" i="20"/>
  <c r="AS719" i="20"/>
  <c r="AS718" i="20"/>
  <c r="AS717" i="20"/>
  <c r="AS716" i="20"/>
  <c r="AS711" i="20"/>
  <c r="AS709" i="20"/>
  <c r="AS708" i="20"/>
  <c r="AS707" i="20"/>
  <c r="AS706" i="20"/>
  <c r="AS705" i="20"/>
  <c r="AS704" i="20"/>
  <c r="AS703" i="20"/>
  <c r="AS702" i="20"/>
  <c r="AS701" i="20"/>
  <c r="AS633" i="20"/>
  <c r="AS626" i="20"/>
  <c r="AS624" i="20"/>
  <c r="AS622" i="20"/>
  <c r="AS617" i="20"/>
  <c r="AS616" i="20"/>
  <c r="AS615" i="20"/>
  <c r="AS614" i="20"/>
  <c r="AS613" i="20"/>
  <c r="AS612" i="20"/>
  <c r="AS611" i="20"/>
  <c r="AS610" i="20"/>
  <c r="AS609" i="20"/>
  <c r="AS608" i="20"/>
  <c r="AS607" i="20"/>
  <c r="AS606" i="20"/>
  <c r="AS605" i="20"/>
  <c r="AS604" i="20"/>
  <c r="AS603" i="20"/>
  <c r="AS602" i="20"/>
  <c r="AS601" i="20"/>
  <c r="AS600" i="20"/>
  <c r="AS599" i="20"/>
  <c r="AS598" i="20"/>
  <c r="AS597" i="20"/>
  <c r="AS596" i="20"/>
  <c r="AS595" i="20"/>
  <c r="AS594" i="20"/>
  <c r="AS593" i="20"/>
  <c r="AS592" i="20"/>
  <c r="AS591" i="20"/>
  <c r="AS590" i="20"/>
  <c r="AS589" i="20"/>
  <c r="AS588" i="20"/>
  <c r="AS587" i="20"/>
  <c r="AS586" i="20"/>
  <c r="AS585" i="20"/>
  <c r="AS584" i="20"/>
  <c r="AS582" i="20"/>
  <c r="AS581" i="20"/>
  <c r="AS580" i="20"/>
  <c r="AS578" i="20"/>
  <c r="AS577" i="20"/>
  <c r="AS573" i="20"/>
  <c r="AS568" i="20"/>
  <c r="AS567" i="20"/>
  <c r="AS566" i="20"/>
  <c r="AS565" i="20"/>
  <c r="AS564" i="20"/>
  <c r="AS563" i="20"/>
  <c r="AS562" i="20"/>
  <c r="AS561" i="20"/>
  <c r="AS560" i="20"/>
  <c r="AS559" i="20"/>
  <c r="AS558" i="20"/>
  <c r="AS557" i="20"/>
  <c r="AS556" i="20"/>
  <c r="AS555" i="20"/>
  <c r="AS554" i="20"/>
  <c r="AS552" i="20"/>
  <c r="AS551" i="20"/>
  <c r="AS541" i="20"/>
  <c r="AS540" i="20"/>
  <c r="AS539" i="20"/>
  <c r="AS538" i="20"/>
  <c r="AS537" i="20"/>
  <c r="AS535" i="20"/>
  <c r="AS533" i="20"/>
  <c r="AS532" i="20"/>
  <c r="AS531" i="20"/>
  <c r="AS530" i="20"/>
  <c r="AS529" i="20"/>
  <c r="AS528" i="20"/>
  <c r="AS527" i="20"/>
  <c r="AS526" i="20"/>
  <c r="AS525" i="20"/>
  <c r="AS524" i="20"/>
  <c r="AS523" i="20"/>
  <c r="AS522" i="20"/>
  <c r="AS521" i="20"/>
  <c r="AS520" i="20"/>
  <c r="AS519" i="20"/>
  <c r="AS518" i="20"/>
  <c r="AS517" i="20"/>
  <c r="AS516" i="20"/>
  <c r="AS515" i="20"/>
  <c r="AS514" i="20"/>
  <c r="AS513" i="20"/>
  <c r="AS512" i="20"/>
  <c r="AS511" i="20"/>
  <c r="AS510" i="20"/>
  <c r="AS509" i="20"/>
  <c r="AS508" i="20"/>
  <c r="AS507" i="20"/>
  <c r="AS506" i="20"/>
  <c r="AS505" i="20"/>
  <c r="AS504" i="20"/>
  <c r="AS503" i="20"/>
  <c r="AS502" i="20"/>
  <c r="AS501" i="20"/>
  <c r="AS500" i="20"/>
  <c r="AS499" i="20"/>
  <c r="AS498" i="20"/>
  <c r="AS497" i="20"/>
  <c r="AS496" i="20"/>
  <c r="AS495" i="20"/>
  <c r="AS494" i="20"/>
  <c r="AS493" i="20"/>
  <c r="AS492" i="20"/>
  <c r="AS491" i="20"/>
  <c r="AS490" i="20"/>
  <c r="AS489" i="20"/>
  <c r="AS488" i="20"/>
  <c r="AS487" i="20"/>
  <c r="AS486" i="20"/>
  <c r="AS485" i="20"/>
  <c r="AS484" i="20"/>
  <c r="AS481" i="20"/>
  <c r="AS480" i="20"/>
  <c r="AS478" i="20"/>
  <c r="AS476" i="20"/>
  <c r="AS474" i="20"/>
  <c r="AS472" i="20"/>
  <c r="AS470" i="20"/>
  <c r="AS466" i="20"/>
  <c r="AS460" i="20"/>
  <c r="AS457" i="20"/>
  <c r="AS456" i="20"/>
  <c r="AS455" i="20"/>
  <c r="AS453" i="20"/>
  <c r="AS450" i="20"/>
  <c r="AS449" i="20"/>
  <c r="AS447" i="20"/>
  <c r="AS445" i="20"/>
  <c r="AS444" i="20"/>
  <c r="AS443" i="20"/>
  <c r="AS434" i="20"/>
  <c r="AS433" i="20"/>
  <c r="AS431" i="20"/>
  <c r="AS430" i="20"/>
  <c r="AS428" i="20"/>
  <c r="AS416" i="20"/>
  <c r="AS407" i="20"/>
  <c r="AS378" i="20"/>
  <c r="AS367" i="20"/>
  <c r="AS365" i="20"/>
  <c r="AS360" i="20"/>
  <c r="AS353" i="20"/>
  <c r="AS351" i="20"/>
  <c r="AS349" i="20"/>
  <c r="AS348" i="20"/>
  <c r="AS347" i="20"/>
  <c r="AS332" i="20"/>
  <c r="AS323" i="20"/>
  <c r="AS318" i="20"/>
  <c r="AS316" i="20"/>
  <c r="AS313" i="20"/>
  <c r="AS309" i="20"/>
  <c r="AS302" i="20"/>
  <c r="AS297" i="20"/>
  <c r="AS294" i="20"/>
  <c r="AS293" i="20"/>
  <c r="AS283" i="20"/>
  <c r="AS270" i="20"/>
  <c r="AS269" i="20"/>
  <c r="AS268" i="20"/>
  <c r="AS267" i="20"/>
  <c r="AS266" i="20"/>
  <c r="AS265" i="20"/>
  <c r="AS264" i="20"/>
  <c r="AS263" i="20"/>
  <c r="AS262" i="20"/>
  <c r="AS261" i="20"/>
  <c r="AS258" i="20"/>
  <c r="AS257" i="20"/>
  <c r="AS255" i="20"/>
  <c r="AS254" i="20"/>
  <c r="AS251" i="20"/>
  <c r="AS250" i="20"/>
  <c r="AS249" i="20"/>
  <c r="AS248" i="20"/>
  <c r="AS247" i="20"/>
  <c r="AS246" i="20"/>
  <c r="AS244" i="20"/>
  <c r="AS225" i="20"/>
  <c r="AS224" i="20"/>
  <c r="AS223" i="20"/>
  <c r="AS222" i="20"/>
  <c r="AS221" i="20"/>
  <c r="AS220" i="20"/>
  <c r="AS215" i="20"/>
  <c r="AS212" i="20"/>
  <c r="AS207" i="20"/>
  <c r="AS197" i="20"/>
  <c r="AS196" i="20"/>
  <c r="AS195" i="20"/>
  <c r="AS193" i="20"/>
  <c r="AS192" i="20"/>
  <c r="AS191" i="20"/>
  <c r="AS190" i="20"/>
  <c r="AS189" i="20"/>
  <c r="AS188" i="20"/>
  <c r="AS187" i="20"/>
  <c r="AS186" i="20"/>
  <c r="AS185" i="20"/>
  <c r="AS184" i="20"/>
  <c r="AS183" i="20"/>
  <c r="AS182" i="20"/>
  <c r="AS181" i="20"/>
  <c r="AS180" i="20"/>
  <c r="AS179" i="20"/>
  <c r="AS172" i="20"/>
  <c r="AS171" i="20"/>
  <c r="AS170" i="20"/>
  <c r="AS169" i="20"/>
  <c r="AS168" i="20"/>
  <c r="AS167" i="20"/>
  <c r="AS166" i="20"/>
  <c r="AS165" i="20"/>
  <c r="AS164" i="20"/>
  <c r="AS163" i="20"/>
  <c r="AS162" i="20"/>
  <c r="AS161" i="20"/>
  <c r="AS160" i="20"/>
  <c r="AS159" i="20"/>
  <c r="AS158" i="20"/>
  <c r="AS157" i="20"/>
  <c r="AS156" i="20"/>
  <c r="AS155" i="20"/>
  <c r="AS154" i="20"/>
  <c r="AS153" i="20"/>
  <c r="AS152" i="20"/>
  <c r="AS151" i="20"/>
  <c r="AS150" i="20"/>
  <c r="AS149" i="20"/>
  <c r="AS148" i="20"/>
  <c r="AS147" i="20"/>
  <c r="AS146" i="20"/>
  <c r="AS145" i="20"/>
  <c r="AS144" i="20"/>
  <c r="AS143" i="20"/>
  <c r="AS142" i="20"/>
  <c r="AS141" i="20"/>
  <c r="AS140" i="20"/>
  <c r="AS139" i="20"/>
  <c r="AS138" i="20"/>
  <c r="AS137" i="20"/>
  <c r="AS136" i="20"/>
  <c r="AS135" i="20"/>
  <c r="AS134" i="20"/>
  <c r="AS133" i="20"/>
  <c r="AS132" i="20"/>
  <c r="AS131" i="20"/>
  <c r="AS130" i="20"/>
  <c r="AS129" i="20"/>
  <c r="AS112" i="20"/>
  <c r="AS111" i="20"/>
  <c r="AS110" i="20"/>
  <c r="AS109" i="20"/>
  <c r="AS108" i="20"/>
  <c r="AS107" i="20"/>
  <c r="AS106" i="20"/>
  <c r="AS105" i="20"/>
  <c r="AS102" i="20"/>
  <c r="AS101" i="20"/>
  <c r="AS100" i="20"/>
  <c r="AS99" i="20"/>
  <c r="AS98" i="20"/>
  <c r="AS97" i="20"/>
  <c r="AS96" i="20"/>
  <c r="AS95" i="20"/>
  <c r="AS94" i="20"/>
  <c r="AS93" i="20"/>
  <c r="AS92" i="20"/>
  <c r="AS91" i="20"/>
  <c r="AS86" i="20"/>
  <c r="AS85" i="20"/>
  <c r="AS84" i="20"/>
  <c r="AS83" i="20"/>
  <c r="AS82" i="20"/>
  <c r="AS81" i="20"/>
  <c r="AS80" i="20"/>
  <c r="AS79" i="20"/>
  <c r="AS78" i="20"/>
  <c r="AS77" i="20"/>
  <c r="AS76" i="20"/>
  <c r="AS75" i="20"/>
  <c r="AS62" i="20"/>
  <c r="AS61" i="20"/>
  <c r="AS60" i="20"/>
  <c r="AS59" i="20"/>
  <c r="AS58" i="20"/>
  <c r="AS57" i="20"/>
  <c r="AS56" i="20"/>
  <c r="AS55" i="20"/>
  <c r="AS54" i="20"/>
  <c r="AS53" i="20"/>
  <c r="AS52" i="20"/>
  <c r="AS51" i="20"/>
  <c r="AS50" i="20"/>
  <c r="AS49" i="20"/>
  <c r="AS48" i="20"/>
  <c r="AS47" i="20"/>
  <c r="AS46" i="20"/>
  <c r="AS45" i="20"/>
  <c r="AS44" i="20"/>
  <c r="AS43" i="20"/>
  <c r="AS42" i="20"/>
  <c r="AS41" i="20"/>
  <c r="AS40" i="20"/>
  <c r="AS39" i="20"/>
  <c r="AS38" i="20"/>
  <c r="AS37" i="20"/>
  <c r="AS36" i="20"/>
  <c r="AS35" i="20"/>
  <c r="AS34" i="20"/>
  <c r="AS33" i="20"/>
  <c r="AS32" i="20"/>
  <c r="AS31" i="20"/>
  <c r="AS30" i="20"/>
  <c r="AS29" i="20"/>
  <c r="AS28" i="20"/>
  <c r="AS27" i="20"/>
  <c r="AS26" i="20"/>
  <c r="AS25" i="20"/>
  <c r="AS24" i="20"/>
  <c r="AS23" i="20"/>
  <c r="AS22" i="20"/>
  <c r="AS21" i="20"/>
  <c r="AS20" i="20"/>
  <c r="AS19" i="20"/>
  <c r="AS18" i="20"/>
  <c r="AS17" i="20"/>
  <c r="AS16" i="20"/>
  <c r="AS15" i="20"/>
  <c r="AS14" i="20"/>
  <c r="AS13" i="20"/>
  <c r="AS12" i="20"/>
  <c r="AS11" i="20"/>
  <c r="AS10" i="20"/>
  <c r="AS9" i="20"/>
  <c r="AS8" i="20"/>
  <c r="AS7" i="20"/>
  <c r="AQ920" i="20"/>
  <c r="AQ919" i="20"/>
  <c r="AQ918" i="20"/>
  <c r="AQ917" i="20"/>
  <c r="AQ916" i="20"/>
  <c r="AQ915" i="20"/>
  <c r="AQ914" i="20"/>
  <c r="AQ913" i="20"/>
  <c r="AQ912" i="20"/>
  <c r="AQ911" i="20"/>
  <c r="AQ910" i="20"/>
  <c r="AQ909" i="20"/>
  <c r="AQ908" i="20"/>
  <c r="AQ907" i="20"/>
  <c r="AQ906" i="20"/>
  <c r="AQ905" i="20"/>
  <c r="AQ904" i="20"/>
  <c r="AQ903" i="20"/>
  <c r="AQ902" i="20"/>
  <c r="AQ901" i="20"/>
  <c r="AQ900" i="20"/>
  <c r="AQ899" i="20"/>
  <c r="AQ898" i="20"/>
  <c r="AQ897" i="20"/>
  <c r="AQ896" i="20"/>
  <c r="AQ895" i="20"/>
  <c r="AQ894" i="20"/>
  <c r="AQ893" i="20"/>
  <c r="AQ892" i="20"/>
  <c r="AQ891" i="20"/>
  <c r="AQ890" i="20"/>
  <c r="AQ889" i="20"/>
  <c r="AQ888" i="20"/>
  <c r="AQ887" i="20"/>
  <c r="AQ886" i="20"/>
  <c r="AQ885" i="20"/>
  <c r="AQ884" i="20"/>
  <c r="AQ883" i="20"/>
  <c r="AQ882" i="20"/>
  <c r="AQ881" i="20"/>
  <c r="AQ880" i="20"/>
  <c r="AQ879" i="20"/>
  <c r="AQ878" i="20"/>
  <c r="AQ877" i="20"/>
  <c r="AQ876" i="20"/>
  <c r="AQ875" i="20"/>
  <c r="AQ874" i="20"/>
  <c r="AQ873" i="20"/>
  <c r="AQ872" i="20"/>
  <c r="AQ871" i="20"/>
  <c r="AQ870" i="20"/>
  <c r="AQ869" i="20"/>
  <c r="AQ868" i="20"/>
  <c r="AQ867" i="20"/>
  <c r="AQ866" i="20"/>
  <c r="AQ865" i="20"/>
  <c r="AQ864" i="20"/>
  <c r="AQ863" i="20"/>
  <c r="AQ862" i="20"/>
  <c r="AQ861" i="20"/>
  <c r="AQ860" i="20"/>
  <c r="AQ859" i="20"/>
  <c r="AQ858" i="20"/>
  <c r="AQ857" i="20"/>
  <c r="AQ856" i="20"/>
  <c r="AQ855" i="20"/>
  <c r="AQ854" i="20"/>
  <c r="AQ853" i="20"/>
  <c r="AQ852" i="20"/>
  <c r="AQ851" i="20"/>
  <c r="AQ850" i="20"/>
  <c r="AQ849" i="20"/>
  <c r="AQ848" i="20"/>
  <c r="AQ847" i="20"/>
  <c r="AQ846" i="20"/>
  <c r="AQ845" i="20"/>
  <c r="AQ844" i="20"/>
  <c r="AQ843" i="20"/>
  <c r="AQ842" i="20"/>
  <c r="AQ841" i="20"/>
  <c r="AQ840" i="20"/>
  <c r="AQ839" i="20"/>
  <c r="AQ838" i="20"/>
  <c r="AQ837" i="20"/>
  <c r="AQ836" i="20"/>
  <c r="AQ835" i="20"/>
  <c r="AQ834" i="20"/>
  <c r="AQ833" i="20"/>
  <c r="AQ832" i="20"/>
  <c r="AQ831" i="20"/>
  <c r="AQ830" i="20"/>
  <c r="AQ829" i="20"/>
  <c r="AQ828" i="20"/>
  <c r="AQ827" i="20"/>
  <c r="AQ826" i="20"/>
  <c r="AQ825" i="20"/>
  <c r="AQ824" i="20"/>
  <c r="AQ823" i="20"/>
  <c r="AQ822" i="20"/>
  <c r="AQ821" i="20"/>
  <c r="AQ820" i="20"/>
  <c r="AQ819" i="20"/>
  <c r="AQ818" i="20"/>
  <c r="AQ817" i="20"/>
  <c r="AQ816" i="20"/>
  <c r="AQ815" i="20"/>
  <c r="AQ814" i="20"/>
  <c r="AQ813" i="20"/>
  <c r="AQ812" i="20"/>
  <c r="AQ811" i="20"/>
  <c r="AQ810" i="20"/>
  <c r="AQ809" i="20"/>
  <c r="AQ808" i="20"/>
  <c r="AQ807" i="20"/>
  <c r="AQ806" i="20"/>
  <c r="AQ805" i="20"/>
  <c r="AQ804" i="20"/>
  <c r="AQ803" i="20"/>
  <c r="AQ802" i="20"/>
  <c r="AQ801" i="20"/>
  <c r="AQ800" i="20"/>
  <c r="AQ799" i="20"/>
  <c r="AQ798" i="20"/>
  <c r="AQ797" i="20"/>
  <c r="AQ796" i="20"/>
  <c r="AQ795" i="20"/>
  <c r="AQ794" i="20"/>
  <c r="AQ793" i="20"/>
  <c r="AQ792" i="20"/>
  <c r="AQ791" i="20"/>
  <c r="AQ790" i="20"/>
  <c r="AQ789" i="20"/>
  <c r="AQ788" i="20"/>
  <c r="AQ787" i="20"/>
  <c r="AQ786" i="20"/>
  <c r="AQ785" i="20"/>
  <c r="AQ784" i="20"/>
  <c r="AQ783" i="20"/>
  <c r="AQ782" i="20"/>
  <c r="AQ781" i="20"/>
  <c r="AQ780" i="20"/>
  <c r="AQ779" i="20"/>
  <c r="AQ778" i="20"/>
  <c r="AQ777" i="20"/>
  <c r="AQ776" i="20"/>
  <c r="AQ775" i="20"/>
  <c r="AQ774" i="20"/>
  <c r="AQ773" i="20"/>
  <c r="AQ772" i="20"/>
  <c r="AQ771" i="20"/>
  <c r="AQ770" i="20"/>
  <c r="AQ769" i="20"/>
  <c r="AQ768" i="20"/>
  <c r="AQ767" i="20"/>
  <c r="AQ766" i="20"/>
  <c r="AQ765" i="20"/>
  <c r="AQ764" i="20"/>
  <c r="AQ763" i="20"/>
  <c r="AQ762" i="20"/>
  <c r="AQ761" i="20"/>
  <c r="AQ760" i="20"/>
  <c r="AQ759" i="20"/>
  <c r="AQ758" i="20"/>
  <c r="AQ757" i="20"/>
  <c r="AQ756" i="20"/>
  <c r="AQ755" i="20"/>
  <c r="AQ754" i="20"/>
  <c r="AQ753" i="20"/>
  <c r="AQ752" i="20"/>
  <c r="AQ751" i="20"/>
  <c r="AQ750" i="20"/>
  <c r="AQ749" i="20"/>
  <c r="AQ748" i="20"/>
  <c r="AQ747" i="20"/>
  <c r="AQ746" i="20"/>
  <c r="AQ745" i="20"/>
  <c r="AQ744" i="20"/>
  <c r="AQ743" i="20"/>
  <c r="AQ742" i="20"/>
  <c r="AQ741" i="20"/>
  <c r="AQ740" i="20"/>
  <c r="AQ739" i="20"/>
  <c r="AQ738" i="20"/>
  <c r="AQ737" i="20"/>
  <c r="AQ736" i="20"/>
  <c r="AQ735" i="20"/>
  <c r="AQ734" i="20"/>
  <c r="AQ733" i="20"/>
  <c r="AQ732" i="20"/>
  <c r="AQ731" i="20"/>
  <c r="AQ730" i="20"/>
  <c r="AQ729" i="20"/>
  <c r="AQ728" i="20"/>
  <c r="AQ727" i="20"/>
  <c r="AQ726" i="20"/>
  <c r="AQ725" i="20"/>
  <c r="AQ724" i="20"/>
  <c r="AQ723" i="20"/>
  <c r="AQ722" i="20"/>
  <c r="AQ721" i="20"/>
  <c r="AQ720" i="20"/>
  <c r="AQ719" i="20"/>
  <c r="AQ718" i="20"/>
  <c r="AQ717" i="20"/>
  <c r="AQ716" i="20"/>
  <c r="AQ711" i="20"/>
  <c r="AQ709" i="20"/>
  <c r="AQ708" i="20"/>
  <c r="AQ707" i="20"/>
  <c r="AQ706" i="20"/>
  <c r="AQ705" i="20"/>
  <c r="AQ704" i="20"/>
  <c r="AQ703" i="20"/>
  <c r="AQ702" i="20"/>
  <c r="AQ701" i="20"/>
  <c r="AQ633" i="20"/>
  <c r="AQ626" i="20"/>
  <c r="AQ624" i="20"/>
  <c r="AQ622" i="20"/>
  <c r="AQ617" i="20"/>
  <c r="AQ616" i="20"/>
  <c r="AQ615" i="20"/>
  <c r="AQ614" i="20"/>
  <c r="AQ613" i="20"/>
  <c r="AQ612" i="20"/>
  <c r="AQ611" i="20"/>
  <c r="AQ610" i="20"/>
  <c r="AQ609" i="20"/>
  <c r="AQ608" i="20"/>
  <c r="AQ607" i="20"/>
  <c r="AQ606" i="20"/>
  <c r="AQ605" i="20"/>
  <c r="AQ604" i="20"/>
  <c r="AQ603" i="20"/>
  <c r="AQ602" i="20"/>
  <c r="AQ601" i="20"/>
  <c r="AQ600" i="20"/>
  <c r="AQ599" i="20"/>
  <c r="AQ598" i="20"/>
  <c r="AQ597" i="20"/>
  <c r="AQ596" i="20"/>
  <c r="AQ595" i="20"/>
  <c r="AQ594" i="20"/>
  <c r="AQ593" i="20"/>
  <c r="AQ592" i="20"/>
  <c r="AQ591" i="20"/>
  <c r="AQ590" i="20"/>
  <c r="AQ589" i="20"/>
  <c r="AQ588" i="20"/>
  <c r="AQ587" i="20"/>
  <c r="AQ586" i="20"/>
  <c r="AQ585" i="20"/>
  <c r="AQ584" i="20"/>
  <c r="AQ582" i="20"/>
  <c r="AQ581" i="20"/>
  <c r="AQ580" i="20"/>
  <c r="AQ578" i="20"/>
  <c r="AQ577" i="20"/>
  <c r="AQ573" i="20"/>
  <c r="AQ568" i="20"/>
  <c r="AQ567" i="20"/>
  <c r="AQ566" i="20"/>
  <c r="AQ565" i="20"/>
  <c r="AQ564" i="20"/>
  <c r="AQ563" i="20"/>
  <c r="AQ562" i="20"/>
  <c r="AQ561" i="20"/>
  <c r="AQ560" i="20"/>
  <c r="AQ559" i="20"/>
  <c r="AQ558" i="20"/>
  <c r="AQ557" i="20"/>
  <c r="AQ556" i="20"/>
  <c r="AQ555" i="20"/>
  <c r="AQ554" i="20"/>
  <c r="AQ552" i="20"/>
  <c r="AQ551" i="20"/>
  <c r="AQ541" i="20"/>
  <c r="AQ540" i="20"/>
  <c r="AQ539" i="20"/>
  <c r="AQ538" i="20"/>
  <c r="AQ537" i="20"/>
  <c r="AQ535" i="20"/>
  <c r="AQ533" i="20"/>
  <c r="AQ532" i="20"/>
  <c r="AQ531" i="20"/>
  <c r="AQ530" i="20"/>
  <c r="AQ529" i="20"/>
  <c r="AQ528" i="20"/>
  <c r="AQ527" i="20"/>
  <c r="AQ526" i="20"/>
  <c r="AQ525" i="20"/>
  <c r="AQ524" i="20"/>
  <c r="AQ523" i="20"/>
  <c r="AQ522" i="20"/>
  <c r="AQ521" i="20"/>
  <c r="AQ520" i="20"/>
  <c r="AQ519" i="20"/>
  <c r="AQ518" i="20"/>
  <c r="AQ517" i="20"/>
  <c r="AQ516" i="20"/>
  <c r="AQ515" i="20"/>
  <c r="AQ514" i="20"/>
  <c r="AQ513" i="20"/>
  <c r="AQ512" i="20"/>
  <c r="AQ511" i="20"/>
  <c r="AQ510" i="20"/>
  <c r="AQ509" i="20"/>
  <c r="AQ508" i="20"/>
  <c r="AQ507" i="20"/>
  <c r="AQ506" i="20"/>
  <c r="AQ505" i="20"/>
  <c r="AQ504" i="20"/>
  <c r="AQ503" i="20"/>
  <c r="AQ502" i="20"/>
  <c r="AQ501" i="20"/>
  <c r="AQ500" i="20"/>
  <c r="AQ499" i="20"/>
  <c r="AQ498" i="20"/>
  <c r="AQ497" i="20"/>
  <c r="AQ496" i="20"/>
  <c r="AQ495" i="20"/>
  <c r="AQ494" i="20"/>
  <c r="AQ493" i="20"/>
  <c r="AQ492" i="20"/>
  <c r="AQ491" i="20"/>
  <c r="AQ490" i="20"/>
  <c r="AQ489" i="20"/>
  <c r="AQ488" i="20"/>
  <c r="AQ487" i="20"/>
  <c r="AQ486" i="20"/>
  <c r="AQ485" i="20"/>
  <c r="AQ484" i="20"/>
  <c r="AQ481" i="20"/>
  <c r="AQ480" i="20"/>
  <c r="AQ478" i="20"/>
  <c r="AQ476" i="20"/>
  <c r="AQ474" i="20"/>
  <c r="AQ472" i="20"/>
  <c r="AQ470" i="20"/>
  <c r="AQ466" i="20"/>
  <c r="AQ460" i="20"/>
  <c r="AQ457" i="20"/>
  <c r="AQ456" i="20"/>
  <c r="AQ455" i="20"/>
  <c r="AQ453" i="20"/>
  <c r="AQ450" i="20"/>
  <c r="AQ449" i="20"/>
  <c r="AQ447" i="20"/>
  <c r="AQ445" i="20"/>
  <c r="AQ444" i="20"/>
  <c r="AQ443" i="20"/>
  <c r="AQ434" i="20"/>
  <c r="AQ433" i="20"/>
  <c r="AQ431" i="20"/>
  <c r="AQ430" i="20"/>
  <c r="AQ428" i="20"/>
  <c r="AQ416" i="20"/>
  <c r="AQ407" i="20"/>
  <c r="AQ378" i="20"/>
  <c r="AQ367" i="20"/>
  <c r="AQ365" i="20"/>
  <c r="AQ360" i="20"/>
  <c r="AQ353" i="20"/>
  <c r="AQ351" i="20"/>
  <c r="AQ349" i="20"/>
  <c r="AQ348" i="20"/>
  <c r="AQ347" i="20"/>
  <c r="AQ332" i="20"/>
  <c r="AQ323" i="20"/>
  <c r="AQ318" i="20"/>
  <c r="AQ316" i="20"/>
  <c r="AQ313" i="20"/>
  <c r="AQ309" i="20"/>
  <c r="AQ302" i="20"/>
  <c r="AQ297" i="20"/>
  <c r="AQ294" i="20"/>
  <c r="AQ293" i="20"/>
  <c r="AQ283" i="20"/>
  <c r="AQ270" i="20"/>
  <c r="AQ269" i="20"/>
  <c r="AQ268" i="20"/>
  <c r="AQ267" i="20"/>
  <c r="AQ266" i="20"/>
  <c r="AQ265" i="20"/>
  <c r="AQ264" i="20"/>
  <c r="AQ263" i="20"/>
  <c r="AQ262" i="20"/>
  <c r="AQ261" i="20"/>
  <c r="AQ258" i="20"/>
  <c r="AQ257" i="20"/>
  <c r="AQ255" i="20"/>
  <c r="AQ254" i="20"/>
  <c r="AQ251" i="20"/>
  <c r="AQ250" i="20"/>
  <c r="AQ249" i="20"/>
  <c r="AQ248" i="20"/>
  <c r="AQ247" i="20"/>
  <c r="AQ246" i="20"/>
  <c r="AQ244" i="20"/>
  <c r="AQ225" i="20"/>
  <c r="AQ224" i="20"/>
  <c r="AQ223" i="20"/>
  <c r="AQ222" i="20"/>
  <c r="AQ221" i="20"/>
  <c r="AQ220" i="20"/>
  <c r="AQ215" i="20"/>
  <c r="AQ212" i="20"/>
  <c r="AQ207" i="20"/>
  <c r="AQ197" i="20"/>
  <c r="AQ196" i="20"/>
  <c r="AQ195" i="20"/>
  <c r="AQ193" i="20"/>
  <c r="AQ192" i="20"/>
  <c r="AQ191" i="20"/>
  <c r="AQ190" i="20"/>
  <c r="AQ189" i="20"/>
  <c r="AQ188" i="20"/>
  <c r="AQ187" i="20"/>
  <c r="AQ186" i="20"/>
  <c r="AQ185" i="20"/>
  <c r="AQ184" i="20"/>
  <c r="AQ183" i="20"/>
  <c r="AQ182" i="20"/>
  <c r="AQ181" i="20"/>
  <c r="AQ180" i="20"/>
  <c r="AQ179" i="20"/>
  <c r="AQ172" i="20"/>
  <c r="AQ171" i="20"/>
  <c r="AQ170" i="20"/>
  <c r="AQ169" i="20"/>
  <c r="AQ168" i="20"/>
  <c r="AQ167" i="20"/>
  <c r="AQ166" i="20"/>
  <c r="AQ165" i="20"/>
  <c r="AQ164" i="20"/>
  <c r="AQ163" i="20"/>
  <c r="AQ162" i="20"/>
  <c r="AQ161" i="20"/>
  <c r="AQ160" i="20"/>
  <c r="AQ159" i="20"/>
  <c r="AQ158" i="20"/>
  <c r="AQ157" i="20"/>
  <c r="AQ156" i="20"/>
  <c r="AQ155" i="20"/>
  <c r="AQ154" i="20"/>
  <c r="AQ153" i="20"/>
  <c r="AQ152" i="20"/>
  <c r="AQ151" i="20"/>
  <c r="AQ150" i="20"/>
  <c r="AQ149" i="20"/>
  <c r="AQ148" i="20"/>
  <c r="AQ147" i="20"/>
  <c r="AQ146" i="20"/>
  <c r="AQ145" i="20"/>
  <c r="AQ144" i="20"/>
  <c r="AQ143" i="20"/>
  <c r="AQ142" i="20"/>
  <c r="AQ141" i="20"/>
  <c r="AQ140" i="20"/>
  <c r="AQ139" i="20"/>
  <c r="AQ138" i="20"/>
  <c r="AQ137" i="20"/>
  <c r="AQ136" i="20"/>
  <c r="AQ135" i="20"/>
  <c r="AQ134" i="20"/>
  <c r="AQ133" i="20"/>
  <c r="AQ132" i="20"/>
  <c r="AQ131" i="20"/>
  <c r="AQ130" i="20"/>
  <c r="AQ129" i="20"/>
  <c r="AQ112" i="20"/>
  <c r="AQ111" i="20"/>
  <c r="AQ110" i="20"/>
  <c r="AQ109" i="20"/>
  <c r="AQ108" i="20"/>
  <c r="AQ107" i="20"/>
  <c r="AQ106" i="20"/>
  <c r="AQ105" i="20"/>
  <c r="AQ102" i="20"/>
  <c r="AQ101" i="20"/>
  <c r="AQ100" i="20"/>
  <c r="AQ99" i="20"/>
  <c r="AQ98" i="20"/>
  <c r="AQ97" i="20"/>
  <c r="AQ96" i="20"/>
  <c r="AQ95" i="20"/>
  <c r="AQ94" i="20"/>
  <c r="AQ93" i="20"/>
  <c r="AQ92" i="20"/>
  <c r="AQ91" i="20"/>
  <c r="AQ86" i="20"/>
  <c r="AQ85" i="20"/>
  <c r="AQ84" i="20"/>
  <c r="AQ83" i="20"/>
  <c r="AQ82" i="20"/>
  <c r="AQ81" i="20"/>
  <c r="AQ80" i="20"/>
  <c r="AQ79" i="20"/>
  <c r="AQ78" i="20"/>
  <c r="AQ77" i="20"/>
  <c r="AQ76" i="20"/>
  <c r="AQ75" i="20"/>
  <c r="AQ62" i="20"/>
  <c r="AQ61" i="20"/>
  <c r="AQ60" i="20"/>
  <c r="AQ59" i="20"/>
  <c r="AQ58" i="20"/>
  <c r="AQ57" i="20"/>
  <c r="AQ56" i="20"/>
  <c r="AQ55" i="20"/>
  <c r="AQ54" i="20"/>
  <c r="AQ53" i="20"/>
  <c r="AQ52" i="20"/>
  <c r="AQ51" i="20"/>
  <c r="AQ50" i="20"/>
  <c r="AQ49" i="20"/>
  <c r="AQ48" i="20"/>
  <c r="AQ47" i="20"/>
  <c r="AQ46" i="20"/>
  <c r="AQ45" i="20"/>
  <c r="AQ44" i="20"/>
  <c r="AQ43" i="20"/>
  <c r="AQ42" i="20"/>
  <c r="AQ41" i="20"/>
  <c r="AQ40" i="20"/>
  <c r="AQ39" i="20"/>
  <c r="AQ38" i="20"/>
  <c r="AQ37" i="20"/>
  <c r="AQ36" i="20"/>
  <c r="AQ35" i="20"/>
  <c r="AQ34" i="20"/>
  <c r="AQ33" i="20"/>
  <c r="AQ32" i="20"/>
  <c r="AQ31" i="20"/>
  <c r="AQ30" i="20"/>
  <c r="AQ29" i="20"/>
  <c r="AQ28" i="20"/>
  <c r="AQ27" i="20"/>
  <c r="AQ26" i="20"/>
  <c r="AQ25" i="20"/>
  <c r="AQ24" i="20"/>
  <c r="AQ23" i="20"/>
  <c r="AQ22" i="20"/>
  <c r="AQ21" i="20"/>
  <c r="AQ20" i="20"/>
  <c r="AQ19" i="20"/>
  <c r="AQ18" i="20"/>
  <c r="AQ17" i="20"/>
  <c r="AQ16" i="20"/>
  <c r="AQ15" i="20"/>
  <c r="AQ14" i="20"/>
  <c r="AQ13" i="20"/>
  <c r="AQ12" i="20"/>
  <c r="AQ11" i="20"/>
  <c r="AQ10" i="20"/>
  <c r="AQ9" i="20"/>
  <c r="AQ8" i="20"/>
  <c r="AQ7" i="20"/>
  <c r="W5" i="43"/>
  <c r="H14" i="43"/>
  <c r="C5" i="43" l="1"/>
  <c r="A3" i="37"/>
  <c r="A3" i="30"/>
  <c r="A3" i="20"/>
  <c r="A3" i="45"/>
  <c r="A3" i="36"/>
  <c r="A3" i="19"/>
  <c r="C5" i="40"/>
  <c r="A3" i="91"/>
  <c r="A3" i="33"/>
  <c r="A3" i="14"/>
  <c r="C5" i="35"/>
  <c r="A14" i="20"/>
  <c r="A19" i="20"/>
  <c r="A7" i="20"/>
  <c r="A8" i="20"/>
  <c r="A9" i="20"/>
  <c r="A10" i="20"/>
  <c r="A11" i="20"/>
  <c r="A12" i="20"/>
  <c r="A13" i="20"/>
  <c r="A15" i="20"/>
  <c r="A16" i="20"/>
  <c r="A17" i="20"/>
  <c r="A18"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34" i="20"/>
  <c r="A335" i="20"/>
  <c r="A336" i="20"/>
  <c r="A337" i="20"/>
  <c r="A338" i="20"/>
  <c r="A339" i="20"/>
  <c r="A340" i="20"/>
  <c r="A341" i="20"/>
  <c r="A342" i="20"/>
  <c r="A343" i="20"/>
  <c r="A344" i="20"/>
  <c r="A345" i="20"/>
  <c r="A346" i="20"/>
  <c r="A347" i="20"/>
  <c r="A348" i="20"/>
  <c r="A349" i="20"/>
  <c r="A350" i="20"/>
  <c r="A351" i="20"/>
  <c r="A352" i="20"/>
  <c r="A353" i="20"/>
  <c r="A354" i="20"/>
  <c r="A355" i="20"/>
  <c r="A356" i="20"/>
  <c r="A357" i="20"/>
  <c r="A358" i="20"/>
  <c r="A359" i="20"/>
  <c r="A360" i="20"/>
  <c r="A361" i="20"/>
  <c r="A362" i="20"/>
  <c r="A363" i="20"/>
  <c r="A364" i="20"/>
  <c r="A365" i="20"/>
  <c r="A366" i="20"/>
  <c r="A367" i="20"/>
  <c r="A368" i="20"/>
  <c r="A369" i="20"/>
  <c r="A370" i="20"/>
  <c r="A371" i="20"/>
  <c r="A372" i="20"/>
  <c r="A373" i="20"/>
  <c r="A374" i="20"/>
  <c r="A375" i="20"/>
  <c r="A376" i="20"/>
  <c r="A377" i="20"/>
  <c r="A378" i="20"/>
  <c r="A379" i="20"/>
  <c r="A380" i="20"/>
  <c r="A381" i="20"/>
  <c r="A382" i="20"/>
  <c r="A383" i="20"/>
  <c r="A384" i="20"/>
  <c r="A385" i="20"/>
  <c r="A386" i="20"/>
  <c r="A387" i="20"/>
  <c r="A388" i="20"/>
  <c r="A389" i="20"/>
  <c r="A390" i="20"/>
  <c r="A391" i="20"/>
  <c r="A392" i="20"/>
  <c r="A393" i="20"/>
  <c r="A394" i="20"/>
  <c r="A395" i="20"/>
  <c r="A396" i="20"/>
  <c r="A397" i="20"/>
  <c r="A398" i="20"/>
  <c r="A399" i="20"/>
  <c r="A400" i="20"/>
  <c r="A401" i="20"/>
  <c r="A402" i="20"/>
  <c r="A403" i="20"/>
  <c r="A404" i="20"/>
  <c r="A405" i="20"/>
  <c r="A406" i="20"/>
  <c r="A407" i="20"/>
  <c r="A408" i="20"/>
  <c r="A409" i="20"/>
  <c r="A410" i="20"/>
  <c r="A411" i="20"/>
  <c r="A412" i="20"/>
  <c r="A413" i="20"/>
  <c r="A414" i="20"/>
  <c r="A415" i="20"/>
  <c r="A416" i="20"/>
  <c r="A417" i="20"/>
  <c r="A418" i="20"/>
  <c r="A419" i="20"/>
  <c r="A420" i="20"/>
  <c r="A421" i="20"/>
  <c r="A422" i="20"/>
  <c r="A423" i="20"/>
  <c r="A424" i="20"/>
  <c r="A425" i="20"/>
  <c r="A426" i="20"/>
  <c r="A427" i="20"/>
  <c r="A428" i="20"/>
  <c r="A429" i="20"/>
  <c r="A430" i="20"/>
  <c r="A431" i="20"/>
  <c r="A432" i="20"/>
  <c r="A433" i="20"/>
  <c r="A434" i="20"/>
  <c r="A435" i="20"/>
  <c r="A436" i="20"/>
  <c r="A437" i="20"/>
  <c r="A438" i="20"/>
  <c r="A439" i="20"/>
  <c r="A440" i="20"/>
  <c r="A441" i="20"/>
  <c r="A442" i="20"/>
  <c r="A443" i="20"/>
  <c r="A444" i="20"/>
  <c r="A445" i="20"/>
  <c r="A446" i="20"/>
  <c r="A447" i="20"/>
  <c r="A448" i="20"/>
  <c r="A449" i="20"/>
  <c r="A450" i="20"/>
  <c r="A451" i="20"/>
  <c r="A452" i="20"/>
  <c r="A453" i="20"/>
  <c r="A454" i="20"/>
  <c r="A455" i="20"/>
  <c r="A456" i="20"/>
  <c r="A457" i="20"/>
  <c r="A458" i="20"/>
  <c r="A459" i="20"/>
  <c r="A460" i="20"/>
  <c r="A461" i="20"/>
  <c r="A462" i="20"/>
  <c r="A463" i="20"/>
  <c r="A464" i="20"/>
  <c r="A465" i="20"/>
  <c r="A466" i="20"/>
  <c r="A467" i="20"/>
  <c r="A468" i="20"/>
  <c r="A469" i="20"/>
  <c r="A470" i="20"/>
  <c r="A471" i="20"/>
  <c r="A472" i="20"/>
  <c r="A473" i="20"/>
  <c r="A474" i="20"/>
  <c r="A475" i="20"/>
  <c r="A476" i="20"/>
  <c r="A477" i="20"/>
  <c r="A478" i="20"/>
  <c r="A479" i="20"/>
  <c r="A480" i="20"/>
  <c r="A481" i="20"/>
  <c r="A482" i="20"/>
  <c r="A483" i="20"/>
  <c r="A484" i="20"/>
  <c r="A485" i="20"/>
  <c r="A486" i="20"/>
  <c r="A487" i="20"/>
  <c r="A488" i="20"/>
  <c r="A489" i="20"/>
  <c r="A490" i="20"/>
  <c r="A491" i="20"/>
  <c r="A492" i="20"/>
  <c r="A493" i="20"/>
  <c r="A494" i="20"/>
  <c r="A495" i="20"/>
  <c r="A496" i="20"/>
  <c r="A497" i="20"/>
  <c r="A498" i="20"/>
  <c r="A499" i="20"/>
  <c r="A500" i="20"/>
  <c r="A501" i="20"/>
  <c r="A502" i="20"/>
  <c r="A503" i="20"/>
  <c r="A504" i="20"/>
  <c r="A505" i="20"/>
  <c r="A506" i="20"/>
  <c r="A507" i="20"/>
  <c r="A508" i="20"/>
  <c r="A509" i="20"/>
  <c r="A510" i="20"/>
  <c r="A511" i="20"/>
  <c r="A512" i="20"/>
  <c r="A513" i="20"/>
  <c r="A514" i="20"/>
  <c r="A515" i="20"/>
  <c r="A516" i="20"/>
  <c r="A517" i="20"/>
  <c r="A518" i="20"/>
  <c r="A519" i="20"/>
  <c r="A520" i="20"/>
  <c r="A521" i="20"/>
  <c r="A522" i="20"/>
  <c r="A523" i="20"/>
  <c r="A524" i="20"/>
  <c r="A525" i="20"/>
  <c r="A526" i="20"/>
  <c r="A527" i="20"/>
  <c r="A528" i="20"/>
  <c r="A529" i="20"/>
  <c r="A530" i="20"/>
  <c r="A531" i="20"/>
  <c r="A532" i="20"/>
  <c r="A533" i="20"/>
  <c r="A534" i="20"/>
  <c r="A535" i="20"/>
  <c r="A536" i="20"/>
  <c r="A537" i="20"/>
  <c r="A538" i="20"/>
  <c r="A539" i="20"/>
  <c r="A540" i="20"/>
  <c r="A541" i="20"/>
  <c r="A542" i="20"/>
  <c r="A543" i="20"/>
  <c r="A544" i="20"/>
  <c r="A545" i="20"/>
  <c r="A546" i="20"/>
  <c r="A547" i="20"/>
  <c r="A548" i="20"/>
  <c r="A549" i="20"/>
  <c r="A550" i="20"/>
  <c r="A551" i="20"/>
  <c r="A552" i="20"/>
  <c r="A553" i="20"/>
  <c r="A554" i="20"/>
  <c r="A555" i="20"/>
  <c r="A556" i="20"/>
  <c r="A557" i="20"/>
  <c r="A558" i="20"/>
  <c r="A559" i="20"/>
  <c r="A560" i="20"/>
  <c r="A561" i="20"/>
  <c r="A562" i="20"/>
  <c r="A563" i="20"/>
  <c r="A564" i="20"/>
  <c r="A565" i="20"/>
  <c r="A566" i="20"/>
  <c r="A567" i="20"/>
  <c r="A568" i="20"/>
  <c r="A569" i="20"/>
  <c r="A570" i="20"/>
  <c r="A571" i="20"/>
  <c r="A572" i="20"/>
  <c r="A573" i="20"/>
  <c r="A574" i="20"/>
  <c r="A575" i="20"/>
  <c r="A576" i="20"/>
  <c r="A577" i="20"/>
  <c r="A578" i="20"/>
  <c r="A579" i="20"/>
  <c r="A580" i="20"/>
  <c r="A581" i="20"/>
  <c r="A582" i="20"/>
  <c r="A583" i="20"/>
  <c r="A584" i="20"/>
  <c r="A585" i="20"/>
  <c r="A586" i="20"/>
  <c r="A587" i="20"/>
  <c r="A588" i="20"/>
  <c r="A589" i="20"/>
  <c r="A590" i="20"/>
  <c r="A591" i="20"/>
  <c r="A592" i="20"/>
  <c r="A593" i="20"/>
  <c r="A594" i="20"/>
  <c r="A595" i="20"/>
  <c r="A596" i="20"/>
  <c r="A597" i="20"/>
  <c r="A598" i="20"/>
  <c r="A599" i="20"/>
  <c r="A600" i="20"/>
  <c r="A601" i="20"/>
  <c r="A602" i="20"/>
  <c r="A603" i="20"/>
  <c r="A604" i="20"/>
  <c r="A605" i="20"/>
  <c r="A606" i="20"/>
  <c r="A607" i="20"/>
  <c r="A608" i="20"/>
  <c r="A609" i="20"/>
  <c r="A610" i="20"/>
  <c r="A611" i="20"/>
  <c r="A612" i="20"/>
  <c r="A613" i="20"/>
  <c r="A614" i="20"/>
  <c r="A615" i="20"/>
  <c r="A616" i="20"/>
  <c r="A617" i="20"/>
  <c r="A618" i="20"/>
  <c r="A619" i="20"/>
  <c r="A620" i="20"/>
  <c r="A621" i="20"/>
  <c r="A622" i="20"/>
  <c r="A623" i="20"/>
  <c r="A624" i="20"/>
  <c r="A625" i="20"/>
  <c r="A626" i="20"/>
  <c r="A627" i="20"/>
  <c r="A628" i="20"/>
  <c r="A629" i="20"/>
  <c r="A630" i="20"/>
  <c r="A631" i="20"/>
  <c r="A632" i="20"/>
  <c r="A633" i="20"/>
  <c r="A634" i="20"/>
  <c r="A635" i="20"/>
  <c r="A636" i="20"/>
  <c r="A637" i="20"/>
  <c r="A638" i="20"/>
  <c r="A639" i="20"/>
  <c r="A640" i="20"/>
  <c r="A641" i="20"/>
  <c r="A642" i="20"/>
  <c r="A643" i="20"/>
  <c r="A644" i="20"/>
  <c r="A645" i="20"/>
  <c r="A646" i="20"/>
  <c r="A647" i="20"/>
  <c r="A648" i="20"/>
  <c r="A649" i="20"/>
  <c r="A650" i="20"/>
  <c r="A651" i="20"/>
  <c r="A652" i="20"/>
  <c r="A653" i="20"/>
  <c r="A654" i="20"/>
  <c r="A655" i="20"/>
  <c r="A656" i="20"/>
  <c r="A657" i="20"/>
  <c r="A658" i="20"/>
  <c r="A659" i="20"/>
  <c r="A660" i="20"/>
  <c r="A661" i="20"/>
  <c r="A662" i="20"/>
  <c r="A663" i="20"/>
  <c r="A664" i="20"/>
  <c r="A665" i="20"/>
  <c r="A666" i="20"/>
  <c r="A667" i="20"/>
  <c r="A668" i="20"/>
  <c r="A669" i="20"/>
  <c r="A670" i="20"/>
  <c r="A671" i="20"/>
  <c r="A672" i="20"/>
  <c r="A673" i="20"/>
  <c r="A674" i="20"/>
  <c r="A675" i="20"/>
  <c r="A676" i="20"/>
  <c r="A677" i="20"/>
  <c r="A678" i="20"/>
  <c r="A679" i="20"/>
  <c r="A680" i="20"/>
  <c r="A681" i="20"/>
  <c r="A682" i="20"/>
  <c r="A683" i="20"/>
  <c r="A684" i="20"/>
  <c r="A685" i="20"/>
  <c r="A686" i="20"/>
  <c r="A687" i="20"/>
  <c r="A688" i="20"/>
  <c r="A689" i="20"/>
  <c r="A690" i="20"/>
  <c r="A691" i="20"/>
  <c r="A692" i="20"/>
  <c r="A693" i="20"/>
  <c r="A694" i="20"/>
  <c r="A695" i="20"/>
  <c r="A696" i="20"/>
  <c r="A697" i="20"/>
  <c r="A698" i="20"/>
  <c r="A699" i="20"/>
  <c r="A700" i="20"/>
  <c r="A701" i="20"/>
  <c r="A702" i="20"/>
  <c r="A703" i="20"/>
  <c r="A704" i="20"/>
  <c r="A705" i="20"/>
  <c r="A706" i="20"/>
  <c r="A707" i="20"/>
  <c r="A708" i="20"/>
  <c r="A709" i="20"/>
  <c r="A710" i="20"/>
  <c r="A711" i="20"/>
  <c r="A712" i="20"/>
  <c r="A713" i="20"/>
  <c r="A714" i="20"/>
  <c r="A715" i="20"/>
  <c r="A716" i="20"/>
  <c r="A717" i="20"/>
  <c r="A718" i="20"/>
  <c r="A719" i="20"/>
  <c r="A720" i="20"/>
  <c r="A721" i="20"/>
  <c r="A722" i="20"/>
  <c r="A723" i="20"/>
  <c r="A724" i="20"/>
  <c r="A725" i="20"/>
  <c r="A726" i="20"/>
  <c r="A727" i="20"/>
  <c r="A728" i="20"/>
  <c r="A729" i="20"/>
  <c r="A730" i="20"/>
  <c r="A731" i="20"/>
  <c r="A732" i="20"/>
  <c r="A733" i="20"/>
  <c r="A734" i="20"/>
  <c r="A735" i="20"/>
  <c r="A736" i="20"/>
  <c r="A737" i="20"/>
  <c r="A738" i="20"/>
  <c r="A739" i="20"/>
  <c r="A740" i="20"/>
  <c r="A741" i="20"/>
  <c r="A742" i="20"/>
  <c r="A743" i="20"/>
  <c r="A744" i="20"/>
  <c r="A745" i="20"/>
  <c r="A746" i="20"/>
  <c r="A747" i="20"/>
  <c r="A748" i="20"/>
  <c r="A749" i="20"/>
  <c r="A750" i="20"/>
  <c r="A751" i="20"/>
  <c r="A752" i="20"/>
  <c r="A753" i="20"/>
  <c r="A754" i="20"/>
  <c r="A755" i="20"/>
  <c r="A756" i="20"/>
  <c r="A757" i="20"/>
  <c r="A758" i="20"/>
  <c r="A759" i="20"/>
  <c r="A760" i="20"/>
  <c r="A761" i="20"/>
  <c r="A762" i="20"/>
  <c r="A763" i="20"/>
  <c r="A764" i="20"/>
  <c r="A765" i="20"/>
  <c r="A766" i="20"/>
  <c r="A767" i="20"/>
  <c r="A768" i="20"/>
  <c r="A769" i="20"/>
  <c r="A770" i="20"/>
  <c r="A771" i="20"/>
  <c r="A772" i="20"/>
  <c r="A773" i="20"/>
  <c r="A774" i="20"/>
  <c r="A775" i="20"/>
  <c r="A776" i="20"/>
  <c r="A777" i="20"/>
  <c r="A778" i="20"/>
  <c r="A779" i="20"/>
  <c r="A780" i="20"/>
  <c r="A781" i="20"/>
  <c r="A782" i="20"/>
  <c r="A783" i="20"/>
  <c r="A784" i="20"/>
  <c r="A785" i="20"/>
  <c r="A786" i="20"/>
  <c r="A787" i="20"/>
  <c r="A788" i="20"/>
  <c r="A789" i="20"/>
  <c r="A790" i="20"/>
  <c r="A791" i="20"/>
  <c r="A792" i="20"/>
  <c r="A793" i="20"/>
  <c r="A794" i="20"/>
  <c r="A795" i="20"/>
  <c r="A796" i="20"/>
  <c r="A797" i="20"/>
  <c r="A798" i="20"/>
  <c r="A799" i="20"/>
  <c r="A800" i="20"/>
  <c r="A801" i="20"/>
  <c r="A802" i="20"/>
  <c r="A803" i="20"/>
  <c r="A804" i="20"/>
  <c r="A805" i="20"/>
  <c r="A806" i="20"/>
  <c r="A807" i="20"/>
  <c r="A808" i="20"/>
  <c r="A809" i="20"/>
  <c r="A810" i="20"/>
  <c r="A811" i="20"/>
  <c r="A812" i="20"/>
  <c r="A813" i="20"/>
  <c r="A814" i="20"/>
  <c r="A815" i="20"/>
  <c r="A816" i="20"/>
  <c r="A817" i="20"/>
  <c r="A818" i="20"/>
  <c r="A819" i="20"/>
  <c r="A820" i="20"/>
  <c r="A821" i="20"/>
  <c r="A822" i="20"/>
  <c r="A823" i="20"/>
  <c r="A824" i="20"/>
  <c r="A825" i="20"/>
  <c r="A826" i="20"/>
  <c r="A827" i="20"/>
  <c r="A828" i="20"/>
  <c r="A829" i="20"/>
  <c r="A830" i="20"/>
  <c r="A831" i="20"/>
  <c r="A832" i="20"/>
  <c r="A833" i="20"/>
  <c r="A834" i="20"/>
  <c r="A835" i="20"/>
  <c r="A836" i="20"/>
  <c r="A837" i="20"/>
  <c r="A838" i="20"/>
  <c r="A839" i="20"/>
  <c r="A840" i="20"/>
  <c r="A841" i="20"/>
  <c r="A842" i="20"/>
  <c r="A843" i="20"/>
  <c r="A844" i="20"/>
  <c r="A845" i="20"/>
  <c r="A846" i="20"/>
  <c r="A847" i="20"/>
  <c r="A848" i="20"/>
  <c r="A849" i="20"/>
  <c r="A850" i="20"/>
  <c r="A851" i="20"/>
  <c r="A852" i="20"/>
  <c r="A853" i="20"/>
  <c r="A854" i="20"/>
  <c r="A855" i="20"/>
  <c r="A856" i="20"/>
  <c r="A857" i="20"/>
  <c r="A858" i="20"/>
  <c r="A859" i="20"/>
  <c r="A860" i="20"/>
  <c r="A861" i="20"/>
  <c r="A862" i="20"/>
  <c r="A863" i="20"/>
  <c r="A864" i="20"/>
  <c r="A865" i="20"/>
  <c r="A866" i="20"/>
  <c r="A867" i="20"/>
  <c r="A868" i="20"/>
  <c r="A869" i="20"/>
  <c r="A870" i="20"/>
  <c r="A871" i="20"/>
  <c r="A872" i="20"/>
  <c r="A873" i="20"/>
  <c r="A874" i="20"/>
  <c r="A875" i="20"/>
  <c r="A876" i="20"/>
  <c r="A877" i="20"/>
  <c r="A878" i="20"/>
  <c r="A879" i="20"/>
  <c r="A880" i="20"/>
  <c r="A881" i="20"/>
  <c r="A882" i="20"/>
  <c r="A883" i="20"/>
  <c r="A884" i="20"/>
  <c r="A885" i="20"/>
  <c r="A886" i="20"/>
  <c r="A887" i="20"/>
  <c r="A888" i="20"/>
  <c r="A889" i="20"/>
  <c r="A890" i="20"/>
  <c r="A891" i="20"/>
  <c r="A892" i="20"/>
  <c r="A893" i="20"/>
  <c r="A894" i="20"/>
  <c r="A895" i="20"/>
  <c r="A896" i="20"/>
  <c r="A897" i="20"/>
  <c r="A898" i="20"/>
  <c r="A899" i="20"/>
  <c r="A900" i="20"/>
  <c r="A901" i="20"/>
  <c r="A902" i="20"/>
  <c r="A903" i="20"/>
  <c r="A904" i="20"/>
  <c r="A905" i="20"/>
  <c r="A906" i="20"/>
  <c r="A907" i="20"/>
  <c r="A908" i="20"/>
  <c r="A909" i="20"/>
  <c r="A910" i="20"/>
  <c r="A911" i="20"/>
  <c r="A912" i="20"/>
  <c r="A913" i="20"/>
  <c r="A914" i="20"/>
  <c r="A915" i="20"/>
  <c r="A916" i="20"/>
  <c r="A917" i="20"/>
  <c r="A918" i="20"/>
  <c r="A919" i="20"/>
  <c r="A920" i="20"/>
  <c r="A921" i="20"/>
  <c r="A922" i="20"/>
  <c r="A923" i="20"/>
  <c r="A924" i="20"/>
  <c r="A925" i="20"/>
  <c r="A926" i="20"/>
  <c r="A927" i="20"/>
  <c r="A928" i="20"/>
  <c r="A929" i="20"/>
  <c r="A930" i="20"/>
  <c r="A931" i="20"/>
  <c r="A932" i="20"/>
  <c r="A933" i="20"/>
  <c r="A934" i="20"/>
  <c r="A935" i="20"/>
  <c r="A936" i="20"/>
  <c r="A937" i="20"/>
  <c r="A938" i="20"/>
  <c r="A939" i="20"/>
  <c r="A940" i="20"/>
  <c r="A941" i="20"/>
  <c r="A942" i="20"/>
  <c r="A943" i="20"/>
  <c r="A944" i="20"/>
  <c r="A945" i="20"/>
  <c r="A946" i="20"/>
  <c r="A947" i="20"/>
  <c r="A948" i="20"/>
  <c r="A949" i="20"/>
  <c r="A950" i="20"/>
  <c r="A951" i="20"/>
  <c r="A952" i="20"/>
  <c r="A953" i="20"/>
  <c r="A954" i="20"/>
  <c r="A955" i="20"/>
  <c r="A956" i="20"/>
  <c r="A957" i="20"/>
  <c r="A958" i="20"/>
  <c r="A959" i="20"/>
  <c r="A960" i="20"/>
  <c r="A961" i="20"/>
  <c r="A962" i="20"/>
  <c r="A963" i="20"/>
  <c r="A964" i="20"/>
  <c r="A965" i="20"/>
  <c r="A966" i="20"/>
  <c r="A967" i="20"/>
  <c r="A968" i="20"/>
  <c r="A969" i="20"/>
  <c r="A970" i="20"/>
  <c r="A971" i="20"/>
  <c r="A972" i="20"/>
  <c r="A973" i="20"/>
  <c r="A974" i="20"/>
  <c r="A975" i="20"/>
  <c r="A976" i="20"/>
  <c r="A977" i="20"/>
  <c r="A978" i="20"/>
  <c r="A979" i="20"/>
  <c r="A980" i="20"/>
  <c r="A981" i="20"/>
  <c r="A982" i="20"/>
  <c r="A983" i="20"/>
  <c r="A984" i="20"/>
  <c r="A985" i="20"/>
  <c r="A986" i="20"/>
  <c r="A987" i="20"/>
  <c r="A988" i="20"/>
  <c r="A989" i="20"/>
  <c r="AO10" i="20"/>
  <c r="AO9" i="20"/>
  <c r="AR9" i="20" s="1"/>
  <c r="AO11" i="20"/>
  <c r="AR11" i="20" s="1"/>
  <c r="AO13" i="20"/>
  <c r="AO15" i="20"/>
  <c r="AO34" i="20"/>
  <c r="AR34" i="20" s="1"/>
  <c r="AO14" i="20"/>
  <c r="AR14" i="20" s="1"/>
  <c r="AO31" i="20"/>
  <c r="AO25" i="20"/>
  <c r="AO42" i="20"/>
  <c r="AR42" i="20" s="1"/>
  <c r="AO26" i="20"/>
  <c r="AR26" i="20" s="1"/>
  <c r="AO30" i="20"/>
  <c r="AO29" i="20"/>
  <c r="AO27" i="20"/>
  <c r="AR27" i="20" s="1"/>
  <c r="AO35" i="20"/>
  <c r="AR35" i="20" s="1"/>
  <c r="AO43" i="20"/>
  <c r="AO45" i="20"/>
  <c r="AO36" i="20"/>
  <c r="AR36" i="20" s="1"/>
  <c r="AO37" i="20"/>
  <c r="AR37" i="20" s="1"/>
  <c r="AO44" i="20"/>
  <c r="AO40" i="20"/>
  <c r="AO41" i="20"/>
  <c r="AR41" i="20" s="1"/>
  <c r="AO47" i="20"/>
  <c r="AR47" i="20" s="1"/>
  <c r="AO48" i="20"/>
  <c r="AO28" i="20"/>
  <c r="AO32" i="20"/>
  <c r="AR32" i="20" s="1"/>
  <c r="AO38" i="20"/>
  <c r="AR38" i="20" s="1"/>
  <c r="AO39" i="20"/>
  <c r="AO49" i="20"/>
  <c r="AO54" i="20"/>
  <c r="AR54" i="20" s="1"/>
  <c r="AO33" i="20"/>
  <c r="AR33" i="20" s="1"/>
  <c r="AO56" i="20"/>
  <c r="AO57" i="20"/>
  <c r="AO58" i="20"/>
  <c r="AR58" i="20" s="1"/>
  <c r="AO59" i="20"/>
  <c r="AR59" i="20" s="1"/>
  <c r="AO61" i="20"/>
  <c r="AO62" i="20"/>
  <c r="AO76" i="20"/>
  <c r="AR76" i="20" s="1"/>
  <c r="AO16" i="20"/>
  <c r="AR16" i="20" s="1"/>
  <c r="AO22" i="20"/>
  <c r="AO12" i="20"/>
  <c r="AO19" i="20"/>
  <c r="AR19" i="20" s="1"/>
  <c r="AO20" i="20"/>
  <c r="AR20" i="20" s="1"/>
  <c r="AO983" i="20"/>
  <c r="AP983" i="20" s="1"/>
  <c r="AO984" i="20"/>
  <c r="AP984" i="20" s="1"/>
  <c r="AO985" i="20"/>
  <c r="AP985" i="20" s="1"/>
  <c r="AO986" i="20"/>
  <c r="AP986" i="20" s="1"/>
  <c r="AO987" i="20"/>
  <c r="AP987" i="20" s="1"/>
  <c r="AO988" i="20"/>
  <c r="AR988" i="20" s="1"/>
  <c r="AO989" i="20"/>
  <c r="AR989" i="20" s="1"/>
  <c r="AQ983" i="20"/>
  <c r="AQ984" i="20"/>
  <c r="AQ985" i="20"/>
  <c r="AQ986" i="20"/>
  <c r="AQ987" i="20"/>
  <c r="AQ988" i="20"/>
  <c r="AQ989" i="20"/>
  <c r="AR985" i="20"/>
  <c r="AS983" i="20"/>
  <c r="AS984" i="20"/>
  <c r="AS985" i="20"/>
  <c r="AS986" i="20"/>
  <c r="AS987" i="20"/>
  <c r="AS988" i="20"/>
  <c r="AS989" i="20"/>
  <c r="AM982" i="20"/>
  <c r="AM983" i="20"/>
  <c r="AM984" i="20"/>
  <c r="AM985" i="20"/>
  <c r="AM986" i="20"/>
  <c r="AM987" i="20"/>
  <c r="AM988" i="20"/>
  <c r="AM989" i="20"/>
  <c r="AM10" i="20"/>
  <c r="AM9" i="20"/>
  <c r="AM11" i="20"/>
  <c r="AM13" i="20"/>
  <c r="AM15" i="20"/>
  <c r="AM34" i="20"/>
  <c r="AM14" i="20"/>
  <c r="AM31" i="20"/>
  <c r="AM25" i="20"/>
  <c r="AM42" i="20"/>
  <c r="AM26" i="20"/>
  <c r="AM30" i="20"/>
  <c r="AM29" i="20"/>
  <c r="AM27" i="20"/>
  <c r="AM35" i="20"/>
  <c r="AM43" i="20"/>
  <c r="AM45" i="20"/>
  <c r="AM36" i="20"/>
  <c r="AM37" i="20"/>
  <c r="AM44" i="20"/>
  <c r="AM40" i="20"/>
  <c r="AM41" i="20"/>
  <c r="AM47" i="20"/>
  <c r="AM48" i="20"/>
  <c r="AM28" i="20"/>
  <c r="AM32" i="20"/>
  <c r="AM38" i="20"/>
  <c r="AM39" i="20"/>
  <c r="AM49" i="20"/>
  <c r="AM54" i="20"/>
  <c r="AM33" i="20"/>
  <c r="AM56" i="20"/>
  <c r="AM57" i="20"/>
  <c r="AM58" i="20"/>
  <c r="AM59" i="20"/>
  <c r="AM61" i="20"/>
  <c r="AM62" i="20"/>
  <c r="AM76" i="20"/>
  <c r="AM16" i="20"/>
  <c r="AM22" i="20"/>
  <c r="AM12" i="20"/>
  <c r="AM19" i="20"/>
  <c r="AM20" i="20"/>
  <c r="AM24" i="20"/>
  <c r="AM17" i="20"/>
  <c r="AM21" i="20"/>
  <c r="AM18" i="20"/>
  <c r="AM7" i="20"/>
  <c r="AM55" i="20"/>
  <c r="AM46" i="20"/>
  <c r="AM50" i="20"/>
  <c r="AM51" i="20"/>
  <c r="AM52" i="20"/>
  <c r="AM53" i="20"/>
  <c r="AM8" i="20"/>
  <c r="AM23" i="20"/>
  <c r="AM75" i="20"/>
  <c r="AM60" i="20"/>
  <c r="AM77" i="20"/>
  <c r="AM921" i="20"/>
  <c r="AM922" i="20"/>
  <c r="AM923" i="20"/>
  <c r="AM924" i="20"/>
  <c r="AM925" i="20"/>
  <c r="AM926" i="20"/>
  <c r="AM927" i="20"/>
  <c r="AM928" i="20"/>
  <c r="AM929" i="20"/>
  <c r="AM930" i="20"/>
  <c r="AM931" i="20"/>
  <c r="AM932" i="20"/>
  <c r="AM933" i="20"/>
  <c r="AM934" i="20"/>
  <c r="AM935" i="20"/>
  <c r="AM936" i="20"/>
  <c r="AM937" i="20"/>
  <c r="AM938" i="20"/>
  <c r="AM939" i="20"/>
  <c r="AM940" i="20"/>
  <c r="AM941" i="20"/>
  <c r="AM942" i="20"/>
  <c r="AM943" i="20"/>
  <c r="AM944" i="20"/>
  <c r="AM945" i="20"/>
  <c r="AM946" i="20"/>
  <c r="AM947" i="20"/>
  <c r="AM948" i="20"/>
  <c r="AM949" i="20"/>
  <c r="AM950" i="20"/>
  <c r="AM951" i="20"/>
  <c r="AM952" i="20"/>
  <c r="AM953" i="20"/>
  <c r="AM954" i="20"/>
  <c r="AM955" i="20"/>
  <c r="AM956" i="20"/>
  <c r="AM957" i="20"/>
  <c r="AM958" i="20"/>
  <c r="AM959" i="20"/>
  <c r="AM960" i="20"/>
  <c r="AM961" i="20"/>
  <c r="AM962" i="20"/>
  <c r="AM963" i="20"/>
  <c r="AM964" i="20"/>
  <c r="AM965" i="20"/>
  <c r="AM966" i="20"/>
  <c r="AM967" i="20"/>
  <c r="AM968" i="20"/>
  <c r="AM969" i="20"/>
  <c r="AM970" i="20"/>
  <c r="AM971" i="20"/>
  <c r="AM972" i="20"/>
  <c r="AM973" i="20"/>
  <c r="AM974" i="20"/>
  <c r="AM975" i="20"/>
  <c r="AM976" i="20"/>
  <c r="AM977" i="20"/>
  <c r="AM978" i="20"/>
  <c r="AM979" i="20"/>
  <c r="AM980" i="20"/>
  <c r="AM981" i="20"/>
  <c r="AM898" i="20"/>
  <c r="AM899" i="20"/>
  <c r="AM900" i="20"/>
  <c r="AM901" i="20"/>
  <c r="AM902" i="20"/>
  <c r="AM903" i="20"/>
  <c r="AM904" i="20"/>
  <c r="AM905" i="20"/>
  <c r="AM906" i="20"/>
  <c r="AM907" i="20"/>
  <c r="AM908" i="20"/>
  <c r="AM909" i="20"/>
  <c r="AM910" i="20"/>
  <c r="AM911" i="20"/>
  <c r="AM912" i="20"/>
  <c r="AM913" i="20"/>
  <c r="AM914" i="20"/>
  <c r="AM915" i="20"/>
  <c r="AM916" i="20"/>
  <c r="AM917" i="20"/>
  <c r="AM918" i="20"/>
  <c r="AM919" i="20"/>
  <c r="AM920" i="20"/>
  <c r="AO931" i="20"/>
  <c r="AR931" i="20" s="1"/>
  <c r="AO932" i="20"/>
  <c r="AR932" i="20" s="1"/>
  <c r="AO933" i="20"/>
  <c r="AR933" i="20" s="1"/>
  <c r="AO934" i="20"/>
  <c r="AR934" i="20" s="1"/>
  <c r="AO935" i="20"/>
  <c r="AR935" i="20" s="1"/>
  <c r="AO936" i="20"/>
  <c r="AR936" i="20" s="1"/>
  <c r="AO937" i="20"/>
  <c r="AR937" i="20" s="1"/>
  <c r="AO938" i="20"/>
  <c r="AR938" i="20" s="1"/>
  <c r="AO939" i="20"/>
  <c r="AR939" i="20" s="1"/>
  <c r="AO940" i="20"/>
  <c r="AR940" i="20" s="1"/>
  <c r="AO941" i="20"/>
  <c r="AR941" i="20" s="1"/>
  <c r="AO942" i="20"/>
  <c r="AR942" i="20" s="1"/>
  <c r="AO943" i="20"/>
  <c r="AR943" i="20" s="1"/>
  <c r="AO944" i="20"/>
  <c r="AR944" i="20" s="1"/>
  <c r="AO945" i="20"/>
  <c r="AR945" i="20" s="1"/>
  <c r="AO946" i="20"/>
  <c r="AR946" i="20" s="1"/>
  <c r="AO947" i="20"/>
  <c r="AR947" i="20" s="1"/>
  <c r="AO948" i="20"/>
  <c r="AR948" i="20" s="1"/>
  <c r="AO949" i="20"/>
  <c r="AR949" i="20" s="1"/>
  <c r="AO950" i="20"/>
  <c r="AR950" i="20" s="1"/>
  <c r="AO951" i="20"/>
  <c r="AR951" i="20" s="1"/>
  <c r="AO952" i="20"/>
  <c r="AR952" i="20" s="1"/>
  <c r="AO953" i="20"/>
  <c r="AR953" i="20" s="1"/>
  <c r="AO954" i="20"/>
  <c r="AR954" i="20" s="1"/>
  <c r="AO955" i="20"/>
  <c r="AR955" i="20" s="1"/>
  <c r="AO956" i="20"/>
  <c r="AR956" i="20" s="1"/>
  <c r="AO957" i="20"/>
  <c r="AP957" i="20" s="1"/>
  <c r="AO958" i="20"/>
  <c r="AP958" i="20" s="1"/>
  <c r="AO959" i="20"/>
  <c r="AR959" i="20" s="1"/>
  <c r="AO960" i="20"/>
  <c r="AP960" i="20" s="1"/>
  <c r="AO961" i="20"/>
  <c r="AP961" i="20" s="1"/>
  <c r="AO962" i="20"/>
  <c r="AP962" i="20" s="1"/>
  <c r="AO963" i="20"/>
  <c r="AR963" i="20" s="1"/>
  <c r="AO964" i="20"/>
  <c r="AP964" i="20" s="1"/>
  <c r="AO965" i="20"/>
  <c r="AP965" i="20" s="1"/>
  <c r="AO966" i="20"/>
  <c r="AP966" i="20" s="1"/>
  <c r="AO967" i="20"/>
  <c r="AR967" i="20" s="1"/>
  <c r="AO968" i="20"/>
  <c r="AP968" i="20" s="1"/>
  <c r="AO969" i="20"/>
  <c r="AP969" i="20" s="1"/>
  <c r="AO970" i="20"/>
  <c r="AP970" i="20" s="1"/>
  <c r="AO971" i="20"/>
  <c r="AR971" i="20" s="1"/>
  <c r="AO972" i="20"/>
  <c r="AR972" i="20" s="1"/>
  <c r="AO973" i="20"/>
  <c r="AP973" i="20" s="1"/>
  <c r="AO974" i="20"/>
  <c r="AP974" i="20" s="1"/>
  <c r="AO975" i="20"/>
  <c r="AR975" i="20" s="1"/>
  <c r="AO976" i="20"/>
  <c r="AP976" i="20" s="1"/>
  <c r="AO977" i="20"/>
  <c r="AP977" i="20" s="1"/>
  <c r="AO978" i="20"/>
  <c r="AP978" i="20" s="1"/>
  <c r="AO979" i="20"/>
  <c r="AR979" i="20" s="1"/>
  <c r="AO980" i="20"/>
  <c r="AR980" i="20" s="1"/>
  <c r="AO981" i="20"/>
  <c r="AP981" i="20" s="1"/>
  <c r="AO982" i="20"/>
  <c r="AP982" i="20" s="1"/>
  <c r="AP931" i="20"/>
  <c r="AP932" i="20"/>
  <c r="AP933" i="20"/>
  <c r="AP934" i="20"/>
  <c r="AP935" i="20"/>
  <c r="AP936" i="20"/>
  <c r="AP937" i="20"/>
  <c r="AP938" i="20"/>
  <c r="AP939" i="20"/>
  <c r="AP940" i="20"/>
  <c r="AP941" i="20"/>
  <c r="AP942" i="20"/>
  <c r="AP943" i="20"/>
  <c r="AP944" i="20"/>
  <c r="AP945" i="20"/>
  <c r="AP946" i="20"/>
  <c r="AP947" i="20"/>
  <c r="AP948" i="20"/>
  <c r="AP949" i="20"/>
  <c r="AP950" i="20"/>
  <c r="AP951" i="20"/>
  <c r="AP952" i="20"/>
  <c r="AP953" i="20"/>
  <c r="AP954" i="20"/>
  <c r="AP955" i="20"/>
  <c r="AP956" i="20"/>
  <c r="AQ931" i="20"/>
  <c r="AQ932" i="20"/>
  <c r="AQ933" i="20"/>
  <c r="AQ934" i="20"/>
  <c r="AQ935" i="20"/>
  <c r="AQ936" i="20"/>
  <c r="AQ937" i="20"/>
  <c r="AQ938" i="20"/>
  <c r="AQ939" i="20"/>
  <c r="AQ940" i="20"/>
  <c r="AQ941" i="20"/>
  <c r="AQ942" i="20"/>
  <c r="AQ943" i="20"/>
  <c r="AQ944" i="20"/>
  <c r="AQ945" i="20"/>
  <c r="AQ946" i="20"/>
  <c r="AQ947" i="20"/>
  <c r="AQ948" i="20"/>
  <c r="AQ949" i="20"/>
  <c r="AQ950" i="20"/>
  <c r="AQ951" i="20"/>
  <c r="AQ952" i="20"/>
  <c r="AQ953" i="20"/>
  <c r="AQ954" i="20"/>
  <c r="AQ955" i="20"/>
  <c r="AQ956" i="20"/>
  <c r="AQ957" i="20"/>
  <c r="AQ958" i="20"/>
  <c r="AQ959" i="20"/>
  <c r="AQ960" i="20"/>
  <c r="AQ961" i="20"/>
  <c r="AQ962" i="20"/>
  <c r="AQ963" i="20"/>
  <c r="AQ964" i="20"/>
  <c r="AQ965" i="20"/>
  <c r="AQ966" i="20"/>
  <c r="AQ967" i="20"/>
  <c r="AQ968" i="20"/>
  <c r="AQ969" i="20"/>
  <c r="AQ970" i="20"/>
  <c r="AQ971" i="20"/>
  <c r="AQ972" i="20"/>
  <c r="AQ973" i="20"/>
  <c r="AQ974" i="20"/>
  <c r="AQ975" i="20"/>
  <c r="AQ976" i="20"/>
  <c r="AQ977" i="20"/>
  <c r="AQ978" i="20"/>
  <c r="AQ979" i="20"/>
  <c r="AQ980" i="20"/>
  <c r="AQ981" i="20"/>
  <c r="AQ982" i="20"/>
  <c r="AR969" i="20"/>
  <c r="AS931" i="20"/>
  <c r="AS932" i="20"/>
  <c r="AS933" i="20"/>
  <c r="AS934" i="20"/>
  <c r="AS935" i="20"/>
  <c r="AS936" i="20"/>
  <c r="AS937" i="20"/>
  <c r="AS938" i="20"/>
  <c r="AS939" i="20"/>
  <c r="AS940" i="20"/>
  <c r="AS941" i="20"/>
  <c r="AS942" i="20"/>
  <c r="AS943" i="20"/>
  <c r="AS944" i="20"/>
  <c r="AS945" i="20"/>
  <c r="AS946" i="20"/>
  <c r="AS947" i="20"/>
  <c r="AS948" i="20"/>
  <c r="AS949" i="20"/>
  <c r="AS950" i="20"/>
  <c r="AS951" i="20"/>
  <c r="AS952" i="20"/>
  <c r="AS953" i="20"/>
  <c r="AS954" i="20"/>
  <c r="AS955" i="20"/>
  <c r="AS956" i="20"/>
  <c r="AS957" i="20"/>
  <c r="AS958" i="20"/>
  <c r="AS959" i="20"/>
  <c r="AS960" i="20"/>
  <c r="AS961" i="20"/>
  <c r="AS962" i="20"/>
  <c r="AS963" i="20"/>
  <c r="AS964" i="20"/>
  <c r="AS965" i="20"/>
  <c r="AS966" i="20"/>
  <c r="AS967" i="20"/>
  <c r="AS968" i="20"/>
  <c r="AS969" i="20"/>
  <c r="AS970" i="20"/>
  <c r="AS971" i="20"/>
  <c r="AS972" i="20"/>
  <c r="AS973" i="20"/>
  <c r="AS974" i="20"/>
  <c r="AS975" i="20"/>
  <c r="AS976" i="20"/>
  <c r="AS977" i="20"/>
  <c r="AS978" i="20"/>
  <c r="AS979" i="20"/>
  <c r="AS980" i="20"/>
  <c r="AS981" i="20"/>
  <c r="AS982" i="20"/>
  <c r="AO921" i="20"/>
  <c r="AP921" i="20" s="1"/>
  <c r="AO922" i="20"/>
  <c r="AP922" i="20" s="1"/>
  <c r="AO923" i="20"/>
  <c r="AP923" i="20" s="1"/>
  <c r="AO924" i="20"/>
  <c r="AR924" i="20" s="1"/>
  <c r="AO925" i="20"/>
  <c r="AP925" i="20" s="1"/>
  <c r="AO926" i="20"/>
  <c r="AP926" i="20" s="1"/>
  <c r="AO927" i="20"/>
  <c r="AP927" i="20" s="1"/>
  <c r="AO928" i="20"/>
  <c r="AR928" i="20" s="1"/>
  <c r="AO929" i="20"/>
  <c r="AP929" i="20" s="1"/>
  <c r="AO930" i="20"/>
  <c r="AP930" i="20" s="1"/>
  <c r="AQ921" i="20"/>
  <c r="AQ922" i="20"/>
  <c r="AQ923" i="20"/>
  <c r="AQ924" i="20"/>
  <c r="AQ925" i="20"/>
  <c r="AQ926" i="20"/>
  <c r="AQ927" i="20"/>
  <c r="AQ928" i="20"/>
  <c r="AQ929" i="20"/>
  <c r="AQ930" i="20"/>
  <c r="AS921" i="20"/>
  <c r="AS922" i="20"/>
  <c r="AS923" i="20"/>
  <c r="AS924" i="20"/>
  <c r="AS925" i="20"/>
  <c r="AS926" i="20"/>
  <c r="AS927" i="20"/>
  <c r="AS928" i="20"/>
  <c r="AS929" i="20"/>
  <c r="AS930" i="20"/>
  <c r="AO24" i="20"/>
  <c r="AR24" i="20" s="1"/>
  <c r="AO17" i="20"/>
  <c r="AR17" i="20" s="1"/>
  <c r="AO21" i="20"/>
  <c r="AR21" i="20" s="1"/>
  <c r="AO18" i="20"/>
  <c r="AR18" i="20" s="1"/>
  <c r="AO7" i="20"/>
  <c r="AO55" i="20"/>
  <c r="AR55" i="20" s="1"/>
  <c r="AO46" i="20"/>
  <c r="AR46" i="20" s="1"/>
  <c r="AO50" i="20"/>
  <c r="AO51" i="20"/>
  <c r="AR51" i="20" s="1"/>
  <c r="AO52" i="20"/>
  <c r="AR52" i="20" s="1"/>
  <c r="AO53" i="20"/>
  <c r="AO8" i="20"/>
  <c r="AR8" i="20" s="1"/>
  <c r="AO23" i="20"/>
  <c r="AO75" i="20"/>
  <c r="AR75" i="20" s="1"/>
  <c r="AO60" i="20"/>
  <c r="AR60" i="20" s="1"/>
  <c r="AO77" i="20"/>
  <c r="AP24" i="20"/>
  <c r="AP17" i="20"/>
  <c r="AP21" i="20"/>
  <c r="AP18" i="20"/>
  <c r="S56" i="14"/>
  <c r="B12" i="36"/>
  <c r="C11" i="36"/>
  <c r="P68" i="19"/>
  <c r="P57" i="19"/>
  <c r="AR958" i="20" l="1"/>
  <c r="AR982" i="20"/>
  <c r="AR974" i="20"/>
  <c r="AR966" i="20"/>
  <c r="AP22" i="20"/>
  <c r="AR22" i="20"/>
  <c r="AP61" i="20"/>
  <c r="AR61" i="20"/>
  <c r="AP56" i="20"/>
  <c r="AR56" i="20"/>
  <c r="AP39" i="20"/>
  <c r="AR39" i="20"/>
  <c r="AP48" i="20"/>
  <c r="AR48" i="20"/>
  <c r="AP44" i="20"/>
  <c r="AR44" i="20"/>
  <c r="AP43" i="20"/>
  <c r="AR43" i="20"/>
  <c r="AP30" i="20"/>
  <c r="AR30" i="20"/>
  <c r="AP31" i="20"/>
  <c r="AR31" i="20"/>
  <c r="AP13" i="20"/>
  <c r="AR13" i="20"/>
  <c r="AP23" i="20"/>
  <c r="AR23" i="20"/>
  <c r="AP7" i="20"/>
  <c r="AR7" i="20"/>
  <c r="AP77" i="20"/>
  <c r="AR77" i="20"/>
  <c r="AP50" i="20"/>
  <c r="AR50" i="20"/>
  <c r="AP53" i="20"/>
  <c r="AR53" i="20"/>
  <c r="AP12" i="20"/>
  <c r="AR12" i="20"/>
  <c r="AP62" i="20"/>
  <c r="AR62" i="20"/>
  <c r="AP57" i="20"/>
  <c r="AR57" i="20"/>
  <c r="AP49" i="20"/>
  <c r="AR49" i="20"/>
  <c r="AP28" i="20"/>
  <c r="AR28" i="20"/>
  <c r="AP40" i="20"/>
  <c r="AR40" i="20"/>
  <c r="AP45" i="20"/>
  <c r="AR45" i="20"/>
  <c r="AP29" i="20"/>
  <c r="AR29" i="20"/>
  <c r="AP25" i="20"/>
  <c r="AR25" i="20"/>
  <c r="AP15" i="20"/>
  <c r="AR15" i="20"/>
  <c r="AP10" i="20"/>
  <c r="AR10" i="20"/>
  <c r="AR970" i="20"/>
  <c r="AR962" i="20"/>
  <c r="AP972" i="20"/>
  <c r="AR978" i="20"/>
  <c r="AR968" i="20"/>
  <c r="AR964" i="20"/>
  <c r="AP980" i="20"/>
  <c r="AR973" i="20"/>
  <c r="AR977" i="20"/>
  <c r="AR961" i="20"/>
  <c r="AR981" i="20"/>
  <c r="AR976" i="20"/>
  <c r="AR965" i="20"/>
  <c r="AR960" i="20"/>
  <c r="AP979" i="20"/>
  <c r="AP975" i="20"/>
  <c r="AP971" i="20"/>
  <c r="AP967" i="20"/>
  <c r="AP963" i="20"/>
  <c r="AP959" i="20"/>
  <c r="AR984" i="20"/>
  <c r="AR957" i="20"/>
  <c r="AP988" i="20"/>
  <c r="AP989" i="20"/>
  <c r="AR925" i="20"/>
  <c r="AR929" i="20"/>
  <c r="AR921" i="20"/>
  <c r="AR986" i="20"/>
  <c r="AR987" i="20"/>
  <c r="AR983" i="20"/>
  <c r="AP54" i="20"/>
  <c r="AP27" i="20"/>
  <c r="AP19" i="20"/>
  <c r="AP32" i="20"/>
  <c r="AP42" i="20"/>
  <c r="AP76" i="20"/>
  <c r="AP41" i="20"/>
  <c r="AP34" i="20"/>
  <c r="AP924" i="20"/>
  <c r="AP58" i="20"/>
  <c r="AP36" i="20"/>
  <c r="AP9" i="20"/>
  <c r="AP20" i="20"/>
  <c r="AP16" i="20"/>
  <c r="AP59" i="20"/>
  <c r="AP33" i="20"/>
  <c r="AP38" i="20"/>
  <c r="AP47" i="20"/>
  <c r="AP37" i="20"/>
  <c r="AP35" i="20"/>
  <c r="AP26" i="20"/>
  <c r="AP14" i="20"/>
  <c r="AP11" i="20"/>
  <c r="AP60" i="20"/>
  <c r="AP46" i="20"/>
  <c r="AP8" i="20"/>
  <c r="AP928" i="20"/>
  <c r="AP51" i="20"/>
  <c r="AR927" i="20"/>
  <c r="AR923" i="20"/>
  <c r="AR930" i="20"/>
  <c r="AR926" i="20"/>
  <c r="AR922" i="20"/>
  <c r="AP75" i="20"/>
  <c r="AP52" i="20"/>
  <c r="AP55" i="20"/>
  <c r="AS74" i="20"/>
  <c r="AQ74" i="20"/>
  <c r="AO74" i="20"/>
  <c r="AP74" i="20" s="1"/>
  <c r="AM74" i="20"/>
  <c r="AS73" i="20"/>
  <c r="AQ73" i="20"/>
  <c r="AO73" i="20"/>
  <c r="AP73" i="20" s="1"/>
  <c r="AM73" i="20"/>
  <c r="AS72" i="20"/>
  <c r="AQ72" i="20"/>
  <c r="AO72" i="20"/>
  <c r="AR72" i="20" s="1"/>
  <c r="AM72" i="20"/>
  <c r="AS71" i="20"/>
  <c r="AQ71" i="20"/>
  <c r="AO71" i="20"/>
  <c r="AR71" i="20" s="1"/>
  <c r="AM71" i="20"/>
  <c r="AS70" i="20"/>
  <c r="AQ70" i="20"/>
  <c r="AO70" i="20"/>
  <c r="AP70" i="20" s="1"/>
  <c r="AM70" i="20"/>
  <c r="AS69" i="20"/>
  <c r="AQ69" i="20"/>
  <c r="AO69" i="20"/>
  <c r="AP69" i="20" s="1"/>
  <c r="AM69" i="20"/>
  <c r="AS68" i="20"/>
  <c r="AQ68" i="20"/>
  <c r="AO68" i="20"/>
  <c r="AR68" i="20" s="1"/>
  <c r="AM68" i="20"/>
  <c r="AS67" i="20"/>
  <c r="AQ67" i="20"/>
  <c r="AO67" i="20"/>
  <c r="AP67" i="20" s="1"/>
  <c r="AM67" i="20"/>
  <c r="AS66" i="20"/>
  <c r="AQ66" i="20"/>
  <c r="AO66" i="20"/>
  <c r="AP66" i="20" s="1"/>
  <c r="AM66" i="20"/>
  <c r="AS65" i="20"/>
  <c r="AQ65" i="20"/>
  <c r="AO65" i="20"/>
  <c r="AP65" i="20" s="1"/>
  <c r="AM65" i="20"/>
  <c r="AS64" i="20"/>
  <c r="AQ64" i="20"/>
  <c r="AO64" i="20"/>
  <c r="AP64" i="20" s="1"/>
  <c r="AM64" i="20"/>
  <c r="AS63" i="20"/>
  <c r="AQ63" i="20"/>
  <c r="AO63" i="20"/>
  <c r="AP63" i="20" s="1"/>
  <c r="AM63" i="20"/>
  <c r="AR69" i="20" l="1"/>
  <c r="AR63" i="20"/>
  <c r="AR67" i="20"/>
  <c r="AR70" i="20"/>
  <c r="AR74" i="20"/>
  <c r="AR73" i="20"/>
  <c r="AP72" i="20"/>
  <c r="AP71" i="20"/>
  <c r="AP68" i="20"/>
  <c r="AR66" i="20"/>
  <c r="AR65" i="20"/>
  <c r="AR64" i="20"/>
  <c r="AO215" i="20" l="1"/>
  <c r="AR215" i="20" s="1"/>
  <c r="AM215" i="20"/>
  <c r="AP215" i="20" l="1"/>
  <c r="AM6" i="20" l="1"/>
  <c r="AO6" i="20"/>
  <c r="AR6" i="20" s="1"/>
  <c r="AQ6" i="20"/>
  <c r="AS6" i="20"/>
  <c r="AP6" i="20" l="1"/>
  <c r="T211" i="19"/>
  <c r="S211" i="19"/>
  <c r="P211" i="19"/>
  <c r="U211" i="19" s="1"/>
  <c r="T233" i="19"/>
  <c r="S233" i="19"/>
  <c r="P233" i="19"/>
  <c r="U233" i="19" s="1"/>
  <c r="T69" i="19" l="1"/>
  <c r="S69" i="19"/>
  <c r="P69" i="19"/>
  <c r="U69" i="19" s="1"/>
  <c r="T223" i="19"/>
  <c r="S223" i="19"/>
  <c r="P223" i="19"/>
  <c r="U223" i="19" s="1"/>
  <c r="T258" i="19" l="1"/>
  <c r="S258" i="19"/>
  <c r="P258" i="19"/>
  <c r="U258" i="19" s="1"/>
  <c r="S184" i="19" l="1"/>
  <c r="T184" i="19"/>
  <c r="P184" i="19"/>
  <c r="U184" i="19" s="1"/>
  <c r="S191" i="19"/>
  <c r="T191" i="19"/>
  <c r="P191" i="19"/>
  <c r="U191" i="19" s="1"/>
  <c r="S320" i="19"/>
  <c r="T320" i="19"/>
  <c r="P320" i="19"/>
  <c r="U320" i="19" s="1"/>
  <c r="S182" i="19"/>
  <c r="T182" i="19"/>
  <c r="P182" i="19"/>
  <c r="U182" i="19" s="1"/>
  <c r="T194" i="19"/>
  <c r="S194" i="19"/>
  <c r="P194" i="19"/>
  <c r="U194" i="19" s="1"/>
  <c r="P195" i="19"/>
  <c r="T266" i="19"/>
  <c r="S266" i="19"/>
  <c r="P220" i="19"/>
  <c r="U220" i="19" s="1"/>
  <c r="P266" i="19"/>
  <c r="U266" i="19" s="1"/>
  <c r="T113" i="19"/>
  <c r="S113" i="19"/>
  <c r="P113" i="19"/>
  <c r="U113" i="19" s="1"/>
  <c r="T57" i="19"/>
  <c r="S57" i="19"/>
  <c r="U57" i="19"/>
  <c r="T68" i="19"/>
  <c r="S68" i="19"/>
  <c r="U68" i="19"/>
  <c r="T220" i="19"/>
  <c r="S220" i="19"/>
  <c r="T8" i="19"/>
  <c r="S8" i="19"/>
  <c r="P8" i="19"/>
  <c r="U8" i="19" s="1"/>
  <c r="T46" i="19"/>
  <c r="S46" i="19"/>
  <c r="P46" i="19"/>
  <c r="U46" i="19" s="1"/>
  <c r="P317" i="19"/>
  <c r="U317" i="19" s="1"/>
  <c r="S317" i="19"/>
  <c r="T317" i="19"/>
  <c r="P276" i="19"/>
  <c r="U276" i="19" s="1"/>
  <c r="S276" i="19"/>
  <c r="T276" i="19"/>
  <c r="P260" i="19"/>
  <c r="U260" i="19" s="1"/>
  <c r="S260" i="19"/>
  <c r="T260" i="19"/>
  <c r="T271" i="19"/>
  <c r="S271" i="19"/>
  <c r="P271" i="19"/>
  <c r="U271" i="19" s="1"/>
  <c r="P87" i="19"/>
  <c r="U87" i="19" s="1"/>
  <c r="S87" i="19"/>
  <c r="T87" i="19"/>
  <c r="P100" i="19"/>
  <c r="P42" i="19"/>
  <c r="U42" i="19" s="1"/>
  <c r="S42" i="19"/>
  <c r="T42" i="19"/>
  <c r="T239" i="19"/>
  <c r="T240" i="19"/>
  <c r="T241" i="19"/>
  <c r="T242" i="19"/>
  <c r="T243" i="19"/>
  <c r="T245" i="19"/>
  <c r="T244" i="19"/>
  <c r="T246" i="19"/>
  <c r="T247" i="19"/>
  <c r="T248" i="19"/>
  <c r="T249" i="19"/>
  <c r="T250" i="19"/>
  <c r="T251" i="19"/>
  <c r="T252" i="19"/>
  <c r="T253" i="19"/>
  <c r="T254" i="19"/>
  <c r="T255" i="19"/>
  <c r="T256" i="19"/>
  <c r="T257" i="19"/>
  <c r="T259" i="19"/>
  <c r="T261" i="19"/>
  <c r="T262" i="19"/>
  <c r="T263" i="19"/>
  <c r="T265" i="19"/>
  <c r="T264" i="19"/>
  <c r="T267" i="19"/>
  <c r="T268" i="19"/>
  <c r="T269" i="19"/>
  <c r="T270" i="19"/>
  <c r="T272" i="19"/>
  <c r="T273" i="19"/>
  <c r="T274" i="19"/>
  <c r="T275" i="19"/>
  <c r="T277" i="19"/>
  <c r="T280" i="19"/>
  <c r="T279" i="19"/>
  <c r="T278" i="19"/>
  <c r="T282" i="19"/>
  <c r="T283" i="19"/>
  <c r="T284" i="19"/>
  <c r="T285" i="19"/>
  <c r="T286" i="19"/>
  <c r="T287" i="19"/>
  <c r="T288" i="19"/>
  <c r="T289" i="19"/>
  <c r="T290" i="19"/>
  <c r="T292" i="19"/>
  <c r="T291" i="19"/>
  <c r="T293" i="19"/>
  <c r="T294" i="19"/>
  <c r="T295" i="19"/>
  <c r="T296" i="19"/>
  <c r="T297" i="19"/>
  <c r="T298" i="19"/>
  <c r="T299" i="19"/>
  <c r="T300" i="19"/>
  <c r="T301" i="19"/>
  <c r="T302" i="19"/>
  <c r="T303" i="19"/>
  <c r="T304" i="19"/>
  <c r="T305" i="19"/>
  <c r="T306" i="19"/>
  <c r="T307" i="19"/>
  <c r="T308" i="19"/>
  <c r="T309" i="19"/>
  <c r="T310" i="19"/>
  <c r="T311" i="19"/>
  <c r="T312" i="19"/>
  <c r="T313" i="19"/>
  <c r="T314" i="19"/>
  <c r="T315" i="19"/>
  <c r="T316" i="19"/>
  <c r="T318" i="19"/>
  <c r="T319" i="19"/>
  <c r="T321" i="19"/>
  <c r="T322" i="19"/>
  <c r="T323" i="19"/>
  <c r="T324" i="19"/>
  <c r="P14" i="19"/>
  <c r="T100" i="19" l="1"/>
  <c r="S100" i="19"/>
  <c r="U100" i="19"/>
  <c r="T14" i="19"/>
  <c r="S14" i="19"/>
  <c r="U14" i="19"/>
  <c r="T281" i="19"/>
  <c r="S281" i="19"/>
  <c r="P281" i="19"/>
  <c r="U281" i="19" s="1"/>
  <c r="AI25" i="14" l="1"/>
  <c r="AJ25" i="14"/>
  <c r="AK25" i="14" s="1"/>
  <c r="V22" i="62" l="1"/>
  <c r="S95" i="14" l="1"/>
  <c r="AI95" i="14"/>
  <c r="AJ95" i="14"/>
  <c r="AK95" i="14" s="1"/>
  <c r="S183" i="14" l="1"/>
  <c r="AI183" i="14"/>
  <c r="AJ183" i="14"/>
  <c r="AK183" i="14" s="1"/>
  <c r="P9" i="19" l="1"/>
  <c r="P10" i="19"/>
  <c r="P11" i="19"/>
  <c r="P19" i="19"/>
  <c r="P20" i="19"/>
  <c r="P59" i="19"/>
  <c r="P60" i="19"/>
  <c r="P98" i="19"/>
  <c r="P99" i="19"/>
  <c r="P101" i="19"/>
  <c r="P102" i="19"/>
  <c r="P103" i="19"/>
  <c r="P104" i="19"/>
  <c r="P177" i="19"/>
  <c r="P178" i="19"/>
  <c r="P199" i="19"/>
  <c r="P229" i="19"/>
  <c r="P230" i="19"/>
  <c r="P231" i="19"/>
  <c r="P232" i="19"/>
  <c r="P251" i="19"/>
  <c r="P252" i="19"/>
  <c r="P253" i="19"/>
  <c r="P254" i="19"/>
  <c r="P274" i="19"/>
  <c r="P275" i="19"/>
  <c r="P295" i="19"/>
  <c r="P296" i="19"/>
  <c r="P310" i="19"/>
  <c r="P311" i="19"/>
  <c r="P312" i="19"/>
  <c r="P313" i="19"/>
  <c r="P314" i="19"/>
  <c r="P35" i="19"/>
  <c r="P36" i="19"/>
  <c r="P37" i="19"/>
  <c r="P92" i="19"/>
  <c r="P93" i="19"/>
  <c r="P91" i="19"/>
  <c r="P228" i="19"/>
  <c r="P5" i="19"/>
  <c r="P6" i="19"/>
  <c r="P7" i="19"/>
  <c r="P12" i="19"/>
  <c r="P13" i="19"/>
  <c r="P15" i="19"/>
  <c r="P16" i="19"/>
  <c r="P17" i="19"/>
  <c r="P18" i="19"/>
  <c r="P21" i="19"/>
  <c r="P22" i="19"/>
  <c r="P23" i="19"/>
  <c r="P24" i="19"/>
  <c r="P25" i="19"/>
  <c r="P33" i="19"/>
  <c r="P34" i="19"/>
  <c r="P39" i="19"/>
  <c r="P40" i="19"/>
  <c r="P38" i="19"/>
  <c r="P41" i="19"/>
  <c r="P52" i="19"/>
  <c r="P53" i="19"/>
  <c r="P54" i="19"/>
  <c r="P94" i="19"/>
  <c r="P96" i="19"/>
  <c r="P95" i="19"/>
  <c r="P97" i="19"/>
  <c r="P155" i="19"/>
  <c r="P156" i="19"/>
  <c r="P161" i="19"/>
  <c r="P162" i="19"/>
  <c r="P188" i="19"/>
  <c r="P189" i="19"/>
  <c r="P190" i="19"/>
  <c r="P200" i="19"/>
  <c r="P201" i="19"/>
  <c r="P207" i="19"/>
  <c r="P208" i="19"/>
  <c r="P209" i="19"/>
  <c r="P210" i="19"/>
  <c r="P249" i="19"/>
  <c r="P250" i="19"/>
  <c r="P256" i="19"/>
  <c r="P257" i="19"/>
  <c r="P303" i="19"/>
  <c r="P304" i="19"/>
  <c r="P305" i="19"/>
  <c r="P306" i="19"/>
  <c r="P315" i="19"/>
  <c r="P322" i="19"/>
  <c r="P72" i="19"/>
  <c r="P74" i="19"/>
  <c r="P75" i="19"/>
  <c r="P163" i="19"/>
  <c r="P172" i="19"/>
  <c r="P185" i="19"/>
  <c r="P186" i="19"/>
  <c r="P321" i="19"/>
  <c r="P29" i="19"/>
  <c r="P30" i="19"/>
  <c r="P31" i="19"/>
  <c r="P32" i="19"/>
  <c r="P78" i="19"/>
  <c r="P79" i="19"/>
  <c r="P80" i="19"/>
  <c r="P81" i="19"/>
  <c r="P82" i="19"/>
  <c r="P83" i="19"/>
  <c r="P112" i="19"/>
  <c r="P128" i="19"/>
  <c r="P129" i="19"/>
  <c r="P130" i="19"/>
  <c r="P131" i="19"/>
  <c r="P132" i="19"/>
  <c r="P139" i="19"/>
  <c r="P140" i="19"/>
  <c r="P141" i="19"/>
  <c r="P142" i="19"/>
  <c r="P143" i="19"/>
  <c r="P144" i="19"/>
  <c r="P151" i="19"/>
  <c r="P152" i="19"/>
  <c r="P153" i="19"/>
  <c r="P154" i="19"/>
  <c r="P171" i="19"/>
  <c r="P187" i="19"/>
  <c r="P55" i="19"/>
  <c r="P147" i="19"/>
  <c r="P148" i="19"/>
  <c r="P149" i="19"/>
  <c r="P77" i="19"/>
  <c r="P150" i="19"/>
  <c r="P202" i="19"/>
  <c r="P205" i="19"/>
  <c r="P206" i="19"/>
  <c r="P273" i="19"/>
  <c r="P47" i="19"/>
  <c r="P56" i="19"/>
  <c r="P58" i="19"/>
  <c r="P67" i="19"/>
  <c r="P70" i="19"/>
  <c r="P71" i="19"/>
  <c r="P105" i="19"/>
  <c r="P106" i="19"/>
  <c r="P107" i="19"/>
  <c r="P108" i="19"/>
  <c r="P109" i="19"/>
  <c r="P110" i="19"/>
  <c r="P111" i="19"/>
  <c r="P116" i="19"/>
  <c r="P134" i="19"/>
  <c r="P135" i="19"/>
  <c r="P136" i="19"/>
  <c r="P145" i="19"/>
  <c r="P146" i="19"/>
  <c r="P164" i="19"/>
  <c r="P165" i="19"/>
  <c r="P166" i="19"/>
  <c r="P167" i="19"/>
  <c r="P168" i="19"/>
  <c r="P169" i="19"/>
  <c r="P212" i="19"/>
  <c r="P213" i="19"/>
  <c r="P214" i="19"/>
  <c r="P215" i="19"/>
  <c r="P216" i="19"/>
  <c r="P219" i="19"/>
  <c r="P222" i="19"/>
  <c r="P224" i="19"/>
  <c r="P225" i="19"/>
  <c r="P259" i="19"/>
  <c r="P170" i="19"/>
  <c r="P173" i="19"/>
  <c r="P174" i="19"/>
  <c r="P175" i="19"/>
  <c r="P176" i="19"/>
  <c r="P43" i="19"/>
  <c r="P44" i="19"/>
  <c r="P45" i="19"/>
  <c r="P61" i="19"/>
  <c r="P62" i="19"/>
  <c r="P63" i="19"/>
  <c r="P64" i="19"/>
  <c r="P65" i="19"/>
  <c r="P66" i="19"/>
  <c r="P76" i="19"/>
  <c r="P84" i="19"/>
  <c r="P85" i="19"/>
  <c r="P86" i="19"/>
  <c r="P88" i="19"/>
  <c r="P89" i="19"/>
  <c r="P90" i="19"/>
  <c r="P133" i="19"/>
  <c r="P137" i="19"/>
  <c r="P138" i="19"/>
  <c r="P158" i="19"/>
  <c r="P157" i="19"/>
  <c r="P159" i="19"/>
  <c r="P160" i="19"/>
  <c r="P196" i="19"/>
  <c r="P197" i="19"/>
  <c r="P198" i="19"/>
  <c r="P217" i="19"/>
  <c r="P218" i="19"/>
  <c r="P221" i="19"/>
  <c r="P255" i="19"/>
  <c r="P261" i="19"/>
  <c r="P262" i="19"/>
  <c r="P263" i="19"/>
  <c r="P272" i="19"/>
  <c r="P277" i="19"/>
  <c r="P278" i="19"/>
  <c r="P280" i="19"/>
  <c r="P282" i="19"/>
  <c r="P283" i="19"/>
  <c r="P279" i="19"/>
  <c r="P284" i="19"/>
  <c r="P285" i="19"/>
  <c r="P286" i="19"/>
  <c r="P287" i="19"/>
  <c r="P288" i="19"/>
  <c r="P289" i="19"/>
  <c r="P309" i="19"/>
  <c r="P323" i="19"/>
  <c r="P179" i="19"/>
  <c r="P180" i="19"/>
  <c r="P181" i="19"/>
  <c r="P183" i="19"/>
  <c r="P193" i="19"/>
  <c r="P324" i="19"/>
  <c r="P268" i="19"/>
  <c r="P269" i="19"/>
  <c r="P270" i="19"/>
  <c r="P26" i="19"/>
  <c r="P27" i="19"/>
  <c r="P28" i="19"/>
  <c r="P48" i="19"/>
  <c r="P49" i="19"/>
  <c r="P50" i="19"/>
  <c r="P51" i="19"/>
  <c r="P114" i="19"/>
  <c r="P115" i="19"/>
  <c r="P117" i="19"/>
  <c r="P118" i="19"/>
  <c r="P119" i="19"/>
  <c r="P120" i="19"/>
  <c r="P121" i="19"/>
  <c r="P122" i="19"/>
  <c r="P123" i="19"/>
  <c r="P124" i="19"/>
  <c r="P125" i="19"/>
  <c r="P126" i="19"/>
  <c r="P127" i="19"/>
  <c r="P203" i="19"/>
  <c r="P204" i="19"/>
  <c r="P226" i="19"/>
  <c r="P227" i="19"/>
  <c r="P234" i="19"/>
  <c r="P235" i="19"/>
  <c r="P236" i="19"/>
  <c r="P237" i="19"/>
  <c r="P238" i="19"/>
  <c r="P239" i="19"/>
  <c r="P240" i="19"/>
  <c r="P241" i="19"/>
  <c r="P242" i="19"/>
  <c r="P243" i="19"/>
  <c r="P244" i="19"/>
  <c r="P246" i="19"/>
  <c r="P245" i="19"/>
  <c r="P247" i="19"/>
  <c r="P248" i="19"/>
  <c r="P264" i="19"/>
  <c r="P265" i="19"/>
  <c r="P267" i="19"/>
  <c r="P291" i="19"/>
  <c r="P292" i="19"/>
  <c r="P293" i="19"/>
  <c r="P294" i="19"/>
  <c r="P297" i="19"/>
  <c r="P298" i="19"/>
  <c r="P299" i="19"/>
  <c r="P300" i="19"/>
  <c r="P301" i="19"/>
  <c r="P302" i="19"/>
  <c r="P307" i="19"/>
  <c r="P308" i="19"/>
  <c r="P316" i="19"/>
  <c r="P318" i="19"/>
  <c r="P319" i="19"/>
  <c r="P290" i="19"/>
  <c r="P192" i="19"/>
  <c r="P73" i="19"/>
  <c r="S9" i="19"/>
  <c r="U9" i="19" l="1"/>
  <c r="K7" i="36"/>
  <c r="U299" i="19"/>
  <c r="K15" i="36"/>
  <c r="K10" i="36"/>
  <c r="U10" i="19"/>
  <c r="U11" i="19"/>
  <c r="U19" i="19"/>
  <c r="U20" i="19"/>
  <c r="U59" i="19"/>
  <c r="U60" i="19"/>
  <c r="U98" i="19"/>
  <c r="U99" i="19"/>
  <c r="U101" i="19"/>
  <c r="U102" i="19"/>
  <c r="U103" i="19"/>
  <c r="U104" i="19"/>
  <c r="U177" i="19"/>
  <c r="U178" i="19"/>
  <c r="U199" i="19"/>
  <c r="U229" i="19"/>
  <c r="U230" i="19"/>
  <c r="U231" i="19"/>
  <c r="U232" i="19"/>
  <c r="U251" i="19"/>
  <c r="U252" i="19"/>
  <c r="U253" i="19"/>
  <c r="U254" i="19"/>
  <c r="U274" i="19"/>
  <c r="U275" i="19"/>
  <c r="U295" i="19"/>
  <c r="U296" i="19"/>
  <c r="U310" i="19"/>
  <c r="U311" i="19"/>
  <c r="U312" i="19"/>
  <c r="U313" i="19"/>
  <c r="U314" i="19"/>
  <c r="U35" i="19"/>
  <c r="U36" i="19"/>
  <c r="U37" i="19"/>
  <c r="U92" i="19"/>
  <c r="U93" i="19"/>
  <c r="U91" i="19"/>
  <c r="U228" i="19"/>
  <c r="U5" i="19"/>
  <c r="U6" i="19"/>
  <c r="U7" i="19"/>
  <c r="U12" i="19"/>
  <c r="U13" i="19"/>
  <c r="U15" i="19"/>
  <c r="U16" i="19"/>
  <c r="U17" i="19"/>
  <c r="U18" i="19"/>
  <c r="U21" i="19"/>
  <c r="U22" i="19"/>
  <c r="U23" i="19"/>
  <c r="U24" i="19"/>
  <c r="U25" i="19"/>
  <c r="U33" i="19"/>
  <c r="U34" i="19"/>
  <c r="U39" i="19"/>
  <c r="U40" i="19"/>
  <c r="U38" i="19"/>
  <c r="U41" i="19"/>
  <c r="U52" i="19"/>
  <c r="U53" i="19"/>
  <c r="U54" i="19"/>
  <c r="U94" i="19"/>
  <c r="U96" i="19"/>
  <c r="U95" i="19"/>
  <c r="U97" i="19"/>
  <c r="U155" i="19"/>
  <c r="U156" i="19"/>
  <c r="U161" i="19"/>
  <c r="U162" i="19"/>
  <c r="U188" i="19"/>
  <c r="U189" i="19"/>
  <c r="U190" i="19"/>
  <c r="U200" i="19"/>
  <c r="U201" i="19"/>
  <c r="U207" i="19"/>
  <c r="U208" i="19"/>
  <c r="U209" i="19"/>
  <c r="U210" i="19"/>
  <c r="U249" i="19"/>
  <c r="U250" i="19"/>
  <c r="U256" i="19"/>
  <c r="U257" i="19"/>
  <c r="U303" i="19"/>
  <c r="U304" i="19"/>
  <c r="U305" i="19"/>
  <c r="U306" i="19"/>
  <c r="U315" i="19"/>
  <c r="U322" i="19"/>
  <c r="U72" i="19"/>
  <c r="U74" i="19"/>
  <c r="U75" i="19"/>
  <c r="U163" i="19"/>
  <c r="U172" i="19"/>
  <c r="U185" i="19"/>
  <c r="U186" i="19"/>
  <c r="U321" i="19"/>
  <c r="U29" i="19"/>
  <c r="U30" i="19"/>
  <c r="U31" i="19"/>
  <c r="U32" i="19"/>
  <c r="U78" i="19"/>
  <c r="U79" i="19"/>
  <c r="U80" i="19"/>
  <c r="U81" i="19"/>
  <c r="U82" i="19"/>
  <c r="U83" i="19"/>
  <c r="U112" i="19"/>
  <c r="U128" i="19"/>
  <c r="U129" i="19"/>
  <c r="U130" i="19"/>
  <c r="U131" i="19"/>
  <c r="U132" i="19"/>
  <c r="U139" i="19"/>
  <c r="U140" i="19"/>
  <c r="U141" i="19"/>
  <c r="U142" i="19"/>
  <c r="U143" i="19"/>
  <c r="U144" i="19"/>
  <c r="U151" i="19"/>
  <c r="U152" i="19"/>
  <c r="U153" i="19"/>
  <c r="U154" i="19"/>
  <c r="U171" i="19"/>
  <c r="U187" i="19"/>
  <c r="U55" i="19"/>
  <c r="U147" i="19"/>
  <c r="U148" i="19"/>
  <c r="U149" i="19"/>
  <c r="U77" i="19"/>
  <c r="U150" i="19"/>
  <c r="U202" i="19"/>
  <c r="U205" i="19"/>
  <c r="U206" i="19"/>
  <c r="U273" i="19"/>
  <c r="U47" i="19"/>
  <c r="U56" i="19"/>
  <c r="U58" i="19"/>
  <c r="U67" i="19"/>
  <c r="U70" i="19"/>
  <c r="U71" i="19"/>
  <c r="U105" i="19"/>
  <c r="U106" i="19"/>
  <c r="U107" i="19"/>
  <c r="U108" i="19"/>
  <c r="U109" i="19"/>
  <c r="U110" i="19"/>
  <c r="U111" i="19"/>
  <c r="U116" i="19"/>
  <c r="U134" i="19"/>
  <c r="U135" i="19"/>
  <c r="U136" i="19"/>
  <c r="U145" i="19"/>
  <c r="U146" i="19"/>
  <c r="U164" i="19"/>
  <c r="U165" i="19"/>
  <c r="U166" i="19"/>
  <c r="U167" i="19"/>
  <c r="U168" i="19"/>
  <c r="U169" i="19"/>
  <c r="U212" i="19"/>
  <c r="U213" i="19"/>
  <c r="U214" i="19"/>
  <c r="U215" i="19"/>
  <c r="U216" i="19"/>
  <c r="U219" i="19"/>
  <c r="U222" i="19"/>
  <c r="U224" i="19"/>
  <c r="U225" i="19"/>
  <c r="U259" i="19"/>
  <c r="U170" i="19"/>
  <c r="U173" i="19"/>
  <c r="U174" i="19"/>
  <c r="U175" i="19"/>
  <c r="U176" i="19"/>
  <c r="U43" i="19"/>
  <c r="U44" i="19"/>
  <c r="U45" i="19"/>
  <c r="U61" i="19"/>
  <c r="U62" i="19"/>
  <c r="U63" i="19"/>
  <c r="U64" i="19"/>
  <c r="U65" i="19"/>
  <c r="U66" i="19"/>
  <c r="U76" i="19"/>
  <c r="U84" i="19"/>
  <c r="U85" i="19"/>
  <c r="U86" i="19"/>
  <c r="U88" i="19"/>
  <c r="U89" i="19"/>
  <c r="U90" i="19"/>
  <c r="U133" i="19"/>
  <c r="U137" i="19"/>
  <c r="U138" i="19"/>
  <c r="U158" i="19"/>
  <c r="U157" i="19"/>
  <c r="U159" i="19"/>
  <c r="U160" i="19"/>
  <c r="U196" i="19"/>
  <c r="U197" i="19"/>
  <c r="U198" i="19"/>
  <c r="U217" i="19"/>
  <c r="U218" i="19"/>
  <c r="U221" i="19"/>
  <c r="U255" i="19"/>
  <c r="U261" i="19"/>
  <c r="U262" i="19"/>
  <c r="U263" i="19"/>
  <c r="U272" i="19"/>
  <c r="U277" i="19"/>
  <c r="U278" i="19"/>
  <c r="U280" i="19"/>
  <c r="U282" i="19"/>
  <c r="U283" i="19"/>
  <c r="U279" i="19"/>
  <c r="U284" i="19"/>
  <c r="U285" i="19"/>
  <c r="U286" i="19"/>
  <c r="U287" i="19"/>
  <c r="U288" i="19"/>
  <c r="U289" i="19"/>
  <c r="U309" i="19"/>
  <c r="U323" i="19"/>
  <c r="U179" i="19"/>
  <c r="U180" i="19"/>
  <c r="U181" i="19"/>
  <c r="U183" i="19"/>
  <c r="U195" i="19"/>
  <c r="U193" i="19"/>
  <c r="U324" i="19"/>
  <c r="U268" i="19"/>
  <c r="U269" i="19"/>
  <c r="U270" i="19"/>
  <c r="U26" i="19"/>
  <c r="U27" i="19"/>
  <c r="U28" i="19"/>
  <c r="U48" i="19"/>
  <c r="U49" i="19"/>
  <c r="U50" i="19"/>
  <c r="U51" i="19"/>
  <c r="U114" i="19"/>
  <c r="U115" i="19"/>
  <c r="U117" i="19"/>
  <c r="U118" i="19"/>
  <c r="U119" i="19"/>
  <c r="U120" i="19"/>
  <c r="U121" i="19"/>
  <c r="U122" i="19"/>
  <c r="U123" i="19"/>
  <c r="U124" i="19"/>
  <c r="U125" i="19"/>
  <c r="U126" i="19"/>
  <c r="U127" i="19"/>
  <c r="U203" i="19"/>
  <c r="U204" i="19"/>
  <c r="U226" i="19"/>
  <c r="U227" i="19"/>
  <c r="U234" i="19"/>
  <c r="U235" i="19"/>
  <c r="U236" i="19"/>
  <c r="U237" i="19"/>
  <c r="U238" i="19"/>
  <c r="U239" i="19"/>
  <c r="U240" i="19"/>
  <c r="U241" i="19"/>
  <c r="U242" i="19"/>
  <c r="U243" i="19"/>
  <c r="U244" i="19"/>
  <c r="U246" i="19"/>
  <c r="U245" i="19"/>
  <c r="U247" i="19"/>
  <c r="U248" i="19"/>
  <c r="U264" i="19"/>
  <c r="U265" i="19"/>
  <c r="U267" i="19"/>
  <c r="U291" i="19"/>
  <c r="U292" i="19"/>
  <c r="U293" i="19"/>
  <c r="U294" i="19"/>
  <c r="U297" i="19"/>
  <c r="U298" i="19"/>
  <c r="U300" i="19"/>
  <c r="U301" i="19"/>
  <c r="U302" i="19"/>
  <c r="U307" i="19"/>
  <c r="U308" i="19"/>
  <c r="U316" i="19"/>
  <c r="U318" i="19"/>
  <c r="U319" i="19"/>
  <c r="U290" i="19"/>
  <c r="U192" i="19"/>
  <c r="U73" i="19"/>
  <c r="K11" i="36" l="1"/>
  <c r="K12" i="36"/>
  <c r="K14" i="36"/>
  <c r="K26" i="36"/>
  <c r="E8" i="36"/>
  <c r="E9" i="36"/>
  <c r="E10" i="36"/>
  <c r="E11" i="36"/>
  <c r="E12" i="36"/>
  <c r="E13" i="36"/>
  <c r="E14" i="36"/>
  <c r="E15" i="36"/>
  <c r="E16" i="36"/>
  <c r="E17" i="36"/>
  <c r="E18" i="36"/>
  <c r="E19" i="36"/>
  <c r="E20" i="36"/>
  <c r="E21" i="36"/>
  <c r="E22" i="36"/>
  <c r="E23" i="36"/>
  <c r="E24" i="36"/>
  <c r="E25" i="36"/>
  <c r="E26" i="36"/>
  <c r="E27" i="36"/>
  <c r="D27" i="36"/>
  <c r="D22" i="36"/>
  <c r="D23" i="36"/>
  <c r="D24" i="36"/>
  <c r="D25" i="36"/>
  <c r="D26" i="36"/>
  <c r="D8" i="36"/>
  <c r="D9" i="36"/>
  <c r="D10" i="36"/>
  <c r="D11" i="36"/>
  <c r="D12" i="36"/>
  <c r="D13" i="36"/>
  <c r="D14" i="36"/>
  <c r="D15" i="36"/>
  <c r="D16" i="36"/>
  <c r="D17" i="36"/>
  <c r="D18" i="36"/>
  <c r="D19" i="36"/>
  <c r="D20" i="36"/>
  <c r="D21" i="36"/>
  <c r="B7" i="36"/>
  <c r="N7" i="36" s="1"/>
  <c r="M29" i="40"/>
  <c r="AJ102" i="14" l="1"/>
  <c r="AK102" i="14" s="1"/>
  <c r="AJ101" i="14"/>
  <c r="AK101" i="14" s="1"/>
  <c r="AJ100" i="14"/>
  <c r="AK100" i="14" s="1"/>
  <c r="AJ99" i="14"/>
  <c r="AK99" i="14" s="1"/>
  <c r="AJ98" i="14"/>
  <c r="AK98" i="14" s="1"/>
  <c r="AJ97" i="14"/>
  <c r="AK97" i="14" s="1"/>
  <c r="AJ96" i="14"/>
  <c r="AK96" i="14" s="1"/>
  <c r="AJ94" i="14"/>
  <c r="AK94" i="14" s="1"/>
  <c r="AJ93" i="14"/>
  <c r="AK93" i="14" s="1"/>
  <c r="AJ92" i="14"/>
  <c r="AK92" i="14" s="1"/>
  <c r="AJ89" i="14"/>
  <c r="AK89" i="14" s="1"/>
  <c r="AJ88" i="14"/>
  <c r="AK88" i="14" s="1"/>
  <c r="AJ86" i="14"/>
  <c r="AK86" i="14" s="1"/>
  <c r="AJ85" i="14"/>
  <c r="AK85" i="14" s="1"/>
  <c r="AJ84" i="14"/>
  <c r="AK84" i="14" s="1"/>
  <c r="AJ83" i="14"/>
  <c r="AK83" i="14" s="1"/>
  <c r="AJ82" i="14"/>
  <c r="AK82" i="14" s="1"/>
  <c r="AJ81" i="14"/>
  <c r="AK81" i="14" s="1"/>
  <c r="AJ80" i="14"/>
  <c r="AK80" i="14" s="1"/>
  <c r="AJ79" i="14"/>
  <c r="AK79" i="14" s="1"/>
  <c r="AJ78" i="14"/>
  <c r="AK78" i="14" s="1"/>
  <c r="AJ76" i="14"/>
  <c r="AK76" i="14" s="1"/>
  <c r="AJ75" i="14"/>
  <c r="AK75" i="14" s="1"/>
  <c r="AJ74" i="14"/>
  <c r="AK74" i="14" s="1"/>
  <c r="AJ73" i="14"/>
  <c r="AK73" i="14" s="1"/>
  <c r="AJ70" i="14"/>
  <c r="AK70" i="14" s="1"/>
  <c r="AJ69" i="14"/>
  <c r="AK69" i="14" s="1"/>
  <c r="AJ68" i="14"/>
  <c r="AK68" i="14" s="1"/>
  <c r="AJ67" i="14"/>
  <c r="AK67" i="14" s="1"/>
  <c r="AJ66" i="14"/>
  <c r="AK66" i="14" s="1"/>
  <c r="AJ65" i="14"/>
  <c r="AK65" i="14" s="1"/>
  <c r="AJ64" i="14"/>
  <c r="AK64" i="14" s="1"/>
  <c r="AJ63" i="14"/>
  <c r="AK63" i="14" s="1"/>
  <c r="AJ61" i="14"/>
  <c r="AK61" i="14" s="1"/>
  <c r="AJ60" i="14"/>
  <c r="AK60" i="14" s="1"/>
  <c r="AJ59" i="14"/>
  <c r="AK59" i="14" s="1"/>
  <c r="AJ58" i="14"/>
  <c r="AK58" i="14" s="1"/>
  <c r="AJ56" i="14"/>
  <c r="AK56" i="14" s="1"/>
  <c r="AJ55" i="14"/>
  <c r="AK55" i="14" s="1"/>
  <c r="AJ54" i="14"/>
  <c r="AK54" i="14" s="1"/>
  <c r="AJ53" i="14"/>
  <c r="AK53" i="14" s="1"/>
  <c r="AJ52" i="14"/>
  <c r="AK52" i="14" s="1"/>
  <c r="AJ51" i="14"/>
  <c r="AK51" i="14" s="1"/>
  <c r="AJ50" i="14"/>
  <c r="AK50" i="14" s="1"/>
  <c r="AJ49" i="14"/>
  <c r="AK49" i="14" s="1"/>
  <c r="AJ48" i="14"/>
  <c r="AK48" i="14" s="1"/>
  <c r="AJ47" i="14"/>
  <c r="AK47" i="14" s="1"/>
  <c r="AJ46" i="14"/>
  <c r="AK46" i="14" s="1"/>
  <c r="AJ45" i="14"/>
  <c r="AK45" i="14" s="1"/>
  <c r="AJ43" i="14"/>
  <c r="AK43" i="14" s="1"/>
  <c r="AJ42" i="14"/>
  <c r="AK42" i="14" s="1"/>
  <c r="AJ41" i="14"/>
  <c r="AK41" i="14" s="1"/>
  <c r="AJ40" i="14"/>
  <c r="AK40" i="14" s="1"/>
  <c r="AJ34" i="14"/>
  <c r="AK34" i="14" s="1"/>
  <c r="S236" i="14" l="1"/>
  <c r="S182" i="14" l="1"/>
  <c r="AI182" i="14"/>
  <c r="AJ182" i="14"/>
  <c r="AK182" i="14" s="1"/>
  <c r="S206" i="14"/>
  <c r="AI206" i="14"/>
  <c r="AJ206" i="14"/>
  <c r="AK206" i="14" s="1"/>
  <c r="S29" i="14" l="1"/>
  <c r="AF29" i="14"/>
  <c r="AI29" i="14"/>
  <c r="AJ29" i="14"/>
  <c r="AK29" i="14" s="1"/>
  <c r="AH29" i="14" l="1"/>
  <c r="AP37" i="40" l="1"/>
  <c r="AP38" i="40"/>
  <c r="AP39" i="40"/>
  <c r="AP40" i="40"/>
  <c r="AP41" i="40"/>
  <c r="AP42" i="40"/>
  <c r="AP43" i="40"/>
  <c r="AP44" i="40"/>
  <c r="AP45" i="40"/>
  <c r="AP46" i="40"/>
  <c r="AP47" i="40"/>
  <c r="AP48" i="40"/>
  <c r="AP49" i="40"/>
  <c r="AP50" i="40"/>
  <c r="AP51" i="40"/>
  <c r="AP52" i="40"/>
  <c r="AP53" i="40"/>
  <c r="AP54" i="40"/>
  <c r="AP55" i="40"/>
  <c r="AP56" i="40"/>
  <c r="AO37" i="40"/>
  <c r="AO38" i="40"/>
  <c r="AO39" i="40"/>
  <c r="AO40" i="40"/>
  <c r="AO41" i="40"/>
  <c r="AO42" i="40"/>
  <c r="AO43" i="40"/>
  <c r="AO44" i="40"/>
  <c r="AO45" i="40"/>
  <c r="AO46" i="40"/>
  <c r="AO47" i="40"/>
  <c r="AO48" i="40"/>
  <c r="AO49" i="40"/>
  <c r="AO50" i="40"/>
  <c r="AO51" i="40"/>
  <c r="AO52" i="40"/>
  <c r="AO53" i="40"/>
  <c r="AO54" i="40"/>
  <c r="AO55" i="40"/>
  <c r="AO56" i="40"/>
  <c r="AN37" i="40"/>
  <c r="AN38" i="40"/>
  <c r="AN39" i="40"/>
  <c r="AN40" i="40"/>
  <c r="AN41" i="40"/>
  <c r="AN42" i="40"/>
  <c r="AN43" i="40"/>
  <c r="AN44" i="40"/>
  <c r="AN45" i="40"/>
  <c r="AN46" i="40"/>
  <c r="AN47" i="40"/>
  <c r="AN48" i="40"/>
  <c r="AN49" i="40"/>
  <c r="AN50" i="40"/>
  <c r="AN51" i="40"/>
  <c r="AN52" i="40"/>
  <c r="AN53" i="40"/>
  <c r="AN54" i="40"/>
  <c r="AN55" i="40"/>
  <c r="AN56" i="40"/>
  <c r="AM37" i="40"/>
  <c r="AM38" i="40"/>
  <c r="AM39" i="40"/>
  <c r="AM40" i="40"/>
  <c r="AM41" i="40"/>
  <c r="AM42" i="40"/>
  <c r="AM43" i="40"/>
  <c r="AM44" i="40"/>
  <c r="AM45" i="40"/>
  <c r="AM46" i="40"/>
  <c r="AM47" i="40"/>
  <c r="AM48" i="40"/>
  <c r="AM49" i="40"/>
  <c r="AM50" i="40"/>
  <c r="AM51" i="40"/>
  <c r="AM52" i="40"/>
  <c r="AM53" i="40"/>
  <c r="AM54" i="40"/>
  <c r="AM55" i="40"/>
  <c r="AM56" i="40"/>
  <c r="AL51" i="40"/>
  <c r="AL52" i="40"/>
  <c r="AL53" i="40"/>
  <c r="AL54" i="40"/>
  <c r="AL55" i="40"/>
  <c r="AL56" i="40"/>
  <c r="AL37" i="40"/>
  <c r="AL38" i="40"/>
  <c r="AL39" i="40"/>
  <c r="AL40" i="40"/>
  <c r="AL41" i="40"/>
  <c r="AL42" i="40"/>
  <c r="AL43" i="40"/>
  <c r="AL44" i="40"/>
  <c r="AL45" i="40"/>
  <c r="AL46" i="40"/>
  <c r="AL47" i="40"/>
  <c r="AL48" i="40"/>
  <c r="AL49" i="40"/>
  <c r="AL50" i="40"/>
  <c r="AM112" i="20" l="1"/>
  <c r="AO112" i="20"/>
  <c r="AP112" i="20" l="1"/>
  <c r="AR112" i="20"/>
  <c r="AM294" i="20"/>
  <c r="AO294" i="20"/>
  <c r="AM316" i="20"/>
  <c r="AO316" i="20"/>
  <c r="AP294" i="20" l="1"/>
  <c r="AR294" i="20"/>
  <c r="AP316" i="20"/>
  <c r="AR316" i="20"/>
  <c r="S176" i="19"/>
  <c r="T176" i="19"/>
  <c r="S201" i="19"/>
  <c r="T201" i="19"/>
  <c r="S104" i="19"/>
  <c r="T104" i="19"/>
  <c r="S41" i="19"/>
  <c r="T41" i="19"/>
  <c r="S16" i="19"/>
  <c r="T16" i="19"/>
  <c r="S37" i="19"/>
  <c r="T37" i="19"/>
  <c r="S240" i="19"/>
  <c r="S247" i="19"/>
  <c r="S284" i="19"/>
  <c r="S142" i="19"/>
  <c r="T142" i="19"/>
  <c r="S192" i="19" l="1"/>
  <c r="S73" i="19" l="1"/>
  <c r="T73" i="19"/>
  <c r="S210" i="19"/>
  <c r="T210" i="19"/>
  <c r="T192" i="19"/>
  <c r="S106" i="19"/>
  <c r="T106" i="19"/>
  <c r="S290" i="19"/>
  <c r="S8" i="14" l="1"/>
  <c r="S12" i="14"/>
  <c r="S46" i="14"/>
  <c r="S55" i="14"/>
  <c r="S83" i="14"/>
  <c r="S151" i="14"/>
  <c r="S173" i="14"/>
  <c r="S195" i="14"/>
  <c r="S203" i="14"/>
  <c r="S222" i="14"/>
  <c r="S243" i="14"/>
  <c r="S27" i="14"/>
  <c r="S53" i="14"/>
  <c r="S74" i="14"/>
  <c r="S80" i="14"/>
  <c r="S193" i="14"/>
  <c r="S210" i="14"/>
  <c r="S6" i="14"/>
  <c r="S7" i="14"/>
  <c r="S9" i="14"/>
  <c r="S10" i="14"/>
  <c r="S18" i="14"/>
  <c r="S19" i="14"/>
  <c r="S25" i="14"/>
  <c r="S30" i="14"/>
  <c r="S42" i="14"/>
  <c r="S43" i="14"/>
  <c r="S52" i="14"/>
  <c r="S65" i="14"/>
  <c r="S81" i="14"/>
  <c r="S82" i="14"/>
  <c r="S133" i="14"/>
  <c r="S167" i="14"/>
  <c r="S174" i="14"/>
  <c r="S202" i="14"/>
  <c r="S205" i="14"/>
  <c r="S238" i="14"/>
  <c r="S244" i="14"/>
  <c r="S168" i="14"/>
  <c r="S176" i="14"/>
  <c r="S70" i="14"/>
  <c r="S64" i="14"/>
  <c r="S66" i="14"/>
  <c r="S67" i="14"/>
  <c r="S136" i="14"/>
  <c r="S145" i="14"/>
  <c r="S146" i="14"/>
  <c r="S163" i="14"/>
  <c r="S247" i="14"/>
  <c r="S23" i="14"/>
  <c r="S24" i="14"/>
  <c r="S47" i="14"/>
  <c r="S75" i="14"/>
  <c r="S87" i="14"/>
  <c r="S99" i="14"/>
  <c r="S100" i="14"/>
  <c r="S108" i="14"/>
  <c r="S109" i="14"/>
  <c r="S110" i="14"/>
  <c r="S111" i="14"/>
  <c r="S112" i="14"/>
  <c r="S118" i="14"/>
  <c r="S115" i="14"/>
  <c r="S116" i="14"/>
  <c r="S69" i="14"/>
  <c r="S89" i="14"/>
  <c r="S117" i="14"/>
  <c r="S177" i="14"/>
  <c r="S208" i="14"/>
  <c r="S209" i="14"/>
  <c r="S45" i="14"/>
  <c r="S137" i="14"/>
  <c r="S180" i="14"/>
  <c r="S219" i="14"/>
  <c r="S34" i="14"/>
  <c r="S48" i="14"/>
  <c r="S54" i="14"/>
  <c r="S61" i="14"/>
  <c r="S63" i="14"/>
  <c r="S84" i="14"/>
  <c r="S85" i="14"/>
  <c r="S86" i="14"/>
  <c r="S94" i="14"/>
  <c r="S102" i="14"/>
  <c r="S106" i="14"/>
  <c r="S107" i="14"/>
  <c r="S114" i="14"/>
  <c r="S139" i="14"/>
  <c r="S153" i="14"/>
  <c r="S186" i="14"/>
  <c r="S187" i="14"/>
  <c r="S189" i="14"/>
  <c r="S191" i="14"/>
  <c r="S196" i="14"/>
  <c r="S211" i="14"/>
  <c r="S224" i="14"/>
  <c r="S50" i="14"/>
  <c r="S51" i="14"/>
  <c r="S141" i="14"/>
  <c r="S142" i="14"/>
  <c r="S149" i="14"/>
  <c r="S150" i="14"/>
  <c r="S161" i="14"/>
  <c r="S162" i="14"/>
  <c r="S31" i="14"/>
  <c r="S32" i="14"/>
  <c r="S33" i="14"/>
  <c r="S59" i="14"/>
  <c r="S60" i="14"/>
  <c r="S68" i="14"/>
  <c r="S78" i="14"/>
  <c r="S79" i="14"/>
  <c r="S101" i="14"/>
  <c r="S103" i="14"/>
  <c r="S127" i="14"/>
  <c r="S128" i="14"/>
  <c r="S172" i="14"/>
  <c r="S188" i="14"/>
  <c r="S190" i="14"/>
  <c r="S212" i="14"/>
  <c r="S213" i="14"/>
  <c r="S217" i="14"/>
  <c r="S225" i="14"/>
  <c r="S226" i="14"/>
  <c r="S227" i="14"/>
  <c r="S228" i="14"/>
  <c r="S229" i="14"/>
  <c r="S242" i="14"/>
  <c r="S155" i="14"/>
  <c r="S156" i="14"/>
  <c r="S157" i="14"/>
  <c r="S158" i="14"/>
  <c r="S171" i="14"/>
  <c r="S169" i="14"/>
  <c r="S170" i="14"/>
  <c r="S58" i="14"/>
  <c r="S88" i="14"/>
  <c r="S234" i="14"/>
  <c r="S49" i="14"/>
  <c r="S76" i="14"/>
  <c r="S215" i="14"/>
  <c r="S216" i="14"/>
  <c r="S221" i="14"/>
  <c r="S22" i="14"/>
  <c r="S40" i="14"/>
  <c r="S41" i="14"/>
  <c r="S73" i="14"/>
  <c r="S92" i="14"/>
  <c r="S93" i="14"/>
  <c r="S96" i="14"/>
  <c r="S97" i="14"/>
  <c r="S98" i="14"/>
  <c r="S179" i="14"/>
  <c r="S192" i="14"/>
  <c r="S197" i="14"/>
  <c r="S198" i="14"/>
  <c r="S199" i="14"/>
  <c r="S200" i="14"/>
  <c r="S201" i="14"/>
  <c r="S214" i="14"/>
  <c r="S230" i="14"/>
  <c r="S235" i="14"/>
  <c r="S239" i="14"/>
  <c r="S245" i="14"/>
  <c r="AI173" i="14"/>
  <c r="AI111" i="14"/>
  <c r="AI75" i="14"/>
  <c r="AI186" i="14"/>
  <c r="AI110" i="14"/>
  <c r="AI191" i="14"/>
  <c r="AI102" i="14"/>
  <c r="AI193" i="14"/>
  <c r="AI239" i="14"/>
  <c r="AI67" i="14"/>
  <c r="AI150" i="14"/>
  <c r="AI158" i="14"/>
  <c r="AI116" i="14"/>
  <c r="AI146" i="14"/>
  <c r="AI210" i="14"/>
  <c r="AI197" i="14"/>
  <c r="AI96" i="14"/>
  <c r="AI93" i="14"/>
  <c r="AI34" i="14"/>
  <c r="AI190" i="14"/>
  <c r="AI60" i="14"/>
  <c r="AI22" i="14"/>
  <c r="AI61" i="14"/>
  <c r="AI172" i="14"/>
  <c r="AI8" i="14"/>
  <c r="AI219" i="14"/>
  <c r="AI89" i="14"/>
  <c r="AI54" i="14"/>
  <c r="AI216" i="14"/>
  <c r="AI85" i="14"/>
  <c r="AJ173" i="14"/>
  <c r="AK173" i="14" s="1"/>
  <c r="AJ111" i="14"/>
  <c r="AK111" i="14" s="1"/>
  <c r="AJ186" i="14"/>
  <c r="AK186" i="14" s="1"/>
  <c r="AJ110" i="14"/>
  <c r="AK110" i="14" s="1"/>
  <c r="AJ191" i="14"/>
  <c r="AK191" i="14" s="1"/>
  <c r="AJ193" i="14"/>
  <c r="AK193" i="14" s="1"/>
  <c r="AJ239" i="14"/>
  <c r="AK239" i="14" s="1"/>
  <c r="AJ150" i="14"/>
  <c r="AK150" i="14" s="1"/>
  <c r="AJ158" i="14"/>
  <c r="AK158" i="14" s="1"/>
  <c r="AJ116" i="14"/>
  <c r="AK116" i="14" s="1"/>
  <c r="AJ146" i="14"/>
  <c r="AK146" i="14" s="1"/>
  <c r="AJ210" i="14"/>
  <c r="AK210" i="14" s="1"/>
  <c r="AJ197" i="14"/>
  <c r="AK197" i="14" s="1"/>
  <c r="AJ190" i="14"/>
  <c r="AK190" i="14" s="1"/>
  <c r="AJ22" i="14"/>
  <c r="AK22" i="14" s="1"/>
  <c r="AJ172" i="14"/>
  <c r="AK172" i="14" s="1"/>
  <c r="AJ8" i="14"/>
  <c r="AK8" i="14" s="1"/>
  <c r="AJ219" i="14"/>
  <c r="AK219" i="14" s="1"/>
  <c r="AJ216" i="14"/>
  <c r="AK216" i="14" s="1"/>
  <c r="AM174" i="20" l="1"/>
  <c r="AO174" i="20"/>
  <c r="AP174" i="20" s="1"/>
  <c r="AQ174" i="20"/>
  <c r="AS174" i="20"/>
  <c r="AM177" i="20"/>
  <c r="AO177" i="20"/>
  <c r="AP177" i="20" s="1"/>
  <c r="AQ177" i="20"/>
  <c r="AS177" i="20"/>
  <c r="AM176" i="20"/>
  <c r="AO176" i="20"/>
  <c r="AP176" i="20" s="1"/>
  <c r="AQ176" i="20"/>
  <c r="AS176" i="20"/>
  <c r="AM173" i="20"/>
  <c r="AO173" i="20"/>
  <c r="AP173" i="20" s="1"/>
  <c r="AQ173" i="20"/>
  <c r="AS173" i="20"/>
  <c r="AM175" i="20"/>
  <c r="AO175" i="20"/>
  <c r="AP175" i="20" s="1"/>
  <c r="AQ175" i="20"/>
  <c r="AS175" i="20"/>
  <c r="AM178" i="20"/>
  <c r="AO178" i="20"/>
  <c r="AP178" i="20" s="1"/>
  <c r="AQ178" i="20"/>
  <c r="AS178" i="20"/>
  <c r="AR174" i="20" l="1"/>
  <c r="AR177" i="20"/>
  <c r="AR173" i="20"/>
  <c r="AR176" i="20"/>
  <c r="AR175" i="20"/>
  <c r="AR178" i="20"/>
  <c r="F10" i="36"/>
  <c r="E12" i="37" l="1"/>
  <c r="E13" i="37"/>
  <c r="C7" i="36"/>
  <c r="B9" i="36"/>
  <c r="B8" i="36"/>
  <c r="T5" i="62"/>
  <c r="H18" i="43"/>
  <c r="H13" i="43"/>
  <c r="D7" i="36" l="1"/>
  <c r="AF209" i="14" l="1"/>
  <c r="AI209" i="14"/>
  <c r="AJ209" i="14"/>
  <c r="AK209" i="14" s="1"/>
  <c r="AF208" i="14"/>
  <c r="AI208" i="14"/>
  <c r="AJ208" i="14"/>
  <c r="AK208" i="14" s="1"/>
  <c r="AH208" i="14" l="1"/>
  <c r="AH209" i="14"/>
  <c r="AI88" i="14" l="1"/>
  <c r="AI168" i="14"/>
  <c r="AJ168" i="14"/>
  <c r="AK168" i="14" s="1"/>
  <c r="S149" i="19" l="1"/>
  <c r="T149" i="19"/>
  <c r="S178" i="19" l="1"/>
  <c r="T178" i="19"/>
  <c r="S95" i="19"/>
  <c r="T95" i="19"/>
  <c r="S38" i="19"/>
  <c r="T38" i="19"/>
  <c r="S91" i="19"/>
  <c r="T91" i="19"/>
  <c r="S245" i="19"/>
  <c r="S279" i="19"/>
  <c r="S157" i="19"/>
  <c r="T157" i="19"/>
  <c r="S189" i="19" l="1"/>
  <c r="T189" i="19"/>
  <c r="S316" i="19"/>
  <c r="S310" i="19"/>
  <c r="S297" i="19"/>
  <c r="S292" i="19"/>
  <c r="S291" i="19"/>
  <c r="S278" i="19"/>
  <c r="S280" i="19"/>
  <c r="S264" i="19"/>
  <c r="S244" i="19"/>
  <c r="S236" i="19"/>
  <c r="T236" i="19"/>
  <c r="S235" i="19" l="1"/>
  <c r="T235" i="19"/>
  <c r="S230" i="19"/>
  <c r="T230" i="19"/>
  <c r="S226" i="19"/>
  <c r="T226" i="19"/>
  <c r="S207" i="19"/>
  <c r="T207" i="19"/>
  <c r="S204" i="19"/>
  <c r="T204" i="19"/>
  <c r="S165" i="19"/>
  <c r="T165" i="19"/>
  <c r="S161" i="19"/>
  <c r="T161" i="19"/>
  <c r="S159" i="19"/>
  <c r="T159" i="19"/>
  <c r="S152" i="19"/>
  <c r="T152" i="19"/>
  <c r="S147" i="19"/>
  <c r="T147" i="19"/>
  <c r="S117" i="19"/>
  <c r="T117" i="19"/>
  <c r="S98" i="19" l="1"/>
  <c r="T98" i="19"/>
  <c r="S96" i="19"/>
  <c r="T96" i="19"/>
  <c r="S92" i="19"/>
  <c r="T92" i="19"/>
  <c r="S48" i="19"/>
  <c r="T48" i="19"/>
  <c r="S34" i="19" l="1"/>
  <c r="T34" i="19"/>
  <c r="S26" i="19"/>
  <c r="T26" i="19"/>
  <c r="S24" i="19"/>
  <c r="T24" i="19"/>
  <c r="S18" i="19"/>
  <c r="T18" i="19"/>
  <c r="S13" i="19"/>
  <c r="T13" i="19"/>
  <c r="S52" i="19" l="1"/>
  <c r="T52" i="19"/>
  <c r="S172" i="19"/>
  <c r="T172" i="19"/>
  <c r="AM168" i="20" l="1"/>
  <c r="AO168" i="20"/>
  <c r="AM144" i="20"/>
  <c r="AM134" i="20"/>
  <c r="AM139" i="20"/>
  <c r="AM142" i="20"/>
  <c r="AM163" i="20"/>
  <c r="AM137" i="20"/>
  <c r="AM145" i="20"/>
  <c r="AM136" i="20"/>
  <c r="AM152" i="20"/>
  <c r="AM146" i="20"/>
  <c r="AM135" i="20"/>
  <c r="AM154" i="20"/>
  <c r="AM167" i="20"/>
  <c r="AM153" i="20"/>
  <c r="AM165" i="20"/>
  <c r="AM151" i="20"/>
  <c r="AM150" i="20"/>
  <c r="AM170" i="20"/>
  <c r="AM141" i="20"/>
  <c r="AM160" i="20"/>
  <c r="AM148" i="20"/>
  <c r="AM162" i="20"/>
  <c r="AM157" i="20"/>
  <c r="AM161" i="20"/>
  <c r="AM169" i="20"/>
  <c r="AO144" i="20"/>
  <c r="AO134" i="20"/>
  <c r="AO139" i="20"/>
  <c r="AO142" i="20"/>
  <c r="AO163" i="20"/>
  <c r="AO137" i="20"/>
  <c r="AO145" i="20"/>
  <c r="AO136" i="20"/>
  <c r="AO152" i="20"/>
  <c r="AO146" i="20"/>
  <c r="AO135" i="20"/>
  <c r="AO154" i="20"/>
  <c r="AO167" i="20"/>
  <c r="AO153" i="20"/>
  <c r="AO165" i="20"/>
  <c r="AO151" i="20"/>
  <c r="AO150" i="20"/>
  <c r="AO170" i="20"/>
  <c r="AO141" i="20"/>
  <c r="AO160" i="20"/>
  <c r="AO148" i="20"/>
  <c r="AO162" i="20"/>
  <c r="AO157" i="20"/>
  <c r="AO161" i="20"/>
  <c r="AO169" i="20"/>
  <c r="AM138" i="20"/>
  <c r="AO138" i="20"/>
  <c r="AM149" i="20"/>
  <c r="AO149" i="20"/>
  <c r="AM158" i="20"/>
  <c r="AO158" i="20"/>
  <c r="AM155" i="20"/>
  <c r="AO155" i="20"/>
  <c r="AM143" i="20"/>
  <c r="AO143" i="20"/>
  <c r="AM166" i="20"/>
  <c r="AO166" i="20"/>
  <c r="AM156" i="20"/>
  <c r="AO156" i="20"/>
  <c r="AM133" i="20"/>
  <c r="AO133" i="20"/>
  <c r="AM140" i="20"/>
  <c r="AO140" i="20"/>
  <c r="AM164" i="20"/>
  <c r="AO164" i="20"/>
  <c r="AM159" i="20"/>
  <c r="AO159" i="20"/>
  <c r="AM147" i="20"/>
  <c r="AO147" i="20"/>
  <c r="AP133" i="20" l="1"/>
  <c r="AR133" i="20"/>
  <c r="AP166" i="20"/>
  <c r="AR166" i="20"/>
  <c r="AP155" i="20"/>
  <c r="AR155" i="20"/>
  <c r="AP149" i="20"/>
  <c r="AR149" i="20"/>
  <c r="AP169" i="20"/>
  <c r="AR169" i="20"/>
  <c r="AP148" i="20"/>
  <c r="AR148" i="20"/>
  <c r="AP150" i="20"/>
  <c r="AR150" i="20"/>
  <c r="AP167" i="20"/>
  <c r="AR167" i="20"/>
  <c r="AP152" i="20"/>
  <c r="AR152" i="20"/>
  <c r="AP163" i="20"/>
  <c r="AR163" i="20"/>
  <c r="AP144" i="20"/>
  <c r="AR144" i="20"/>
  <c r="AP147" i="20"/>
  <c r="AR147" i="20"/>
  <c r="AP161" i="20"/>
  <c r="AR161" i="20"/>
  <c r="AP160" i="20"/>
  <c r="AR160" i="20"/>
  <c r="AP151" i="20"/>
  <c r="AR151" i="20"/>
  <c r="AP154" i="20"/>
  <c r="AR154" i="20"/>
  <c r="AP136" i="20"/>
  <c r="AR136" i="20"/>
  <c r="AP142" i="20"/>
  <c r="AR142" i="20"/>
  <c r="AP159" i="20"/>
  <c r="AR159" i="20"/>
  <c r="AP140" i="20"/>
  <c r="AR140" i="20"/>
  <c r="AP158" i="20"/>
  <c r="AR158" i="20"/>
  <c r="AP138" i="20"/>
  <c r="AR138" i="20"/>
  <c r="AP165" i="20"/>
  <c r="AR165" i="20"/>
  <c r="AP135" i="20"/>
  <c r="AR135" i="20"/>
  <c r="AP145" i="20"/>
  <c r="AR145" i="20"/>
  <c r="AP139" i="20"/>
  <c r="AR139" i="20"/>
  <c r="AP168" i="20"/>
  <c r="AR168" i="20"/>
  <c r="AP164" i="20"/>
  <c r="AR164" i="20"/>
  <c r="AP156" i="20"/>
  <c r="AR156" i="20"/>
  <c r="AP143" i="20"/>
  <c r="AR143" i="20"/>
  <c r="AP157" i="20"/>
  <c r="AR157" i="20"/>
  <c r="AP141" i="20"/>
  <c r="AR141" i="20"/>
  <c r="AP162" i="20"/>
  <c r="AR162" i="20"/>
  <c r="AP170" i="20"/>
  <c r="AR170" i="20"/>
  <c r="AP153" i="20"/>
  <c r="AR153" i="20"/>
  <c r="AP146" i="20"/>
  <c r="AR146" i="20"/>
  <c r="AP137" i="20"/>
  <c r="AR137" i="20"/>
  <c r="AP134" i="20"/>
  <c r="AR134" i="20"/>
  <c r="V16" i="40"/>
  <c r="G27" i="36" l="1"/>
  <c r="G25" i="36"/>
  <c r="G22" i="36"/>
  <c r="G19" i="36"/>
  <c r="G17" i="36"/>
  <c r="G16" i="36"/>
  <c r="G15" i="36"/>
  <c r="G13" i="36"/>
  <c r="G9" i="36"/>
  <c r="G8" i="36"/>
  <c r="G7" i="36"/>
  <c r="E7" i="36"/>
  <c r="AL11" i="40" l="1"/>
  <c r="AM11" i="40"/>
  <c r="AN11" i="40"/>
  <c r="AO11" i="40"/>
  <c r="AP36" i="40"/>
  <c r="AO36" i="40"/>
  <c r="AN36" i="40"/>
  <c r="AM36" i="40"/>
  <c r="AL36" i="40"/>
  <c r="AL57" i="40" s="1"/>
  <c r="I28" i="40" s="1"/>
  <c r="AO27" i="40"/>
  <c r="AN27" i="40"/>
  <c r="AM27" i="40"/>
  <c r="AL27" i="40"/>
  <c r="AO26" i="40"/>
  <c r="AN26" i="40"/>
  <c r="AM26" i="40"/>
  <c r="AL26" i="40"/>
  <c r="AO25" i="40"/>
  <c r="AN25" i="40"/>
  <c r="AM25" i="40"/>
  <c r="AL25" i="40"/>
  <c r="AO24" i="40"/>
  <c r="AN24" i="40"/>
  <c r="AM24" i="40"/>
  <c r="AL24" i="40"/>
  <c r="AO23" i="40"/>
  <c r="AN23" i="40"/>
  <c r="AM23" i="40"/>
  <c r="AL23" i="40"/>
  <c r="AO22" i="40"/>
  <c r="AN22" i="40"/>
  <c r="AM22" i="40"/>
  <c r="AL22" i="40"/>
  <c r="AO21" i="40"/>
  <c r="AN21" i="40"/>
  <c r="AM21" i="40"/>
  <c r="AL21" i="40"/>
  <c r="AO20" i="40"/>
  <c r="AN20" i="40"/>
  <c r="AM20" i="40"/>
  <c r="AL20" i="40"/>
  <c r="AO19" i="40"/>
  <c r="AN19" i="40"/>
  <c r="AM19" i="40"/>
  <c r="AL19" i="40"/>
  <c r="AO18" i="40"/>
  <c r="AN18" i="40"/>
  <c r="AM18" i="40"/>
  <c r="AL18" i="40"/>
  <c r="AO17" i="40"/>
  <c r="AN17" i="40"/>
  <c r="AM17" i="40"/>
  <c r="AL17" i="40"/>
  <c r="AO16" i="40"/>
  <c r="AN16" i="40"/>
  <c r="AM16" i="40"/>
  <c r="AL16" i="40"/>
  <c r="AO15" i="40"/>
  <c r="AN15" i="40"/>
  <c r="AM15" i="40"/>
  <c r="AL15" i="40"/>
  <c r="AO14" i="40"/>
  <c r="AN14" i="40"/>
  <c r="AM14" i="40"/>
  <c r="AL14" i="40"/>
  <c r="AO13" i="40"/>
  <c r="AN13" i="40"/>
  <c r="AM13" i="40"/>
  <c r="AL13" i="40"/>
  <c r="AO12" i="40"/>
  <c r="AN12" i="40"/>
  <c r="AM12" i="40"/>
  <c r="AL12" i="40"/>
  <c r="AO10" i="40"/>
  <c r="AN10" i="40"/>
  <c r="AM10" i="40"/>
  <c r="AL10" i="40"/>
  <c r="AO9" i="40"/>
  <c r="AN9" i="40"/>
  <c r="AM9" i="40"/>
  <c r="AL9" i="40"/>
  <c r="AO8" i="40"/>
  <c r="AN8" i="40"/>
  <c r="AM8" i="40"/>
  <c r="AL8" i="40"/>
  <c r="AO7" i="40"/>
  <c r="AN7" i="40"/>
  <c r="AM7" i="40"/>
  <c r="AL7" i="40"/>
  <c r="F32" i="40"/>
  <c r="E32" i="40"/>
  <c r="D32" i="40"/>
  <c r="F31" i="40"/>
  <c r="E31" i="40"/>
  <c r="D31" i="40"/>
  <c r="F30" i="40"/>
  <c r="E30" i="40"/>
  <c r="D30" i="40"/>
  <c r="F29" i="40"/>
  <c r="E29" i="40"/>
  <c r="D29" i="40"/>
  <c r="F28" i="40"/>
  <c r="E28" i="40"/>
  <c r="D28" i="40"/>
  <c r="F27" i="40"/>
  <c r="E27" i="40"/>
  <c r="D27" i="40"/>
  <c r="F26" i="40"/>
  <c r="E26" i="40"/>
  <c r="D26" i="40"/>
  <c r="F25" i="40"/>
  <c r="E25" i="40"/>
  <c r="D25" i="40"/>
  <c r="F24" i="40"/>
  <c r="E24" i="40"/>
  <c r="D24" i="40"/>
  <c r="F23" i="40"/>
  <c r="E23" i="40"/>
  <c r="D23" i="40"/>
  <c r="F22" i="40"/>
  <c r="E22" i="40"/>
  <c r="D22" i="40"/>
  <c r="F21" i="40"/>
  <c r="E21" i="40"/>
  <c r="D21" i="40"/>
  <c r="F20" i="40"/>
  <c r="E20" i="40"/>
  <c r="D20" i="40"/>
  <c r="F19" i="40"/>
  <c r="E19" i="40"/>
  <c r="D19" i="40"/>
  <c r="F18" i="40"/>
  <c r="E18" i="40"/>
  <c r="D18" i="40"/>
  <c r="F17" i="40"/>
  <c r="E17" i="40"/>
  <c r="D17" i="40"/>
  <c r="F16" i="40"/>
  <c r="E16" i="40"/>
  <c r="D16" i="40"/>
  <c r="F15" i="40"/>
  <c r="E15" i="40"/>
  <c r="D15" i="40"/>
  <c r="F14" i="40"/>
  <c r="E14" i="40"/>
  <c r="D14" i="40"/>
  <c r="F13" i="40"/>
  <c r="E13" i="40"/>
  <c r="D13" i="40"/>
  <c r="F12" i="40"/>
  <c r="E12" i="40"/>
  <c r="D12" i="40"/>
  <c r="AQ39" i="40" l="1"/>
  <c r="AQ55" i="40"/>
  <c r="AQ51" i="40"/>
  <c r="AP57" i="40"/>
  <c r="M28" i="40" s="1"/>
  <c r="AQ38" i="40"/>
  <c r="AQ54" i="40"/>
  <c r="AQ47" i="40"/>
  <c r="AQ43" i="40"/>
  <c r="AQ42" i="40"/>
  <c r="AM57" i="40"/>
  <c r="J28" i="40" s="1"/>
  <c r="AQ48" i="40"/>
  <c r="AQ44" i="40"/>
  <c r="AQ50" i="40"/>
  <c r="E33" i="40"/>
  <c r="AQ36" i="40"/>
  <c r="AQ49" i="40"/>
  <c r="AQ46" i="40"/>
  <c r="AQ45" i="40"/>
  <c r="AO57" i="40"/>
  <c r="L28" i="40" s="1"/>
  <c r="AQ37" i="40"/>
  <c r="AQ53" i="40"/>
  <c r="AQ52" i="40"/>
  <c r="AQ41" i="40"/>
  <c r="AQ40" i="40"/>
  <c r="AN57" i="40"/>
  <c r="K28" i="40" s="1"/>
  <c r="F33" i="40"/>
  <c r="D33" i="40"/>
  <c r="AQ56" i="40" l="1"/>
  <c r="AQ57" i="40" s="1"/>
  <c r="AM90" i="20" l="1"/>
  <c r="AM89" i="20"/>
  <c r="AM103" i="20"/>
  <c r="AM113" i="20"/>
  <c r="AM114" i="20"/>
  <c r="AM115" i="20"/>
  <c r="AM116" i="20"/>
  <c r="AM117" i="20"/>
  <c r="AM118" i="20"/>
  <c r="AM119" i="20"/>
  <c r="AM120" i="20"/>
  <c r="AM121" i="20"/>
  <c r="AM122" i="20"/>
  <c r="AM123" i="20"/>
  <c r="AM124" i="20"/>
  <c r="AM125" i="20"/>
  <c r="AM104" i="20"/>
  <c r="AM87" i="20"/>
  <c r="AM88" i="20"/>
  <c r="AM126" i="20"/>
  <c r="AM127" i="20"/>
  <c r="AM128" i="20"/>
  <c r="AO90" i="20"/>
  <c r="AP90" i="20" s="1"/>
  <c r="AO89" i="20"/>
  <c r="AP89" i="20" s="1"/>
  <c r="AO103" i="20"/>
  <c r="AP103" i="20" s="1"/>
  <c r="AO113" i="20"/>
  <c r="AP113" i="20" s="1"/>
  <c r="AO114" i="20"/>
  <c r="AP114" i="20" s="1"/>
  <c r="AO115" i="20"/>
  <c r="AP115" i="20" s="1"/>
  <c r="AO116" i="20"/>
  <c r="AP116" i="20" s="1"/>
  <c r="AO117" i="20"/>
  <c r="AP117" i="20" s="1"/>
  <c r="AO118" i="20"/>
  <c r="AP118" i="20" s="1"/>
  <c r="AO119" i="20"/>
  <c r="AP119" i="20" s="1"/>
  <c r="AO120" i="20"/>
  <c r="AP120" i="20" s="1"/>
  <c r="AO121" i="20"/>
  <c r="AP121" i="20" s="1"/>
  <c r="AO122" i="20"/>
  <c r="AP122" i="20" s="1"/>
  <c r="AO123" i="20"/>
  <c r="AP123" i="20" s="1"/>
  <c r="AO124" i="20"/>
  <c r="AP124" i="20" s="1"/>
  <c r="AO125" i="20"/>
  <c r="AP125" i="20" s="1"/>
  <c r="AO104" i="20"/>
  <c r="AP104" i="20" s="1"/>
  <c r="AO87" i="20"/>
  <c r="AP87" i="20" s="1"/>
  <c r="AO88" i="20"/>
  <c r="AP88" i="20" s="1"/>
  <c r="AO126" i="20"/>
  <c r="AP126" i="20" s="1"/>
  <c r="AO127" i="20"/>
  <c r="AP127" i="20" s="1"/>
  <c r="AO128" i="20"/>
  <c r="AP128" i="20" s="1"/>
  <c r="AQ90" i="20"/>
  <c r="AQ89" i="20"/>
  <c r="AQ103" i="20"/>
  <c r="AQ113" i="20"/>
  <c r="AQ114" i="20"/>
  <c r="AQ115" i="20"/>
  <c r="AQ116" i="20"/>
  <c r="AQ117" i="20"/>
  <c r="AQ118" i="20"/>
  <c r="AQ119" i="20"/>
  <c r="AQ120" i="20"/>
  <c r="AQ121" i="20"/>
  <c r="AQ122" i="20"/>
  <c r="AQ123" i="20"/>
  <c r="AQ124" i="20"/>
  <c r="AQ125" i="20"/>
  <c r="AQ104" i="20"/>
  <c r="AQ87" i="20"/>
  <c r="AQ88" i="20"/>
  <c r="AQ126" i="20"/>
  <c r="AQ127" i="20"/>
  <c r="AQ128" i="20"/>
  <c r="AS90" i="20"/>
  <c r="AS89" i="20"/>
  <c r="AS103" i="20"/>
  <c r="AS113" i="20"/>
  <c r="AS114" i="20"/>
  <c r="AS115" i="20"/>
  <c r="AS116" i="20"/>
  <c r="AS117" i="20"/>
  <c r="AS118" i="20"/>
  <c r="AS119" i="20"/>
  <c r="AS120" i="20"/>
  <c r="AS121" i="20"/>
  <c r="AS122" i="20"/>
  <c r="AS123" i="20"/>
  <c r="AS124" i="20"/>
  <c r="AS125" i="20"/>
  <c r="AS104" i="20"/>
  <c r="AS87" i="20"/>
  <c r="AS88" i="20"/>
  <c r="AS126" i="20"/>
  <c r="AS127" i="20"/>
  <c r="AS128" i="20"/>
  <c r="AR127" i="20" l="1"/>
  <c r="AR104" i="20"/>
  <c r="AR114" i="20"/>
  <c r="AR126" i="20"/>
  <c r="AR117" i="20"/>
  <c r="AR90" i="20"/>
  <c r="AR125" i="20"/>
  <c r="AR118" i="20"/>
  <c r="AR122" i="20"/>
  <c r="AR89" i="20"/>
  <c r="AR121" i="20"/>
  <c r="AR113" i="20"/>
  <c r="AR88" i="20"/>
  <c r="AR124" i="20"/>
  <c r="AR120" i="20"/>
  <c r="AR116" i="20"/>
  <c r="AR128" i="20"/>
  <c r="AR87" i="20"/>
  <c r="AR123" i="20"/>
  <c r="AR119" i="20"/>
  <c r="AR115" i="20"/>
  <c r="AR103" i="20"/>
  <c r="AO254" i="20" l="1"/>
  <c r="AM254" i="20"/>
  <c r="AO257" i="20"/>
  <c r="AM257" i="20"/>
  <c r="AO261" i="20"/>
  <c r="AM261" i="20"/>
  <c r="F2" i="86"/>
  <c r="F3" i="86"/>
  <c r="F4" i="86"/>
  <c r="F5" i="86"/>
  <c r="F6" i="86"/>
  <c r="F7" i="86"/>
  <c r="F8" i="86"/>
  <c r="F9" i="86"/>
  <c r="F10" i="86"/>
  <c r="F11" i="86"/>
  <c r="F12" i="86"/>
  <c r="F13" i="86"/>
  <c r="F14" i="86"/>
  <c r="F15" i="86"/>
  <c r="F16" i="86"/>
  <c r="F17" i="86"/>
  <c r="F18" i="86"/>
  <c r="F19" i="86"/>
  <c r="F20" i="86"/>
  <c r="F21" i="86"/>
  <c r="F22" i="86"/>
  <c r="F23" i="86"/>
  <c r="F24" i="86"/>
  <c r="F25" i="86"/>
  <c r="F26" i="86"/>
  <c r="F27" i="86"/>
  <c r="F28" i="86"/>
  <c r="F29" i="86"/>
  <c r="F30" i="86"/>
  <c r="F31" i="86"/>
  <c r="F32" i="86"/>
  <c r="F33" i="86"/>
  <c r="F34" i="86"/>
  <c r="F35" i="86"/>
  <c r="F36" i="86"/>
  <c r="F37" i="86"/>
  <c r="F38" i="86"/>
  <c r="F39" i="86"/>
  <c r="F40" i="86"/>
  <c r="F41" i="86"/>
  <c r="F42" i="86"/>
  <c r="F43" i="86"/>
  <c r="F44" i="86"/>
  <c r="F45" i="86"/>
  <c r="F46" i="86"/>
  <c r="F47" i="86"/>
  <c r="F48" i="86"/>
  <c r="F49" i="86"/>
  <c r="F50" i="86"/>
  <c r="F51" i="86"/>
  <c r="F52" i="86"/>
  <c r="F53" i="86"/>
  <c r="F54" i="86"/>
  <c r="F55" i="86"/>
  <c r="F56" i="86"/>
  <c r="F57" i="86"/>
  <c r="F58" i="86"/>
  <c r="F59" i="86"/>
  <c r="F60" i="86"/>
  <c r="F61" i="86"/>
  <c r="F62" i="86"/>
  <c r="F63" i="86"/>
  <c r="F64" i="86"/>
  <c r="F65" i="86"/>
  <c r="F66" i="86"/>
  <c r="F67" i="86"/>
  <c r="F68" i="86"/>
  <c r="F69" i="86"/>
  <c r="F70" i="86"/>
  <c r="F71" i="86"/>
  <c r="F72" i="86"/>
  <c r="F73" i="86"/>
  <c r="F74" i="86"/>
  <c r="F75" i="86"/>
  <c r="F76" i="86"/>
  <c r="F77" i="86"/>
  <c r="F78" i="86"/>
  <c r="F79" i="86"/>
  <c r="F80" i="86"/>
  <c r="F81" i="86"/>
  <c r="F82" i="86"/>
  <c r="F83" i="86"/>
  <c r="F84" i="86"/>
  <c r="F85" i="86"/>
  <c r="F86" i="86"/>
  <c r="F87" i="86"/>
  <c r="F88" i="86"/>
  <c r="F89" i="86"/>
  <c r="F90" i="86"/>
  <c r="F91" i="86"/>
  <c r="F92" i="86"/>
  <c r="F93" i="86"/>
  <c r="F94" i="86"/>
  <c r="F95" i="86"/>
  <c r="F96" i="86"/>
  <c r="F97" i="86"/>
  <c r="F98" i="86"/>
  <c r="F99" i="86"/>
  <c r="F100" i="86"/>
  <c r="F101" i="86"/>
  <c r="F102" i="86"/>
  <c r="F103" i="86"/>
  <c r="F104" i="86"/>
  <c r="F105" i="86"/>
  <c r="F106" i="86"/>
  <c r="F107" i="86"/>
  <c r="F108" i="86"/>
  <c r="F109" i="86"/>
  <c r="F110" i="86"/>
  <c r="F111" i="86"/>
  <c r="F112" i="86"/>
  <c r="F113" i="86"/>
  <c r="F114" i="86"/>
  <c r="F115" i="86"/>
  <c r="F116" i="86"/>
  <c r="F117" i="86"/>
  <c r="F118" i="86"/>
  <c r="F119" i="86"/>
  <c r="F120" i="86"/>
  <c r="F121" i="86"/>
  <c r="F122" i="86"/>
  <c r="F123" i="86"/>
  <c r="F124" i="86"/>
  <c r="F125" i="86"/>
  <c r="F126" i="86"/>
  <c r="F127" i="86"/>
  <c r="F128" i="86"/>
  <c r="F129" i="86"/>
  <c r="F130" i="86"/>
  <c r="F131" i="86"/>
  <c r="F132" i="86"/>
  <c r="F133" i="86"/>
  <c r="F134" i="86"/>
  <c r="F135" i="86"/>
  <c r="F136" i="86"/>
  <c r="F137" i="86"/>
  <c r="F138" i="86"/>
  <c r="F139" i="86"/>
  <c r="F140" i="86"/>
  <c r="F141" i="86"/>
  <c r="F142" i="86"/>
  <c r="F143" i="86"/>
  <c r="F144" i="86"/>
  <c r="F145" i="86"/>
  <c r="F146" i="86"/>
  <c r="F147" i="86"/>
  <c r="F148" i="86"/>
  <c r="F149" i="86"/>
  <c r="F150" i="86"/>
  <c r="F151" i="86"/>
  <c r="F152" i="86"/>
  <c r="F153" i="86"/>
  <c r="F154" i="86"/>
  <c r="F155" i="86"/>
  <c r="F156" i="86"/>
  <c r="F157" i="86"/>
  <c r="F158" i="86"/>
  <c r="F159" i="86"/>
  <c r="F160" i="86"/>
  <c r="F161" i="86"/>
  <c r="F162" i="86"/>
  <c r="F163" i="86"/>
  <c r="F164" i="86"/>
  <c r="F165" i="86"/>
  <c r="F166" i="86"/>
  <c r="F167" i="86"/>
  <c r="F168" i="86"/>
  <c r="E2" i="86"/>
  <c r="E3" i="86"/>
  <c r="E4" i="86"/>
  <c r="E5" i="86"/>
  <c r="E6" i="86"/>
  <c r="E7" i="86"/>
  <c r="E8" i="86"/>
  <c r="E9" i="86"/>
  <c r="E10" i="86"/>
  <c r="E11" i="86"/>
  <c r="E12" i="86"/>
  <c r="E13" i="86"/>
  <c r="E14" i="86"/>
  <c r="E15" i="86"/>
  <c r="E16" i="86"/>
  <c r="E17" i="86"/>
  <c r="E18" i="86"/>
  <c r="E19" i="86"/>
  <c r="E20" i="86"/>
  <c r="E21" i="86"/>
  <c r="E22" i="86"/>
  <c r="E23" i="86"/>
  <c r="E24" i="86"/>
  <c r="E25" i="86"/>
  <c r="E26" i="86"/>
  <c r="E27" i="86"/>
  <c r="E28" i="86"/>
  <c r="E29" i="86"/>
  <c r="E30" i="86"/>
  <c r="E31" i="86"/>
  <c r="E32" i="86"/>
  <c r="E33" i="86"/>
  <c r="E34" i="86"/>
  <c r="E35" i="86"/>
  <c r="E36" i="86"/>
  <c r="E37" i="86"/>
  <c r="E38" i="86"/>
  <c r="E39" i="86"/>
  <c r="E40" i="86"/>
  <c r="E41" i="86"/>
  <c r="E42" i="86"/>
  <c r="E43" i="86"/>
  <c r="E44" i="86"/>
  <c r="E45" i="86"/>
  <c r="E46" i="86"/>
  <c r="E47" i="86"/>
  <c r="E48" i="86"/>
  <c r="E49" i="86"/>
  <c r="E50" i="86"/>
  <c r="E51" i="86"/>
  <c r="E52" i="86"/>
  <c r="E53" i="86"/>
  <c r="E54" i="86"/>
  <c r="E55" i="86"/>
  <c r="E56" i="86"/>
  <c r="E57" i="86"/>
  <c r="E58" i="86"/>
  <c r="E59" i="86"/>
  <c r="E60" i="86"/>
  <c r="E61" i="86"/>
  <c r="E62" i="86"/>
  <c r="E63" i="86"/>
  <c r="E64" i="86"/>
  <c r="E65" i="86"/>
  <c r="E66" i="86"/>
  <c r="E67" i="86"/>
  <c r="E68" i="86"/>
  <c r="E69" i="86"/>
  <c r="E70" i="86"/>
  <c r="E71" i="86"/>
  <c r="E72" i="86"/>
  <c r="E73" i="86"/>
  <c r="E74" i="86"/>
  <c r="E75" i="86"/>
  <c r="E76" i="86"/>
  <c r="E77" i="86"/>
  <c r="E78" i="86"/>
  <c r="E79" i="86"/>
  <c r="E80" i="86"/>
  <c r="E81" i="86"/>
  <c r="E82" i="86"/>
  <c r="E83" i="86"/>
  <c r="E84" i="86"/>
  <c r="E85" i="86"/>
  <c r="E86" i="86"/>
  <c r="E87" i="86"/>
  <c r="E88" i="86"/>
  <c r="E89" i="86"/>
  <c r="E90" i="86"/>
  <c r="E91" i="86"/>
  <c r="E92" i="86"/>
  <c r="E93" i="86"/>
  <c r="E94" i="86"/>
  <c r="E95" i="86"/>
  <c r="E96" i="86"/>
  <c r="E97" i="86"/>
  <c r="E98" i="86"/>
  <c r="E99" i="86"/>
  <c r="E100" i="86"/>
  <c r="E101" i="86"/>
  <c r="E102" i="86"/>
  <c r="E103" i="86"/>
  <c r="E104" i="86"/>
  <c r="E105" i="86"/>
  <c r="E106" i="86"/>
  <c r="E107" i="86"/>
  <c r="E108" i="86"/>
  <c r="E109" i="86"/>
  <c r="E110" i="86"/>
  <c r="E111" i="86"/>
  <c r="E112" i="86"/>
  <c r="E113" i="86"/>
  <c r="E114" i="86"/>
  <c r="E115" i="86"/>
  <c r="E116" i="86"/>
  <c r="E117" i="86"/>
  <c r="E118" i="86"/>
  <c r="E119" i="86"/>
  <c r="E120" i="86"/>
  <c r="E121" i="86"/>
  <c r="E122" i="86"/>
  <c r="E123" i="86"/>
  <c r="E124" i="86"/>
  <c r="E125" i="86"/>
  <c r="E126" i="86"/>
  <c r="E127" i="86"/>
  <c r="E128" i="86"/>
  <c r="E129" i="86"/>
  <c r="E130" i="86"/>
  <c r="E131" i="86"/>
  <c r="E132" i="86"/>
  <c r="E133" i="86"/>
  <c r="E134" i="86"/>
  <c r="E135" i="86"/>
  <c r="E136" i="86"/>
  <c r="E137" i="86"/>
  <c r="E138" i="86"/>
  <c r="E139" i="86"/>
  <c r="E140" i="86"/>
  <c r="E141" i="86"/>
  <c r="E142" i="86"/>
  <c r="E143" i="86"/>
  <c r="E144" i="86"/>
  <c r="E145" i="86"/>
  <c r="E146" i="86"/>
  <c r="E147" i="86"/>
  <c r="E148" i="86"/>
  <c r="E149" i="86"/>
  <c r="E150" i="86"/>
  <c r="E151" i="86"/>
  <c r="E152" i="86"/>
  <c r="E153" i="86"/>
  <c r="E154" i="86"/>
  <c r="E155" i="86"/>
  <c r="E156" i="86"/>
  <c r="E157" i="86"/>
  <c r="E158" i="86"/>
  <c r="E159" i="86"/>
  <c r="E160" i="86"/>
  <c r="E161" i="86"/>
  <c r="E162" i="86"/>
  <c r="E163" i="86"/>
  <c r="E164" i="86"/>
  <c r="E165" i="86"/>
  <c r="E166" i="86"/>
  <c r="E167" i="86"/>
  <c r="E168" i="86"/>
  <c r="D3" i="86"/>
  <c r="D4" i="86"/>
  <c r="D5" i="86"/>
  <c r="D6" i="86"/>
  <c r="D7" i="86"/>
  <c r="D8" i="86"/>
  <c r="D9" i="86"/>
  <c r="D10" i="86"/>
  <c r="D11" i="86"/>
  <c r="D12" i="86"/>
  <c r="D13" i="86"/>
  <c r="D14" i="86"/>
  <c r="D15" i="86"/>
  <c r="D16" i="86"/>
  <c r="D17" i="86"/>
  <c r="D18" i="86"/>
  <c r="D19" i="86"/>
  <c r="D20" i="86"/>
  <c r="D21" i="86"/>
  <c r="D22" i="86"/>
  <c r="D23" i="86"/>
  <c r="D24" i="86"/>
  <c r="D25" i="86"/>
  <c r="D26" i="86"/>
  <c r="D27" i="86"/>
  <c r="D28" i="86"/>
  <c r="D29" i="86"/>
  <c r="D30" i="86"/>
  <c r="D31" i="86"/>
  <c r="D32" i="86"/>
  <c r="D33" i="86"/>
  <c r="D34" i="86"/>
  <c r="D35" i="86"/>
  <c r="D36" i="86"/>
  <c r="D37" i="86"/>
  <c r="D38" i="86"/>
  <c r="D39" i="86"/>
  <c r="D40" i="86"/>
  <c r="D41" i="86"/>
  <c r="D42" i="86"/>
  <c r="D43" i="86"/>
  <c r="D44" i="86"/>
  <c r="D45" i="86"/>
  <c r="D46" i="86"/>
  <c r="D47" i="86"/>
  <c r="D48" i="86"/>
  <c r="D49" i="86"/>
  <c r="D50" i="86"/>
  <c r="D51" i="86"/>
  <c r="D52" i="86"/>
  <c r="D53" i="86"/>
  <c r="D54" i="86"/>
  <c r="D55" i="86"/>
  <c r="D56" i="86"/>
  <c r="D57" i="86"/>
  <c r="D58" i="86"/>
  <c r="D59" i="86"/>
  <c r="D60" i="86"/>
  <c r="D61" i="86"/>
  <c r="D62" i="86"/>
  <c r="D63" i="86"/>
  <c r="D64" i="86"/>
  <c r="D65" i="86"/>
  <c r="D66" i="86"/>
  <c r="D67" i="86"/>
  <c r="D68" i="86"/>
  <c r="D69" i="86"/>
  <c r="D70" i="86"/>
  <c r="D71" i="86"/>
  <c r="D72" i="86"/>
  <c r="D73" i="86"/>
  <c r="D74" i="86"/>
  <c r="D75" i="86"/>
  <c r="D76" i="86"/>
  <c r="D77" i="86"/>
  <c r="D78" i="86"/>
  <c r="D79" i="86"/>
  <c r="D80" i="86"/>
  <c r="D81" i="86"/>
  <c r="D82" i="86"/>
  <c r="D83" i="86"/>
  <c r="D84" i="86"/>
  <c r="D85" i="86"/>
  <c r="D86" i="86"/>
  <c r="D87" i="86"/>
  <c r="D88" i="86"/>
  <c r="D89" i="86"/>
  <c r="D90" i="86"/>
  <c r="D91" i="86"/>
  <c r="D92" i="86"/>
  <c r="D93" i="86"/>
  <c r="D94" i="86"/>
  <c r="D95" i="86"/>
  <c r="D96" i="86"/>
  <c r="D97" i="86"/>
  <c r="D98" i="86"/>
  <c r="D99" i="86"/>
  <c r="D100" i="86"/>
  <c r="D101" i="86"/>
  <c r="D102" i="86"/>
  <c r="D103" i="86"/>
  <c r="D104" i="86"/>
  <c r="D105" i="86"/>
  <c r="D106" i="86"/>
  <c r="D107" i="86"/>
  <c r="D108" i="86"/>
  <c r="D109" i="86"/>
  <c r="D110" i="86"/>
  <c r="D111" i="86"/>
  <c r="D112" i="86"/>
  <c r="D113" i="86"/>
  <c r="D114" i="86"/>
  <c r="D115" i="86"/>
  <c r="D116" i="86"/>
  <c r="D117" i="86"/>
  <c r="D118" i="86"/>
  <c r="D119" i="86"/>
  <c r="D120" i="86"/>
  <c r="D121" i="86"/>
  <c r="D122" i="86"/>
  <c r="D123" i="86"/>
  <c r="D124" i="86"/>
  <c r="D125" i="86"/>
  <c r="D126" i="86"/>
  <c r="D127" i="86"/>
  <c r="D128" i="86"/>
  <c r="D129" i="86"/>
  <c r="D130" i="86"/>
  <c r="D131" i="86"/>
  <c r="D132" i="86"/>
  <c r="D133" i="86"/>
  <c r="D134" i="86"/>
  <c r="D135" i="86"/>
  <c r="D136" i="86"/>
  <c r="D137" i="86"/>
  <c r="D138" i="86"/>
  <c r="D139" i="86"/>
  <c r="D140" i="86"/>
  <c r="D141" i="86"/>
  <c r="D142" i="86"/>
  <c r="D143" i="86"/>
  <c r="D144" i="86"/>
  <c r="D145" i="86"/>
  <c r="D146" i="86"/>
  <c r="D147" i="86"/>
  <c r="D148" i="86"/>
  <c r="D149" i="86"/>
  <c r="D150" i="86"/>
  <c r="D151" i="86"/>
  <c r="D152" i="86"/>
  <c r="D153" i="86"/>
  <c r="D154" i="86"/>
  <c r="D155" i="86"/>
  <c r="D156" i="86"/>
  <c r="D157" i="86"/>
  <c r="D158" i="86"/>
  <c r="D159" i="86"/>
  <c r="D160" i="86"/>
  <c r="D161" i="86"/>
  <c r="D162" i="86"/>
  <c r="D163" i="86"/>
  <c r="D164" i="86"/>
  <c r="D165" i="86"/>
  <c r="D166" i="86"/>
  <c r="D167" i="86"/>
  <c r="D168" i="86"/>
  <c r="D2" i="86"/>
  <c r="C3" i="86"/>
  <c r="C4" i="86"/>
  <c r="C5" i="86"/>
  <c r="C6" i="86"/>
  <c r="C7" i="86"/>
  <c r="C8" i="86"/>
  <c r="C9" i="86"/>
  <c r="C10" i="86"/>
  <c r="C11" i="86"/>
  <c r="C12" i="86"/>
  <c r="C13" i="86"/>
  <c r="C14" i="86"/>
  <c r="C15" i="86"/>
  <c r="C16" i="86"/>
  <c r="C17" i="86"/>
  <c r="C18" i="86"/>
  <c r="C19" i="86"/>
  <c r="C20" i="86"/>
  <c r="C21" i="86"/>
  <c r="C22" i="86"/>
  <c r="C23" i="86"/>
  <c r="C24" i="86"/>
  <c r="C25" i="86"/>
  <c r="C26" i="86"/>
  <c r="C27" i="86"/>
  <c r="C28" i="86"/>
  <c r="C29" i="86"/>
  <c r="C30" i="86"/>
  <c r="C31" i="86"/>
  <c r="C32" i="86"/>
  <c r="C33" i="86"/>
  <c r="C34" i="86"/>
  <c r="C35" i="86"/>
  <c r="C36" i="86"/>
  <c r="C37" i="86"/>
  <c r="C38" i="86"/>
  <c r="C39" i="86"/>
  <c r="C40" i="86"/>
  <c r="C41" i="86"/>
  <c r="C42" i="86"/>
  <c r="C43" i="86"/>
  <c r="C44" i="86"/>
  <c r="C45" i="86"/>
  <c r="C46" i="86"/>
  <c r="C47" i="86"/>
  <c r="C48" i="86"/>
  <c r="C49" i="86"/>
  <c r="C50" i="86"/>
  <c r="C51" i="86"/>
  <c r="C52" i="86"/>
  <c r="C53" i="86"/>
  <c r="C54" i="86"/>
  <c r="C55" i="86"/>
  <c r="C56" i="86"/>
  <c r="C57" i="86"/>
  <c r="C58" i="86"/>
  <c r="C59" i="86"/>
  <c r="C60" i="86"/>
  <c r="C61" i="86"/>
  <c r="C62" i="86"/>
  <c r="C63" i="86"/>
  <c r="C64" i="86"/>
  <c r="C65" i="86"/>
  <c r="C66" i="86"/>
  <c r="C67" i="86"/>
  <c r="C68" i="86"/>
  <c r="C69" i="86"/>
  <c r="C70" i="86"/>
  <c r="C71" i="86"/>
  <c r="C72" i="86"/>
  <c r="C73" i="86"/>
  <c r="C74" i="86"/>
  <c r="C75" i="86"/>
  <c r="C76" i="86"/>
  <c r="C77" i="86"/>
  <c r="C78" i="86"/>
  <c r="C79" i="86"/>
  <c r="C80" i="86"/>
  <c r="C81" i="86"/>
  <c r="C82" i="86"/>
  <c r="C83" i="86"/>
  <c r="C84" i="86"/>
  <c r="C85" i="86"/>
  <c r="C86" i="86"/>
  <c r="C87" i="86"/>
  <c r="C88" i="86"/>
  <c r="C89" i="86"/>
  <c r="C90" i="86"/>
  <c r="C91" i="86"/>
  <c r="C92" i="86"/>
  <c r="C93" i="86"/>
  <c r="C94" i="86"/>
  <c r="C95" i="86"/>
  <c r="C96" i="86"/>
  <c r="C97" i="86"/>
  <c r="C98" i="86"/>
  <c r="C99" i="86"/>
  <c r="C100" i="86"/>
  <c r="C101" i="86"/>
  <c r="C102" i="86"/>
  <c r="C103" i="86"/>
  <c r="C104" i="86"/>
  <c r="C105" i="86"/>
  <c r="C106" i="86"/>
  <c r="C107" i="86"/>
  <c r="C108" i="86"/>
  <c r="C109" i="86"/>
  <c r="C110" i="86"/>
  <c r="C111" i="86"/>
  <c r="C112" i="86"/>
  <c r="C113" i="86"/>
  <c r="C114" i="86"/>
  <c r="C115" i="86"/>
  <c r="C116" i="86"/>
  <c r="C117" i="86"/>
  <c r="C118" i="86"/>
  <c r="C119" i="86"/>
  <c r="C120" i="86"/>
  <c r="C121" i="86"/>
  <c r="C122" i="86"/>
  <c r="C123" i="86"/>
  <c r="C124" i="86"/>
  <c r="C125" i="86"/>
  <c r="C126" i="86"/>
  <c r="C127" i="86"/>
  <c r="C128" i="86"/>
  <c r="C129" i="86"/>
  <c r="C130" i="86"/>
  <c r="C131" i="86"/>
  <c r="C132" i="86"/>
  <c r="C133" i="86"/>
  <c r="C134" i="86"/>
  <c r="C135" i="86"/>
  <c r="C136" i="86"/>
  <c r="C137" i="86"/>
  <c r="C138" i="86"/>
  <c r="C139" i="86"/>
  <c r="C140" i="86"/>
  <c r="C141" i="86"/>
  <c r="C142" i="86"/>
  <c r="C143" i="86"/>
  <c r="C144" i="86"/>
  <c r="C145" i="86"/>
  <c r="C146" i="86"/>
  <c r="C147" i="86"/>
  <c r="C148" i="86"/>
  <c r="C149" i="86"/>
  <c r="C150" i="86"/>
  <c r="C151" i="86"/>
  <c r="C152" i="86"/>
  <c r="C153" i="86"/>
  <c r="C154" i="86"/>
  <c r="C155" i="86"/>
  <c r="C156" i="86"/>
  <c r="C157" i="86"/>
  <c r="C158" i="86"/>
  <c r="C159" i="86"/>
  <c r="C160" i="86"/>
  <c r="C161" i="86"/>
  <c r="C162" i="86"/>
  <c r="C163" i="86"/>
  <c r="C164" i="86"/>
  <c r="C165" i="86"/>
  <c r="C166" i="86"/>
  <c r="C167" i="86"/>
  <c r="C168" i="86"/>
  <c r="C2" i="86"/>
  <c r="B2" i="86"/>
  <c r="B3" i="86"/>
  <c r="B4" i="86"/>
  <c r="B5" i="86"/>
  <c r="B6" i="86"/>
  <c r="B7" i="86"/>
  <c r="B8" i="86"/>
  <c r="B9" i="86"/>
  <c r="B10" i="86"/>
  <c r="B11" i="86"/>
  <c r="B12" i="86"/>
  <c r="B13" i="86"/>
  <c r="B14" i="86"/>
  <c r="B15" i="86"/>
  <c r="B16" i="86"/>
  <c r="B17" i="86"/>
  <c r="B18" i="86"/>
  <c r="B19" i="86"/>
  <c r="B20" i="86"/>
  <c r="B21" i="86"/>
  <c r="B22" i="86"/>
  <c r="B23" i="86"/>
  <c r="B24" i="86"/>
  <c r="B25" i="86"/>
  <c r="B26" i="86"/>
  <c r="B27" i="86"/>
  <c r="B28" i="86"/>
  <c r="B29" i="86"/>
  <c r="B30" i="86"/>
  <c r="B31" i="86"/>
  <c r="B32" i="86"/>
  <c r="B33" i="86"/>
  <c r="B34" i="86"/>
  <c r="B35" i="86"/>
  <c r="B36" i="86"/>
  <c r="B37" i="86"/>
  <c r="B38" i="86"/>
  <c r="B39" i="86"/>
  <c r="B40" i="86"/>
  <c r="B41" i="86"/>
  <c r="B42" i="86"/>
  <c r="B43" i="86"/>
  <c r="B44" i="86"/>
  <c r="B45" i="86"/>
  <c r="B46" i="86"/>
  <c r="B47" i="86"/>
  <c r="B48" i="86"/>
  <c r="B49" i="86"/>
  <c r="B50" i="86"/>
  <c r="B51" i="86"/>
  <c r="B52" i="86"/>
  <c r="B53" i="86"/>
  <c r="B54" i="86"/>
  <c r="B55" i="86"/>
  <c r="B56" i="86"/>
  <c r="B57" i="86"/>
  <c r="B58" i="86"/>
  <c r="B59" i="86"/>
  <c r="B60" i="86"/>
  <c r="B61" i="86"/>
  <c r="B62" i="86"/>
  <c r="B63" i="86"/>
  <c r="B64" i="86"/>
  <c r="B65" i="86"/>
  <c r="B66" i="86"/>
  <c r="B67" i="86"/>
  <c r="B68" i="86"/>
  <c r="B69" i="86"/>
  <c r="B70" i="86"/>
  <c r="B71" i="86"/>
  <c r="B72" i="86"/>
  <c r="B73" i="86"/>
  <c r="B74" i="86"/>
  <c r="B75" i="86"/>
  <c r="B76" i="86"/>
  <c r="B77" i="86"/>
  <c r="B78" i="86"/>
  <c r="B79" i="86"/>
  <c r="B80" i="86"/>
  <c r="B81" i="86"/>
  <c r="B82" i="86"/>
  <c r="B83" i="86"/>
  <c r="B84" i="86"/>
  <c r="B85" i="86"/>
  <c r="B86" i="86"/>
  <c r="B87" i="86"/>
  <c r="B88" i="86"/>
  <c r="B89" i="86"/>
  <c r="B90" i="86"/>
  <c r="B91" i="86"/>
  <c r="B92" i="86"/>
  <c r="B93" i="86"/>
  <c r="B94" i="86"/>
  <c r="B95" i="86"/>
  <c r="B96" i="86"/>
  <c r="B97" i="86"/>
  <c r="B98" i="86"/>
  <c r="B99" i="86"/>
  <c r="B100" i="86"/>
  <c r="B101" i="86"/>
  <c r="B102" i="86"/>
  <c r="B103" i="86"/>
  <c r="B104" i="86"/>
  <c r="B105" i="86"/>
  <c r="B106" i="86"/>
  <c r="B107" i="86"/>
  <c r="B108" i="86"/>
  <c r="B109" i="86"/>
  <c r="B110" i="86"/>
  <c r="B111" i="86"/>
  <c r="B112" i="86"/>
  <c r="B113" i="86"/>
  <c r="B114" i="86"/>
  <c r="B115" i="86"/>
  <c r="B116" i="86"/>
  <c r="B117" i="86"/>
  <c r="B118" i="86"/>
  <c r="B119" i="86"/>
  <c r="B120" i="86"/>
  <c r="B121" i="86"/>
  <c r="B122" i="86"/>
  <c r="B123" i="86"/>
  <c r="B124" i="86"/>
  <c r="B125" i="86"/>
  <c r="B126" i="86"/>
  <c r="B127" i="86"/>
  <c r="B128" i="86"/>
  <c r="B129" i="86"/>
  <c r="B130" i="86"/>
  <c r="B131" i="86"/>
  <c r="B132" i="86"/>
  <c r="B133" i="86"/>
  <c r="B134" i="86"/>
  <c r="B135" i="86"/>
  <c r="B136" i="86"/>
  <c r="B137" i="86"/>
  <c r="B138" i="86"/>
  <c r="B139" i="86"/>
  <c r="B140" i="86"/>
  <c r="B141" i="86"/>
  <c r="B142" i="86"/>
  <c r="B143" i="86"/>
  <c r="B144" i="86"/>
  <c r="B145" i="86"/>
  <c r="B146" i="86"/>
  <c r="B147" i="86"/>
  <c r="B148" i="86"/>
  <c r="B149" i="86"/>
  <c r="B150" i="86"/>
  <c r="B151" i="86"/>
  <c r="B152" i="86"/>
  <c r="B153" i="86"/>
  <c r="B154" i="86"/>
  <c r="B155" i="86"/>
  <c r="B156" i="86"/>
  <c r="B157" i="86"/>
  <c r="B158" i="86"/>
  <c r="B159" i="86"/>
  <c r="B160" i="86"/>
  <c r="B161" i="86"/>
  <c r="B162" i="86"/>
  <c r="B163" i="86"/>
  <c r="B164" i="86"/>
  <c r="B165" i="86"/>
  <c r="B166" i="86"/>
  <c r="B167" i="86"/>
  <c r="B168" i="86"/>
  <c r="AJ72" i="14"/>
  <c r="AK72" i="14" s="1"/>
  <c r="AJ109" i="14"/>
  <c r="AK109" i="14" s="1"/>
  <c r="AJ139" i="14"/>
  <c r="AK139" i="14" s="1"/>
  <c r="AJ151" i="14"/>
  <c r="AK151" i="14" s="1"/>
  <c r="AJ156" i="14"/>
  <c r="AK156" i="14" s="1"/>
  <c r="AJ195" i="14"/>
  <c r="AK195" i="14" s="1"/>
  <c r="AJ200" i="14"/>
  <c r="AK200" i="14" s="1"/>
  <c r="AJ202" i="14"/>
  <c r="AK202" i="14" s="1"/>
  <c r="AJ203" i="14"/>
  <c r="AK203" i="14" s="1"/>
  <c r="AJ222" i="14"/>
  <c r="AK222" i="14" s="1"/>
  <c r="AJ243" i="14"/>
  <c r="AK243" i="14" s="1"/>
  <c r="AJ5" i="14"/>
  <c r="AK5" i="14" s="1"/>
  <c r="AJ11" i="14"/>
  <c r="AK11" i="14" s="1"/>
  <c r="AJ13" i="14"/>
  <c r="AK13" i="14" s="1"/>
  <c r="AJ14" i="14"/>
  <c r="AK14" i="14" s="1"/>
  <c r="AJ15" i="14"/>
  <c r="AK15" i="14" s="1"/>
  <c r="AJ16" i="14"/>
  <c r="AK16" i="14" s="1"/>
  <c r="AJ17" i="14"/>
  <c r="AK17" i="14" s="1"/>
  <c r="AJ20" i="14"/>
  <c r="AK20" i="14" s="1"/>
  <c r="AJ21" i="14"/>
  <c r="AK21" i="14" s="1"/>
  <c r="AJ26" i="14"/>
  <c r="AK26" i="14" s="1"/>
  <c r="AJ28" i="14"/>
  <c r="AK28" i="14" s="1"/>
  <c r="AJ35" i="14"/>
  <c r="AK35" i="14" s="1"/>
  <c r="AJ36" i="14"/>
  <c r="AK36" i="14" s="1"/>
  <c r="AJ37" i="14"/>
  <c r="AK37" i="14" s="1"/>
  <c r="AJ38" i="14"/>
  <c r="AK38" i="14" s="1"/>
  <c r="AJ44" i="14"/>
  <c r="AK44" i="14" s="1"/>
  <c r="AJ57" i="14"/>
  <c r="AK57" i="14" s="1"/>
  <c r="AJ62" i="14"/>
  <c r="AK62" i="14" s="1"/>
  <c r="AJ71" i="14"/>
  <c r="AK71" i="14" s="1"/>
  <c r="AJ77" i="14"/>
  <c r="AK77" i="14" s="1"/>
  <c r="AJ90" i="14"/>
  <c r="AK90" i="14" s="1"/>
  <c r="AJ104" i="14"/>
  <c r="AK104" i="14" s="1"/>
  <c r="AJ105" i="14"/>
  <c r="AK105" i="14" s="1"/>
  <c r="AJ113" i="14"/>
  <c r="AK113" i="14" s="1"/>
  <c r="AJ119" i="14"/>
  <c r="AK119" i="14" s="1"/>
  <c r="AJ120" i="14"/>
  <c r="AK120" i="14" s="1"/>
  <c r="AJ121" i="14"/>
  <c r="AK121" i="14" s="1"/>
  <c r="AJ122" i="14"/>
  <c r="AK122" i="14" s="1"/>
  <c r="AJ123" i="14"/>
  <c r="AK123" i="14" s="1"/>
  <c r="AJ124" i="14"/>
  <c r="AK124" i="14" s="1"/>
  <c r="AJ125" i="14"/>
  <c r="AK125" i="14" s="1"/>
  <c r="AJ126" i="14"/>
  <c r="AK126" i="14" s="1"/>
  <c r="AJ129" i="14"/>
  <c r="AK129" i="14" s="1"/>
  <c r="AJ130" i="14"/>
  <c r="AK130" i="14" s="1"/>
  <c r="AJ131" i="14"/>
  <c r="AK131" i="14" s="1"/>
  <c r="AJ132" i="14"/>
  <c r="AK132" i="14" s="1"/>
  <c r="AJ134" i="14"/>
  <c r="AK134" i="14" s="1"/>
  <c r="AJ135" i="14"/>
  <c r="AK135" i="14" s="1"/>
  <c r="AJ138" i="14"/>
  <c r="AK138" i="14" s="1"/>
  <c r="AJ140" i="14"/>
  <c r="AK140" i="14" s="1"/>
  <c r="AJ143" i="14"/>
  <c r="AK143" i="14" s="1"/>
  <c r="AJ144" i="14"/>
  <c r="AK144" i="14" s="1"/>
  <c r="AJ147" i="14"/>
  <c r="AK147" i="14" s="1"/>
  <c r="AJ148" i="14"/>
  <c r="AK148" i="14" s="1"/>
  <c r="AJ154" i="14"/>
  <c r="AK154" i="14" s="1"/>
  <c r="AJ159" i="14"/>
  <c r="AK159" i="14" s="1"/>
  <c r="AJ160" i="14"/>
  <c r="AK160" i="14" s="1"/>
  <c r="AJ164" i="14"/>
  <c r="AK164" i="14" s="1"/>
  <c r="AJ165" i="14"/>
  <c r="AK165" i="14" s="1"/>
  <c r="AJ166" i="14"/>
  <c r="AK166" i="14" s="1"/>
  <c r="AJ175" i="14"/>
  <c r="AK175" i="14" s="1"/>
  <c r="AJ181" i="14"/>
  <c r="AK181" i="14" s="1"/>
  <c r="AJ184" i="14"/>
  <c r="AK184" i="14" s="1"/>
  <c r="AJ185" i="14"/>
  <c r="AK185" i="14" s="1"/>
  <c r="AJ194" i="14"/>
  <c r="AK194" i="14" s="1"/>
  <c r="AJ204" i="14"/>
  <c r="AK204" i="14" s="1"/>
  <c r="AJ207" i="14"/>
  <c r="AK207" i="14" s="1"/>
  <c r="AJ218" i="14"/>
  <c r="AK218" i="14" s="1"/>
  <c r="AJ220" i="14"/>
  <c r="AK220" i="14" s="1"/>
  <c r="AJ223" i="14"/>
  <c r="AK223" i="14" s="1"/>
  <c r="AJ231" i="14"/>
  <c r="AK231" i="14" s="1"/>
  <c r="AJ232" i="14"/>
  <c r="AK232" i="14" s="1"/>
  <c r="AJ233" i="14"/>
  <c r="AK233" i="14" s="1"/>
  <c r="AJ237" i="14"/>
  <c r="AK237" i="14" s="1"/>
  <c r="AJ240" i="14"/>
  <c r="AK240" i="14" s="1"/>
  <c r="AJ241" i="14"/>
  <c r="AK241" i="14" s="1"/>
  <c r="AJ246" i="14"/>
  <c r="AK246" i="14" s="1"/>
  <c r="AJ6" i="14"/>
  <c r="AK6" i="14" s="1"/>
  <c r="AJ7" i="14"/>
  <c r="AK7" i="14" s="1"/>
  <c r="AJ9" i="14"/>
  <c r="AK9" i="14" s="1"/>
  <c r="AJ10" i="14"/>
  <c r="AK10" i="14" s="1"/>
  <c r="AJ12" i="14"/>
  <c r="AK12" i="14" s="1"/>
  <c r="AJ18" i="14"/>
  <c r="AK18" i="14" s="1"/>
  <c r="AJ19" i="14"/>
  <c r="AK19" i="14" s="1"/>
  <c r="AJ23" i="14"/>
  <c r="AK23" i="14" s="1"/>
  <c r="AJ24" i="14"/>
  <c r="AK24" i="14" s="1"/>
  <c r="AJ27" i="14"/>
  <c r="AK27" i="14" s="1"/>
  <c r="AJ30" i="14"/>
  <c r="AK30" i="14" s="1"/>
  <c r="AJ31" i="14"/>
  <c r="AK31" i="14" s="1"/>
  <c r="AJ32" i="14"/>
  <c r="AK32" i="14" s="1"/>
  <c r="AJ33" i="14"/>
  <c r="AK33" i="14" s="1"/>
  <c r="AJ39" i="14"/>
  <c r="AK39" i="14" s="1"/>
  <c r="AJ87" i="14"/>
  <c r="AK87" i="14" s="1"/>
  <c r="AJ91" i="14"/>
  <c r="AK91" i="14" s="1"/>
  <c r="AJ103" i="14"/>
  <c r="AK103" i="14" s="1"/>
  <c r="AJ106" i="14"/>
  <c r="AK106" i="14" s="1"/>
  <c r="AJ107" i="14"/>
  <c r="AK107" i="14" s="1"/>
  <c r="AJ108" i="14"/>
  <c r="AK108" i="14" s="1"/>
  <c r="AJ112" i="14"/>
  <c r="AK112" i="14" s="1"/>
  <c r="AJ115" i="14"/>
  <c r="AK115" i="14" s="1"/>
  <c r="AJ117" i="14"/>
  <c r="AK117" i="14" s="1"/>
  <c r="AJ118" i="14"/>
  <c r="AK118" i="14" s="1"/>
  <c r="AJ127" i="14"/>
  <c r="AK127" i="14" s="1"/>
  <c r="AJ128" i="14"/>
  <c r="AK128" i="14" s="1"/>
  <c r="AJ133" i="14"/>
  <c r="AK133" i="14" s="1"/>
  <c r="AJ136" i="14"/>
  <c r="AK136" i="14" s="1"/>
  <c r="AJ137" i="14"/>
  <c r="AK137" i="14" s="1"/>
  <c r="AJ141" i="14"/>
  <c r="AK141" i="14" s="1"/>
  <c r="AJ142" i="14"/>
  <c r="AK142" i="14" s="1"/>
  <c r="AJ145" i="14"/>
  <c r="AK145" i="14" s="1"/>
  <c r="AJ149" i="14"/>
  <c r="AK149" i="14" s="1"/>
  <c r="AJ152" i="14"/>
  <c r="AK152" i="14" s="1"/>
  <c r="AJ153" i="14"/>
  <c r="AK153" i="14" s="1"/>
  <c r="AJ155" i="14"/>
  <c r="AK155" i="14" s="1"/>
  <c r="AJ157" i="14"/>
  <c r="AK157" i="14" s="1"/>
  <c r="AJ161" i="14"/>
  <c r="AK161" i="14" s="1"/>
  <c r="AJ162" i="14"/>
  <c r="AK162" i="14" s="1"/>
  <c r="AJ163" i="14"/>
  <c r="AK163" i="14" s="1"/>
  <c r="AJ167" i="14"/>
  <c r="AK167" i="14" s="1"/>
  <c r="AJ169" i="14"/>
  <c r="AK169" i="14" s="1"/>
  <c r="AJ170" i="14"/>
  <c r="AK170" i="14" s="1"/>
  <c r="AJ171" i="14"/>
  <c r="AK171" i="14" s="1"/>
  <c r="AJ174" i="14"/>
  <c r="AK174" i="14" s="1"/>
  <c r="AJ176" i="14"/>
  <c r="AK176" i="14" s="1"/>
  <c r="AJ177" i="14"/>
  <c r="AK177" i="14" s="1"/>
  <c r="AJ178" i="14"/>
  <c r="AK178" i="14" s="1"/>
  <c r="AJ179" i="14"/>
  <c r="AK179" i="14" s="1"/>
  <c r="AJ180" i="14"/>
  <c r="AK180" i="14" s="1"/>
  <c r="AJ187" i="14"/>
  <c r="AK187" i="14" s="1"/>
  <c r="AJ188" i="14"/>
  <c r="AK188" i="14" s="1"/>
  <c r="AJ189" i="14"/>
  <c r="AK189" i="14" s="1"/>
  <c r="AJ192" i="14"/>
  <c r="AK192" i="14" s="1"/>
  <c r="AJ196" i="14"/>
  <c r="AK196" i="14" s="1"/>
  <c r="AJ198" i="14"/>
  <c r="AK198" i="14" s="1"/>
  <c r="AJ199" i="14"/>
  <c r="AK199" i="14" s="1"/>
  <c r="AJ201" i="14"/>
  <c r="AK201" i="14" s="1"/>
  <c r="AJ205" i="14"/>
  <c r="AK205" i="14" s="1"/>
  <c r="AJ211" i="14"/>
  <c r="AK211" i="14" s="1"/>
  <c r="AJ212" i="14"/>
  <c r="AK212" i="14" s="1"/>
  <c r="AJ213" i="14"/>
  <c r="AK213" i="14" s="1"/>
  <c r="AJ214" i="14"/>
  <c r="AK214" i="14" s="1"/>
  <c r="AJ215" i="14"/>
  <c r="AK215" i="14" s="1"/>
  <c r="AJ217" i="14"/>
  <c r="AK217" i="14" s="1"/>
  <c r="AJ221" i="14"/>
  <c r="AK221" i="14" s="1"/>
  <c r="AJ224" i="14"/>
  <c r="AK224" i="14" s="1"/>
  <c r="AJ225" i="14"/>
  <c r="AK225" i="14" s="1"/>
  <c r="AJ226" i="14"/>
  <c r="AK226" i="14" s="1"/>
  <c r="AJ227" i="14"/>
  <c r="AK227" i="14" s="1"/>
  <c r="AJ228" i="14"/>
  <c r="AK228" i="14" s="1"/>
  <c r="AJ229" i="14"/>
  <c r="AK229" i="14" s="1"/>
  <c r="AJ230" i="14"/>
  <c r="AK230" i="14" s="1"/>
  <c r="AJ234" i="14"/>
  <c r="AK234" i="14" s="1"/>
  <c r="AJ235" i="14"/>
  <c r="AK235" i="14" s="1"/>
  <c r="AJ236" i="14"/>
  <c r="AK236" i="14" s="1"/>
  <c r="AJ238" i="14"/>
  <c r="AK238" i="14" s="1"/>
  <c r="AJ242" i="14"/>
  <c r="AK242" i="14" s="1"/>
  <c r="AJ244" i="14"/>
  <c r="AK244" i="14" s="1"/>
  <c r="AJ245" i="14"/>
  <c r="AK245" i="14" s="1"/>
  <c r="AJ247" i="14"/>
  <c r="AK247" i="14" s="1"/>
  <c r="AI72" i="14"/>
  <c r="AI109" i="14"/>
  <c r="AI139" i="14"/>
  <c r="AI151" i="14"/>
  <c r="AI156" i="14"/>
  <c r="AI195" i="14"/>
  <c r="AI200" i="14"/>
  <c r="AI202" i="14"/>
  <c r="AI203" i="14"/>
  <c r="AI222" i="14"/>
  <c r="AI243" i="14"/>
  <c r="AI5" i="14"/>
  <c r="AI11" i="14"/>
  <c r="AI13" i="14"/>
  <c r="AI14" i="14"/>
  <c r="AI15" i="14"/>
  <c r="AI16" i="14"/>
  <c r="AI17" i="14"/>
  <c r="AI20" i="14"/>
  <c r="AI21" i="14"/>
  <c r="AI26" i="14"/>
  <c r="AI28" i="14"/>
  <c r="AI35" i="14"/>
  <c r="AI36" i="14"/>
  <c r="AI37" i="14"/>
  <c r="AI38" i="14"/>
  <c r="AI44" i="14"/>
  <c r="AI57" i="14"/>
  <c r="AI62" i="14"/>
  <c r="AI71" i="14"/>
  <c r="AI77" i="14"/>
  <c r="AI90" i="14"/>
  <c r="AI104" i="14"/>
  <c r="AI105" i="14"/>
  <c r="AI113" i="14"/>
  <c r="AI119" i="14"/>
  <c r="AI120" i="14"/>
  <c r="AI121" i="14"/>
  <c r="AI122" i="14"/>
  <c r="AI123" i="14"/>
  <c r="AI124" i="14"/>
  <c r="AI125" i="14"/>
  <c r="AI126" i="14"/>
  <c r="AI129" i="14"/>
  <c r="AI130" i="14"/>
  <c r="AI131" i="14"/>
  <c r="AI132" i="14"/>
  <c r="AI134" i="14"/>
  <c r="AI135" i="14"/>
  <c r="AI138" i="14"/>
  <c r="AI140" i="14"/>
  <c r="AI143" i="14"/>
  <c r="AI144" i="14"/>
  <c r="AI147" i="14"/>
  <c r="AI148" i="14"/>
  <c r="AI154" i="14"/>
  <c r="AI159" i="14"/>
  <c r="AI160" i="14"/>
  <c r="AI164" i="14"/>
  <c r="AI165" i="14"/>
  <c r="AI166" i="14"/>
  <c r="AI175" i="14"/>
  <c r="AI181" i="14"/>
  <c r="AI184" i="14"/>
  <c r="AI185" i="14"/>
  <c r="AI194" i="14"/>
  <c r="AI204" i="14"/>
  <c r="AI207" i="14"/>
  <c r="AI218" i="14"/>
  <c r="AI220" i="14"/>
  <c r="AI223" i="14"/>
  <c r="AI231" i="14"/>
  <c r="AI232" i="14"/>
  <c r="AI233" i="14"/>
  <c r="AI237" i="14"/>
  <c r="AI240" i="14"/>
  <c r="AI241" i="14"/>
  <c r="AI246" i="14"/>
  <c r="AI6" i="14"/>
  <c r="AI7" i="14"/>
  <c r="AI9" i="14"/>
  <c r="AI10" i="14"/>
  <c r="AI12" i="14"/>
  <c r="AI18" i="14"/>
  <c r="AI19" i="14"/>
  <c r="AI23" i="14"/>
  <c r="AI24" i="14"/>
  <c r="AI27" i="14"/>
  <c r="AI30" i="14"/>
  <c r="AI31" i="14"/>
  <c r="AI32" i="14"/>
  <c r="AI33" i="14"/>
  <c r="AI39" i="14"/>
  <c r="AI40" i="14"/>
  <c r="AI41" i="14"/>
  <c r="AI42" i="14"/>
  <c r="AI43" i="14"/>
  <c r="AI45" i="14"/>
  <c r="AI46" i="14"/>
  <c r="AI47" i="14"/>
  <c r="AI48" i="14"/>
  <c r="AI49" i="14"/>
  <c r="AI50" i="14"/>
  <c r="AI51" i="14"/>
  <c r="AI52" i="14"/>
  <c r="AI53" i="14"/>
  <c r="AI55" i="14"/>
  <c r="AI56" i="14"/>
  <c r="AI58" i="14"/>
  <c r="AI59" i="14"/>
  <c r="AI63" i="14"/>
  <c r="AI64" i="14"/>
  <c r="AI65" i="14"/>
  <c r="AI66" i="14"/>
  <c r="AI68" i="14"/>
  <c r="AI69" i="14"/>
  <c r="AI70" i="14"/>
  <c r="AI73" i="14"/>
  <c r="AI74" i="14"/>
  <c r="AI76" i="14"/>
  <c r="AI78" i="14"/>
  <c r="AI79" i="14"/>
  <c r="AI81" i="14"/>
  <c r="AI82" i="14"/>
  <c r="AI83" i="14"/>
  <c r="AI84" i="14"/>
  <c r="AI86" i="14"/>
  <c r="AI87" i="14"/>
  <c r="AI91" i="14"/>
  <c r="AI92" i="14"/>
  <c r="AI94" i="14"/>
  <c r="AI97" i="14"/>
  <c r="AI98" i="14"/>
  <c r="AI99" i="14"/>
  <c r="AI100" i="14"/>
  <c r="AI101" i="14"/>
  <c r="AI103" i="14"/>
  <c r="AI106" i="14"/>
  <c r="AI107" i="14"/>
  <c r="AI108" i="14"/>
  <c r="AI112" i="14"/>
  <c r="AI115" i="14"/>
  <c r="AI117" i="14"/>
  <c r="AI118" i="14"/>
  <c r="AI127" i="14"/>
  <c r="AI128" i="14"/>
  <c r="AI133" i="14"/>
  <c r="AI136" i="14"/>
  <c r="AI137" i="14"/>
  <c r="AI141" i="14"/>
  <c r="AI142" i="14"/>
  <c r="AI145" i="14"/>
  <c r="AI149" i="14"/>
  <c r="AI152" i="14"/>
  <c r="AI153" i="14"/>
  <c r="AI155" i="14"/>
  <c r="AI157" i="14"/>
  <c r="AI161" i="14"/>
  <c r="AI162" i="14"/>
  <c r="AI163" i="14"/>
  <c r="AI167" i="14"/>
  <c r="AI169" i="14"/>
  <c r="AI170" i="14"/>
  <c r="AI171" i="14"/>
  <c r="AI174" i="14"/>
  <c r="AI176" i="14"/>
  <c r="AI177" i="14"/>
  <c r="AI178" i="14"/>
  <c r="AI179" i="14"/>
  <c r="AI180" i="14"/>
  <c r="AI187" i="14"/>
  <c r="AI188" i="14"/>
  <c r="AI189" i="14"/>
  <c r="AI192" i="14"/>
  <c r="AI196" i="14"/>
  <c r="AI198" i="14"/>
  <c r="AI199" i="14"/>
  <c r="AI201" i="14"/>
  <c r="AI205" i="14"/>
  <c r="AI211" i="14"/>
  <c r="AI212" i="14"/>
  <c r="AI213" i="14"/>
  <c r="AI214" i="14"/>
  <c r="AI215" i="14"/>
  <c r="AI217" i="14"/>
  <c r="AI221" i="14"/>
  <c r="AI224" i="14"/>
  <c r="AI225" i="14"/>
  <c r="AI226" i="14"/>
  <c r="AI227" i="14"/>
  <c r="AI228" i="14"/>
  <c r="AI229" i="14"/>
  <c r="AI230" i="14"/>
  <c r="AI234" i="14"/>
  <c r="AI235" i="14"/>
  <c r="AI236" i="14"/>
  <c r="AI238" i="14"/>
  <c r="AI242" i="14"/>
  <c r="AI244" i="14"/>
  <c r="AI245" i="14"/>
  <c r="AI247" i="14"/>
  <c r="Q14" i="43"/>
  <c r="H15" i="43"/>
  <c r="H17" i="43"/>
  <c r="Q15" i="43"/>
  <c r="Q13" i="43"/>
  <c r="H16" i="43"/>
  <c r="H19" i="43"/>
  <c r="AP257" i="20" l="1"/>
  <c r="AR257" i="20"/>
  <c r="AP261" i="20"/>
  <c r="AR261" i="20"/>
  <c r="AP254" i="20"/>
  <c r="AR254" i="20"/>
  <c r="V23" i="62"/>
  <c r="V24" i="62"/>
  <c r="V25" i="62"/>
  <c r="V26" i="62"/>
  <c r="V27" i="62"/>
  <c r="V28" i="62"/>
  <c r="V29" i="62"/>
  <c r="V30" i="62"/>
  <c r="V31" i="62"/>
  <c r="U22" i="62"/>
  <c r="T22" i="62" s="1"/>
  <c r="U23" i="62"/>
  <c r="U24" i="62"/>
  <c r="U25" i="62"/>
  <c r="U26" i="62"/>
  <c r="U27" i="62"/>
  <c r="U28" i="62"/>
  <c r="U29" i="62"/>
  <c r="U30" i="62"/>
  <c r="U31" i="62"/>
  <c r="S31" i="62"/>
  <c r="S23" i="62"/>
  <c r="S24" i="62"/>
  <c r="S25" i="62"/>
  <c r="S26" i="62"/>
  <c r="S27" i="62"/>
  <c r="S28" i="62"/>
  <c r="S29" i="62"/>
  <c r="S30" i="62"/>
  <c r="S22" i="62"/>
  <c r="K23" i="36"/>
  <c r="S168" i="19"/>
  <c r="S166" i="19"/>
  <c r="S167" i="19"/>
  <c r="S164" i="19"/>
  <c r="S169" i="19"/>
  <c r="S170" i="19"/>
  <c r="S171" i="19"/>
  <c r="S173" i="19"/>
  <c r="S174" i="19"/>
  <c r="S175" i="19"/>
  <c r="S177" i="19"/>
  <c r="S179" i="19"/>
  <c r="S180" i="19"/>
  <c r="S181" i="19"/>
  <c r="S183" i="19"/>
  <c r="S185" i="19"/>
  <c r="S186" i="19"/>
  <c r="S187" i="19"/>
  <c r="S190" i="19"/>
  <c r="S188" i="19"/>
  <c r="S193" i="19"/>
  <c r="S195" i="19"/>
  <c r="S196" i="19"/>
  <c r="S197" i="19"/>
  <c r="S198" i="19"/>
  <c r="S199" i="19"/>
  <c r="S200" i="19"/>
  <c r="S202" i="19"/>
  <c r="S203" i="19"/>
  <c r="S205" i="19"/>
  <c r="S206" i="19"/>
  <c r="S208" i="19"/>
  <c r="S209" i="19"/>
  <c r="S212" i="19"/>
  <c r="S213" i="19"/>
  <c r="S215" i="19"/>
  <c r="S214" i="19"/>
  <c r="S216" i="19"/>
  <c r="S217" i="19"/>
  <c r="S218" i="19"/>
  <c r="S219" i="19"/>
  <c r="S221" i="19"/>
  <c r="S222" i="19"/>
  <c r="S224" i="19"/>
  <c r="S225" i="19"/>
  <c r="S227" i="19"/>
  <c r="S228" i="19"/>
  <c r="S231" i="19"/>
  <c r="S229" i="19"/>
  <c r="S232" i="19"/>
  <c r="S234" i="19"/>
  <c r="S237" i="19"/>
  <c r="S238" i="19"/>
  <c r="S239" i="19"/>
  <c r="S241" i="19"/>
  <c r="S242" i="19"/>
  <c r="S243" i="19"/>
  <c r="S246" i="19"/>
  <c r="S248" i="19"/>
  <c r="S250" i="19"/>
  <c r="S249" i="19"/>
  <c r="S252" i="19"/>
  <c r="S253" i="19"/>
  <c r="S251" i="19"/>
  <c r="S254" i="19"/>
  <c r="S255" i="19"/>
  <c r="S257" i="19"/>
  <c r="S256" i="19"/>
  <c r="S259" i="19"/>
  <c r="S261" i="19"/>
  <c r="S262" i="19"/>
  <c r="S263" i="19"/>
  <c r="S265" i="19"/>
  <c r="S267" i="19"/>
  <c r="S268" i="19"/>
  <c r="S269" i="19"/>
  <c r="S270" i="19"/>
  <c r="S272" i="19"/>
  <c r="S273" i="19"/>
  <c r="S274" i="19"/>
  <c r="S275" i="19"/>
  <c r="S277" i="19"/>
  <c r="S283" i="19"/>
  <c r="S282" i="19"/>
  <c r="S285" i="19"/>
  <c r="S286" i="19"/>
  <c r="S287" i="19"/>
  <c r="S288" i="19"/>
  <c r="S289" i="19"/>
  <c r="S293" i="19"/>
  <c r="S294" i="19"/>
  <c r="S295" i="19"/>
  <c r="S296" i="19"/>
  <c r="S298" i="19"/>
  <c r="S299" i="19"/>
  <c r="S300" i="19"/>
  <c r="S301" i="19"/>
  <c r="S302" i="19"/>
  <c r="S303" i="19"/>
  <c r="S305" i="19"/>
  <c r="S304" i="19"/>
  <c r="S306" i="19"/>
  <c r="S308" i="19"/>
  <c r="S307" i="19"/>
  <c r="S309" i="19"/>
  <c r="S311" i="19"/>
  <c r="S312" i="19"/>
  <c r="S313" i="19"/>
  <c r="S314" i="19"/>
  <c r="S315" i="19"/>
  <c r="S318" i="19"/>
  <c r="S319" i="19"/>
  <c r="S321" i="19"/>
  <c r="S323" i="19"/>
  <c r="S322" i="19"/>
  <c r="S324" i="19"/>
  <c r="T168" i="19"/>
  <c r="T166" i="19"/>
  <c r="T167" i="19"/>
  <c r="T164" i="19"/>
  <c r="T169" i="19"/>
  <c r="T170" i="19"/>
  <c r="T171" i="19"/>
  <c r="T173" i="19"/>
  <c r="T174" i="19"/>
  <c r="T175" i="19"/>
  <c r="T177" i="19"/>
  <c r="T179" i="19"/>
  <c r="T180" i="19"/>
  <c r="T181" i="19"/>
  <c r="T183" i="19"/>
  <c r="T185" i="19"/>
  <c r="T186" i="19"/>
  <c r="T187" i="19"/>
  <c r="T190" i="19"/>
  <c r="T188" i="19"/>
  <c r="T193" i="19"/>
  <c r="T195" i="19"/>
  <c r="T196" i="19"/>
  <c r="T197" i="19"/>
  <c r="T198" i="19"/>
  <c r="T199" i="19"/>
  <c r="T200" i="19"/>
  <c r="T202" i="19"/>
  <c r="T203" i="19"/>
  <c r="T205" i="19"/>
  <c r="T206" i="19"/>
  <c r="T208" i="19"/>
  <c r="T209" i="19"/>
  <c r="T212" i="19"/>
  <c r="T213" i="19"/>
  <c r="T215" i="19"/>
  <c r="T214" i="19"/>
  <c r="T216" i="19"/>
  <c r="T217" i="19"/>
  <c r="T218" i="19"/>
  <c r="T219" i="19"/>
  <c r="T221" i="19"/>
  <c r="T222" i="19"/>
  <c r="T224" i="19"/>
  <c r="T225" i="19"/>
  <c r="T227" i="19"/>
  <c r="T228" i="19"/>
  <c r="T231" i="19"/>
  <c r="T229" i="19"/>
  <c r="T232" i="19"/>
  <c r="T234" i="19"/>
  <c r="T237" i="19"/>
  <c r="T238" i="19"/>
  <c r="K18" i="36" l="1"/>
  <c r="K22" i="36"/>
  <c r="K20" i="36"/>
  <c r="K24" i="36"/>
  <c r="K25" i="36"/>
  <c r="T30" i="62"/>
  <c r="T26" i="62"/>
  <c r="T29" i="62"/>
  <c r="T25" i="62"/>
  <c r="T28" i="62"/>
  <c r="T24" i="62"/>
  <c r="T31" i="62"/>
  <c r="T27" i="62"/>
  <c r="T23" i="62"/>
  <c r="K16" i="36"/>
  <c r="T5" i="19"/>
  <c r="T7" i="19"/>
  <c r="T9" i="19"/>
  <c r="T10" i="19"/>
  <c r="T11" i="19"/>
  <c r="T15" i="19"/>
  <c r="T12" i="19"/>
  <c r="T17" i="19"/>
  <c r="T19" i="19"/>
  <c r="T20" i="19"/>
  <c r="T22" i="19"/>
  <c r="T21" i="19"/>
  <c r="T23" i="19"/>
  <c r="T25" i="19"/>
  <c r="T27" i="19"/>
  <c r="T28" i="19"/>
  <c r="T30" i="19"/>
  <c r="T29" i="19"/>
  <c r="T31" i="19"/>
  <c r="T32" i="19"/>
  <c r="T33" i="19"/>
  <c r="T36" i="19"/>
  <c r="T35" i="19"/>
  <c r="T40" i="19"/>
  <c r="T39" i="19"/>
  <c r="T43" i="19"/>
  <c r="T44" i="19"/>
  <c r="T45" i="19"/>
  <c r="T47" i="19"/>
  <c r="T49" i="19"/>
  <c r="T50" i="19"/>
  <c r="T51" i="19"/>
  <c r="T53" i="19"/>
  <c r="T54" i="19"/>
  <c r="T55" i="19"/>
  <c r="T56" i="19"/>
  <c r="T58" i="19"/>
  <c r="T59" i="19"/>
  <c r="T60" i="19"/>
  <c r="T62" i="19"/>
  <c r="T63" i="19"/>
  <c r="T61" i="19"/>
  <c r="T64" i="19"/>
  <c r="T65" i="19"/>
  <c r="T66" i="19"/>
  <c r="T67" i="19"/>
  <c r="T70" i="19"/>
  <c r="T71" i="19"/>
  <c r="T72" i="19"/>
  <c r="T74" i="19"/>
  <c r="T75" i="19"/>
  <c r="T76" i="19"/>
  <c r="T77" i="19"/>
  <c r="T79" i="19"/>
  <c r="T78" i="19"/>
  <c r="T81" i="19"/>
  <c r="T80" i="19"/>
  <c r="T82" i="19"/>
  <c r="T83" i="19"/>
  <c r="T84" i="19"/>
  <c r="T85" i="19"/>
  <c r="T86" i="19"/>
  <c r="T88" i="19"/>
  <c r="T89" i="19"/>
  <c r="T90" i="19"/>
  <c r="T93" i="19"/>
  <c r="T94" i="19"/>
  <c r="T97" i="19"/>
  <c r="T101" i="19"/>
  <c r="T102" i="19"/>
  <c r="T99" i="19"/>
  <c r="T103" i="19"/>
  <c r="T105" i="19"/>
  <c r="T108" i="19"/>
  <c r="T107" i="19"/>
  <c r="T109" i="19"/>
  <c r="T111" i="19"/>
  <c r="T110" i="19"/>
  <c r="T112" i="19"/>
  <c r="T114" i="19"/>
  <c r="T115" i="19"/>
  <c r="T116" i="19"/>
  <c r="T118" i="19"/>
  <c r="T119" i="19"/>
  <c r="T120" i="19"/>
  <c r="T121" i="19"/>
  <c r="T122" i="19"/>
  <c r="T123" i="19"/>
  <c r="T124" i="19"/>
  <c r="T125" i="19"/>
  <c r="T126" i="19"/>
  <c r="T127" i="19"/>
  <c r="T128" i="19"/>
  <c r="T129" i="19"/>
  <c r="T130" i="19"/>
  <c r="T131" i="19"/>
  <c r="T132" i="19"/>
  <c r="T133" i="19"/>
  <c r="T134" i="19"/>
  <c r="T135" i="19"/>
  <c r="T136" i="19"/>
  <c r="T137" i="19"/>
  <c r="T138" i="19"/>
  <c r="T139" i="19"/>
  <c r="T140" i="19"/>
  <c r="T141" i="19"/>
  <c r="T143" i="19"/>
  <c r="T144" i="19"/>
  <c r="T145" i="19"/>
  <c r="T146" i="19"/>
  <c r="T148" i="19"/>
  <c r="T150" i="19"/>
  <c r="T153" i="19"/>
  <c r="T151" i="19"/>
  <c r="T154" i="19"/>
  <c r="T155" i="19"/>
  <c r="T156" i="19"/>
  <c r="T158" i="19"/>
  <c r="T160" i="19"/>
  <c r="T162" i="19"/>
  <c r="T163" i="19"/>
  <c r="T6" i="19"/>
  <c r="S5" i="19"/>
  <c r="S7" i="19"/>
  <c r="S10" i="19"/>
  <c r="S11" i="19"/>
  <c r="S15" i="19"/>
  <c r="S12" i="19"/>
  <c r="S17" i="19"/>
  <c r="S19" i="19"/>
  <c r="S20" i="19"/>
  <c r="S22" i="19"/>
  <c r="S21" i="19"/>
  <c r="S23" i="19"/>
  <c r="S25" i="19"/>
  <c r="S27" i="19"/>
  <c r="S28" i="19"/>
  <c r="S30" i="19"/>
  <c r="S29" i="19"/>
  <c r="S31" i="19"/>
  <c r="S32" i="19"/>
  <c r="S33" i="19"/>
  <c r="S36" i="19"/>
  <c r="S35" i="19"/>
  <c r="S40" i="19"/>
  <c r="S39" i="19"/>
  <c r="S43" i="19"/>
  <c r="S44" i="19"/>
  <c r="S45" i="19"/>
  <c r="S47" i="19"/>
  <c r="S49" i="19"/>
  <c r="S50" i="19"/>
  <c r="S51" i="19"/>
  <c r="S53" i="19"/>
  <c r="S54" i="19"/>
  <c r="S55" i="19"/>
  <c r="S56" i="19"/>
  <c r="S58" i="19"/>
  <c r="S59" i="19"/>
  <c r="S60" i="19"/>
  <c r="S62" i="19"/>
  <c r="S63" i="19"/>
  <c r="S61" i="19"/>
  <c r="S64" i="19"/>
  <c r="S65" i="19"/>
  <c r="S66" i="19"/>
  <c r="S67" i="19"/>
  <c r="S70" i="19"/>
  <c r="S71" i="19"/>
  <c r="S72" i="19"/>
  <c r="S74" i="19"/>
  <c r="S75" i="19"/>
  <c r="S76" i="19"/>
  <c r="S77" i="19"/>
  <c r="S79" i="19"/>
  <c r="S78" i="19"/>
  <c r="S81" i="19"/>
  <c r="S80" i="19"/>
  <c r="S82" i="19"/>
  <c r="S83" i="19"/>
  <c r="S84" i="19"/>
  <c r="S85" i="19"/>
  <c r="S86" i="19"/>
  <c r="S88" i="19"/>
  <c r="S89" i="19"/>
  <c r="S90" i="19"/>
  <c r="S93" i="19"/>
  <c r="S94" i="19"/>
  <c r="S97" i="19"/>
  <c r="S101" i="19"/>
  <c r="S102" i="19"/>
  <c r="S99" i="19"/>
  <c r="S103" i="19"/>
  <c r="S105" i="19"/>
  <c r="S108" i="19"/>
  <c r="S107" i="19"/>
  <c r="S109" i="19"/>
  <c r="S111" i="19"/>
  <c r="S110" i="19"/>
  <c r="S112" i="19"/>
  <c r="S114" i="19"/>
  <c r="S115" i="19"/>
  <c r="S116" i="19"/>
  <c r="S118" i="19"/>
  <c r="S119" i="19"/>
  <c r="S120" i="19"/>
  <c r="S121" i="19"/>
  <c r="S122" i="19"/>
  <c r="S123" i="19"/>
  <c r="S124" i="19"/>
  <c r="S125" i="19"/>
  <c r="S126" i="19"/>
  <c r="S127" i="19"/>
  <c r="S128" i="19"/>
  <c r="S129" i="19"/>
  <c r="S130" i="19"/>
  <c r="S131" i="19"/>
  <c r="S132" i="19"/>
  <c r="S133" i="19"/>
  <c r="S134" i="19"/>
  <c r="S135" i="19"/>
  <c r="S136" i="19"/>
  <c r="S137" i="19"/>
  <c r="S138" i="19"/>
  <c r="S139" i="19"/>
  <c r="S140" i="19"/>
  <c r="S141" i="19"/>
  <c r="S143" i="19"/>
  <c r="S144" i="19"/>
  <c r="S145" i="19"/>
  <c r="S146" i="19"/>
  <c r="S148" i="19"/>
  <c r="S150" i="19"/>
  <c r="S153" i="19"/>
  <c r="S151" i="19"/>
  <c r="S154" i="19"/>
  <c r="S155" i="19"/>
  <c r="S156" i="19"/>
  <c r="S158" i="19"/>
  <c r="S160" i="19"/>
  <c r="S162" i="19"/>
  <c r="S163" i="19"/>
  <c r="S6" i="19"/>
  <c r="T7" i="62"/>
  <c r="T8" i="62"/>
  <c r="T10" i="62"/>
  <c r="T9" i="62"/>
  <c r="AF95" i="14" l="1"/>
  <c r="AH95" i="14" s="1"/>
  <c r="AF183" i="14"/>
  <c r="AH183" i="14" s="1"/>
  <c r="AF89" i="14"/>
  <c r="AH89" i="14" s="1"/>
  <c r="AF8" i="14"/>
  <c r="AF6" i="14"/>
  <c r="K8" i="36"/>
  <c r="K27" i="36"/>
  <c r="K21" i="36"/>
  <c r="K17" i="36"/>
  <c r="K13" i="36"/>
  <c r="K19" i="36"/>
  <c r="K9" i="36"/>
  <c r="AF182" i="14"/>
  <c r="AF206" i="14"/>
  <c r="AF186" i="14"/>
  <c r="AF193" i="14"/>
  <c r="AF158" i="14"/>
  <c r="AF197" i="14"/>
  <c r="AF190" i="14"/>
  <c r="AF172" i="14"/>
  <c r="AF54" i="14"/>
  <c r="AF60" i="14"/>
  <c r="AF216" i="14"/>
  <c r="AF173" i="14"/>
  <c r="AF110" i="14"/>
  <c r="AF239" i="14"/>
  <c r="AF116" i="14"/>
  <c r="AF96" i="14"/>
  <c r="AF111" i="14"/>
  <c r="AF191" i="14"/>
  <c r="AF67" i="14"/>
  <c r="AF146" i="14"/>
  <c r="AF93" i="14"/>
  <c r="AF22" i="14"/>
  <c r="AF219" i="14"/>
  <c r="AF102" i="14"/>
  <c r="AF210" i="14"/>
  <c r="AF61" i="14"/>
  <c r="AF85" i="14"/>
  <c r="AF75" i="14"/>
  <c r="AF150" i="14"/>
  <c r="AF34" i="14"/>
  <c r="AF88" i="14"/>
  <c r="AF168" i="14"/>
  <c r="AM81" i="20"/>
  <c r="AO81" i="20"/>
  <c r="AM80" i="20"/>
  <c r="AO80" i="20"/>
  <c r="AM84" i="20"/>
  <c r="AO84" i="20"/>
  <c r="AM83" i="20"/>
  <c r="AO83" i="20"/>
  <c r="AP84" i="20" l="1"/>
  <c r="AR84" i="20"/>
  <c r="AP81" i="20"/>
  <c r="AR81" i="20"/>
  <c r="AP83" i="20"/>
  <c r="AR83" i="20"/>
  <c r="AP80" i="20"/>
  <c r="AR80" i="20"/>
  <c r="AH88" i="14"/>
  <c r="AH85" i="14"/>
  <c r="AH219" i="14"/>
  <c r="AH67" i="14"/>
  <c r="AH116" i="14"/>
  <c r="AH216" i="14"/>
  <c r="AH190" i="14"/>
  <c r="AH186" i="14"/>
  <c r="AH34" i="14"/>
  <c r="AH61" i="14"/>
  <c r="AH22" i="14"/>
  <c r="AH191" i="14"/>
  <c r="AH239" i="14"/>
  <c r="AH60" i="14"/>
  <c r="AH197" i="14"/>
  <c r="AH206" i="14"/>
  <c r="AH150" i="14"/>
  <c r="AH210" i="14"/>
  <c r="AH93" i="14"/>
  <c r="AH111" i="14"/>
  <c r="AH110" i="14"/>
  <c r="AH54" i="14"/>
  <c r="AH158" i="14"/>
  <c r="AH182" i="14"/>
  <c r="AH168" i="14"/>
  <c r="AH75" i="14"/>
  <c r="AH102" i="14"/>
  <c r="AH146" i="14"/>
  <c r="AH96" i="14"/>
  <c r="AH173" i="14"/>
  <c r="AH172" i="14"/>
  <c r="AH193" i="14"/>
  <c r="AH8" i="14"/>
  <c r="M7" i="36"/>
  <c r="AF137" i="14"/>
  <c r="AF45" i="14"/>
  <c r="AM319" i="20"/>
  <c r="AM321" i="20"/>
  <c r="AM320" i="20"/>
  <c r="AM322" i="20"/>
  <c r="AM280" i="20"/>
  <c r="AM240" i="20"/>
  <c r="AM243" i="20"/>
  <c r="AM276" i="20"/>
  <c r="AM259" i="20"/>
  <c r="AM287" i="20"/>
  <c r="AM282" i="20"/>
  <c r="AM271" i="20"/>
  <c r="AM289" i="20"/>
  <c r="AM238" i="20"/>
  <c r="AM229" i="20"/>
  <c r="AM272" i="20"/>
  <c r="AM285" i="20"/>
  <c r="AM284" i="20"/>
  <c r="AM216" i="20"/>
  <c r="AM218" i="20"/>
  <c r="AM286" i="20"/>
  <c r="AM228" i="20"/>
  <c r="AM288" i="20"/>
  <c r="AM233" i="20"/>
  <c r="AM235" i="20"/>
  <c r="AM245" i="20"/>
  <c r="AM241" i="20"/>
  <c r="AM273" i="20"/>
  <c r="AM194" i="20"/>
  <c r="AM199" i="20"/>
  <c r="AM200" i="20"/>
  <c r="AM232" i="20"/>
  <c r="AM274" i="20"/>
  <c r="AM275" i="20"/>
  <c r="AM202" i="20"/>
  <c r="AM206" i="20"/>
  <c r="AM239" i="20"/>
  <c r="AM260" i="20"/>
  <c r="AM208" i="20"/>
  <c r="AM209" i="20"/>
  <c r="AM210" i="20"/>
  <c r="AM211" i="20"/>
  <c r="AM219" i="20"/>
  <c r="AM230" i="20"/>
  <c r="AM256" i="20"/>
  <c r="AM253" i="20"/>
  <c r="AM198" i="20"/>
  <c r="AM204" i="20"/>
  <c r="AM205" i="20"/>
  <c r="AM203" i="20"/>
  <c r="AM217" i="20"/>
  <c r="AM227" i="20"/>
  <c r="AM231" i="20"/>
  <c r="AM237" i="20"/>
  <c r="AM242" i="20"/>
  <c r="AM252" i="20"/>
  <c r="AM236" i="20"/>
  <c r="AM201" i="20"/>
  <c r="AM213" i="20"/>
  <c r="AM214" i="20"/>
  <c r="AM226" i="20"/>
  <c r="AM234" i="20"/>
  <c r="AM279" i="20"/>
  <c r="AM277" i="20"/>
  <c r="AM278" i="20"/>
  <c r="AM281" i="20"/>
  <c r="AM292" i="20"/>
  <c r="AM290" i="20"/>
  <c r="AM291" i="20"/>
  <c r="AM542" i="20"/>
  <c r="AM543" i="20"/>
  <c r="AM549" i="20"/>
  <c r="AM544" i="20"/>
  <c r="AM534" i="20"/>
  <c r="AM550" i="20"/>
  <c r="AM536" i="20"/>
  <c r="AM548" i="20"/>
  <c r="AM545" i="20"/>
  <c r="AM546" i="20"/>
  <c r="AM547" i="20"/>
  <c r="AM688" i="20"/>
  <c r="AM676" i="20"/>
  <c r="AM674" i="20"/>
  <c r="AM664" i="20"/>
  <c r="AM668" i="20"/>
  <c r="AM669" i="20"/>
  <c r="AM670" i="20"/>
  <c r="AM665" i="20"/>
  <c r="AM685" i="20"/>
  <c r="AM663" i="20"/>
  <c r="AM666" i="20"/>
  <c r="AM687" i="20"/>
  <c r="AM672" i="20"/>
  <c r="AM454" i="20"/>
  <c r="AM467" i="20"/>
  <c r="AM683" i="20"/>
  <c r="AM700" i="20"/>
  <c r="AM673" i="20"/>
  <c r="AM675" i="20"/>
  <c r="AM451" i="20"/>
  <c r="AM699" i="20"/>
  <c r="AM694" i="20"/>
  <c r="AM464" i="20"/>
  <c r="AM692" i="20"/>
  <c r="AM693" i="20"/>
  <c r="AM306" i="20"/>
  <c r="AM307" i="20"/>
  <c r="AM311" i="20"/>
  <c r="AM312" i="20"/>
  <c r="AM345" i="20"/>
  <c r="AM442" i="20"/>
  <c r="AM452" i="20"/>
  <c r="AM697" i="20"/>
  <c r="AM301" i="20"/>
  <c r="AM686" i="20"/>
  <c r="AM679" i="20"/>
  <c r="AM680" i="20"/>
  <c r="AM314" i="20"/>
  <c r="AM315" i="20"/>
  <c r="AM695" i="20"/>
  <c r="AM690" i="20"/>
  <c r="AM304" i="20"/>
  <c r="AM310" i="20"/>
  <c r="AM671" i="20"/>
  <c r="AM691" i="20"/>
  <c r="AM463" i="20"/>
  <c r="AM696" i="20"/>
  <c r="AM689" i="20"/>
  <c r="AM682" i="20"/>
  <c r="AM667" i="20"/>
  <c r="AM678" i="20"/>
  <c r="AM677" i="20"/>
  <c r="AM681" i="20"/>
  <c r="AM698" i="20"/>
  <c r="AM684" i="20"/>
  <c r="AM374" i="20"/>
  <c r="AM402" i="20"/>
  <c r="AM409" i="20"/>
  <c r="AM397" i="20"/>
  <c r="AM422" i="20"/>
  <c r="AM425" i="20"/>
  <c r="AM392" i="20"/>
  <c r="AM371" i="20"/>
  <c r="AM358" i="20"/>
  <c r="AM394" i="20"/>
  <c r="AM363" i="20"/>
  <c r="AM354" i="20"/>
  <c r="AM356" i="20"/>
  <c r="AM380" i="20"/>
  <c r="AM303" i="20"/>
  <c r="AM305" i="20"/>
  <c r="AM308" i="20"/>
  <c r="AM482" i="20"/>
  <c r="AM625" i="20"/>
  <c r="AM483" i="20"/>
  <c r="AM630" i="20"/>
  <c r="AM631" i="20"/>
  <c r="AM632" i="20"/>
  <c r="AM629" i="20"/>
  <c r="AM583" i="20"/>
  <c r="AM618" i="20"/>
  <c r="AM627" i="20"/>
  <c r="AM479" i="20"/>
  <c r="AM477" i="20"/>
  <c r="AM621" i="20"/>
  <c r="AM628" i="20"/>
  <c r="AM576" i="20"/>
  <c r="AM620" i="20"/>
  <c r="AM623" i="20"/>
  <c r="AM575" i="20"/>
  <c r="AM579" i="20"/>
  <c r="AM553" i="20"/>
  <c r="AM619" i="20"/>
  <c r="AM296" i="20"/>
  <c r="AM295" i="20"/>
  <c r="AM300" i="20"/>
  <c r="AM298" i="20"/>
  <c r="AM299" i="20"/>
  <c r="AM342" i="20"/>
  <c r="AM344" i="20"/>
  <c r="AM343" i="20"/>
  <c r="AM341" i="20"/>
  <c r="AM339" i="20"/>
  <c r="AM340" i="20"/>
  <c r="AM338" i="20"/>
  <c r="AM396" i="20"/>
  <c r="AM662" i="20"/>
  <c r="AM327" i="20"/>
  <c r="AM388" i="20"/>
  <c r="AM375" i="20"/>
  <c r="AM432" i="20"/>
  <c r="AM461" i="20"/>
  <c r="AM410" i="20"/>
  <c r="AM473" i="20"/>
  <c r="AM423" i="20"/>
  <c r="AM405" i="20"/>
  <c r="AM417" i="20"/>
  <c r="AM385" i="20"/>
  <c r="AM458" i="20"/>
  <c r="AM569" i="20"/>
  <c r="AM661" i="20"/>
  <c r="AM330" i="20"/>
  <c r="AM389" i="20"/>
  <c r="AM373" i="20"/>
  <c r="AM712" i="20"/>
  <c r="AM333" i="20"/>
  <c r="AM386" i="20"/>
  <c r="AM426" i="20"/>
  <c r="AM391" i="20"/>
  <c r="AM475" i="20"/>
  <c r="AM652" i="20"/>
  <c r="AM384" i="20"/>
  <c r="AM406" i="20"/>
  <c r="AM403" i="20"/>
  <c r="AM459" i="20"/>
  <c r="AM469" i="20"/>
  <c r="AM571" i="20"/>
  <c r="AM329" i="20"/>
  <c r="AM414" i="20"/>
  <c r="AM393" i="20"/>
  <c r="AM379" i="20"/>
  <c r="AM436" i="20"/>
  <c r="AM437" i="20"/>
  <c r="AM468" i="20"/>
  <c r="AM574" i="20"/>
  <c r="AM328" i="20"/>
  <c r="AM390" i="20"/>
  <c r="AM372" i="20"/>
  <c r="AM369" i="20"/>
  <c r="AM427" i="20"/>
  <c r="AM658" i="20"/>
  <c r="AM337" i="20"/>
  <c r="AM350" i="20"/>
  <c r="AM352" i="20"/>
  <c r="AM420" i="20"/>
  <c r="AM359" i="20"/>
  <c r="AM401" i="20"/>
  <c r="AM383" i="20"/>
  <c r="AM424" i="20"/>
  <c r="AM362" i="20"/>
  <c r="AM395" i="20"/>
  <c r="AM411" i="20"/>
  <c r="AM429" i="20"/>
  <c r="AM438" i="20"/>
  <c r="AM465" i="20"/>
  <c r="AM572" i="20"/>
  <c r="AM655" i="20"/>
  <c r="AM657" i="20"/>
  <c r="AM660" i="20"/>
  <c r="AM404" i="20"/>
  <c r="AM377" i="20"/>
  <c r="AM364" i="20"/>
  <c r="AM462" i="20"/>
  <c r="AM651" i="20"/>
  <c r="AM710" i="20"/>
  <c r="AM361" i="20"/>
  <c r="AM471" i="20"/>
  <c r="AM346" i="20"/>
  <c r="AM399" i="20"/>
  <c r="AM366" i="20"/>
  <c r="AM653" i="20"/>
  <c r="AM325" i="20"/>
  <c r="AM415" i="20"/>
  <c r="AM355" i="20"/>
  <c r="AM357" i="20"/>
  <c r="AM408" i="20"/>
  <c r="AM435" i="20"/>
  <c r="AM446" i="20"/>
  <c r="AM649" i="20"/>
  <c r="AM650" i="20"/>
  <c r="AM654" i="20"/>
  <c r="AM331" i="20"/>
  <c r="AM334" i="20"/>
  <c r="AM335" i="20"/>
  <c r="AM412" i="20"/>
  <c r="AM368" i="20"/>
  <c r="AM413" i="20"/>
  <c r="AM381" i="20"/>
  <c r="AM398" i="20"/>
  <c r="AM421" i="20"/>
  <c r="AM376" i="20"/>
  <c r="AM387" i="20"/>
  <c r="AM370" i="20"/>
  <c r="AM448" i="20"/>
  <c r="AM656" i="20"/>
  <c r="AM659" i="20"/>
  <c r="AM713" i="20"/>
  <c r="AM714" i="20"/>
  <c r="AM715" i="20"/>
  <c r="AM317" i="20"/>
  <c r="AM324" i="20"/>
  <c r="AM326" i="20"/>
  <c r="AM336" i="20"/>
  <c r="AM419" i="20"/>
  <c r="AM418" i="20"/>
  <c r="AM382" i="20"/>
  <c r="AM400" i="20"/>
  <c r="AM441" i="20"/>
  <c r="AM440" i="20"/>
  <c r="AM439" i="20"/>
  <c r="AM570" i="20"/>
  <c r="AM183" i="20"/>
  <c r="AM457" i="20"/>
  <c r="AM495" i="20"/>
  <c r="AM834" i="20"/>
  <c r="AM844" i="20"/>
  <c r="AM845" i="20"/>
  <c r="AM855" i="20"/>
  <c r="AM856" i="20"/>
  <c r="AM861" i="20"/>
  <c r="AM862" i="20"/>
  <c r="AM863" i="20"/>
  <c r="AM864" i="20"/>
  <c r="AM892" i="20"/>
  <c r="AM262" i="20"/>
  <c r="AM255" i="20"/>
  <c r="AM258" i="20"/>
  <c r="AM503" i="20"/>
  <c r="AM613" i="20"/>
  <c r="AM265" i="20"/>
  <c r="AM428" i="20"/>
  <c r="AM466" i="20"/>
  <c r="AM476" i="20"/>
  <c r="AM749" i="20"/>
  <c r="AM107" i="20"/>
  <c r="AM97" i="20"/>
  <c r="AM517" i="20"/>
  <c r="AM558" i="20"/>
  <c r="AM592" i="20"/>
  <c r="AM593" i="20"/>
  <c r="AM222" i="20"/>
  <c r="AM510" i="20"/>
  <c r="AM514" i="20"/>
  <c r="AM551" i="20"/>
  <c r="AM573" i="20"/>
  <c r="AM624" i="20"/>
  <c r="AM827" i="20"/>
  <c r="AM515" i="20"/>
  <c r="AM729" i="20"/>
  <c r="AM823" i="20"/>
  <c r="AM876" i="20"/>
  <c r="AM883" i="20"/>
  <c r="AM508" i="20"/>
  <c r="AM102" i="20"/>
  <c r="AM93" i="20"/>
  <c r="AM96" i="20"/>
  <c r="AM98" i="20"/>
  <c r="AM94" i="20"/>
  <c r="AM92" i="20"/>
  <c r="AM101" i="20"/>
  <c r="AM108" i="20"/>
  <c r="AM109" i="20"/>
  <c r="AM110" i="20"/>
  <c r="AM95" i="20"/>
  <c r="AM106" i="20"/>
  <c r="AM445" i="20"/>
  <c r="AM455" i="20"/>
  <c r="AM474" i="20"/>
  <c r="AM489" i="20"/>
  <c r="AM497" i="20"/>
  <c r="AM500" i="20"/>
  <c r="AM538" i="20"/>
  <c r="AM554" i="20"/>
  <c r="AM555" i="20"/>
  <c r="AM560" i="20"/>
  <c r="AM563" i="20"/>
  <c r="AM564" i="20"/>
  <c r="AM556" i="20"/>
  <c r="AM588" i="20"/>
  <c r="AM585" i="20"/>
  <c r="AM603" i="20"/>
  <c r="AM599" i="20"/>
  <c r="AM605" i="20"/>
  <c r="AM868" i="20"/>
  <c r="AM865" i="20"/>
  <c r="AM866" i="20"/>
  <c r="AM867" i="20"/>
  <c r="AM220" i="20"/>
  <c r="AM498" i="20"/>
  <c r="AM518" i="20"/>
  <c r="AM535" i="20"/>
  <c r="AM577" i="20"/>
  <c r="AM608" i="20"/>
  <c r="AM633" i="20"/>
  <c r="AM708" i="20"/>
  <c r="AM726" i="20"/>
  <c r="AM86" i="20"/>
  <c r="AM244" i="20"/>
  <c r="AM283" i="20"/>
  <c r="AM434" i="20"/>
  <c r="AM607" i="20"/>
  <c r="AM706" i="20"/>
  <c r="AM717" i="20"/>
  <c r="AM718" i="20"/>
  <c r="AM869" i="20"/>
  <c r="AM105" i="20"/>
  <c r="AM111" i="20"/>
  <c r="AM99" i="20"/>
  <c r="AM132" i="20"/>
  <c r="AM539" i="20"/>
  <c r="AM541" i="20"/>
  <c r="AM562" i="20"/>
  <c r="AM594" i="20"/>
  <c r="AM596" i="20"/>
  <c r="AM705" i="20"/>
  <c r="AM719" i="20"/>
  <c r="AM735" i="20"/>
  <c r="AM736" i="20"/>
  <c r="AM771" i="20"/>
  <c r="AM843" i="20"/>
  <c r="AM873" i="20"/>
  <c r="AM611" i="20"/>
  <c r="AM761" i="20"/>
  <c r="AM187" i="20"/>
  <c r="AM491" i="20"/>
  <c r="AM567" i="20"/>
  <c r="AM803" i="20"/>
  <c r="AM824" i="20"/>
  <c r="AM889" i="20"/>
  <c r="AM129" i="20"/>
  <c r="AM246" i="20"/>
  <c r="AM251" i="20"/>
  <c r="AM509" i="20"/>
  <c r="AM580" i="20"/>
  <c r="AM724" i="20"/>
  <c r="AM727" i="20"/>
  <c r="AM750" i="20"/>
  <c r="AM752" i="20"/>
  <c r="AM798" i="20"/>
  <c r="AM131" i="20"/>
  <c r="AM171" i="20"/>
  <c r="AM172" i="20"/>
  <c r="AM180" i="20"/>
  <c r="AM185" i="20"/>
  <c r="AM302" i="20"/>
  <c r="AM407" i="20"/>
  <c r="AM470" i="20"/>
  <c r="AM481" i="20"/>
  <c r="AM494" i="20"/>
  <c r="AM499" i="20"/>
  <c r="AM522" i="20"/>
  <c r="AM524" i="20"/>
  <c r="AM530" i="20"/>
  <c r="AM533" i="20"/>
  <c r="AM610" i="20"/>
  <c r="AM722" i="20"/>
  <c r="AM734" i="20"/>
  <c r="AM741" i="20"/>
  <c r="AM748" i="20"/>
  <c r="AM760" i="20"/>
  <c r="AM759" i="20"/>
  <c r="AM770" i="20"/>
  <c r="AM779" i="20"/>
  <c r="AM780" i="20"/>
  <c r="AM801" i="20"/>
  <c r="AM809" i="20"/>
  <c r="AM833" i="20"/>
  <c r="AM842" i="20"/>
  <c r="AM854" i="20"/>
  <c r="AM753" i="20"/>
  <c r="AM181" i="20"/>
  <c r="AM224" i="20"/>
  <c r="AM267" i="20"/>
  <c r="AM520" i="20"/>
  <c r="AM582" i="20"/>
  <c r="AM609" i="20"/>
  <c r="AM721" i="20"/>
  <c r="AM774" i="20"/>
  <c r="AM792" i="20"/>
  <c r="AM806" i="20"/>
  <c r="AM830" i="20"/>
  <c r="AM831" i="20"/>
  <c r="AM858" i="20"/>
  <c r="AM859" i="20"/>
  <c r="AM516" i="20"/>
  <c r="AM711" i="20"/>
  <c r="AM747" i="20"/>
  <c r="AM756" i="20"/>
  <c r="AM758" i="20"/>
  <c r="AM781" i="20"/>
  <c r="AM778" i="20"/>
  <c r="AM783" i="20"/>
  <c r="AM818" i="20"/>
  <c r="AM79" i="20"/>
  <c r="AM485" i="20"/>
  <c r="AM488" i="20"/>
  <c r="AM504" i="20"/>
  <c r="AM505" i="20"/>
  <c r="AM614" i="20"/>
  <c r="AM616" i="20"/>
  <c r="AM790" i="20"/>
  <c r="AM870" i="20"/>
  <c r="AM881" i="20"/>
  <c r="AM82" i="20"/>
  <c r="AM184" i="20"/>
  <c r="AM248" i="20"/>
  <c r="AM249" i="20"/>
  <c r="AM263" i="20"/>
  <c r="AM268" i="20"/>
  <c r="AM323" i="20"/>
  <c r="AM360" i="20"/>
  <c r="AM453" i="20"/>
  <c r="AM487" i="20"/>
  <c r="AM523" i="20"/>
  <c r="AM532" i="20"/>
  <c r="AM552" i="20"/>
  <c r="AM730" i="20"/>
  <c r="AM733" i="20"/>
  <c r="AM763" i="20"/>
  <c r="AM794" i="20"/>
  <c r="AM797" i="20"/>
  <c r="AM802" i="20"/>
  <c r="AM805" i="20"/>
  <c r="AM807" i="20"/>
  <c r="AM820" i="20"/>
  <c r="AM821" i="20"/>
  <c r="AM826" i="20"/>
  <c r="AM835" i="20"/>
  <c r="AM846" i="20"/>
  <c r="AM847" i="20"/>
  <c r="AM848" i="20"/>
  <c r="AM850" i="20"/>
  <c r="AM880" i="20"/>
  <c r="AM891" i="20"/>
  <c r="AM223" i="20"/>
  <c r="AM309" i="20"/>
  <c r="AM313" i="20"/>
  <c r="AM378" i="20"/>
  <c r="AM365" i="20"/>
  <c r="AM480" i="20"/>
  <c r="AM478" i="20"/>
  <c r="AM626" i="20"/>
  <c r="AM731" i="20"/>
  <c r="AM739" i="20"/>
  <c r="AM740" i="20"/>
  <c r="AM745" i="20"/>
  <c r="AM746" i="20"/>
  <c r="AM775" i="20"/>
  <c r="AM776" i="20"/>
  <c r="AM811" i="20"/>
  <c r="AM812" i="20"/>
  <c r="AM828" i="20"/>
  <c r="AM839" i="20"/>
  <c r="AM840" i="20"/>
  <c r="AM841" i="20"/>
  <c r="AM857" i="20"/>
  <c r="AM347" i="20"/>
  <c r="AM430" i="20"/>
  <c r="AM443" i="20"/>
  <c r="AM460" i="20"/>
  <c r="AM484" i="20"/>
  <c r="AM501" i="20"/>
  <c r="AM502" i="20"/>
  <c r="AM612" i="20"/>
  <c r="AM615" i="20"/>
  <c r="AM297" i="20"/>
  <c r="AM367" i="20"/>
  <c r="AM511" i="20"/>
  <c r="AM521" i="20"/>
  <c r="AM728" i="20"/>
  <c r="AM738" i="20"/>
  <c r="AM744" i="20"/>
  <c r="AM755" i="20"/>
  <c r="AM767" i="20"/>
  <c r="AM787" i="20"/>
  <c r="AM800" i="20"/>
  <c r="AM810" i="20"/>
  <c r="AM832" i="20"/>
  <c r="AM838" i="20"/>
  <c r="AM851" i="20"/>
  <c r="AM882" i="20"/>
  <c r="AM894" i="20"/>
  <c r="AM85" i="20"/>
  <c r="AM182" i="20"/>
  <c r="AM318" i="20"/>
  <c r="AM348" i="20"/>
  <c r="AM349" i="20"/>
  <c r="AM353" i="20"/>
  <c r="AM416" i="20"/>
  <c r="AM449" i="20"/>
  <c r="AM456" i="20"/>
  <c r="AM486" i="20"/>
  <c r="AM540" i="20"/>
  <c r="AM568" i="20"/>
  <c r="AM622" i="20"/>
  <c r="AM703" i="20"/>
  <c r="AM704" i="20"/>
  <c r="AM701" i="20"/>
  <c r="AM707" i="20"/>
  <c r="AM709" i="20"/>
  <c r="AM716" i="20"/>
  <c r="AM737" i="20"/>
  <c r="AM742" i="20"/>
  <c r="AM743" i="20"/>
  <c r="AM754" i="20"/>
  <c r="AM782" i="20"/>
  <c r="AM769" i="20"/>
  <c r="AM791" i="20"/>
  <c r="AM796" i="20"/>
  <c r="AM813" i="20"/>
  <c r="AM816" i="20"/>
  <c r="AM817" i="20"/>
  <c r="AM822" i="20"/>
  <c r="AM825" i="20"/>
  <c r="AM836" i="20"/>
  <c r="AM837" i="20"/>
  <c r="AM849" i="20"/>
  <c r="AM852" i="20"/>
  <c r="AM860" i="20"/>
  <c r="AM875" i="20"/>
  <c r="AM877" i="20"/>
  <c r="AM884" i="20"/>
  <c r="AM887" i="20"/>
  <c r="AM893" i="20"/>
  <c r="AM897" i="20"/>
  <c r="AM91" i="20"/>
  <c r="AM188" i="20"/>
  <c r="AM189" i="20"/>
  <c r="AM190" i="20"/>
  <c r="AM191" i="20"/>
  <c r="AM221" i="20"/>
  <c r="AM250" i="20"/>
  <c r="AM266" i="20"/>
  <c r="AM269" i="20"/>
  <c r="AM270" i="20"/>
  <c r="AM351" i="20"/>
  <c r="AM433" i="20"/>
  <c r="AM492" i="20"/>
  <c r="AM490" i="20"/>
  <c r="AM493" i="20"/>
  <c r="AM513" i="20"/>
  <c r="AM519" i="20"/>
  <c r="AM702" i="20"/>
  <c r="AM765" i="20"/>
  <c r="AM766" i="20"/>
  <c r="AM764" i="20"/>
  <c r="AM768" i="20"/>
  <c r="AM788" i="20"/>
  <c r="AM786" i="20"/>
  <c r="AM789" i="20"/>
  <c r="AM795" i="20"/>
  <c r="AM799" i="20"/>
  <c r="AM808" i="20"/>
  <c r="AM814" i="20"/>
  <c r="AM819" i="20"/>
  <c r="AM829" i="20"/>
  <c r="AM885" i="20"/>
  <c r="AM886" i="20"/>
  <c r="AM890" i="20"/>
  <c r="AM888" i="20"/>
  <c r="AM512" i="20"/>
  <c r="AM784" i="20"/>
  <c r="AM785" i="20"/>
  <c r="AM896" i="20"/>
  <c r="AM78" i="20"/>
  <c r="AM100" i="20"/>
  <c r="AM130" i="20"/>
  <c r="AM179" i="20"/>
  <c r="AM186" i="20"/>
  <c r="AM192" i="20"/>
  <c r="AM193" i="20"/>
  <c r="AM195" i="20"/>
  <c r="AM196" i="20"/>
  <c r="AM197" i="20"/>
  <c r="AM207" i="20"/>
  <c r="AM212" i="20"/>
  <c r="AM225" i="20"/>
  <c r="AM247" i="20"/>
  <c r="AM264" i="20"/>
  <c r="AM293" i="20"/>
  <c r="AM332" i="20"/>
  <c r="AM431" i="20"/>
  <c r="AM444" i="20"/>
  <c r="AM447" i="20"/>
  <c r="AM450" i="20"/>
  <c r="AM472" i="20"/>
  <c r="AM496" i="20"/>
  <c r="AM506" i="20"/>
  <c r="AM507" i="20"/>
  <c r="AM525" i="20"/>
  <c r="AM526" i="20"/>
  <c r="AM527" i="20"/>
  <c r="AM528" i="20"/>
  <c r="AM529" i="20"/>
  <c r="AM531" i="20"/>
  <c r="AM537" i="20"/>
  <c r="AM561" i="20"/>
  <c r="AM559" i="20"/>
  <c r="AM557" i="20"/>
  <c r="AM565" i="20"/>
  <c r="AM566" i="20"/>
  <c r="AM584" i="20"/>
  <c r="AM581" i="20"/>
  <c r="AM578" i="20"/>
  <c r="AM595" i="20"/>
  <c r="AM591" i="20"/>
  <c r="AM587" i="20"/>
  <c r="AM586" i="20"/>
  <c r="AM590" i="20"/>
  <c r="AM589" i="20"/>
  <c r="AM597" i="20"/>
  <c r="AM602" i="20"/>
  <c r="AM598" i="20"/>
  <c r="AM600" i="20"/>
  <c r="AM601" i="20"/>
  <c r="AM606" i="20"/>
  <c r="AM604" i="20"/>
  <c r="AM617" i="20"/>
  <c r="AM720" i="20"/>
  <c r="AM723" i="20"/>
  <c r="AM725" i="20"/>
  <c r="AM732" i="20"/>
  <c r="AM751" i="20"/>
  <c r="AM757" i="20"/>
  <c r="AM762" i="20"/>
  <c r="AM777" i="20"/>
  <c r="AM772" i="20"/>
  <c r="AM773" i="20"/>
  <c r="AM793" i="20"/>
  <c r="AM804" i="20"/>
  <c r="AM815" i="20"/>
  <c r="AM853" i="20"/>
  <c r="AM872" i="20"/>
  <c r="AM871" i="20"/>
  <c r="AM874" i="20"/>
  <c r="AM878" i="20"/>
  <c r="AM879" i="20"/>
  <c r="AM895" i="20"/>
  <c r="AM637" i="20"/>
  <c r="AM638" i="20"/>
  <c r="AM639" i="20"/>
  <c r="AM636" i="20"/>
  <c r="AM644" i="20"/>
  <c r="AM640" i="20"/>
  <c r="AM648" i="20"/>
  <c r="AM647" i="20"/>
  <c r="AM641" i="20"/>
  <c r="AM642" i="20"/>
  <c r="AM635" i="20"/>
  <c r="AM643" i="20"/>
  <c r="AM646" i="20"/>
  <c r="AM645" i="20"/>
  <c r="AM634" i="20"/>
  <c r="AO183" i="20"/>
  <c r="AO457" i="20"/>
  <c r="AO495" i="20"/>
  <c r="AO542" i="20"/>
  <c r="AP542" i="20" s="1"/>
  <c r="AO834" i="20"/>
  <c r="AO844" i="20"/>
  <c r="AO845" i="20"/>
  <c r="AO855" i="20"/>
  <c r="AO856" i="20"/>
  <c r="AO861" i="20"/>
  <c r="AO862" i="20"/>
  <c r="AO863" i="20"/>
  <c r="AO864" i="20"/>
  <c r="AO892" i="20"/>
  <c r="AO899" i="20"/>
  <c r="AO262" i="20"/>
  <c r="AO255" i="20"/>
  <c r="AO258" i="20"/>
  <c r="AO503" i="20"/>
  <c r="AO613" i="20"/>
  <c r="AO265" i="20"/>
  <c r="AO280" i="20"/>
  <c r="AP280" i="20" s="1"/>
  <c r="AO338" i="20"/>
  <c r="AP338" i="20" s="1"/>
  <c r="AO396" i="20"/>
  <c r="AP396" i="20" s="1"/>
  <c r="AO428" i="20"/>
  <c r="AO466" i="20"/>
  <c r="AO476" i="20"/>
  <c r="AO482" i="20"/>
  <c r="AP482" i="20" s="1"/>
  <c r="AO662" i="20"/>
  <c r="AP662" i="20" s="1"/>
  <c r="AO749" i="20"/>
  <c r="AO303" i="20"/>
  <c r="AP303" i="20" s="1"/>
  <c r="AO107" i="20"/>
  <c r="AO97" i="20"/>
  <c r="AO305" i="20"/>
  <c r="AP305" i="20" s="1"/>
  <c r="AO517" i="20"/>
  <c r="AO543" i="20"/>
  <c r="AP543" i="20" s="1"/>
  <c r="AO558" i="20"/>
  <c r="AO592" i="20"/>
  <c r="AO593" i="20"/>
  <c r="AO688" i="20"/>
  <c r="AP688" i="20" s="1"/>
  <c r="AO222" i="20"/>
  <c r="AO240" i="20"/>
  <c r="AP240" i="20" s="1"/>
  <c r="AO327" i="20"/>
  <c r="AP327" i="20" s="1"/>
  <c r="AO388" i="20"/>
  <c r="AP388" i="20" s="1"/>
  <c r="AO510" i="20"/>
  <c r="AO514" i="20"/>
  <c r="AO551" i="20"/>
  <c r="AO573" i="20"/>
  <c r="AO624" i="20"/>
  <c r="AO637" i="20"/>
  <c r="AP637" i="20" s="1"/>
  <c r="AO676" i="20"/>
  <c r="AP676" i="20" s="1"/>
  <c r="AO827" i="20"/>
  <c r="AO243" i="20"/>
  <c r="AP243" i="20" s="1"/>
  <c r="AO515" i="20"/>
  <c r="AO549" i="20"/>
  <c r="AP549" i="20" s="1"/>
  <c r="AO625" i="20"/>
  <c r="AP625" i="20" s="1"/>
  <c r="AO638" i="20"/>
  <c r="AP638" i="20" s="1"/>
  <c r="AO729" i="20"/>
  <c r="AO823" i="20"/>
  <c r="AO876" i="20"/>
  <c r="AO883" i="20"/>
  <c r="AO374" i="20"/>
  <c r="AP374" i="20" s="1"/>
  <c r="AO375" i="20"/>
  <c r="AP375" i="20" s="1"/>
  <c r="AO402" i="20"/>
  <c r="AP402" i="20" s="1"/>
  <c r="AO432" i="20"/>
  <c r="AP432" i="20" s="1"/>
  <c r="AO461" i="20"/>
  <c r="AP461" i="20" s="1"/>
  <c r="AO508" i="20"/>
  <c r="AO102" i="20"/>
  <c r="AO93" i="20"/>
  <c r="AO96" i="20"/>
  <c r="AO98" i="20"/>
  <c r="AO94" i="20"/>
  <c r="AO92" i="20"/>
  <c r="AO101" i="20"/>
  <c r="AO108" i="20"/>
  <c r="AO109" i="20"/>
  <c r="AO110" i="20"/>
  <c r="AO95" i="20"/>
  <c r="AO106" i="20"/>
  <c r="AO276" i="20"/>
  <c r="AP276" i="20" s="1"/>
  <c r="AO409" i="20"/>
  <c r="AP409" i="20" s="1"/>
  <c r="AO410" i="20"/>
  <c r="AP410" i="20" s="1"/>
  <c r="AO397" i="20"/>
  <c r="AP397" i="20" s="1"/>
  <c r="AO445" i="20"/>
  <c r="AO455" i="20"/>
  <c r="AO473" i="20"/>
  <c r="AP473" i="20" s="1"/>
  <c r="AO474" i="20"/>
  <c r="AO483" i="20"/>
  <c r="AP483" i="20" s="1"/>
  <c r="AO489" i="20"/>
  <c r="AO497" i="20"/>
  <c r="AO500" i="20"/>
  <c r="AO538" i="20"/>
  <c r="AO544" i="20"/>
  <c r="AP544" i="20" s="1"/>
  <c r="AO554" i="20"/>
  <c r="AO555" i="20"/>
  <c r="AO560" i="20"/>
  <c r="AO563" i="20"/>
  <c r="AO564" i="20"/>
  <c r="AO556" i="20"/>
  <c r="AO588" i="20"/>
  <c r="AO585" i="20"/>
  <c r="AO603" i="20"/>
  <c r="AO599" i="20"/>
  <c r="AO605" i="20"/>
  <c r="AO630" i="20"/>
  <c r="AP630" i="20" s="1"/>
  <c r="AO631" i="20"/>
  <c r="AP631" i="20" s="1"/>
  <c r="AO632" i="20"/>
  <c r="AP632" i="20" s="1"/>
  <c r="AO629" i="20"/>
  <c r="AP629" i="20" s="1"/>
  <c r="AO674" i="20"/>
  <c r="AP674" i="20" s="1"/>
  <c r="AO664" i="20"/>
  <c r="AP664" i="20" s="1"/>
  <c r="AO668" i="20"/>
  <c r="AP668" i="20" s="1"/>
  <c r="AO669" i="20"/>
  <c r="AP669" i="20" s="1"/>
  <c r="AO670" i="20"/>
  <c r="AP670" i="20" s="1"/>
  <c r="AO665" i="20"/>
  <c r="AP665" i="20" s="1"/>
  <c r="AO685" i="20"/>
  <c r="AP685" i="20" s="1"/>
  <c r="AO663" i="20"/>
  <c r="AP663" i="20" s="1"/>
  <c r="AO666" i="20"/>
  <c r="AP666" i="20" s="1"/>
  <c r="AO687" i="20"/>
  <c r="AP687" i="20" s="1"/>
  <c r="AO868" i="20"/>
  <c r="AO865" i="20"/>
  <c r="AO866" i="20"/>
  <c r="AO867" i="20"/>
  <c r="AO220" i="20"/>
  <c r="AO259" i="20"/>
  <c r="AP259" i="20" s="1"/>
  <c r="AO287" i="20"/>
  <c r="AP287" i="20" s="1"/>
  <c r="AO498" i="20"/>
  <c r="AO518" i="20"/>
  <c r="AO534" i="20"/>
  <c r="AP534" i="20" s="1"/>
  <c r="AO535" i="20"/>
  <c r="AO550" i="20"/>
  <c r="AP550" i="20" s="1"/>
  <c r="AO577" i="20"/>
  <c r="AO608" i="20"/>
  <c r="AO633" i="20"/>
  <c r="AO708" i="20"/>
  <c r="AO726" i="20"/>
  <c r="AO86" i="20"/>
  <c r="AO244" i="20"/>
  <c r="AO282" i="20"/>
  <c r="AP282" i="20" s="1"/>
  <c r="AO283" i="20"/>
  <c r="AO434" i="20"/>
  <c r="AO607" i="20"/>
  <c r="AO672" i="20"/>
  <c r="AP672" i="20" s="1"/>
  <c r="AO706" i="20"/>
  <c r="AO717" i="20"/>
  <c r="AO718" i="20"/>
  <c r="AO869" i="20"/>
  <c r="AO105" i="20"/>
  <c r="AO111" i="20"/>
  <c r="AO99" i="20"/>
  <c r="AO132" i="20"/>
  <c r="AO271" i="20"/>
  <c r="AP271" i="20" s="1"/>
  <c r="AO289" i="20"/>
  <c r="AP289" i="20" s="1"/>
  <c r="AO342" i="20"/>
  <c r="AP342" i="20" s="1"/>
  <c r="AO422" i="20"/>
  <c r="AP422" i="20" s="1"/>
  <c r="AO423" i="20"/>
  <c r="AP423" i="20" s="1"/>
  <c r="AO405" i="20"/>
  <c r="AP405" i="20" s="1"/>
  <c r="AO417" i="20"/>
  <c r="AP417" i="20" s="1"/>
  <c r="AO385" i="20"/>
  <c r="AP385" i="20" s="1"/>
  <c r="AO454" i="20"/>
  <c r="AP454" i="20" s="1"/>
  <c r="AO458" i="20"/>
  <c r="AP458" i="20" s="1"/>
  <c r="AO467" i="20"/>
  <c r="AP467" i="20" s="1"/>
  <c r="AO539" i="20"/>
  <c r="AO541" i="20"/>
  <c r="AO562" i="20"/>
  <c r="AO569" i="20"/>
  <c r="AP569" i="20" s="1"/>
  <c r="AO594" i="20"/>
  <c r="AO596" i="20"/>
  <c r="AO661" i="20"/>
  <c r="AP661" i="20" s="1"/>
  <c r="AO683" i="20"/>
  <c r="AP683" i="20" s="1"/>
  <c r="AO700" i="20"/>
  <c r="AP700" i="20" s="1"/>
  <c r="AO673" i="20"/>
  <c r="AP673" i="20" s="1"/>
  <c r="AO705" i="20"/>
  <c r="AO719" i="20"/>
  <c r="AO735" i="20"/>
  <c r="AO736" i="20"/>
  <c r="AO771" i="20"/>
  <c r="AO843" i="20"/>
  <c r="AO873" i="20"/>
  <c r="AO611" i="20"/>
  <c r="AO761" i="20"/>
  <c r="AO187" i="20"/>
  <c r="AO238" i="20"/>
  <c r="AP238" i="20" s="1"/>
  <c r="AO330" i="20"/>
  <c r="AP330" i="20" s="1"/>
  <c r="AO389" i="20"/>
  <c r="AP389" i="20" s="1"/>
  <c r="AO373" i="20"/>
  <c r="AP373" i="20" s="1"/>
  <c r="AO491" i="20"/>
  <c r="AO567" i="20"/>
  <c r="AO583" i="20"/>
  <c r="AP583" i="20" s="1"/>
  <c r="AO639" i="20"/>
  <c r="AP639" i="20" s="1"/>
  <c r="AO712" i="20"/>
  <c r="AP712" i="20" s="1"/>
  <c r="AO803" i="20"/>
  <c r="AO824" i="20"/>
  <c r="AO889" i="20"/>
  <c r="AO129" i="20"/>
  <c r="AO229" i="20"/>
  <c r="AP229" i="20" s="1"/>
  <c r="AO246" i="20"/>
  <c r="AO251" i="20"/>
  <c r="AO272" i="20"/>
  <c r="AP272" i="20" s="1"/>
  <c r="AO285" i="20"/>
  <c r="AP285" i="20" s="1"/>
  <c r="AO284" i="20"/>
  <c r="AP284" i="20" s="1"/>
  <c r="AO296" i="20"/>
  <c r="AP296" i="20" s="1"/>
  <c r="AO319" i="20"/>
  <c r="AP319" i="20" s="1"/>
  <c r="AO333" i="20"/>
  <c r="AP333" i="20" s="1"/>
  <c r="AO386" i="20"/>
  <c r="AP386" i="20" s="1"/>
  <c r="AO425" i="20"/>
  <c r="AP425" i="20" s="1"/>
  <c r="AO426" i="20"/>
  <c r="AP426" i="20" s="1"/>
  <c r="AO391" i="20"/>
  <c r="AP391" i="20" s="1"/>
  <c r="AO475" i="20"/>
  <c r="AP475" i="20" s="1"/>
  <c r="AO509" i="20"/>
  <c r="AO580" i="20"/>
  <c r="AO636" i="20"/>
  <c r="AP636" i="20" s="1"/>
  <c r="AO652" i="20"/>
  <c r="AP652" i="20" s="1"/>
  <c r="AO675" i="20"/>
  <c r="AP675" i="20" s="1"/>
  <c r="AO724" i="20"/>
  <c r="AO727" i="20"/>
  <c r="AO750" i="20"/>
  <c r="AO752" i="20"/>
  <c r="AO798" i="20"/>
  <c r="AO131" i="20"/>
  <c r="AO171" i="20"/>
  <c r="AO172" i="20"/>
  <c r="AO180" i="20"/>
  <c r="AO185" i="20"/>
  <c r="AO216" i="20"/>
  <c r="AP216" i="20" s="1"/>
  <c r="AO218" i="20"/>
  <c r="AP218" i="20" s="1"/>
  <c r="AO302" i="20"/>
  <c r="AO344" i="20"/>
  <c r="AP344" i="20" s="1"/>
  <c r="AO343" i="20"/>
  <c r="AP343" i="20" s="1"/>
  <c r="AO384" i="20"/>
  <c r="AP384" i="20" s="1"/>
  <c r="AO406" i="20"/>
  <c r="AP406" i="20" s="1"/>
  <c r="AO407" i="20"/>
  <c r="AO403" i="20"/>
  <c r="AP403" i="20" s="1"/>
  <c r="AO451" i="20"/>
  <c r="AP451" i="20" s="1"/>
  <c r="AO459" i="20"/>
  <c r="AP459" i="20" s="1"/>
  <c r="AO469" i="20"/>
  <c r="AP469" i="20" s="1"/>
  <c r="AO470" i="20"/>
  <c r="AO481" i="20"/>
  <c r="AO494" i="20"/>
  <c r="AO499" i="20"/>
  <c r="AO522" i="20"/>
  <c r="AO524" i="20"/>
  <c r="AO530" i="20"/>
  <c r="AO533" i="20"/>
  <c r="AO571" i="20"/>
  <c r="AP571" i="20" s="1"/>
  <c r="AO610" i="20"/>
  <c r="AO699" i="20"/>
  <c r="AP699" i="20" s="1"/>
  <c r="AO694" i="20"/>
  <c r="AP694" i="20" s="1"/>
  <c r="AO722" i="20"/>
  <c r="AO734" i="20"/>
  <c r="AO741" i="20"/>
  <c r="AO748" i="20"/>
  <c r="AO760" i="20"/>
  <c r="AO759" i="20"/>
  <c r="AO770" i="20"/>
  <c r="AO779" i="20"/>
  <c r="AO780" i="20"/>
  <c r="AO801" i="20"/>
  <c r="AO809" i="20"/>
  <c r="AO833" i="20"/>
  <c r="AO842" i="20"/>
  <c r="AO854" i="20"/>
  <c r="AO900" i="20"/>
  <c r="AO286" i="20"/>
  <c r="AP286" i="20" s="1"/>
  <c r="AO321" i="20"/>
  <c r="AP321" i="20" s="1"/>
  <c r="AO320" i="20"/>
  <c r="AP320" i="20" s="1"/>
  <c r="AO618" i="20"/>
  <c r="AP618" i="20" s="1"/>
  <c r="AO753" i="20"/>
  <c r="AO181" i="20"/>
  <c r="AO224" i="20"/>
  <c r="AO228" i="20"/>
  <c r="AP228" i="20" s="1"/>
  <c r="AO267" i="20"/>
  <c r="AO288" i="20"/>
  <c r="AP288" i="20" s="1"/>
  <c r="AO329" i="20"/>
  <c r="AP329" i="20" s="1"/>
  <c r="AO414" i="20"/>
  <c r="AP414" i="20" s="1"/>
  <c r="AO392" i="20"/>
  <c r="AP392" i="20" s="1"/>
  <c r="AO393" i="20"/>
  <c r="AP393" i="20" s="1"/>
  <c r="AO379" i="20"/>
  <c r="AP379" i="20" s="1"/>
  <c r="AO436" i="20"/>
  <c r="AP436" i="20" s="1"/>
  <c r="AO437" i="20"/>
  <c r="AP437" i="20" s="1"/>
  <c r="AO464" i="20"/>
  <c r="AP464" i="20" s="1"/>
  <c r="AO468" i="20"/>
  <c r="AP468" i="20" s="1"/>
  <c r="AO520" i="20"/>
  <c r="AO536" i="20"/>
  <c r="AP536" i="20" s="1"/>
  <c r="AO574" i="20"/>
  <c r="AP574" i="20" s="1"/>
  <c r="AO582" i="20"/>
  <c r="AO609" i="20"/>
  <c r="AO627" i="20"/>
  <c r="AP627" i="20" s="1"/>
  <c r="AO644" i="20"/>
  <c r="AP644" i="20" s="1"/>
  <c r="AO692" i="20"/>
  <c r="AP692" i="20" s="1"/>
  <c r="AO721" i="20"/>
  <c r="AO774" i="20"/>
  <c r="AO792" i="20"/>
  <c r="AO806" i="20"/>
  <c r="AO830" i="20"/>
  <c r="AO831" i="20"/>
  <c r="AO858" i="20"/>
  <c r="AO859" i="20"/>
  <c r="AO233" i="20"/>
  <c r="AP233" i="20" s="1"/>
  <c r="AO235" i="20"/>
  <c r="AP235" i="20" s="1"/>
  <c r="AO245" i="20"/>
  <c r="AP245" i="20" s="1"/>
  <c r="AO516" i="20"/>
  <c r="AO548" i="20"/>
  <c r="AP548" i="20" s="1"/>
  <c r="AO693" i="20"/>
  <c r="AP693" i="20" s="1"/>
  <c r="AO711" i="20"/>
  <c r="AO747" i="20"/>
  <c r="AO756" i="20"/>
  <c r="AO758" i="20"/>
  <c r="AO781" i="20"/>
  <c r="AO778" i="20"/>
  <c r="AO783" i="20"/>
  <c r="AO818" i="20"/>
  <c r="AO905" i="20"/>
  <c r="AO920" i="20"/>
  <c r="AO79" i="20"/>
  <c r="AO241" i="20"/>
  <c r="AP241" i="20" s="1"/>
  <c r="AO273" i="20"/>
  <c r="AP273" i="20" s="1"/>
  <c r="AO295" i="20"/>
  <c r="AP295" i="20" s="1"/>
  <c r="AO328" i="20"/>
  <c r="AP328" i="20" s="1"/>
  <c r="AO390" i="20"/>
  <c r="AP390" i="20" s="1"/>
  <c r="AO371" i="20"/>
  <c r="AP371" i="20" s="1"/>
  <c r="AO372" i="20"/>
  <c r="AP372" i="20" s="1"/>
  <c r="AO369" i="20"/>
  <c r="AP369" i="20" s="1"/>
  <c r="AO427" i="20"/>
  <c r="AP427" i="20" s="1"/>
  <c r="AO479" i="20"/>
  <c r="AP479" i="20" s="1"/>
  <c r="AO485" i="20"/>
  <c r="AO488" i="20"/>
  <c r="AO504" i="20"/>
  <c r="AO505" i="20"/>
  <c r="AO614" i="20"/>
  <c r="AO616" i="20"/>
  <c r="AO640" i="20"/>
  <c r="AP640" i="20" s="1"/>
  <c r="AO658" i="20"/>
  <c r="AP658" i="20" s="1"/>
  <c r="AO790" i="20"/>
  <c r="AO870" i="20"/>
  <c r="AO881" i="20"/>
  <c r="AO82" i="20"/>
  <c r="AO184" i="20"/>
  <c r="AO194" i="20"/>
  <c r="AP194" i="20" s="1"/>
  <c r="AO248" i="20"/>
  <c r="AO249" i="20"/>
  <c r="AO263" i="20"/>
  <c r="AO268" i="20"/>
  <c r="AO300" i="20"/>
  <c r="AP300" i="20" s="1"/>
  <c r="AO306" i="20"/>
  <c r="AP306" i="20" s="1"/>
  <c r="AO307" i="20"/>
  <c r="AP307" i="20" s="1"/>
  <c r="AO311" i="20"/>
  <c r="AP311" i="20" s="1"/>
  <c r="AO312" i="20"/>
  <c r="AP312" i="20" s="1"/>
  <c r="AO323" i="20"/>
  <c r="AO337" i="20"/>
  <c r="AP337" i="20" s="1"/>
  <c r="AO345" i="20"/>
  <c r="AP345" i="20" s="1"/>
  <c r="AO350" i="20"/>
  <c r="AP350" i="20" s="1"/>
  <c r="AO352" i="20"/>
  <c r="AP352" i="20" s="1"/>
  <c r="AO420" i="20"/>
  <c r="AP420" i="20" s="1"/>
  <c r="AO358" i="20"/>
  <c r="AP358" i="20" s="1"/>
  <c r="AO359" i="20"/>
  <c r="AP359" i="20" s="1"/>
  <c r="AO360" i="20"/>
  <c r="AO401" i="20"/>
  <c r="AP401" i="20" s="1"/>
  <c r="AO383" i="20"/>
  <c r="AP383" i="20" s="1"/>
  <c r="AO424" i="20"/>
  <c r="AP424" i="20" s="1"/>
  <c r="AO362" i="20"/>
  <c r="AP362" i="20" s="1"/>
  <c r="AO394" i="20"/>
  <c r="AP394" i="20" s="1"/>
  <c r="AO395" i="20"/>
  <c r="AP395" i="20" s="1"/>
  <c r="AO411" i="20"/>
  <c r="AP411" i="20" s="1"/>
  <c r="AO429" i="20"/>
  <c r="AP429" i="20" s="1"/>
  <c r="AO438" i="20"/>
  <c r="AP438" i="20" s="1"/>
  <c r="AO442" i="20"/>
  <c r="AP442" i="20" s="1"/>
  <c r="AO452" i="20"/>
  <c r="AP452" i="20" s="1"/>
  <c r="AO453" i="20"/>
  <c r="AO465" i="20"/>
  <c r="AP465" i="20" s="1"/>
  <c r="AO477" i="20"/>
  <c r="AP477" i="20" s="1"/>
  <c r="AO487" i="20"/>
  <c r="AO523" i="20"/>
  <c r="AO532" i="20"/>
  <c r="AO545" i="20"/>
  <c r="AP545" i="20" s="1"/>
  <c r="AO546" i="20"/>
  <c r="AP546" i="20" s="1"/>
  <c r="AO552" i="20"/>
  <c r="AO572" i="20"/>
  <c r="AP572" i="20" s="1"/>
  <c r="AO648" i="20"/>
  <c r="AP648" i="20" s="1"/>
  <c r="AO647" i="20"/>
  <c r="AP647" i="20" s="1"/>
  <c r="AO655" i="20"/>
  <c r="AP655" i="20" s="1"/>
  <c r="AO657" i="20"/>
  <c r="AP657" i="20" s="1"/>
  <c r="AO660" i="20"/>
  <c r="AP660" i="20" s="1"/>
  <c r="AO697" i="20"/>
  <c r="AP697" i="20" s="1"/>
  <c r="AO730" i="20"/>
  <c r="AO733" i="20"/>
  <c r="AO763" i="20"/>
  <c r="AO794" i="20"/>
  <c r="AO797" i="20"/>
  <c r="AO802" i="20"/>
  <c r="AO805" i="20"/>
  <c r="AO807" i="20"/>
  <c r="AO820" i="20"/>
  <c r="AO821" i="20"/>
  <c r="AO826" i="20"/>
  <c r="AO835" i="20"/>
  <c r="AO846" i="20"/>
  <c r="AO847" i="20"/>
  <c r="AO848" i="20"/>
  <c r="AO850" i="20"/>
  <c r="AO880" i="20"/>
  <c r="AO891" i="20"/>
  <c r="AO199" i="20"/>
  <c r="AP199" i="20" s="1"/>
  <c r="AO200" i="20"/>
  <c r="AP200" i="20" s="1"/>
  <c r="AO223" i="20"/>
  <c r="AO232" i="20"/>
  <c r="AP232" i="20" s="1"/>
  <c r="AO274" i="20"/>
  <c r="AP274" i="20" s="1"/>
  <c r="AO275" i="20"/>
  <c r="AP275" i="20" s="1"/>
  <c r="AO301" i="20"/>
  <c r="AP301" i="20" s="1"/>
  <c r="AO309" i="20"/>
  <c r="AO313" i="20"/>
  <c r="AO341" i="20"/>
  <c r="AP341" i="20" s="1"/>
  <c r="AO339" i="20"/>
  <c r="AP339" i="20" s="1"/>
  <c r="AO340" i="20"/>
  <c r="AP340" i="20" s="1"/>
  <c r="AO404" i="20"/>
  <c r="AP404" i="20" s="1"/>
  <c r="AO377" i="20"/>
  <c r="AP377" i="20" s="1"/>
  <c r="AO378" i="20"/>
  <c r="AO363" i="20"/>
  <c r="AP363" i="20" s="1"/>
  <c r="AO364" i="20"/>
  <c r="AP364" i="20" s="1"/>
  <c r="AO365" i="20"/>
  <c r="AO462" i="20"/>
  <c r="AP462" i="20" s="1"/>
  <c r="AO480" i="20"/>
  <c r="AO478" i="20"/>
  <c r="AO626" i="20"/>
  <c r="AO651" i="20"/>
  <c r="AP651" i="20" s="1"/>
  <c r="AO686" i="20"/>
  <c r="AP686" i="20" s="1"/>
  <c r="AO679" i="20"/>
  <c r="AP679" i="20" s="1"/>
  <c r="AO680" i="20"/>
  <c r="AP680" i="20" s="1"/>
  <c r="AO710" i="20"/>
  <c r="AP710" i="20" s="1"/>
  <c r="AO731" i="20"/>
  <c r="AO739" i="20"/>
  <c r="AO740" i="20"/>
  <c r="AO745" i="20"/>
  <c r="AO746" i="20"/>
  <c r="AO775" i="20"/>
  <c r="AO776" i="20"/>
  <c r="AO811" i="20"/>
  <c r="AO812" i="20"/>
  <c r="AO828" i="20"/>
  <c r="AO839" i="20"/>
  <c r="AO840" i="20"/>
  <c r="AO841" i="20"/>
  <c r="AO857" i="20"/>
  <c r="AO909" i="20"/>
  <c r="AO347" i="20"/>
  <c r="AO361" i="20"/>
  <c r="AP361" i="20" s="1"/>
  <c r="AO430" i="20"/>
  <c r="AO443" i="20"/>
  <c r="AO460" i="20"/>
  <c r="AO471" i="20"/>
  <c r="AP471" i="20" s="1"/>
  <c r="AO484" i="20"/>
  <c r="AO501" i="20"/>
  <c r="AO502" i="20"/>
  <c r="AO612" i="20"/>
  <c r="AO615" i="20"/>
  <c r="AO202" i="20"/>
  <c r="AP202" i="20" s="1"/>
  <c r="AO206" i="20"/>
  <c r="AP206" i="20" s="1"/>
  <c r="AO239" i="20"/>
  <c r="AP239" i="20" s="1"/>
  <c r="AO260" i="20"/>
  <c r="AP260" i="20" s="1"/>
  <c r="AO297" i="20"/>
  <c r="AO314" i="20"/>
  <c r="AP314" i="20" s="1"/>
  <c r="AO315" i="20"/>
  <c r="AP315" i="20" s="1"/>
  <c r="AO346" i="20"/>
  <c r="AP346" i="20" s="1"/>
  <c r="AO399" i="20"/>
  <c r="AP399" i="20" s="1"/>
  <c r="AO366" i="20"/>
  <c r="AP366" i="20" s="1"/>
  <c r="AO367" i="20"/>
  <c r="AO511" i="20"/>
  <c r="AO521" i="20"/>
  <c r="AO621" i="20"/>
  <c r="AP621" i="20" s="1"/>
  <c r="AO628" i="20"/>
  <c r="AP628" i="20" s="1"/>
  <c r="AO653" i="20"/>
  <c r="AP653" i="20" s="1"/>
  <c r="AO695" i="20"/>
  <c r="AP695" i="20" s="1"/>
  <c r="AO728" i="20"/>
  <c r="AO738" i="20"/>
  <c r="AO744" i="20"/>
  <c r="AO755" i="20"/>
  <c r="AO767" i="20"/>
  <c r="AO787" i="20"/>
  <c r="AO800" i="20"/>
  <c r="AO810" i="20"/>
  <c r="AO832" i="20"/>
  <c r="AO838" i="20"/>
  <c r="AO851" i="20"/>
  <c r="AO882" i="20"/>
  <c r="AO894" i="20"/>
  <c r="AO907" i="20"/>
  <c r="AO913" i="20"/>
  <c r="AO919" i="20"/>
  <c r="AO85" i="20"/>
  <c r="AO182" i="20"/>
  <c r="AO208" i="20"/>
  <c r="AP208" i="20" s="1"/>
  <c r="AO209" i="20"/>
  <c r="AP209" i="20" s="1"/>
  <c r="AO210" i="20"/>
  <c r="AP210" i="20" s="1"/>
  <c r="AO211" i="20"/>
  <c r="AP211" i="20" s="1"/>
  <c r="AO219" i="20"/>
  <c r="AP219" i="20" s="1"/>
  <c r="AO230" i="20"/>
  <c r="AP230" i="20" s="1"/>
  <c r="AO256" i="20"/>
  <c r="AP256" i="20" s="1"/>
  <c r="AO253" i="20"/>
  <c r="AP253" i="20" s="1"/>
  <c r="AO298" i="20"/>
  <c r="AP298" i="20" s="1"/>
  <c r="AO318" i="20"/>
  <c r="AO325" i="20"/>
  <c r="AP325" i="20" s="1"/>
  <c r="AO348" i="20"/>
  <c r="AO349" i="20"/>
  <c r="AO353" i="20"/>
  <c r="AO415" i="20"/>
  <c r="AP415" i="20" s="1"/>
  <c r="AO416" i="20"/>
  <c r="AO354" i="20"/>
  <c r="AP354" i="20" s="1"/>
  <c r="AO355" i="20"/>
  <c r="AP355" i="20" s="1"/>
  <c r="AO356" i="20"/>
  <c r="AP356" i="20" s="1"/>
  <c r="AO357" i="20"/>
  <c r="AP357" i="20" s="1"/>
  <c r="AO408" i="20"/>
  <c r="AP408" i="20" s="1"/>
  <c r="AO435" i="20"/>
  <c r="AP435" i="20" s="1"/>
  <c r="AO446" i="20"/>
  <c r="AP446" i="20" s="1"/>
  <c r="AO449" i="20"/>
  <c r="AO456" i="20"/>
  <c r="AO486" i="20"/>
  <c r="AO540" i="20"/>
  <c r="AO547" i="20"/>
  <c r="AP547" i="20" s="1"/>
  <c r="AO568" i="20"/>
  <c r="AO576" i="20"/>
  <c r="AP576" i="20" s="1"/>
  <c r="AO620" i="20"/>
  <c r="AP620" i="20" s="1"/>
  <c r="AO622" i="20"/>
  <c r="AO623" i="20"/>
  <c r="AP623" i="20" s="1"/>
  <c r="AO641" i="20"/>
  <c r="AP641" i="20" s="1"/>
  <c r="AO649" i="20"/>
  <c r="AP649" i="20" s="1"/>
  <c r="AO650" i="20"/>
  <c r="AP650" i="20" s="1"/>
  <c r="AO654" i="20"/>
  <c r="AP654" i="20" s="1"/>
  <c r="AO690" i="20"/>
  <c r="AP690" i="20" s="1"/>
  <c r="AO703" i="20"/>
  <c r="AO704" i="20"/>
  <c r="AO701" i="20"/>
  <c r="AO707" i="20"/>
  <c r="AO709" i="20"/>
  <c r="AO716" i="20"/>
  <c r="AO737" i="20"/>
  <c r="AO742" i="20"/>
  <c r="AO743" i="20"/>
  <c r="AO754" i="20"/>
  <c r="AO782" i="20"/>
  <c r="AO769" i="20"/>
  <c r="AO791" i="20"/>
  <c r="AO796" i="20"/>
  <c r="AO813" i="20"/>
  <c r="AO816" i="20"/>
  <c r="AO817" i="20"/>
  <c r="AO822" i="20"/>
  <c r="AO825" i="20"/>
  <c r="AO836" i="20"/>
  <c r="AO837" i="20"/>
  <c r="AO849" i="20"/>
  <c r="AO852" i="20"/>
  <c r="AO860" i="20"/>
  <c r="AO875" i="20"/>
  <c r="AO877" i="20"/>
  <c r="AO884" i="20"/>
  <c r="AO887" i="20"/>
  <c r="AO893" i="20"/>
  <c r="AO897" i="20"/>
  <c r="AO898" i="20"/>
  <c r="AO902" i="20"/>
  <c r="AO903" i="20"/>
  <c r="AO908" i="20"/>
  <c r="AO914" i="20"/>
  <c r="AO910" i="20"/>
  <c r="AO918" i="20"/>
  <c r="AO91" i="20"/>
  <c r="AO188" i="20"/>
  <c r="AO189" i="20"/>
  <c r="AO190" i="20"/>
  <c r="AO191" i="20"/>
  <c r="AO198" i="20"/>
  <c r="AP198" i="20" s="1"/>
  <c r="AO204" i="20"/>
  <c r="AP204" i="20" s="1"/>
  <c r="AO205" i="20"/>
  <c r="AP205" i="20" s="1"/>
  <c r="AO203" i="20"/>
  <c r="AP203" i="20" s="1"/>
  <c r="AO217" i="20"/>
  <c r="AP217" i="20" s="1"/>
  <c r="AO221" i="20"/>
  <c r="AO227" i="20"/>
  <c r="AP227" i="20" s="1"/>
  <c r="AO231" i="20"/>
  <c r="AP231" i="20" s="1"/>
  <c r="AO237" i="20"/>
  <c r="AP237" i="20" s="1"/>
  <c r="AO242" i="20"/>
  <c r="AP242" i="20" s="1"/>
  <c r="AO250" i="20"/>
  <c r="AO252" i="20"/>
  <c r="AP252" i="20" s="1"/>
  <c r="AO266" i="20"/>
  <c r="AO269" i="20"/>
  <c r="AO270" i="20"/>
  <c r="AO304" i="20"/>
  <c r="AP304" i="20" s="1"/>
  <c r="AO310" i="20"/>
  <c r="AP310" i="20" s="1"/>
  <c r="AO331" i="20"/>
  <c r="AP331" i="20" s="1"/>
  <c r="AO334" i="20"/>
  <c r="AP334" i="20" s="1"/>
  <c r="AO335" i="20"/>
  <c r="AP335" i="20" s="1"/>
  <c r="AO351" i="20"/>
  <c r="AO412" i="20"/>
  <c r="AP412" i="20" s="1"/>
  <c r="AO368" i="20"/>
  <c r="AP368" i="20" s="1"/>
  <c r="AO413" i="20"/>
  <c r="AP413" i="20" s="1"/>
  <c r="AO380" i="20"/>
  <c r="AP380" i="20" s="1"/>
  <c r="AO381" i="20"/>
  <c r="AP381" i="20" s="1"/>
  <c r="AO398" i="20"/>
  <c r="AP398" i="20" s="1"/>
  <c r="AO421" i="20"/>
  <c r="AP421" i="20" s="1"/>
  <c r="AO376" i="20"/>
  <c r="AP376" i="20" s="1"/>
  <c r="AO387" i="20"/>
  <c r="AP387" i="20" s="1"/>
  <c r="AO370" i="20"/>
  <c r="AP370" i="20" s="1"/>
  <c r="AO433" i="20"/>
  <c r="AO448" i="20"/>
  <c r="AP448" i="20" s="1"/>
  <c r="AO492" i="20"/>
  <c r="AO490" i="20"/>
  <c r="AO493" i="20"/>
  <c r="AO513" i="20"/>
  <c r="AO519" i="20"/>
  <c r="AO575" i="20"/>
  <c r="AP575" i="20" s="1"/>
  <c r="AO579" i="20"/>
  <c r="AP579" i="20" s="1"/>
  <c r="AO642" i="20"/>
  <c r="AP642" i="20" s="1"/>
  <c r="AO635" i="20"/>
  <c r="AP635" i="20" s="1"/>
  <c r="AO643" i="20"/>
  <c r="AP643" i="20" s="1"/>
  <c r="AO656" i="20"/>
  <c r="AP656" i="20" s="1"/>
  <c r="AO659" i="20"/>
  <c r="AP659" i="20" s="1"/>
  <c r="AO671" i="20"/>
  <c r="AP671" i="20" s="1"/>
  <c r="AO691" i="20"/>
  <c r="AP691" i="20" s="1"/>
  <c r="AO702" i="20"/>
  <c r="AO713" i="20"/>
  <c r="AP713" i="20" s="1"/>
  <c r="AO714" i="20"/>
  <c r="AP714" i="20" s="1"/>
  <c r="AO715" i="20"/>
  <c r="AP715" i="20" s="1"/>
  <c r="AO765" i="20"/>
  <c r="AO766" i="20"/>
  <c r="AO764" i="20"/>
  <c r="AO768" i="20"/>
  <c r="AO788" i="20"/>
  <c r="AO786" i="20"/>
  <c r="AO789" i="20"/>
  <c r="AO795" i="20"/>
  <c r="AO799" i="20"/>
  <c r="AO808" i="20"/>
  <c r="AO814" i="20"/>
  <c r="AO819" i="20"/>
  <c r="AO829" i="20"/>
  <c r="AO885" i="20"/>
  <c r="AO886" i="20"/>
  <c r="AO890" i="20"/>
  <c r="AO888" i="20"/>
  <c r="AO901" i="20"/>
  <c r="AO912" i="20"/>
  <c r="AO911" i="20"/>
  <c r="AO916" i="20"/>
  <c r="AO917" i="20"/>
  <c r="AO915" i="20"/>
  <c r="AO236" i="20"/>
  <c r="AP236" i="20" s="1"/>
  <c r="AO512" i="20"/>
  <c r="AO784" i="20"/>
  <c r="AO785" i="20"/>
  <c r="AO896" i="20"/>
  <c r="AO906" i="20"/>
  <c r="AO78" i="20"/>
  <c r="AO100" i="20"/>
  <c r="AO130" i="20"/>
  <c r="AO179" i="20"/>
  <c r="AO186" i="20"/>
  <c r="AO192" i="20"/>
  <c r="AO193" i="20"/>
  <c r="AO195" i="20"/>
  <c r="AO196" i="20"/>
  <c r="AO197" i="20"/>
  <c r="AO201" i="20"/>
  <c r="AP201" i="20" s="1"/>
  <c r="AO207" i="20"/>
  <c r="AO212" i="20"/>
  <c r="AO213" i="20"/>
  <c r="AP213" i="20" s="1"/>
  <c r="AO214" i="20"/>
  <c r="AP214" i="20" s="1"/>
  <c r="AO225" i="20"/>
  <c r="AO226" i="20"/>
  <c r="AP226" i="20" s="1"/>
  <c r="AO234" i="20"/>
  <c r="AP234" i="20" s="1"/>
  <c r="AO247" i="20"/>
  <c r="AO264" i="20"/>
  <c r="AO279" i="20"/>
  <c r="AP279" i="20" s="1"/>
  <c r="AO277" i="20"/>
  <c r="AP277" i="20" s="1"/>
  <c r="AO278" i="20"/>
  <c r="AP278" i="20" s="1"/>
  <c r="AO281" i="20"/>
  <c r="AP281" i="20" s="1"/>
  <c r="AO292" i="20"/>
  <c r="AP292" i="20" s="1"/>
  <c r="AO290" i="20"/>
  <c r="AP290" i="20" s="1"/>
  <c r="AO291" i="20"/>
  <c r="AP291" i="20" s="1"/>
  <c r="AO293" i="20"/>
  <c r="AO299" i="20"/>
  <c r="AP299" i="20" s="1"/>
  <c r="AO308" i="20"/>
  <c r="AP308" i="20" s="1"/>
  <c r="AO317" i="20"/>
  <c r="AP317" i="20" s="1"/>
  <c r="AO322" i="20"/>
  <c r="AP322" i="20" s="1"/>
  <c r="AO324" i="20"/>
  <c r="AP324" i="20" s="1"/>
  <c r="AO326" i="20"/>
  <c r="AP326" i="20" s="1"/>
  <c r="AO332" i="20"/>
  <c r="AO336" i="20"/>
  <c r="AP336" i="20" s="1"/>
  <c r="AO419" i="20"/>
  <c r="AP419" i="20" s="1"/>
  <c r="AO418" i="20"/>
  <c r="AP418" i="20" s="1"/>
  <c r="AO382" i="20"/>
  <c r="AP382" i="20" s="1"/>
  <c r="AO400" i="20"/>
  <c r="AP400" i="20" s="1"/>
  <c r="AO431" i="20"/>
  <c r="AO441" i="20"/>
  <c r="AP441" i="20" s="1"/>
  <c r="AO440" i="20"/>
  <c r="AP440" i="20" s="1"/>
  <c r="AO439" i="20"/>
  <c r="AP439" i="20" s="1"/>
  <c r="AO444" i="20"/>
  <c r="AO447" i="20"/>
  <c r="AO450" i="20"/>
  <c r="AO463" i="20"/>
  <c r="AP463" i="20" s="1"/>
  <c r="AO472" i="20"/>
  <c r="AO496" i="20"/>
  <c r="AO506" i="20"/>
  <c r="AO507" i="20"/>
  <c r="AO525" i="20"/>
  <c r="AO526" i="20"/>
  <c r="AO527" i="20"/>
  <c r="AO528" i="20"/>
  <c r="AO529" i="20"/>
  <c r="AO531" i="20"/>
  <c r="AO537" i="20"/>
  <c r="AO553" i="20"/>
  <c r="AP553" i="20" s="1"/>
  <c r="AO561" i="20"/>
  <c r="AO559" i="20"/>
  <c r="AO557" i="20"/>
  <c r="AO565" i="20"/>
  <c r="AO566" i="20"/>
  <c r="AO570" i="20"/>
  <c r="AP570" i="20" s="1"/>
  <c r="AO584" i="20"/>
  <c r="AO581" i="20"/>
  <c r="AO578" i="20"/>
  <c r="AO595" i="20"/>
  <c r="AO591" i="20"/>
  <c r="AO587" i="20"/>
  <c r="AO586" i="20"/>
  <c r="AO590" i="20"/>
  <c r="AO589" i="20"/>
  <c r="AO597" i="20"/>
  <c r="AO602" i="20"/>
  <c r="AO598" i="20"/>
  <c r="AO600" i="20"/>
  <c r="AO601" i="20"/>
  <c r="AO606" i="20"/>
  <c r="AO604" i="20"/>
  <c r="AO617" i="20"/>
  <c r="AO619" i="20"/>
  <c r="AP619" i="20" s="1"/>
  <c r="AO646" i="20"/>
  <c r="AP646" i="20" s="1"/>
  <c r="AO645" i="20"/>
  <c r="AP645" i="20" s="1"/>
  <c r="AO634" i="20"/>
  <c r="AP634" i="20" s="1"/>
  <c r="AO696" i="20"/>
  <c r="AP696" i="20" s="1"/>
  <c r="AO689" i="20"/>
  <c r="AP689" i="20" s="1"/>
  <c r="AO682" i="20"/>
  <c r="AP682" i="20" s="1"/>
  <c r="AO667" i="20"/>
  <c r="AP667" i="20" s="1"/>
  <c r="AO678" i="20"/>
  <c r="AP678" i="20" s="1"/>
  <c r="AO677" i="20"/>
  <c r="AP677" i="20" s="1"/>
  <c r="AO681" i="20"/>
  <c r="AP681" i="20" s="1"/>
  <c r="AO698" i="20"/>
  <c r="AP698" i="20" s="1"/>
  <c r="AO684" i="20"/>
  <c r="AP684" i="20" s="1"/>
  <c r="AO720" i="20"/>
  <c r="AO723" i="20"/>
  <c r="AO725" i="20"/>
  <c r="AO732" i="20"/>
  <c r="AO751" i="20"/>
  <c r="AO757" i="20"/>
  <c r="AO762" i="20"/>
  <c r="AO777" i="20"/>
  <c r="AO772" i="20"/>
  <c r="AO773" i="20"/>
  <c r="AO793" i="20"/>
  <c r="AO804" i="20"/>
  <c r="AO815" i="20"/>
  <c r="AO853" i="20"/>
  <c r="AO872" i="20"/>
  <c r="AO871" i="20"/>
  <c r="AO874" i="20"/>
  <c r="AO878" i="20"/>
  <c r="AO879" i="20"/>
  <c r="AO895" i="20"/>
  <c r="AO904" i="20"/>
  <c r="I1" i="20"/>
  <c r="AQ319" i="20"/>
  <c r="AQ321" i="20"/>
  <c r="AQ320" i="20"/>
  <c r="AQ322" i="20"/>
  <c r="AQ280" i="20"/>
  <c r="AQ240" i="20"/>
  <c r="AQ243" i="20"/>
  <c r="AQ276" i="20"/>
  <c r="AQ259" i="20"/>
  <c r="AQ287" i="20"/>
  <c r="AQ282" i="20"/>
  <c r="AQ271" i="20"/>
  <c r="AQ289" i="20"/>
  <c r="AQ238" i="20"/>
  <c r="AQ229" i="20"/>
  <c r="AQ272" i="20"/>
  <c r="AQ285" i="20"/>
  <c r="AQ284" i="20"/>
  <c r="AQ216" i="20"/>
  <c r="AQ218" i="20"/>
  <c r="AQ286" i="20"/>
  <c r="AQ228" i="20"/>
  <c r="AQ288" i="20"/>
  <c r="AQ233" i="20"/>
  <c r="AQ235" i="20"/>
  <c r="AQ245" i="20"/>
  <c r="AQ241" i="20"/>
  <c r="AQ273" i="20"/>
  <c r="AQ194" i="20"/>
  <c r="AQ199" i="20"/>
  <c r="AQ200" i="20"/>
  <c r="AQ232" i="20"/>
  <c r="AQ275" i="20"/>
  <c r="AQ202" i="20"/>
  <c r="AQ206" i="20"/>
  <c r="AQ239" i="20"/>
  <c r="AQ260" i="20"/>
  <c r="AQ208" i="20"/>
  <c r="AQ209" i="20"/>
  <c r="AQ210" i="20"/>
  <c r="AQ211" i="20"/>
  <c r="AQ219" i="20"/>
  <c r="AQ230" i="20"/>
  <c r="AQ256" i="20"/>
  <c r="AQ253" i="20"/>
  <c r="AQ198" i="20"/>
  <c r="AQ204" i="20"/>
  <c r="AQ205" i="20"/>
  <c r="AQ203" i="20"/>
  <c r="AQ217" i="20"/>
  <c r="AQ227" i="20"/>
  <c r="AQ231" i="20"/>
  <c r="AQ237" i="20"/>
  <c r="AQ242" i="20"/>
  <c r="AQ252" i="20"/>
  <c r="AQ236" i="20"/>
  <c r="AQ201" i="20"/>
  <c r="AQ213" i="20"/>
  <c r="AQ214" i="20"/>
  <c r="AQ226" i="20"/>
  <c r="AQ234" i="20"/>
  <c r="AQ279" i="20"/>
  <c r="AQ277" i="20"/>
  <c r="AQ278" i="20"/>
  <c r="AQ281" i="20"/>
  <c r="AQ292" i="20"/>
  <c r="AQ290" i="20"/>
  <c r="AQ291" i="20"/>
  <c r="AQ542" i="20"/>
  <c r="AQ543" i="20"/>
  <c r="AQ549" i="20"/>
  <c r="AQ544" i="20"/>
  <c r="AQ534" i="20"/>
  <c r="AQ550" i="20"/>
  <c r="AQ536" i="20"/>
  <c r="AQ548" i="20"/>
  <c r="AQ545" i="20"/>
  <c r="AQ546" i="20"/>
  <c r="AQ547" i="20"/>
  <c r="AQ688" i="20"/>
  <c r="AQ676" i="20"/>
  <c r="AQ674" i="20"/>
  <c r="AQ664" i="20"/>
  <c r="AQ668" i="20"/>
  <c r="AQ669" i="20"/>
  <c r="AQ670" i="20"/>
  <c r="AQ665" i="20"/>
  <c r="AQ685" i="20"/>
  <c r="AQ663" i="20"/>
  <c r="AQ666" i="20"/>
  <c r="AQ687" i="20"/>
  <c r="AQ672" i="20"/>
  <c r="AQ454" i="20"/>
  <c r="AQ467" i="20"/>
  <c r="AQ683" i="20"/>
  <c r="AQ700" i="20"/>
  <c r="AQ673" i="20"/>
  <c r="AQ675" i="20"/>
  <c r="AQ451" i="20"/>
  <c r="AQ699" i="20"/>
  <c r="AQ694" i="20"/>
  <c r="AQ464" i="20"/>
  <c r="AQ692" i="20"/>
  <c r="AQ693" i="20"/>
  <c r="AQ306" i="20"/>
  <c r="AQ307" i="20"/>
  <c r="AQ311" i="20"/>
  <c r="AQ312" i="20"/>
  <c r="AQ345" i="20"/>
  <c r="AQ442" i="20"/>
  <c r="AQ452" i="20"/>
  <c r="AQ697" i="20"/>
  <c r="AQ301" i="20"/>
  <c r="AQ686" i="20"/>
  <c r="AQ679" i="20"/>
  <c r="AQ680" i="20"/>
  <c r="AQ314" i="20"/>
  <c r="AQ315" i="20"/>
  <c r="AQ695" i="20"/>
  <c r="AQ690" i="20"/>
  <c r="AQ304" i="20"/>
  <c r="AQ310" i="20"/>
  <c r="AQ671" i="20"/>
  <c r="AQ691" i="20"/>
  <c r="AQ463" i="20"/>
  <c r="AQ696" i="20"/>
  <c r="AQ689" i="20"/>
  <c r="AQ682" i="20"/>
  <c r="AQ667" i="20"/>
  <c r="AQ678" i="20"/>
  <c r="AQ677" i="20"/>
  <c r="AQ681" i="20"/>
  <c r="AQ698" i="20"/>
  <c r="AQ684" i="20"/>
  <c r="AQ374" i="20"/>
  <c r="AQ402" i="20"/>
  <c r="AQ409" i="20"/>
  <c r="AQ397" i="20"/>
  <c r="AQ422" i="20"/>
  <c r="AQ425" i="20"/>
  <c r="AQ392" i="20"/>
  <c r="AQ371" i="20"/>
  <c r="AQ358" i="20"/>
  <c r="AQ394" i="20"/>
  <c r="AQ363" i="20"/>
  <c r="AQ354" i="20"/>
  <c r="AQ356" i="20"/>
  <c r="AQ380" i="20"/>
  <c r="AQ303" i="20"/>
  <c r="AQ305" i="20"/>
  <c r="AQ308" i="20"/>
  <c r="AQ482" i="20"/>
  <c r="AQ625" i="20"/>
  <c r="AQ483" i="20"/>
  <c r="AQ630" i="20"/>
  <c r="AQ631" i="20"/>
  <c r="AQ632" i="20"/>
  <c r="AQ629" i="20"/>
  <c r="AQ583" i="20"/>
  <c r="AQ618" i="20"/>
  <c r="AQ627" i="20"/>
  <c r="AQ479" i="20"/>
  <c r="AQ477" i="20"/>
  <c r="AQ621" i="20"/>
  <c r="AQ628" i="20"/>
  <c r="AQ576" i="20"/>
  <c r="AQ620" i="20"/>
  <c r="AQ623" i="20"/>
  <c r="AQ575" i="20"/>
  <c r="AQ579" i="20"/>
  <c r="AQ553" i="20"/>
  <c r="AQ619" i="20"/>
  <c r="AQ296" i="20"/>
  <c r="AQ295" i="20"/>
  <c r="AQ300" i="20"/>
  <c r="AQ298" i="20"/>
  <c r="AQ299" i="20"/>
  <c r="AQ342" i="20"/>
  <c r="AQ344" i="20"/>
  <c r="AQ343" i="20"/>
  <c r="AQ341" i="20"/>
  <c r="AQ339" i="20"/>
  <c r="AQ340" i="20"/>
  <c r="AQ338" i="20"/>
  <c r="AQ396" i="20"/>
  <c r="AQ662" i="20"/>
  <c r="AQ327" i="20"/>
  <c r="AQ388" i="20"/>
  <c r="AQ375" i="20"/>
  <c r="AQ432" i="20"/>
  <c r="AQ461" i="20"/>
  <c r="AQ410" i="20"/>
  <c r="AQ473" i="20"/>
  <c r="AQ423" i="20"/>
  <c r="AQ405" i="20"/>
  <c r="AQ417" i="20"/>
  <c r="AQ385" i="20"/>
  <c r="AQ458" i="20"/>
  <c r="AQ569" i="20"/>
  <c r="AQ661" i="20"/>
  <c r="AQ330" i="20"/>
  <c r="AQ389" i="20"/>
  <c r="AQ373" i="20"/>
  <c r="AQ712" i="20"/>
  <c r="AQ333" i="20"/>
  <c r="AQ386" i="20"/>
  <c r="AQ426" i="20"/>
  <c r="AQ391" i="20"/>
  <c r="AQ475" i="20"/>
  <c r="AQ652" i="20"/>
  <c r="AQ384" i="20"/>
  <c r="AQ406" i="20"/>
  <c r="AQ403" i="20"/>
  <c r="AQ459" i="20"/>
  <c r="AQ469" i="20"/>
  <c r="AQ571" i="20"/>
  <c r="AQ329" i="20"/>
  <c r="AQ414" i="20"/>
  <c r="AQ393" i="20"/>
  <c r="AQ379" i="20"/>
  <c r="AQ436" i="20"/>
  <c r="AQ437" i="20"/>
  <c r="AQ468" i="20"/>
  <c r="AQ574" i="20"/>
  <c r="AQ328" i="20"/>
  <c r="AQ390" i="20"/>
  <c r="AQ372" i="20"/>
  <c r="AQ369" i="20"/>
  <c r="AQ427" i="20"/>
  <c r="AQ658" i="20"/>
  <c r="AQ337" i="20"/>
  <c r="AQ350" i="20"/>
  <c r="AQ352" i="20"/>
  <c r="AQ420" i="20"/>
  <c r="AQ359" i="20"/>
  <c r="AQ401" i="20"/>
  <c r="AQ383" i="20"/>
  <c r="AQ424" i="20"/>
  <c r="AQ362" i="20"/>
  <c r="AQ395" i="20"/>
  <c r="AQ411" i="20"/>
  <c r="AQ429" i="20"/>
  <c r="AQ438" i="20"/>
  <c r="AQ465" i="20"/>
  <c r="AQ572" i="20"/>
  <c r="AQ655" i="20"/>
  <c r="AQ657" i="20"/>
  <c r="AQ660" i="20"/>
  <c r="AQ404" i="20"/>
  <c r="AQ377" i="20"/>
  <c r="AQ364" i="20"/>
  <c r="AQ462" i="20"/>
  <c r="AQ651" i="20"/>
  <c r="AQ710" i="20"/>
  <c r="AQ346" i="20"/>
  <c r="AQ399" i="20"/>
  <c r="AQ366" i="20"/>
  <c r="AQ653" i="20"/>
  <c r="AQ325" i="20"/>
  <c r="AQ415" i="20"/>
  <c r="AQ355" i="20"/>
  <c r="AQ357" i="20"/>
  <c r="AQ408" i="20"/>
  <c r="AQ435" i="20"/>
  <c r="AQ446" i="20"/>
  <c r="AQ649" i="20"/>
  <c r="AQ650" i="20"/>
  <c r="AQ654" i="20"/>
  <c r="AQ331" i="20"/>
  <c r="AQ334" i="20"/>
  <c r="AQ335" i="20"/>
  <c r="AQ412" i="20"/>
  <c r="AQ368" i="20"/>
  <c r="AQ413" i="20"/>
  <c r="AQ381" i="20"/>
  <c r="AQ398" i="20"/>
  <c r="AQ421" i="20"/>
  <c r="AQ376" i="20"/>
  <c r="AQ387" i="20"/>
  <c r="AQ370" i="20"/>
  <c r="AQ448" i="20"/>
  <c r="AQ656" i="20"/>
  <c r="AQ659" i="20"/>
  <c r="AQ713" i="20"/>
  <c r="AQ714" i="20"/>
  <c r="AQ715" i="20"/>
  <c r="AQ317" i="20"/>
  <c r="AQ324" i="20"/>
  <c r="AQ326" i="20"/>
  <c r="AQ336" i="20"/>
  <c r="AQ419" i="20"/>
  <c r="AQ418" i="20"/>
  <c r="AQ382" i="20"/>
  <c r="AQ400" i="20"/>
  <c r="AQ441" i="20"/>
  <c r="AQ440" i="20"/>
  <c r="AQ439" i="20"/>
  <c r="AQ570" i="20"/>
  <c r="AQ637" i="20"/>
  <c r="AQ638" i="20"/>
  <c r="AQ639" i="20"/>
  <c r="AQ636" i="20"/>
  <c r="AQ644" i="20"/>
  <c r="AQ640" i="20"/>
  <c r="AQ648" i="20"/>
  <c r="AQ647" i="20"/>
  <c r="AQ641" i="20"/>
  <c r="AQ642" i="20"/>
  <c r="AQ635" i="20"/>
  <c r="AQ643" i="20"/>
  <c r="AQ646" i="20"/>
  <c r="AQ645" i="20"/>
  <c r="AQ634" i="20"/>
  <c r="M14" i="43"/>
  <c r="M15" i="43"/>
  <c r="M13" i="43"/>
  <c r="AF28" i="14"/>
  <c r="AF57" i="14"/>
  <c r="AF236" i="14"/>
  <c r="AF74" i="14"/>
  <c r="AF46" i="14"/>
  <c r="AF48" i="14"/>
  <c r="AF196" i="14"/>
  <c r="AF234" i="14"/>
  <c r="AF106" i="14"/>
  <c r="AF153" i="14"/>
  <c r="AF224" i="14"/>
  <c r="AF63" i="14"/>
  <c r="AF112" i="14"/>
  <c r="AF76" i="14"/>
  <c r="AF73" i="14"/>
  <c r="AF47" i="14"/>
  <c r="AF94" i="14"/>
  <c r="AF49" i="14"/>
  <c r="AF107" i="14"/>
  <c r="AF56" i="14"/>
  <c r="AF16" i="14"/>
  <c r="AF58" i="14"/>
  <c r="AF142" i="14"/>
  <c r="AF50" i="14"/>
  <c r="AF162" i="14"/>
  <c r="AF51" i="14"/>
  <c r="AF176" i="14"/>
  <c r="AF170" i="14"/>
  <c r="N12" i="37"/>
  <c r="N13" i="37"/>
  <c r="AS260" i="20"/>
  <c r="AS259" i="20"/>
  <c r="AS253" i="20"/>
  <c r="AS256" i="20"/>
  <c r="AS210" i="20"/>
  <c r="AS211" i="20"/>
  <c r="AS245" i="20"/>
  <c r="AS239" i="20"/>
  <c r="AS236" i="20"/>
  <c r="AS235" i="20"/>
  <c r="AS237" i="20"/>
  <c r="AS233" i="20"/>
  <c r="AS232" i="20"/>
  <c r="AS199" i="20"/>
  <c r="AS200" i="20"/>
  <c r="AS219" i="20"/>
  <c r="AS217" i="20"/>
  <c r="AS216" i="20"/>
  <c r="AS252" i="20"/>
  <c r="AS206" i="20"/>
  <c r="AS204" i="20"/>
  <c r="AS205" i="20"/>
  <c r="AS203" i="20"/>
  <c r="AS201" i="20"/>
  <c r="AS218" i="20"/>
  <c r="AS243" i="20"/>
  <c r="AS241" i="20"/>
  <c r="AS242" i="20"/>
  <c r="AS240" i="20"/>
  <c r="AS238" i="20"/>
  <c r="AS234" i="20"/>
  <c r="AS230" i="20"/>
  <c r="AS229" i="20"/>
  <c r="AS231" i="20"/>
  <c r="AS228" i="20"/>
  <c r="AS227" i="20"/>
  <c r="AS226" i="20"/>
  <c r="AS194" i="20"/>
  <c r="AS209" i="20"/>
  <c r="AS208" i="20"/>
  <c r="AS284" i="20"/>
  <c r="AS285" i="20"/>
  <c r="AS286" i="20"/>
  <c r="AS214" i="20"/>
  <c r="AS213" i="20"/>
  <c r="AS274" i="20"/>
  <c r="AS275" i="20"/>
  <c r="AS202" i="20"/>
  <c r="AS198" i="20"/>
  <c r="AS280" i="20"/>
  <c r="AS279" i="20"/>
  <c r="AS278" i="20"/>
  <c r="AS277" i="20"/>
  <c r="AS276" i="20"/>
  <c r="AS273" i="20"/>
  <c r="AS271" i="20"/>
  <c r="AS272" i="20"/>
  <c r="AS287" i="20"/>
  <c r="AS288" i="20"/>
  <c r="AS290" i="20"/>
  <c r="AS291" i="20"/>
  <c r="AS289" i="20"/>
  <c r="AS292" i="20"/>
  <c r="AS281" i="20"/>
  <c r="AS282" i="20"/>
  <c r="AS303" i="20"/>
  <c r="AS308" i="20"/>
  <c r="AS305" i="20"/>
  <c r="N162" i="86"/>
  <c r="N163" i="86"/>
  <c r="N164" i="86"/>
  <c r="N165" i="86"/>
  <c r="N166" i="86"/>
  <c r="N167" i="86"/>
  <c r="N168" i="86"/>
  <c r="N148" i="86"/>
  <c r="N149" i="86"/>
  <c r="N150" i="86"/>
  <c r="N151" i="86"/>
  <c r="N152" i="86"/>
  <c r="N153" i="86"/>
  <c r="N154" i="86"/>
  <c r="N155" i="86"/>
  <c r="N156" i="86"/>
  <c r="N157" i="86"/>
  <c r="N158" i="86"/>
  <c r="N159" i="86"/>
  <c r="N160" i="86"/>
  <c r="N161" i="86"/>
  <c r="N146" i="86"/>
  <c r="N147" i="86"/>
  <c r="N139" i="86"/>
  <c r="N140" i="86"/>
  <c r="N141" i="86"/>
  <c r="N142" i="86"/>
  <c r="N143" i="86"/>
  <c r="N144" i="86"/>
  <c r="N145" i="86"/>
  <c r="N137" i="86"/>
  <c r="N138" i="86"/>
  <c r="N136" i="86"/>
  <c r="N134" i="86"/>
  <c r="N135" i="86"/>
  <c r="N132" i="86"/>
  <c r="N133" i="86"/>
  <c r="N125" i="86"/>
  <c r="N126" i="86"/>
  <c r="N127" i="86"/>
  <c r="N128" i="86"/>
  <c r="N129" i="86"/>
  <c r="N130" i="86"/>
  <c r="N131" i="86"/>
  <c r="N124" i="86"/>
  <c r="N123" i="86"/>
  <c r="N118" i="86"/>
  <c r="N119" i="86"/>
  <c r="N120" i="86"/>
  <c r="N121" i="86"/>
  <c r="N122" i="86"/>
  <c r="N116" i="86"/>
  <c r="N117" i="86"/>
  <c r="N111" i="86"/>
  <c r="N112" i="86"/>
  <c r="N113" i="86"/>
  <c r="N114" i="86"/>
  <c r="N115" i="86"/>
  <c r="N94" i="86"/>
  <c r="N95" i="86"/>
  <c r="N96" i="86"/>
  <c r="N97" i="86"/>
  <c r="N98" i="86"/>
  <c r="N99" i="86"/>
  <c r="N100" i="86"/>
  <c r="N101" i="86"/>
  <c r="N102" i="86"/>
  <c r="N103" i="86"/>
  <c r="N104" i="86"/>
  <c r="N105" i="86"/>
  <c r="N106" i="86"/>
  <c r="N107" i="86"/>
  <c r="N108" i="86"/>
  <c r="N109" i="86"/>
  <c r="N110" i="86"/>
  <c r="N93" i="86"/>
  <c r="N90" i="86"/>
  <c r="N91" i="86"/>
  <c r="N92" i="86"/>
  <c r="N87" i="86"/>
  <c r="N88" i="86"/>
  <c r="N89" i="86"/>
  <c r="N86" i="86"/>
  <c r="N82" i="86"/>
  <c r="N83" i="86"/>
  <c r="N84" i="86"/>
  <c r="N85" i="86"/>
  <c r="N81" i="86"/>
  <c r="N79" i="86"/>
  <c r="N80" i="86"/>
  <c r="N78" i="86"/>
  <c r="N76" i="86"/>
  <c r="N77" i="86"/>
  <c r="N70" i="86"/>
  <c r="N71" i="86"/>
  <c r="N72" i="86"/>
  <c r="N73" i="86"/>
  <c r="N74" i="86"/>
  <c r="N75" i="86"/>
  <c r="N69" i="86"/>
  <c r="N65" i="86"/>
  <c r="N66" i="86"/>
  <c r="N67" i="86"/>
  <c r="N68" i="86"/>
  <c r="N64" i="86"/>
  <c r="N55" i="86"/>
  <c r="N56" i="86"/>
  <c r="N57" i="86"/>
  <c r="N58" i="86"/>
  <c r="N59" i="86"/>
  <c r="N60" i="86"/>
  <c r="N61" i="86"/>
  <c r="N62" i="86"/>
  <c r="N63" i="86"/>
  <c r="AS335" i="20"/>
  <c r="AS329" i="20"/>
  <c r="AS333" i="20"/>
  <c r="AS331" i="20"/>
  <c r="AS334" i="20"/>
  <c r="AS327" i="20"/>
  <c r="AS325" i="20"/>
  <c r="AS326" i="20"/>
  <c r="AS337" i="20"/>
  <c r="AS328" i="20"/>
  <c r="AS330" i="20"/>
  <c r="AS336" i="20"/>
  <c r="AS446" i="20"/>
  <c r="AS475" i="20"/>
  <c r="AS338" i="20"/>
  <c r="AS429" i="20"/>
  <c r="AS350" i="20"/>
  <c r="AS427" i="20"/>
  <c r="AS448" i="20"/>
  <c r="AS435" i="20"/>
  <c r="AS346" i="20"/>
  <c r="AS469" i="20"/>
  <c r="AS462" i="20"/>
  <c r="AS459" i="20"/>
  <c r="AS465" i="20"/>
  <c r="AS438" i="20"/>
  <c r="AS468" i="20"/>
  <c r="AS437" i="20"/>
  <c r="AS458" i="20"/>
  <c r="AS441" i="20"/>
  <c r="AS352" i="20"/>
  <c r="AS473" i="20"/>
  <c r="AS471" i="20"/>
  <c r="AS461" i="20"/>
  <c r="AS432" i="20"/>
  <c r="AS324" i="20"/>
  <c r="AS440" i="20"/>
  <c r="AS439" i="20"/>
  <c r="AS317" i="20"/>
  <c r="AS436" i="20"/>
  <c r="R1" i="86"/>
  <c r="N2" i="86"/>
  <c r="N3" i="86"/>
  <c r="N4" i="86"/>
  <c r="N5" i="86"/>
  <c r="N6" i="86"/>
  <c r="N7" i="86"/>
  <c r="N8" i="86"/>
  <c r="N9" i="86"/>
  <c r="N10"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AS304" i="20"/>
  <c r="AS307" i="20"/>
  <c r="AS312" i="20"/>
  <c r="AS315" i="20"/>
  <c r="AS314" i="20"/>
  <c r="AS311" i="20"/>
  <c r="AS306" i="20"/>
  <c r="AS310" i="20"/>
  <c r="AS301" i="20"/>
  <c r="AS345" i="20"/>
  <c r="AS464" i="20"/>
  <c r="AS442" i="20"/>
  <c r="AS454" i="20"/>
  <c r="AS463" i="20"/>
  <c r="AS452" i="20"/>
  <c r="AS451" i="20"/>
  <c r="AS467" i="20"/>
  <c r="AS542" i="20"/>
  <c r="AS695" i="20"/>
  <c r="AS628" i="20"/>
  <c r="AS621" i="20"/>
  <c r="AS919" i="20"/>
  <c r="AS693" i="20"/>
  <c r="AS920" i="20"/>
  <c r="AS918" i="20"/>
  <c r="AS916" i="20"/>
  <c r="AS917" i="20"/>
  <c r="AS686" i="20"/>
  <c r="AS623" i="20"/>
  <c r="AS620" i="20"/>
  <c r="AS576" i="20"/>
  <c r="AS547" i="20"/>
  <c r="AS679" i="20"/>
  <c r="AS680" i="20"/>
  <c r="AS699" i="20"/>
  <c r="AS694" i="20"/>
  <c r="AS548" i="20"/>
  <c r="AS692" i="20"/>
  <c r="AS627" i="20"/>
  <c r="AS414" i="20"/>
  <c r="AS386" i="20"/>
  <c r="AS675" i="20"/>
  <c r="AS579" i="20"/>
  <c r="AS671" i="20"/>
  <c r="AS368" i="20"/>
  <c r="AS575" i="20"/>
  <c r="AS625" i="20"/>
  <c r="AS549" i="20"/>
  <c r="AS691" i="20"/>
  <c r="AS676" i="20"/>
  <c r="AS690" i="20"/>
  <c r="AS696" i="20"/>
  <c r="AS419" i="20"/>
  <c r="AS697" i="20"/>
  <c r="AS420" i="20"/>
  <c r="AS583" i="20"/>
  <c r="AS418" i="20"/>
  <c r="AS299" i="20"/>
  <c r="AS534" i="20"/>
  <c r="AS296" i="20"/>
  <c r="AS654" i="20"/>
  <c r="AS415" i="20"/>
  <c r="AS659" i="20"/>
  <c r="AS381" i="20"/>
  <c r="AS657" i="20"/>
  <c r="AS359" i="20"/>
  <c r="AS477" i="20"/>
  <c r="AS658" i="20"/>
  <c r="AS372" i="20"/>
  <c r="AS479" i="20"/>
  <c r="AS661" i="20"/>
  <c r="AS423" i="20"/>
  <c r="AS655" i="20"/>
  <c r="AS401" i="20"/>
  <c r="AS426" i="20"/>
  <c r="AS656" i="20"/>
  <c r="AS398" i="20"/>
  <c r="AS653" i="20"/>
  <c r="AS399" i="20"/>
  <c r="AS651" i="20"/>
  <c r="AS404" i="20"/>
  <c r="AS652" i="20"/>
  <c r="AS391" i="20"/>
  <c r="AS662" i="20"/>
  <c r="AS396" i="20"/>
  <c r="AS482" i="20"/>
  <c r="AS649" i="20"/>
  <c r="AS355" i="20"/>
  <c r="AS650" i="20"/>
  <c r="AS357" i="20"/>
  <c r="AS660" i="20"/>
  <c r="AS383" i="20"/>
  <c r="AS571" i="20"/>
  <c r="AS384" i="20"/>
  <c r="AS570" i="20"/>
  <c r="AS382" i="20"/>
  <c r="AS405" i="20"/>
  <c r="AS569" i="20"/>
  <c r="AS417" i="20"/>
  <c r="AS319" i="20"/>
  <c r="AS321" i="20"/>
  <c r="AS619" i="20"/>
  <c r="AS320" i="20"/>
  <c r="AS618" i="20"/>
  <c r="AS689" i="20"/>
  <c r="AS682" i="20"/>
  <c r="AS683" i="20"/>
  <c r="AS667" i="20"/>
  <c r="AS678" i="20"/>
  <c r="AS677" i="20"/>
  <c r="AS688" i="20"/>
  <c r="AS543" i="20"/>
  <c r="AS700" i="20"/>
  <c r="AS681" i="20"/>
  <c r="AS424" i="20"/>
  <c r="AS300" i="20"/>
  <c r="AS545" i="20"/>
  <c r="AS362" i="20"/>
  <c r="AS369" i="20"/>
  <c r="AS295" i="20"/>
  <c r="AS714" i="20"/>
  <c r="AS421" i="20"/>
  <c r="AS715" i="20"/>
  <c r="AS376" i="20"/>
  <c r="AS387" i="20"/>
  <c r="AS298" i="20"/>
  <c r="AS712" i="20"/>
  <c r="AS373" i="20"/>
  <c r="AS713" i="20"/>
  <c r="AS370" i="20"/>
  <c r="AS366" i="20"/>
  <c r="AS406" i="20"/>
  <c r="AS344" i="20"/>
  <c r="AS341" i="20"/>
  <c r="AS377" i="20"/>
  <c r="AS710" i="20"/>
  <c r="AS339" i="20"/>
  <c r="AS340" i="20"/>
  <c r="AS364" i="20"/>
  <c r="AS403" i="20"/>
  <c r="AS343" i="20"/>
  <c r="AS572" i="20"/>
  <c r="AS395" i="20"/>
  <c r="AS574" i="20"/>
  <c r="AS393" i="20"/>
  <c r="AS385" i="20"/>
  <c r="AS342" i="20"/>
  <c r="AS400" i="20"/>
  <c r="AS672" i="20"/>
  <c r="AS546" i="20"/>
  <c r="AS550" i="20"/>
  <c r="AS674" i="20"/>
  <c r="AS664" i="20"/>
  <c r="AS630" i="20"/>
  <c r="AS668" i="20"/>
  <c r="AS631" i="20"/>
  <c r="AS669" i="20"/>
  <c r="AS670" i="20"/>
  <c r="AS632" i="20"/>
  <c r="AS698" i="20"/>
  <c r="AS665" i="20"/>
  <c r="AS685" i="20"/>
  <c r="AS684" i="20"/>
  <c r="AS663" i="20"/>
  <c r="AS629" i="20"/>
  <c r="AS544" i="20"/>
  <c r="AS666" i="20"/>
  <c r="AS673" i="20"/>
  <c r="AS687" i="20"/>
  <c r="AS410" i="20"/>
  <c r="AS483" i="20"/>
  <c r="AS361" i="20"/>
  <c r="AS536" i="20"/>
  <c r="AS379" i="20"/>
  <c r="AS375" i="20"/>
  <c r="AS553" i="20"/>
  <c r="AS322" i="20"/>
  <c r="AS358" i="20"/>
  <c r="AS371" i="20"/>
  <c r="AS380" i="20"/>
  <c r="AS409" i="20"/>
  <c r="AS425" i="20"/>
  <c r="AS422" i="20"/>
  <c r="AS634" i="20"/>
  <c r="AS402" i="20"/>
  <c r="AS397" i="20"/>
  <c r="AS374" i="20"/>
  <c r="AS392" i="20"/>
  <c r="AS394" i="20"/>
  <c r="AS363" i="20"/>
  <c r="AS354" i="20"/>
  <c r="AS356" i="20"/>
  <c r="AS635" i="20"/>
  <c r="AS636" i="20"/>
  <c r="AS637" i="20"/>
  <c r="AS638" i="20"/>
  <c r="AS639" i="20"/>
  <c r="AS640" i="20"/>
  <c r="AS641" i="20"/>
  <c r="AS642" i="20"/>
  <c r="AS643" i="20"/>
  <c r="AS644" i="20"/>
  <c r="AS645" i="20"/>
  <c r="AS646" i="20"/>
  <c r="AS647" i="20"/>
  <c r="AS648" i="20"/>
  <c r="AS388" i="20"/>
  <c r="AS389" i="20"/>
  <c r="AS390" i="20"/>
  <c r="AS408" i="20"/>
  <c r="AS411" i="20"/>
  <c r="AS412" i="20"/>
  <c r="AS413" i="20"/>
  <c r="S231" i="14"/>
  <c r="Z10" i="66"/>
  <c r="AF3" i="66"/>
  <c r="AF4" i="66"/>
  <c r="AF5" i="66"/>
  <c r="AF6" i="66"/>
  <c r="AF7" i="66"/>
  <c r="AF8" i="66"/>
  <c r="AF9" i="66"/>
  <c r="AF10" i="66"/>
  <c r="AF11" i="66"/>
  <c r="AF12" i="66"/>
  <c r="AF13" i="66"/>
  <c r="AF14" i="66"/>
  <c r="AF15" i="66"/>
  <c r="AF16" i="66"/>
  <c r="AF17" i="66"/>
  <c r="AF18" i="66"/>
  <c r="AF19" i="66"/>
  <c r="AF20" i="66"/>
  <c r="AF21" i="66"/>
  <c r="AF22" i="66"/>
  <c r="AF23" i="66"/>
  <c r="AE3" i="66"/>
  <c r="AE4" i="66"/>
  <c r="AE5" i="66"/>
  <c r="AE6" i="66"/>
  <c r="AE7" i="66"/>
  <c r="AE8" i="66"/>
  <c r="AE9" i="66"/>
  <c r="AE10" i="66"/>
  <c r="AE11" i="66"/>
  <c r="AE12" i="66"/>
  <c r="AE13" i="66"/>
  <c r="AE14" i="66"/>
  <c r="AE15" i="66"/>
  <c r="AE16" i="66"/>
  <c r="AE17" i="66"/>
  <c r="AE18" i="66"/>
  <c r="AE19" i="66"/>
  <c r="AE20" i="66"/>
  <c r="AE21" i="66"/>
  <c r="AE22" i="66"/>
  <c r="AE23" i="66"/>
  <c r="M12" i="37"/>
  <c r="M13" i="37"/>
  <c r="L12" i="37"/>
  <c r="L13" i="37"/>
  <c r="K12" i="37"/>
  <c r="K13" i="37"/>
  <c r="C3" i="77"/>
  <c r="C2" i="77" s="1"/>
  <c r="S38" i="14"/>
  <c r="S37" i="14"/>
  <c r="B15" i="37"/>
  <c r="C15" i="37"/>
  <c r="B14" i="36"/>
  <c r="C14" i="36"/>
  <c r="F14" i="36"/>
  <c r="G14" i="36"/>
  <c r="H14" i="36"/>
  <c r="I14" i="36"/>
  <c r="J14" i="36"/>
  <c r="X10" i="66"/>
  <c r="Y10" i="66"/>
  <c r="AG10" i="66"/>
  <c r="S220" i="14"/>
  <c r="S91" i="14"/>
  <c r="S178" i="14"/>
  <c r="S218" i="14"/>
  <c r="S57" i="14"/>
  <c r="S16" i="14"/>
  <c r="S15" i="14"/>
  <c r="S17" i="14"/>
  <c r="S105" i="14"/>
  <c r="S104" i="14"/>
  <c r="S233" i="14"/>
  <c r="S35" i="14"/>
  <c r="S140" i="14"/>
  <c r="S237" i="14"/>
  <c r="S20" i="14"/>
  <c r="S71" i="14"/>
  <c r="S144" i="14"/>
  <c r="S72" i="14"/>
  <c r="S62" i="14"/>
  <c r="S152" i="14"/>
  <c r="S160" i="14"/>
  <c r="S184" i="14"/>
  <c r="S175" i="14"/>
  <c r="S147" i="14"/>
  <c r="S164" i="14"/>
  <c r="S36" i="14"/>
  <c r="S39" i="14"/>
  <c r="S166" i="14"/>
  <c r="S154" i="14"/>
  <c r="S165" i="14"/>
  <c r="S181" i="14"/>
  <c r="S138" i="14"/>
  <c r="S240" i="14"/>
  <c r="S185" i="14"/>
  <c r="S132" i="14"/>
  <c r="S131" i="14"/>
  <c r="S26" i="14"/>
  <c r="S134" i="14"/>
  <c r="S130" i="14"/>
  <c r="S14" i="14"/>
  <c r="S120" i="14"/>
  <c r="S119" i="14"/>
  <c r="S124" i="14"/>
  <c r="S121" i="14"/>
  <c r="S126" i="14"/>
  <c r="S122" i="14"/>
  <c r="S123" i="14"/>
  <c r="S125" i="14"/>
  <c r="S232" i="14"/>
  <c r="S194" i="14"/>
  <c r="S207" i="14"/>
  <c r="S129" i="14"/>
  <c r="S90" i="14"/>
  <c r="S204" i="14"/>
  <c r="S223" i="14"/>
  <c r="S21" i="14"/>
  <c r="S113" i="14"/>
  <c r="S77" i="14"/>
  <c r="S28" i="14"/>
  <c r="S13" i="14"/>
  <c r="S5" i="14"/>
  <c r="S11" i="14"/>
  <c r="S241" i="14"/>
  <c r="S135" i="14"/>
  <c r="S44" i="14"/>
  <c r="S246" i="14"/>
  <c r="S143" i="14"/>
  <c r="S159" i="14"/>
  <c r="D17" i="43"/>
  <c r="D18" i="43"/>
  <c r="D19" i="43"/>
  <c r="X3" i="66"/>
  <c r="Y3" i="66"/>
  <c r="AG3" i="66"/>
  <c r="Z3" i="66" s="1"/>
  <c r="C9" i="37"/>
  <c r="C10" i="37"/>
  <c r="C11" i="37"/>
  <c r="C12" i="37"/>
  <c r="C13" i="37"/>
  <c r="C14" i="37"/>
  <c r="C16" i="37"/>
  <c r="C17" i="37"/>
  <c r="C18" i="37"/>
  <c r="C19" i="37"/>
  <c r="C20" i="37"/>
  <c r="C21" i="37"/>
  <c r="C22" i="37"/>
  <c r="C23" i="37"/>
  <c r="C24" i="37"/>
  <c r="C25" i="37"/>
  <c r="C26" i="37"/>
  <c r="C27" i="37"/>
  <c r="C28" i="37"/>
  <c r="C8" i="37"/>
  <c r="B9" i="37"/>
  <c r="B10" i="37"/>
  <c r="B11" i="37"/>
  <c r="B12" i="37"/>
  <c r="B13" i="37"/>
  <c r="B14" i="37"/>
  <c r="B16" i="37"/>
  <c r="B17" i="37"/>
  <c r="B18" i="37"/>
  <c r="B19" i="37"/>
  <c r="B20" i="37"/>
  <c r="B21" i="37"/>
  <c r="B22" i="37"/>
  <c r="B23" i="37"/>
  <c r="B24" i="37"/>
  <c r="B25" i="37"/>
  <c r="B26" i="37"/>
  <c r="B27" i="37"/>
  <c r="B28" i="37"/>
  <c r="B8" i="37"/>
  <c r="B10" i="36"/>
  <c r="B11" i="36"/>
  <c r="B13" i="36"/>
  <c r="N13" i="36" s="1"/>
  <c r="B15" i="36"/>
  <c r="B16" i="36"/>
  <c r="N16" i="36" s="1"/>
  <c r="B17" i="36"/>
  <c r="N17" i="36" s="1"/>
  <c r="B18" i="36"/>
  <c r="N18" i="36" s="1"/>
  <c r="B19" i="36"/>
  <c r="B20" i="36"/>
  <c r="B21" i="36"/>
  <c r="B22" i="36"/>
  <c r="B23" i="36"/>
  <c r="B24" i="36"/>
  <c r="B25" i="36"/>
  <c r="B26" i="36"/>
  <c r="B27" i="36"/>
  <c r="C17" i="36"/>
  <c r="C18" i="36"/>
  <c r="C19" i="36"/>
  <c r="C20" i="36"/>
  <c r="C21" i="36"/>
  <c r="C22" i="36"/>
  <c r="C23" i="36"/>
  <c r="C24" i="36"/>
  <c r="C25" i="36"/>
  <c r="C26" i="36"/>
  <c r="C27" i="36"/>
  <c r="C8" i="36"/>
  <c r="C9" i="36"/>
  <c r="C10" i="36"/>
  <c r="C12" i="36"/>
  <c r="C13" i="36"/>
  <c r="C15" i="36"/>
  <c r="C16" i="36"/>
  <c r="Y4" i="66"/>
  <c r="Y5" i="66"/>
  <c r="Y6" i="66"/>
  <c r="Y7" i="66"/>
  <c r="Y8" i="66"/>
  <c r="Y9" i="66"/>
  <c r="Y11" i="66"/>
  <c r="Y12" i="66"/>
  <c r="Y13" i="66"/>
  <c r="Y14" i="66"/>
  <c r="Y15" i="66"/>
  <c r="Y16" i="66"/>
  <c r="Y17" i="66"/>
  <c r="Y18" i="66"/>
  <c r="Y19" i="66"/>
  <c r="Y20" i="66"/>
  <c r="Y21" i="66"/>
  <c r="Y22" i="66"/>
  <c r="Y23" i="66"/>
  <c r="X4" i="66"/>
  <c r="X5" i="66"/>
  <c r="X6" i="66"/>
  <c r="X7" i="66"/>
  <c r="X8" i="66"/>
  <c r="X9" i="66"/>
  <c r="X11" i="66"/>
  <c r="X12" i="66"/>
  <c r="X13" i="66"/>
  <c r="X14" i="66"/>
  <c r="X15" i="66"/>
  <c r="X16" i="66"/>
  <c r="X17" i="66"/>
  <c r="X18" i="66"/>
  <c r="X19" i="66"/>
  <c r="X20" i="66"/>
  <c r="X21" i="66"/>
  <c r="X22" i="66"/>
  <c r="X23" i="66"/>
  <c r="AG4" i="66"/>
  <c r="Z4" i="66" s="1"/>
  <c r="AG5" i="66"/>
  <c r="Z5" i="66" s="1"/>
  <c r="AG6" i="66"/>
  <c r="Z6" i="66" s="1"/>
  <c r="AG7" i="66"/>
  <c r="Z7" i="66" s="1"/>
  <c r="AG8" i="66"/>
  <c r="AG9" i="66"/>
  <c r="Z9" i="66" s="1"/>
  <c r="AG11" i="66"/>
  <c r="Z11" i="66" s="1"/>
  <c r="AG12" i="66"/>
  <c r="Z12" i="66" s="1"/>
  <c r="AG13" i="66"/>
  <c r="Z13" i="66" s="1"/>
  <c r="AG14" i="66"/>
  <c r="Z14" i="66" s="1"/>
  <c r="AG15" i="66"/>
  <c r="Z15" i="66" s="1"/>
  <c r="AG16" i="66"/>
  <c r="Z16" i="66" s="1"/>
  <c r="AG17" i="66"/>
  <c r="Z17" i="66" s="1"/>
  <c r="AG18" i="66"/>
  <c r="Z18" i="66" s="1"/>
  <c r="AG19" i="66"/>
  <c r="Z19" i="66" s="1"/>
  <c r="AG20" i="66"/>
  <c r="Z20" i="66" s="1"/>
  <c r="AG22" i="66"/>
  <c r="Z22" i="66" s="1"/>
  <c r="AG23" i="66"/>
  <c r="Z23" i="66" s="1"/>
  <c r="N53" i="37"/>
  <c r="M53" i="37"/>
  <c r="J53" i="37"/>
  <c r="I53" i="37"/>
  <c r="F53" i="37"/>
  <c r="E53" i="37"/>
  <c r="C53" i="37"/>
  <c r="B53" i="37"/>
  <c r="N52" i="37"/>
  <c r="M52" i="37"/>
  <c r="J52" i="37"/>
  <c r="I52" i="37"/>
  <c r="F52" i="37"/>
  <c r="E52" i="37"/>
  <c r="C52" i="37"/>
  <c r="B52" i="37"/>
  <c r="N51" i="37"/>
  <c r="M51" i="37"/>
  <c r="J51" i="37"/>
  <c r="I51" i="37"/>
  <c r="F51" i="37"/>
  <c r="E51" i="37"/>
  <c r="C51" i="37"/>
  <c r="B51" i="37"/>
  <c r="N50" i="37"/>
  <c r="M50" i="37"/>
  <c r="J50" i="37"/>
  <c r="I50" i="37"/>
  <c r="F50" i="37"/>
  <c r="E50" i="37"/>
  <c r="C50" i="37"/>
  <c r="B50" i="37"/>
  <c r="N49" i="37"/>
  <c r="M49" i="37"/>
  <c r="J49" i="37"/>
  <c r="I49" i="37"/>
  <c r="F49" i="37"/>
  <c r="E49" i="37"/>
  <c r="C49" i="37"/>
  <c r="B49" i="37"/>
  <c r="N48" i="37"/>
  <c r="M48" i="37"/>
  <c r="J48" i="37"/>
  <c r="I48" i="37"/>
  <c r="F48" i="37"/>
  <c r="E48" i="37"/>
  <c r="C48" i="37"/>
  <c r="B48" i="37"/>
  <c r="N47" i="37"/>
  <c r="M47" i="37"/>
  <c r="J47" i="37"/>
  <c r="I47" i="37"/>
  <c r="F47" i="37"/>
  <c r="E47" i="37"/>
  <c r="C47" i="37"/>
  <c r="B47" i="37"/>
  <c r="N46" i="37"/>
  <c r="M46" i="37"/>
  <c r="J46" i="37"/>
  <c r="I46" i="37"/>
  <c r="F46" i="37"/>
  <c r="E46" i="37"/>
  <c r="C46" i="37"/>
  <c r="B46" i="37"/>
  <c r="N45" i="37"/>
  <c r="M45" i="37"/>
  <c r="J45" i="37"/>
  <c r="I45" i="37"/>
  <c r="F45" i="37"/>
  <c r="E45" i="37"/>
  <c r="C45" i="37"/>
  <c r="B45" i="37"/>
  <c r="N44" i="37"/>
  <c r="M44" i="37"/>
  <c r="J44" i="37"/>
  <c r="I44" i="37"/>
  <c r="F44" i="37"/>
  <c r="E44" i="37"/>
  <c r="C44" i="37"/>
  <c r="B44" i="37"/>
  <c r="N43" i="37"/>
  <c r="M43" i="37"/>
  <c r="J43" i="37"/>
  <c r="I43" i="37"/>
  <c r="F43" i="37"/>
  <c r="E43" i="37"/>
  <c r="C43" i="37"/>
  <c r="B43" i="37"/>
  <c r="N42" i="37"/>
  <c r="M42" i="37"/>
  <c r="J42" i="37"/>
  <c r="I42" i="37"/>
  <c r="F42" i="37"/>
  <c r="E42" i="37"/>
  <c r="C42" i="37"/>
  <c r="B42" i="37"/>
  <c r="N41" i="37"/>
  <c r="M41" i="37"/>
  <c r="J41" i="37"/>
  <c r="I41" i="37"/>
  <c r="F41" i="37"/>
  <c r="E41" i="37"/>
  <c r="C41" i="37"/>
  <c r="B41" i="37"/>
  <c r="N40" i="37"/>
  <c r="M40" i="37"/>
  <c r="J40" i="37"/>
  <c r="I40" i="37"/>
  <c r="F40" i="37"/>
  <c r="E40" i="37"/>
  <c r="C40" i="37"/>
  <c r="B40" i="37"/>
  <c r="N39" i="37"/>
  <c r="M39" i="37"/>
  <c r="L39" i="37"/>
  <c r="J39" i="37"/>
  <c r="I39" i="37"/>
  <c r="H39" i="37"/>
  <c r="F39" i="37"/>
  <c r="E39" i="37"/>
  <c r="D39" i="37"/>
  <c r="C39" i="37"/>
  <c r="B39" i="37"/>
  <c r="N38" i="37"/>
  <c r="M38" i="37"/>
  <c r="L38" i="37"/>
  <c r="J38" i="37"/>
  <c r="I38" i="37"/>
  <c r="H38" i="37"/>
  <c r="F38" i="37"/>
  <c r="E38" i="37"/>
  <c r="D38" i="37"/>
  <c r="C38" i="37"/>
  <c r="B38" i="37"/>
  <c r="N37" i="37"/>
  <c r="M37" i="37"/>
  <c r="J37" i="37"/>
  <c r="I37" i="37"/>
  <c r="F37" i="37"/>
  <c r="E37" i="37"/>
  <c r="C37" i="37"/>
  <c r="B37" i="37"/>
  <c r="N36" i="37"/>
  <c r="M36" i="37"/>
  <c r="J36" i="37"/>
  <c r="I36" i="37"/>
  <c r="F36" i="37"/>
  <c r="E36" i="37"/>
  <c r="C36" i="37"/>
  <c r="B36" i="37"/>
  <c r="N35" i="37"/>
  <c r="M35" i="37"/>
  <c r="J35" i="37"/>
  <c r="I35" i="37"/>
  <c r="F35" i="37"/>
  <c r="E35" i="37"/>
  <c r="C35" i="37"/>
  <c r="B35" i="37"/>
  <c r="N34" i="37"/>
  <c r="M34" i="37"/>
  <c r="J34" i="37"/>
  <c r="I34" i="37"/>
  <c r="F34" i="37"/>
  <c r="E34" i="37"/>
  <c r="C34" i="37"/>
  <c r="B34" i="37"/>
  <c r="D12" i="37"/>
  <c r="F12" i="37"/>
  <c r="G12" i="37"/>
  <c r="H12" i="37"/>
  <c r="I12" i="37"/>
  <c r="J12" i="37"/>
  <c r="D13" i="37"/>
  <c r="F13" i="37"/>
  <c r="G13" i="37"/>
  <c r="H13" i="37"/>
  <c r="I13" i="37"/>
  <c r="J13" i="37"/>
  <c r="F8" i="36"/>
  <c r="H8" i="36"/>
  <c r="I8" i="36"/>
  <c r="J8" i="36"/>
  <c r="F9" i="36"/>
  <c r="H9" i="36"/>
  <c r="I9" i="36"/>
  <c r="J9" i="36"/>
  <c r="G10" i="36"/>
  <c r="H10" i="36"/>
  <c r="I10" i="36"/>
  <c r="J10" i="36"/>
  <c r="F11" i="36"/>
  <c r="G11" i="36"/>
  <c r="H11" i="36"/>
  <c r="I11" i="36"/>
  <c r="J11" i="36"/>
  <c r="F12" i="36"/>
  <c r="G12" i="36"/>
  <c r="H12" i="36"/>
  <c r="I12" i="36"/>
  <c r="J12" i="36"/>
  <c r="F13" i="36"/>
  <c r="H13" i="36"/>
  <c r="I13" i="36"/>
  <c r="J13" i="36"/>
  <c r="F15" i="36"/>
  <c r="H15" i="36"/>
  <c r="I15" i="36"/>
  <c r="J15" i="36"/>
  <c r="F16" i="36"/>
  <c r="H16" i="36"/>
  <c r="I16" i="36"/>
  <c r="J16" i="36"/>
  <c r="F17" i="36"/>
  <c r="H17" i="36"/>
  <c r="I17" i="36"/>
  <c r="J17" i="36"/>
  <c r="F18" i="36"/>
  <c r="G18" i="36"/>
  <c r="H18" i="36"/>
  <c r="I18" i="36"/>
  <c r="J18" i="36"/>
  <c r="F19" i="36"/>
  <c r="H19" i="36"/>
  <c r="I19" i="36"/>
  <c r="J19" i="36"/>
  <c r="F20" i="36"/>
  <c r="G20" i="36"/>
  <c r="H20" i="36"/>
  <c r="I20" i="36"/>
  <c r="J20" i="36"/>
  <c r="F21" i="36"/>
  <c r="G21" i="36"/>
  <c r="H21" i="36"/>
  <c r="I21" i="36"/>
  <c r="J21" i="36"/>
  <c r="F22" i="36"/>
  <c r="H22" i="36"/>
  <c r="I22" i="36"/>
  <c r="J22" i="36"/>
  <c r="F23" i="36"/>
  <c r="G23" i="36"/>
  <c r="H23" i="36"/>
  <c r="I23" i="36"/>
  <c r="J23" i="36"/>
  <c r="F24" i="36"/>
  <c r="G24" i="36"/>
  <c r="H24" i="36"/>
  <c r="I24" i="36"/>
  <c r="J24" i="36"/>
  <c r="F25" i="36"/>
  <c r="H25" i="36"/>
  <c r="I25" i="36"/>
  <c r="J25" i="36"/>
  <c r="F26" i="36"/>
  <c r="G26" i="36"/>
  <c r="H26" i="36"/>
  <c r="I26" i="36"/>
  <c r="J26" i="36"/>
  <c r="F27" i="36"/>
  <c r="H27" i="36"/>
  <c r="I27" i="36"/>
  <c r="J27" i="36"/>
  <c r="S148" i="14"/>
  <c r="AQ34" i="40"/>
  <c r="AA22" i="66"/>
  <c r="AE24" i="66"/>
  <c r="AF24" i="66"/>
  <c r="AO28" i="40"/>
  <c r="L29" i="40" s="1"/>
  <c r="D16" i="43"/>
  <c r="D15" i="43"/>
  <c r="D14" i="43"/>
  <c r="D13" i="43"/>
  <c r="E13" i="43" s="1"/>
  <c r="I13" i="43" s="1"/>
  <c r="AL28" i="40"/>
  <c r="I29" i="40" s="1"/>
  <c r="AA21" i="66"/>
  <c r="AA20" i="66"/>
  <c r="AN28" i="40"/>
  <c r="K29" i="40" s="1"/>
  <c r="AM28" i="40"/>
  <c r="J29" i="40" s="1"/>
  <c r="AA10" i="66"/>
  <c r="AA8" i="66"/>
  <c r="AA18" i="66"/>
  <c r="AA12" i="66"/>
  <c r="AA7" i="66"/>
  <c r="AA14" i="66"/>
  <c r="AA13" i="66"/>
  <c r="AA5" i="66"/>
  <c r="AA6" i="66"/>
  <c r="AA11" i="66"/>
  <c r="AA9" i="66"/>
  <c r="AA4" i="66"/>
  <c r="AA23" i="66"/>
  <c r="AA19" i="66"/>
  <c r="AA15" i="66"/>
  <c r="AA16" i="66"/>
  <c r="AA17" i="66"/>
  <c r="J7" i="36"/>
  <c r="I7" i="36"/>
  <c r="H7" i="36"/>
  <c r="F7" i="36"/>
  <c r="E39" i="40"/>
  <c r="E37" i="40"/>
  <c r="D39" i="40"/>
  <c r="D38" i="40"/>
  <c r="D37" i="40"/>
  <c r="E38" i="40"/>
  <c r="Z6" i="20" l="1"/>
  <c r="AC129" i="20"/>
  <c r="Y6" i="20"/>
  <c r="AP895" i="20"/>
  <c r="AR895" i="20"/>
  <c r="AP871" i="20"/>
  <c r="AR871" i="20"/>
  <c r="AP804" i="20"/>
  <c r="AR804" i="20"/>
  <c r="AP777" i="20"/>
  <c r="AR777" i="20"/>
  <c r="AP732" i="20"/>
  <c r="AR732" i="20"/>
  <c r="AP601" i="20"/>
  <c r="AR601" i="20"/>
  <c r="AP597" i="20"/>
  <c r="AR597" i="20"/>
  <c r="AP587" i="20"/>
  <c r="AR587" i="20"/>
  <c r="AP581" i="20"/>
  <c r="AR581" i="20"/>
  <c r="AP565" i="20"/>
  <c r="AR565" i="20"/>
  <c r="AP528" i="20"/>
  <c r="AR528" i="20"/>
  <c r="AP507" i="20"/>
  <c r="AR507" i="20"/>
  <c r="AP293" i="20"/>
  <c r="AR293" i="20"/>
  <c r="AP264" i="20"/>
  <c r="AR264" i="20"/>
  <c r="AP225" i="20"/>
  <c r="AR225" i="20"/>
  <c r="AP207" i="20"/>
  <c r="AR207" i="20"/>
  <c r="AP195" i="20"/>
  <c r="AR195" i="20"/>
  <c r="AP179" i="20"/>
  <c r="AR179" i="20"/>
  <c r="AP906" i="20"/>
  <c r="AR906" i="20"/>
  <c r="AP512" i="20"/>
  <c r="AR512" i="20"/>
  <c r="AP916" i="20"/>
  <c r="AR916" i="20"/>
  <c r="AP888" i="20"/>
  <c r="AR888" i="20"/>
  <c r="AP829" i="20"/>
  <c r="AR829" i="20"/>
  <c r="AP799" i="20"/>
  <c r="AR799" i="20"/>
  <c r="AP788" i="20"/>
  <c r="AR788" i="20"/>
  <c r="AP765" i="20"/>
  <c r="AR765" i="20"/>
  <c r="AP702" i="20"/>
  <c r="AR702" i="20"/>
  <c r="AP493" i="20"/>
  <c r="AR493" i="20"/>
  <c r="AP433" i="20"/>
  <c r="AR433" i="20"/>
  <c r="AP191" i="20"/>
  <c r="AR191" i="20"/>
  <c r="AP91" i="20"/>
  <c r="AR91" i="20"/>
  <c r="AP908" i="20"/>
  <c r="AR908" i="20"/>
  <c r="AP897" i="20"/>
  <c r="AR897" i="20"/>
  <c r="AP877" i="20"/>
  <c r="AR877" i="20"/>
  <c r="AP849" i="20"/>
  <c r="AR849" i="20"/>
  <c r="AP822" i="20"/>
  <c r="AR822" i="20"/>
  <c r="AP796" i="20"/>
  <c r="AR796" i="20"/>
  <c r="AP754" i="20"/>
  <c r="AR754" i="20"/>
  <c r="AP716" i="20"/>
  <c r="AR716" i="20"/>
  <c r="AP704" i="20"/>
  <c r="AR704" i="20"/>
  <c r="AP622" i="20"/>
  <c r="AR622" i="20"/>
  <c r="AP449" i="20"/>
  <c r="AR449" i="20"/>
  <c r="AP416" i="20"/>
  <c r="AR416" i="20"/>
  <c r="AP348" i="20"/>
  <c r="AR348" i="20"/>
  <c r="AP182" i="20"/>
  <c r="AR182" i="20"/>
  <c r="AP907" i="20"/>
  <c r="AR907" i="20"/>
  <c r="AP838" i="20"/>
  <c r="AR838" i="20"/>
  <c r="AP787" i="20"/>
  <c r="AR787" i="20"/>
  <c r="AP738" i="20"/>
  <c r="AR738" i="20"/>
  <c r="AP367" i="20"/>
  <c r="AR367" i="20"/>
  <c r="AP612" i="20"/>
  <c r="AR612" i="20"/>
  <c r="AP841" i="20"/>
  <c r="AR841" i="20"/>
  <c r="AP812" i="20"/>
  <c r="AR812" i="20"/>
  <c r="AP746" i="20"/>
  <c r="AR746" i="20"/>
  <c r="AP731" i="20"/>
  <c r="AR731" i="20"/>
  <c r="AP480" i="20"/>
  <c r="AR480" i="20"/>
  <c r="AP309" i="20"/>
  <c r="AR309" i="20"/>
  <c r="AP891" i="20"/>
  <c r="AR891" i="20"/>
  <c r="AP847" i="20"/>
  <c r="AR847" i="20"/>
  <c r="AP821" i="20"/>
  <c r="AR821" i="20"/>
  <c r="AP802" i="20"/>
  <c r="AR802" i="20"/>
  <c r="AP733" i="20"/>
  <c r="AR733" i="20"/>
  <c r="AP532" i="20"/>
  <c r="AR532" i="20"/>
  <c r="AP263" i="20"/>
  <c r="AR263" i="20"/>
  <c r="AP184" i="20"/>
  <c r="AR184" i="20"/>
  <c r="AP790" i="20"/>
  <c r="AR790" i="20"/>
  <c r="AP614" i="20"/>
  <c r="AR614" i="20"/>
  <c r="AP485" i="20"/>
  <c r="AR485" i="20"/>
  <c r="AP920" i="20"/>
  <c r="AR920" i="20"/>
  <c r="AP778" i="20"/>
  <c r="AR778" i="20"/>
  <c r="AP747" i="20"/>
  <c r="AR747" i="20"/>
  <c r="AP516" i="20"/>
  <c r="AR516" i="20"/>
  <c r="AP859" i="20"/>
  <c r="AR859" i="20"/>
  <c r="AP806" i="20"/>
  <c r="AR806" i="20"/>
  <c r="AP582" i="20"/>
  <c r="AR582" i="20"/>
  <c r="AP224" i="20"/>
  <c r="AR224" i="20"/>
  <c r="AP854" i="20"/>
  <c r="AR854" i="20"/>
  <c r="AP801" i="20"/>
  <c r="AR801" i="20"/>
  <c r="AP759" i="20"/>
  <c r="AR759" i="20"/>
  <c r="AP734" i="20"/>
  <c r="AR734" i="20"/>
  <c r="AP610" i="20"/>
  <c r="AR610" i="20"/>
  <c r="AP524" i="20"/>
  <c r="AR524" i="20"/>
  <c r="AP481" i="20"/>
  <c r="AR481" i="20"/>
  <c r="AP172" i="20"/>
  <c r="AR172" i="20"/>
  <c r="AP752" i="20"/>
  <c r="AR752" i="20"/>
  <c r="AP509" i="20"/>
  <c r="AR509" i="20"/>
  <c r="AP251" i="20"/>
  <c r="AR251" i="20"/>
  <c r="AP889" i="20"/>
  <c r="AR889" i="20"/>
  <c r="AP187" i="20"/>
  <c r="AR187" i="20"/>
  <c r="AP843" i="20"/>
  <c r="AR843" i="20"/>
  <c r="AP719" i="20"/>
  <c r="AR719" i="20"/>
  <c r="AP99" i="20"/>
  <c r="AR99" i="20"/>
  <c r="AP718" i="20"/>
  <c r="AR718" i="20"/>
  <c r="AP607" i="20"/>
  <c r="AR607" i="20"/>
  <c r="AP244" i="20"/>
  <c r="AR244" i="20"/>
  <c r="AP633" i="20"/>
  <c r="AR633" i="20"/>
  <c r="AP535" i="20"/>
  <c r="AR535" i="20"/>
  <c r="AP866" i="20"/>
  <c r="AR866" i="20"/>
  <c r="AP585" i="20"/>
  <c r="AR585" i="20"/>
  <c r="AP563" i="20"/>
  <c r="AR563" i="20"/>
  <c r="AP489" i="20"/>
  <c r="AR489" i="20"/>
  <c r="AP455" i="20"/>
  <c r="AR455" i="20"/>
  <c r="AP110" i="20"/>
  <c r="AR110" i="20"/>
  <c r="AP92" i="20"/>
  <c r="AR92" i="20"/>
  <c r="AP93" i="20"/>
  <c r="AR93" i="20"/>
  <c r="AP883" i="20"/>
  <c r="AR883" i="20"/>
  <c r="AP624" i="20"/>
  <c r="AR624" i="20"/>
  <c r="AP510" i="20"/>
  <c r="AR510" i="20"/>
  <c r="AP222" i="20"/>
  <c r="AR222" i="20"/>
  <c r="AP558" i="20"/>
  <c r="AR558" i="20"/>
  <c r="AP97" i="20"/>
  <c r="AR97" i="20"/>
  <c r="AP428" i="20"/>
  <c r="AR428" i="20"/>
  <c r="AP265" i="20"/>
  <c r="AR265" i="20"/>
  <c r="AP255" i="20"/>
  <c r="AR255" i="20"/>
  <c r="AP864" i="20"/>
  <c r="AR864" i="20"/>
  <c r="AP856" i="20"/>
  <c r="AR856" i="20"/>
  <c r="AP834" i="20"/>
  <c r="AR834" i="20"/>
  <c r="AP183" i="20"/>
  <c r="AR183" i="20"/>
  <c r="AP793" i="20"/>
  <c r="AR793" i="20"/>
  <c r="AP725" i="20"/>
  <c r="AR725" i="20"/>
  <c r="AP617" i="20"/>
  <c r="AR617" i="20"/>
  <c r="AP589" i="20"/>
  <c r="AR589" i="20"/>
  <c r="AP537" i="20"/>
  <c r="AR537" i="20"/>
  <c r="AP450" i="20"/>
  <c r="AR450" i="20"/>
  <c r="AP332" i="20"/>
  <c r="AR332" i="20"/>
  <c r="AP247" i="20"/>
  <c r="AR247" i="20"/>
  <c r="AP193" i="20"/>
  <c r="AR193" i="20"/>
  <c r="AP130" i="20"/>
  <c r="AR130" i="20"/>
  <c r="AP896" i="20"/>
  <c r="AR896" i="20"/>
  <c r="AP911" i="20"/>
  <c r="AR911" i="20"/>
  <c r="AP890" i="20"/>
  <c r="AR890" i="20"/>
  <c r="AP819" i="20"/>
  <c r="AR819" i="20"/>
  <c r="AP795" i="20"/>
  <c r="AR795" i="20"/>
  <c r="AP768" i="20"/>
  <c r="AR768" i="20"/>
  <c r="AP490" i="20"/>
  <c r="AR490" i="20"/>
  <c r="AP270" i="20"/>
  <c r="AR270" i="20"/>
  <c r="AP250" i="20"/>
  <c r="AR250" i="20"/>
  <c r="AP190" i="20"/>
  <c r="AR190" i="20"/>
  <c r="AP918" i="20"/>
  <c r="AR918" i="20"/>
  <c r="AP903" i="20"/>
  <c r="AR903" i="20"/>
  <c r="AP893" i="20"/>
  <c r="AR893" i="20"/>
  <c r="AP875" i="20"/>
  <c r="AR875" i="20"/>
  <c r="AP837" i="20"/>
  <c r="AR837" i="20"/>
  <c r="AP817" i="20"/>
  <c r="AR817" i="20"/>
  <c r="AP791" i="20"/>
  <c r="AR791" i="20"/>
  <c r="AP743" i="20"/>
  <c r="AR743" i="20"/>
  <c r="AP709" i="20"/>
  <c r="AR709" i="20"/>
  <c r="AP703" i="20"/>
  <c r="AR703" i="20"/>
  <c r="AP540" i="20"/>
  <c r="AR540" i="20"/>
  <c r="AP85" i="20"/>
  <c r="AR85" i="20"/>
  <c r="AP894" i="20"/>
  <c r="AR894" i="20"/>
  <c r="AP832" i="20"/>
  <c r="AR832" i="20"/>
  <c r="AP767" i="20"/>
  <c r="AR767" i="20"/>
  <c r="AP728" i="20"/>
  <c r="AR728" i="20"/>
  <c r="AP502" i="20"/>
  <c r="AR502" i="20"/>
  <c r="AP460" i="20"/>
  <c r="AR460" i="20"/>
  <c r="AP347" i="20"/>
  <c r="AR347" i="20"/>
  <c r="AP840" i="20"/>
  <c r="AR840" i="20"/>
  <c r="AP811" i="20"/>
  <c r="AR811" i="20"/>
  <c r="AP745" i="20"/>
  <c r="AR745" i="20"/>
  <c r="AP378" i="20"/>
  <c r="AR378" i="20"/>
  <c r="AP223" i="20"/>
  <c r="AR223" i="20"/>
  <c r="AP880" i="20"/>
  <c r="AR880" i="20"/>
  <c r="AP846" i="20"/>
  <c r="AR846" i="20"/>
  <c r="AP820" i="20"/>
  <c r="AR820" i="20"/>
  <c r="AP797" i="20"/>
  <c r="AR797" i="20"/>
  <c r="AP730" i="20"/>
  <c r="AR730" i="20"/>
  <c r="AP552" i="20"/>
  <c r="AR552" i="20"/>
  <c r="AP523" i="20"/>
  <c r="AR523" i="20"/>
  <c r="AP453" i="20"/>
  <c r="AR453" i="20"/>
  <c r="AP360" i="20"/>
  <c r="AR360" i="20"/>
  <c r="AP323" i="20"/>
  <c r="AR323" i="20"/>
  <c r="AP249" i="20"/>
  <c r="AR249" i="20"/>
  <c r="AP82" i="20"/>
  <c r="AR82" i="20"/>
  <c r="AP505" i="20"/>
  <c r="AR505" i="20"/>
  <c r="AP905" i="20"/>
  <c r="AR905" i="20"/>
  <c r="AP781" i="20"/>
  <c r="AR781" i="20"/>
  <c r="AP711" i="20"/>
  <c r="AR711" i="20"/>
  <c r="AP858" i="20"/>
  <c r="AR858" i="20"/>
  <c r="AP792" i="20"/>
  <c r="AR792" i="20"/>
  <c r="AP181" i="20"/>
  <c r="AR181" i="20"/>
  <c r="AP842" i="20"/>
  <c r="AR842" i="20"/>
  <c r="AP780" i="20"/>
  <c r="AR780" i="20"/>
  <c r="AP760" i="20"/>
  <c r="AR760" i="20"/>
  <c r="AP722" i="20"/>
  <c r="AR722" i="20"/>
  <c r="AP522" i="20"/>
  <c r="AR522" i="20"/>
  <c r="AP470" i="20"/>
  <c r="AR470" i="20"/>
  <c r="AP171" i="20"/>
  <c r="AR171" i="20"/>
  <c r="AP750" i="20"/>
  <c r="AR750" i="20"/>
  <c r="AP246" i="20"/>
  <c r="AR246" i="20"/>
  <c r="AP824" i="20"/>
  <c r="AR824" i="20"/>
  <c r="AP761" i="20"/>
  <c r="AR761" i="20"/>
  <c r="AP771" i="20"/>
  <c r="AR771" i="20"/>
  <c r="AP705" i="20"/>
  <c r="AR705" i="20"/>
  <c r="AP562" i="20"/>
  <c r="AR562" i="20"/>
  <c r="AP111" i="20"/>
  <c r="AR111" i="20"/>
  <c r="AP717" i="20"/>
  <c r="AR717" i="20"/>
  <c r="AP434" i="20"/>
  <c r="AR434" i="20"/>
  <c r="AP86" i="20"/>
  <c r="AR86" i="20"/>
  <c r="AP608" i="20"/>
  <c r="AR608" i="20"/>
  <c r="AP865" i="20"/>
  <c r="AR865" i="20"/>
  <c r="AP605" i="20"/>
  <c r="AR605" i="20"/>
  <c r="AP588" i="20"/>
  <c r="AR588" i="20"/>
  <c r="AP560" i="20"/>
  <c r="AR560" i="20"/>
  <c r="AP538" i="20"/>
  <c r="AR538" i="20"/>
  <c r="AP445" i="20"/>
  <c r="AR445" i="20"/>
  <c r="AP109" i="20"/>
  <c r="AR109" i="20"/>
  <c r="AP94" i="20"/>
  <c r="AR94" i="20"/>
  <c r="AP102" i="20"/>
  <c r="AR102" i="20"/>
  <c r="AP876" i="20"/>
  <c r="AR876" i="20"/>
  <c r="AP827" i="20"/>
  <c r="AR827" i="20"/>
  <c r="AP573" i="20"/>
  <c r="AR573" i="20"/>
  <c r="AP107" i="20"/>
  <c r="AR107" i="20"/>
  <c r="AP613" i="20"/>
  <c r="AR613" i="20"/>
  <c r="AP262" i="20"/>
  <c r="AR262" i="20"/>
  <c r="AP863" i="20"/>
  <c r="AR863" i="20"/>
  <c r="AP855" i="20"/>
  <c r="AR855" i="20"/>
  <c r="AP879" i="20"/>
  <c r="AR879" i="20"/>
  <c r="AP872" i="20"/>
  <c r="AR872" i="20"/>
  <c r="AP762" i="20"/>
  <c r="AR762" i="20"/>
  <c r="AP584" i="20"/>
  <c r="AR584" i="20"/>
  <c r="AP878" i="20"/>
  <c r="AR878" i="20"/>
  <c r="AP853" i="20"/>
  <c r="AR853" i="20"/>
  <c r="AP773" i="20"/>
  <c r="AR773" i="20"/>
  <c r="AP757" i="20"/>
  <c r="AR757" i="20"/>
  <c r="AP723" i="20"/>
  <c r="AR723" i="20"/>
  <c r="AP604" i="20"/>
  <c r="AR604" i="20"/>
  <c r="AP598" i="20"/>
  <c r="AR598" i="20"/>
  <c r="AP590" i="20"/>
  <c r="AR590" i="20"/>
  <c r="AP595" i="20"/>
  <c r="AR595" i="20"/>
  <c r="AP559" i="20"/>
  <c r="AR559" i="20"/>
  <c r="AP531" i="20"/>
  <c r="AR531" i="20"/>
  <c r="AP526" i="20"/>
  <c r="AR526" i="20"/>
  <c r="AP496" i="20"/>
  <c r="AR496" i="20"/>
  <c r="AP447" i="20"/>
  <c r="AR447" i="20"/>
  <c r="AP197" i="20"/>
  <c r="AR197" i="20"/>
  <c r="AP192" i="20"/>
  <c r="AR192" i="20"/>
  <c r="AP100" i="20"/>
  <c r="AR100" i="20"/>
  <c r="AP785" i="20"/>
  <c r="AR785" i="20"/>
  <c r="AP915" i="20"/>
  <c r="AR915" i="20"/>
  <c r="AP912" i="20"/>
  <c r="AR912" i="20"/>
  <c r="AP886" i="20"/>
  <c r="AR886" i="20"/>
  <c r="AP814" i="20"/>
  <c r="AR814" i="20"/>
  <c r="AP789" i="20"/>
  <c r="AR789" i="20"/>
  <c r="AP764" i="20"/>
  <c r="AR764" i="20"/>
  <c r="AP519" i="20"/>
  <c r="AR519" i="20"/>
  <c r="AP492" i="20"/>
  <c r="AR492" i="20"/>
  <c r="AP269" i="20"/>
  <c r="AR269" i="20"/>
  <c r="AP221" i="20"/>
  <c r="AR221" i="20"/>
  <c r="AP189" i="20"/>
  <c r="AR189" i="20"/>
  <c r="AP910" i="20"/>
  <c r="AR910" i="20"/>
  <c r="AP902" i="20"/>
  <c r="AR902" i="20"/>
  <c r="AP887" i="20"/>
  <c r="AR887" i="20"/>
  <c r="AP860" i="20"/>
  <c r="AR860" i="20"/>
  <c r="AP836" i="20"/>
  <c r="AR836" i="20"/>
  <c r="AP816" i="20"/>
  <c r="AR816" i="20"/>
  <c r="AP769" i="20"/>
  <c r="AR769" i="20"/>
  <c r="AP742" i="20"/>
  <c r="AR742" i="20"/>
  <c r="AP707" i="20"/>
  <c r="AR707" i="20"/>
  <c r="AP486" i="20"/>
  <c r="AR486" i="20"/>
  <c r="AP353" i="20"/>
  <c r="AR353" i="20"/>
  <c r="AP318" i="20"/>
  <c r="AR318" i="20"/>
  <c r="AP919" i="20"/>
  <c r="AR919" i="20"/>
  <c r="AP882" i="20"/>
  <c r="AR882" i="20"/>
  <c r="AP810" i="20"/>
  <c r="AR810" i="20"/>
  <c r="AP755" i="20"/>
  <c r="AR755" i="20"/>
  <c r="AP521" i="20"/>
  <c r="AR521" i="20"/>
  <c r="AP297" i="20"/>
  <c r="AR297" i="20"/>
  <c r="AP501" i="20"/>
  <c r="AR501" i="20"/>
  <c r="AP443" i="20"/>
  <c r="AR443" i="20"/>
  <c r="AP909" i="20"/>
  <c r="AR909" i="20"/>
  <c r="AP839" i="20"/>
  <c r="AR839" i="20"/>
  <c r="AP776" i="20"/>
  <c r="AR776" i="20"/>
  <c r="AP740" i="20"/>
  <c r="AR740" i="20"/>
  <c r="AP626" i="20"/>
  <c r="AR626" i="20"/>
  <c r="AP365" i="20"/>
  <c r="AR365" i="20"/>
  <c r="AP850" i="20"/>
  <c r="AR850" i="20"/>
  <c r="AP835" i="20"/>
  <c r="AR835" i="20"/>
  <c r="AP807" i="20"/>
  <c r="AR807" i="20"/>
  <c r="AP794" i="20"/>
  <c r="AR794" i="20"/>
  <c r="AP487" i="20"/>
  <c r="AR487" i="20"/>
  <c r="AP248" i="20"/>
  <c r="AR248" i="20"/>
  <c r="AP881" i="20"/>
  <c r="AR881" i="20"/>
  <c r="AP504" i="20"/>
  <c r="AR504" i="20"/>
  <c r="AP818" i="20"/>
  <c r="AR818" i="20"/>
  <c r="AP758" i="20"/>
  <c r="AR758" i="20"/>
  <c r="AP831" i="20"/>
  <c r="AR831" i="20"/>
  <c r="AP774" i="20"/>
  <c r="AR774" i="20"/>
  <c r="AP267" i="20"/>
  <c r="AR267" i="20"/>
  <c r="AP753" i="20"/>
  <c r="AR753" i="20"/>
  <c r="AP833" i="20"/>
  <c r="AR833" i="20"/>
  <c r="AP779" i="20"/>
  <c r="AR779" i="20"/>
  <c r="AP748" i="20"/>
  <c r="AR748" i="20"/>
  <c r="AP533" i="20"/>
  <c r="AR533" i="20"/>
  <c r="AP499" i="20"/>
  <c r="AR499" i="20"/>
  <c r="AP407" i="20"/>
  <c r="AR407" i="20"/>
  <c r="AP185" i="20"/>
  <c r="AR185" i="20"/>
  <c r="AP131" i="20"/>
  <c r="AR131" i="20"/>
  <c r="AP727" i="20"/>
  <c r="AR727" i="20"/>
  <c r="AP803" i="20"/>
  <c r="AR803" i="20"/>
  <c r="AP567" i="20"/>
  <c r="AR567" i="20"/>
  <c r="AP611" i="20"/>
  <c r="AR611" i="20"/>
  <c r="AP736" i="20"/>
  <c r="AR736" i="20"/>
  <c r="AP596" i="20"/>
  <c r="AR596" i="20"/>
  <c r="AP541" i="20"/>
  <c r="AR541" i="20"/>
  <c r="AP105" i="20"/>
  <c r="AR105" i="20"/>
  <c r="AP706" i="20"/>
  <c r="AR706" i="20"/>
  <c r="AP283" i="20"/>
  <c r="AR283" i="20"/>
  <c r="AP726" i="20"/>
  <c r="AR726" i="20"/>
  <c r="AP577" i="20"/>
  <c r="AR577" i="20"/>
  <c r="AP518" i="20"/>
  <c r="AR518" i="20"/>
  <c r="AP220" i="20"/>
  <c r="AR220" i="20"/>
  <c r="AP868" i="20"/>
  <c r="AR868" i="20"/>
  <c r="AP599" i="20"/>
  <c r="AR599" i="20"/>
  <c r="AP556" i="20"/>
  <c r="AR556" i="20"/>
  <c r="AP555" i="20"/>
  <c r="AR555" i="20"/>
  <c r="AP500" i="20"/>
  <c r="AR500" i="20"/>
  <c r="AP474" i="20"/>
  <c r="AR474" i="20"/>
  <c r="AP106" i="20"/>
  <c r="AR106" i="20"/>
  <c r="AP108" i="20"/>
  <c r="AR108" i="20"/>
  <c r="AP98" i="20"/>
  <c r="AR98" i="20"/>
  <c r="AP508" i="20"/>
  <c r="AR508" i="20"/>
  <c r="AP823" i="20"/>
  <c r="AR823" i="20"/>
  <c r="AP551" i="20"/>
  <c r="AR551" i="20"/>
  <c r="AP593" i="20"/>
  <c r="AR593" i="20"/>
  <c r="AP517" i="20"/>
  <c r="AR517" i="20"/>
  <c r="AP476" i="20"/>
  <c r="AR476" i="20"/>
  <c r="AP503" i="20"/>
  <c r="AR503" i="20"/>
  <c r="AP899" i="20"/>
  <c r="AR899" i="20"/>
  <c r="AP862" i="20"/>
  <c r="AR862" i="20"/>
  <c r="AP845" i="20"/>
  <c r="AR845" i="20"/>
  <c r="AP495" i="20"/>
  <c r="AR495" i="20"/>
  <c r="AP600" i="20"/>
  <c r="AR600" i="20"/>
  <c r="AP591" i="20"/>
  <c r="AR591" i="20"/>
  <c r="AP557" i="20"/>
  <c r="AR557" i="20"/>
  <c r="AP527" i="20"/>
  <c r="AR527" i="20"/>
  <c r="AP506" i="20"/>
  <c r="AR506" i="20"/>
  <c r="AP904" i="20"/>
  <c r="AR904" i="20"/>
  <c r="AP874" i="20"/>
  <c r="AR874" i="20"/>
  <c r="AP815" i="20"/>
  <c r="AR815" i="20"/>
  <c r="AP772" i="20"/>
  <c r="AR772" i="20"/>
  <c r="AP751" i="20"/>
  <c r="AR751" i="20"/>
  <c r="AP720" i="20"/>
  <c r="AR720" i="20"/>
  <c r="AP606" i="20"/>
  <c r="AR606" i="20"/>
  <c r="AP602" i="20"/>
  <c r="AR602" i="20"/>
  <c r="AP586" i="20"/>
  <c r="AR586" i="20"/>
  <c r="AP578" i="20"/>
  <c r="AR578" i="20"/>
  <c r="AP566" i="20"/>
  <c r="AR566" i="20"/>
  <c r="AP561" i="20"/>
  <c r="AR561" i="20"/>
  <c r="AP529" i="20"/>
  <c r="AR529" i="20"/>
  <c r="AP525" i="20"/>
  <c r="AR525" i="20"/>
  <c r="AP472" i="20"/>
  <c r="AR472" i="20"/>
  <c r="AP444" i="20"/>
  <c r="AR444" i="20"/>
  <c r="AP431" i="20"/>
  <c r="AR431" i="20"/>
  <c r="AP212" i="20"/>
  <c r="AR212" i="20"/>
  <c r="AP196" i="20"/>
  <c r="AR196" i="20"/>
  <c r="AP186" i="20"/>
  <c r="AR186" i="20"/>
  <c r="AP78" i="20"/>
  <c r="AR78" i="20"/>
  <c r="AP784" i="20"/>
  <c r="AR784" i="20"/>
  <c r="AP917" i="20"/>
  <c r="AR917" i="20"/>
  <c r="AP901" i="20"/>
  <c r="AR901" i="20"/>
  <c r="AP885" i="20"/>
  <c r="AR885" i="20"/>
  <c r="AP808" i="20"/>
  <c r="AR808" i="20"/>
  <c r="AP786" i="20"/>
  <c r="AR786" i="20"/>
  <c r="AP766" i="20"/>
  <c r="AR766" i="20"/>
  <c r="AP513" i="20"/>
  <c r="AR513" i="20"/>
  <c r="AP351" i="20"/>
  <c r="AR351" i="20"/>
  <c r="AP266" i="20"/>
  <c r="AR266" i="20"/>
  <c r="AP188" i="20"/>
  <c r="AR188" i="20"/>
  <c r="AP914" i="20"/>
  <c r="AR914" i="20"/>
  <c r="AP898" i="20"/>
  <c r="AR898" i="20"/>
  <c r="AP884" i="20"/>
  <c r="AR884" i="20"/>
  <c r="AP852" i="20"/>
  <c r="AR852" i="20"/>
  <c r="AP825" i="20"/>
  <c r="AR825" i="20"/>
  <c r="AP813" i="20"/>
  <c r="AR813" i="20"/>
  <c r="AP782" i="20"/>
  <c r="AR782" i="20"/>
  <c r="AP737" i="20"/>
  <c r="AR737" i="20"/>
  <c r="AP701" i="20"/>
  <c r="AR701" i="20"/>
  <c r="AP568" i="20"/>
  <c r="AR568" i="20"/>
  <c r="AP456" i="20"/>
  <c r="AR456" i="20"/>
  <c r="AP349" i="20"/>
  <c r="AR349" i="20"/>
  <c r="AP913" i="20"/>
  <c r="AR913" i="20"/>
  <c r="AP851" i="20"/>
  <c r="AR851" i="20"/>
  <c r="AP800" i="20"/>
  <c r="AR800" i="20"/>
  <c r="AP744" i="20"/>
  <c r="AR744" i="20"/>
  <c r="AP511" i="20"/>
  <c r="AR511" i="20"/>
  <c r="AP615" i="20"/>
  <c r="AR615" i="20"/>
  <c r="AP484" i="20"/>
  <c r="AR484" i="20"/>
  <c r="AP430" i="20"/>
  <c r="AR430" i="20"/>
  <c r="AP857" i="20"/>
  <c r="AR857" i="20"/>
  <c r="AP828" i="20"/>
  <c r="AR828" i="20"/>
  <c r="AP775" i="20"/>
  <c r="AR775" i="20"/>
  <c r="AP739" i="20"/>
  <c r="AR739" i="20"/>
  <c r="AP478" i="20"/>
  <c r="AR478" i="20"/>
  <c r="AP313" i="20"/>
  <c r="AR313" i="20"/>
  <c r="AP848" i="20"/>
  <c r="AR848" i="20"/>
  <c r="AP826" i="20"/>
  <c r="AR826" i="20"/>
  <c r="AP805" i="20"/>
  <c r="AR805" i="20"/>
  <c r="AP763" i="20"/>
  <c r="AR763" i="20"/>
  <c r="AP268" i="20"/>
  <c r="AR268" i="20"/>
  <c r="AP870" i="20"/>
  <c r="AR870" i="20"/>
  <c r="AP616" i="20"/>
  <c r="AR616" i="20"/>
  <c r="AP488" i="20"/>
  <c r="AR488" i="20"/>
  <c r="AP79" i="20"/>
  <c r="AR79" i="20"/>
  <c r="AP783" i="20"/>
  <c r="AR783" i="20"/>
  <c r="AP756" i="20"/>
  <c r="AR756" i="20"/>
  <c r="AP830" i="20"/>
  <c r="AR830" i="20"/>
  <c r="AP721" i="20"/>
  <c r="AR721" i="20"/>
  <c r="AP609" i="20"/>
  <c r="AR609" i="20"/>
  <c r="AP520" i="20"/>
  <c r="AR520" i="20"/>
  <c r="AP900" i="20"/>
  <c r="AR900" i="20"/>
  <c r="AP809" i="20"/>
  <c r="AR809" i="20"/>
  <c r="AP770" i="20"/>
  <c r="AR770" i="20"/>
  <c r="AP741" i="20"/>
  <c r="AR741" i="20"/>
  <c r="AP530" i="20"/>
  <c r="AR530" i="20"/>
  <c r="AP494" i="20"/>
  <c r="AR494" i="20"/>
  <c r="AP302" i="20"/>
  <c r="AR302" i="20"/>
  <c r="AP180" i="20"/>
  <c r="AR180" i="20"/>
  <c r="AP798" i="20"/>
  <c r="AR798" i="20"/>
  <c r="AP724" i="20"/>
  <c r="AR724" i="20"/>
  <c r="AP580" i="20"/>
  <c r="AR580" i="20"/>
  <c r="AP129" i="20"/>
  <c r="AR129" i="20"/>
  <c r="AP491" i="20"/>
  <c r="AR491" i="20"/>
  <c r="AP873" i="20"/>
  <c r="AR873" i="20"/>
  <c r="AP735" i="20"/>
  <c r="AR735" i="20"/>
  <c r="AP594" i="20"/>
  <c r="AR594" i="20"/>
  <c r="AP539" i="20"/>
  <c r="AR539" i="20"/>
  <c r="AP132" i="20"/>
  <c r="AR132" i="20"/>
  <c r="AP869" i="20"/>
  <c r="AR869" i="20"/>
  <c r="AP708" i="20"/>
  <c r="AR708" i="20"/>
  <c r="AP498" i="20"/>
  <c r="AR498" i="20"/>
  <c r="AP867" i="20"/>
  <c r="AR867" i="20"/>
  <c r="AP603" i="20"/>
  <c r="AR603" i="20"/>
  <c r="AP564" i="20"/>
  <c r="AR564" i="20"/>
  <c r="AP554" i="20"/>
  <c r="AR554" i="20"/>
  <c r="AP497" i="20"/>
  <c r="AR497" i="20"/>
  <c r="AP95" i="20"/>
  <c r="AR95" i="20"/>
  <c r="AP101" i="20"/>
  <c r="AR101" i="20"/>
  <c r="AP96" i="20"/>
  <c r="AR96" i="20"/>
  <c r="AP729" i="20"/>
  <c r="AR729" i="20"/>
  <c r="AP515" i="20"/>
  <c r="AR515" i="20"/>
  <c r="AP514" i="20"/>
  <c r="AR514" i="20"/>
  <c r="AP592" i="20"/>
  <c r="AR592" i="20"/>
  <c r="AP749" i="20"/>
  <c r="AR749" i="20"/>
  <c r="AP466" i="20"/>
  <c r="AR466" i="20"/>
  <c r="AP258" i="20"/>
  <c r="AR258" i="20"/>
  <c r="AP892" i="20"/>
  <c r="AR892" i="20"/>
  <c r="AP861" i="20"/>
  <c r="AR861" i="20"/>
  <c r="AP844" i="20"/>
  <c r="AR844" i="20"/>
  <c r="AP457" i="20"/>
  <c r="AR457" i="20"/>
  <c r="Z982" i="20"/>
  <c r="AD982" i="20"/>
  <c r="AH982" i="20"/>
  <c r="AL982" i="20"/>
  <c r="Z983" i="20"/>
  <c r="AD983" i="20"/>
  <c r="AH983" i="20"/>
  <c r="AL983" i="20"/>
  <c r="Z984" i="20"/>
  <c r="AD984" i="20"/>
  <c r="AH984" i="20"/>
  <c r="AL984" i="20"/>
  <c r="Z985" i="20"/>
  <c r="AD985" i="20"/>
  <c r="AH985" i="20"/>
  <c r="AL985" i="20"/>
  <c r="Z986" i="20"/>
  <c r="AD986" i="20"/>
  <c r="AH986" i="20"/>
  <c r="AL986" i="20"/>
  <c r="Z987" i="20"/>
  <c r="AD987" i="20"/>
  <c r="AH987" i="20"/>
  <c r="AL987" i="20"/>
  <c r="Z988" i="20"/>
  <c r="AD988" i="20"/>
  <c r="AH988" i="20"/>
  <c r="AL988" i="20"/>
  <c r="Z989" i="20"/>
  <c r="AD989" i="20"/>
  <c r="AH989" i="20"/>
  <c r="AL989" i="20"/>
  <c r="Z10" i="20"/>
  <c r="AD10" i="20"/>
  <c r="AH10" i="20"/>
  <c r="AL10" i="20"/>
  <c r="Z9" i="20"/>
  <c r="AD9" i="20"/>
  <c r="AH9" i="20"/>
  <c r="AL9" i="20"/>
  <c r="Z11" i="20"/>
  <c r="AD11" i="20"/>
  <c r="AH11" i="20"/>
  <c r="AL11" i="20"/>
  <c r="Z13" i="20"/>
  <c r="AD13" i="20"/>
  <c r="AH13" i="20"/>
  <c r="AL13" i="20"/>
  <c r="Z15" i="20"/>
  <c r="AD15" i="20"/>
  <c r="AH15" i="20"/>
  <c r="AL15" i="20"/>
  <c r="Z34" i="20"/>
  <c r="AD34" i="20"/>
  <c r="AH34" i="20"/>
  <c r="AL34" i="20"/>
  <c r="Z14" i="20"/>
  <c r="AD14" i="20"/>
  <c r="AH14" i="20"/>
  <c r="AL14" i="20"/>
  <c r="Z31" i="20"/>
  <c r="AD31" i="20"/>
  <c r="AH31" i="20"/>
  <c r="AL31" i="20"/>
  <c r="Z25" i="20"/>
  <c r="AD25" i="20"/>
  <c r="AH25" i="20"/>
  <c r="AL25" i="20"/>
  <c r="Z42" i="20"/>
  <c r="AD42" i="20"/>
  <c r="AH42" i="20"/>
  <c r="AL42" i="20"/>
  <c r="Z26" i="20"/>
  <c r="AD26" i="20"/>
  <c r="AH26" i="20"/>
  <c r="AL26" i="20"/>
  <c r="Z30" i="20"/>
  <c r="AD30" i="20"/>
  <c r="AH30" i="20"/>
  <c r="AL30" i="20"/>
  <c r="Z29" i="20"/>
  <c r="AD29" i="20"/>
  <c r="AH29" i="20"/>
  <c r="AL29" i="20"/>
  <c r="Z27" i="20"/>
  <c r="AA982" i="20"/>
  <c r="AE982" i="20"/>
  <c r="AI982" i="20"/>
  <c r="AA983" i="20"/>
  <c r="AE983" i="20"/>
  <c r="AI983" i="20"/>
  <c r="AA984" i="20"/>
  <c r="AE984" i="20"/>
  <c r="AI984" i="20"/>
  <c r="AA985" i="20"/>
  <c r="AE985" i="20"/>
  <c r="AI985" i="20"/>
  <c r="AA986" i="20"/>
  <c r="AE986" i="20"/>
  <c r="AI986" i="20"/>
  <c r="AA987" i="20"/>
  <c r="AE987" i="20"/>
  <c r="AI987" i="20"/>
  <c r="AA988" i="20"/>
  <c r="AE988" i="20"/>
  <c r="AI988" i="20"/>
  <c r="AB982" i="20"/>
  <c r="AF982" i="20"/>
  <c r="AJ982" i="20"/>
  <c r="AN982" i="20"/>
  <c r="AB983" i="20"/>
  <c r="AF983" i="20"/>
  <c r="AJ983" i="20"/>
  <c r="AN983" i="20"/>
  <c r="AB984" i="20"/>
  <c r="AF984" i="20"/>
  <c r="AJ984" i="20"/>
  <c r="AN984" i="20"/>
  <c r="AB985" i="20"/>
  <c r="AF985" i="20"/>
  <c r="AJ985" i="20"/>
  <c r="AN985" i="20"/>
  <c r="AB986" i="20"/>
  <c r="AF986" i="20"/>
  <c r="AJ986" i="20"/>
  <c r="AN986" i="20"/>
  <c r="AB987" i="20"/>
  <c r="AF987" i="20"/>
  <c r="AJ987" i="20"/>
  <c r="AN987" i="20"/>
  <c r="AB988" i="20"/>
  <c r="AF988" i="20"/>
  <c r="AJ988" i="20"/>
  <c r="AN988" i="20"/>
  <c r="AB989" i="20"/>
  <c r="AF989" i="20"/>
  <c r="AJ989" i="20"/>
  <c r="AN989" i="20"/>
  <c r="AB10" i="20"/>
  <c r="AF10" i="20"/>
  <c r="AJ10" i="20"/>
  <c r="AN10" i="20"/>
  <c r="AB9" i="20"/>
  <c r="AF9" i="20"/>
  <c r="AJ9" i="20"/>
  <c r="AN9" i="20"/>
  <c r="AB11" i="20"/>
  <c r="AF11" i="20"/>
  <c r="AJ11" i="20"/>
  <c r="AN11" i="20"/>
  <c r="AB13" i="20"/>
  <c r="AF13" i="20"/>
  <c r="AJ13" i="20"/>
  <c r="AN13" i="20"/>
  <c r="AB15" i="20"/>
  <c r="AF15" i="20"/>
  <c r="AJ15" i="20"/>
  <c r="AN15" i="20"/>
  <c r="AB34" i="20"/>
  <c r="AF34" i="20"/>
  <c r="AJ34" i="20"/>
  <c r="AN34" i="20"/>
  <c r="AB14" i="20"/>
  <c r="AF14" i="20"/>
  <c r="AJ14" i="20"/>
  <c r="AN14" i="20"/>
  <c r="AB31" i="20"/>
  <c r="AF31" i="20"/>
  <c r="AJ31" i="20"/>
  <c r="AN31" i="20"/>
  <c r="AB25" i="20"/>
  <c r="AF25" i="20"/>
  <c r="AJ25" i="20"/>
  <c r="AN25" i="20"/>
  <c r="AB42" i="20"/>
  <c r="AF42" i="20"/>
  <c r="AJ42" i="20"/>
  <c r="AN42" i="20"/>
  <c r="AB26" i="20"/>
  <c r="AF26" i="20"/>
  <c r="AJ26" i="20"/>
  <c r="AN26" i="20"/>
  <c r="AB30" i="20"/>
  <c r="AF30" i="20"/>
  <c r="AJ30" i="20"/>
  <c r="AN30" i="20"/>
  <c r="AB29" i="20"/>
  <c r="AF29" i="20"/>
  <c r="AJ29" i="20"/>
  <c r="AN29" i="20"/>
  <c r="AB27" i="20"/>
  <c r="Y982" i="20"/>
  <c r="AK983" i="20"/>
  <c r="AG984" i="20"/>
  <c r="AC985" i="20"/>
  <c r="Y986" i="20"/>
  <c r="AK987" i="20"/>
  <c r="AG988" i="20"/>
  <c r="AA989" i="20"/>
  <c r="AI989" i="20"/>
  <c r="AA10" i="20"/>
  <c r="AI10" i="20"/>
  <c r="AA9" i="20"/>
  <c r="AI9" i="20"/>
  <c r="AA11" i="20"/>
  <c r="AI11" i="20"/>
  <c r="AA13" i="20"/>
  <c r="AI13" i="20"/>
  <c r="AA15" i="20"/>
  <c r="AI15" i="20"/>
  <c r="AA34" i="20"/>
  <c r="AI34" i="20"/>
  <c r="AA14" i="20"/>
  <c r="AI14" i="20"/>
  <c r="AA31" i="20"/>
  <c r="AI31" i="20"/>
  <c r="AA25" i="20"/>
  <c r="AI25" i="20"/>
  <c r="AA42" i="20"/>
  <c r="AI42" i="20"/>
  <c r="AA26" i="20"/>
  <c r="AI26" i="20"/>
  <c r="AA30" i="20"/>
  <c r="AI30" i="20"/>
  <c r="AA29" i="20"/>
  <c r="AI29" i="20"/>
  <c r="AA27" i="20"/>
  <c r="AF27" i="20"/>
  <c r="AJ27" i="20"/>
  <c r="AN27" i="20"/>
  <c r="AB35" i="20"/>
  <c r="AF35" i="20"/>
  <c r="AJ35" i="20"/>
  <c r="AN35" i="20"/>
  <c r="AB43" i="20"/>
  <c r="AF43" i="20"/>
  <c r="AJ43" i="20"/>
  <c r="AN43" i="20"/>
  <c r="AB45" i="20"/>
  <c r="AF45" i="20"/>
  <c r="AJ45" i="20"/>
  <c r="AN45" i="20"/>
  <c r="AB36" i="20"/>
  <c r="AF36" i="20"/>
  <c r="AJ36" i="20"/>
  <c r="AN36" i="20"/>
  <c r="AB37" i="20"/>
  <c r="AF37" i="20"/>
  <c r="AJ37" i="20"/>
  <c r="AN37" i="20"/>
  <c r="AB44" i="20"/>
  <c r="AF44" i="20"/>
  <c r="AJ44" i="20"/>
  <c r="AN44" i="20"/>
  <c r="AB40" i="20"/>
  <c r="AF40" i="20"/>
  <c r="AJ40" i="20"/>
  <c r="AN40" i="20"/>
  <c r="AB41" i="20"/>
  <c r="AF41" i="20"/>
  <c r="AJ41" i="20"/>
  <c r="AN41" i="20"/>
  <c r="AB47" i="20"/>
  <c r="AF47" i="20"/>
  <c r="AJ47" i="20"/>
  <c r="AN47" i="20"/>
  <c r="AB48" i="20"/>
  <c r="AF48" i="20"/>
  <c r="AJ48" i="20"/>
  <c r="AN48" i="20"/>
  <c r="AB28" i="20"/>
  <c r="AF28" i="20"/>
  <c r="AJ28" i="20"/>
  <c r="AN28" i="20"/>
  <c r="AB32" i="20"/>
  <c r="AF32" i="20"/>
  <c r="AC982" i="20"/>
  <c r="Y983" i="20"/>
  <c r="AK984" i="20"/>
  <c r="AG985" i="20"/>
  <c r="AC986" i="20"/>
  <c r="Y987" i="20"/>
  <c r="AK988" i="20"/>
  <c r="AC989" i="20"/>
  <c r="AK989" i="20"/>
  <c r="AC10" i="20"/>
  <c r="AK10" i="20"/>
  <c r="AC9" i="20"/>
  <c r="AK9" i="20"/>
  <c r="AC11" i="20"/>
  <c r="AK11" i="20"/>
  <c r="AC13" i="20"/>
  <c r="AK13" i="20"/>
  <c r="AC15" i="20"/>
  <c r="AK15" i="20"/>
  <c r="AC34" i="20"/>
  <c r="AK34" i="20"/>
  <c r="AC14" i="20"/>
  <c r="AK14" i="20"/>
  <c r="AC31" i="20"/>
  <c r="AK31" i="20"/>
  <c r="AC25" i="20"/>
  <c r="AK25" i="20"/>
  <c r="AC42" i="20"/>
  <c r="AK42" i="20"/>
  <c r="AC26" i="20"/>
  <c r="AK26" i="20"/>
  <c r="AC30" i="20"/>
  <c r="AK30" i="20"/>
  <c r="AC29" i="20"/>
  <c r="AK29" i="20"/>
  <c r="AC27" i="20"/>
  <c r="AG27" i="20"/>
  <c r="AK27" i="20"/>
  <c r="Y35" i="20"/>
  <c r="AC35" i="20"/>
  <c r="AG35" i="20"/>
  <c r="AK35" i="20"/>
  <c r="Y43" i="20"/>
  <c r="AC43" i="20"/>
  <c r="AG43" i="20"/>
  <c r="AK43" i="20"/>
  <c r="Y45" i="20"/>
  <c r="AC45" i="20"/>
  <c r="AG45" i="20"/>
  <c r="AK45" i="20"/>
  <c r="Y36" i="20"/>
  <c r="AC36" i="20"/>
  <c r="AG36" i="20"/>
  <c r="AK36" i="20"/>
  <c r="Y37" i="20"/>
  <c r="AC37" i="20"/>
  <c r="AG37" i="20"/>
  <c r="AK37" i="20"/>
  <c r="Y44" i="20"/>
  <c r="AC44" i="20"/>
  <c r="AG44" i="20"/>
  <c r="AK44" i="20"/>
  <c r="Y40" i="20"/>
  <c r="AC40" i="20"/>
  <c r="AG40" i="20"/>
  <c r="AK40" i="20"/>
  <c r="Y41" i="20"/>
  <c r="AC41" i="20"/>
  <c r="AG41" i="20"/>
  <c r="AK41" i="20"/>
  <c r="Y47" i="20"/>
  <c r="AC47" i="20"/>
  <c r="AG47" i="20"/>
  <c r="AK47" i="20"/>
  <c r="Y48" i="20"/>
  <c r="AC48" i="20"/>
  <c r="AG48" i="20"/>
  <c r="AK48" i="20"/>
  <c r="Y28" i="20"/>
  <c r="AC28" i="20"/>
  <c r="AG28" i="20"/>
  <c r="AK28" i="20"/>
  <c r="Y32" i="20"/>
  <c r="AC32" i="20"/>
  <c r="AG32" i="20"/>
  <c r="AK32" i="20"/>
  <c r="Y38" i="20"/>
  <c r="AC38" i="20"/>
  <c r="AG38" i="20"/>
  <c r="AK38" i="20"/>
  <c r="Y39" i="20"/>
  <c r="AC39" i="20"/>
  <c r="AG39" i="20"/>
  <c r="AK39" i="20"/>
  <c r="Y49" i="20"/>
  <c r="AC49" i="20"/>
  <c r="AG49" i="20"/>
  <c r="AK49" i="20"/>
  <c r="Y54" i="20"/>
  <c r="AC54" i="20"/>
  <c r="AG54" i="20"/>
  <c r="AK54" i="20"/>
  <c r="Y33" i="20"/>
  <c r="AC33" i="20"/>
  <c r="AG33" i="20"/>
  <c r="AK33" i="20"/>
  <c r="Y56" i="20"/>
  <c r="AC56" i="20"/>
  <c r="AG56" i="20"/>
  <c r="AK56" i="20"/>
  <c r="Y57" i="20"/>
  <c r="AC57" i="20"/>
  <c r="AG57" i="20"/>
  <c r="AK57" i="20"/>
  <c r="Y58" i="20"/>
  <c r="AC58" i="20"/>
  <c r="AG58" i="20"/>
  <c r="AK58" i="20"/>
  <c r="Y59" i="20"/>
  <c r="AC59" i="20"/>
  <c r="AG59" i="20"/>
  <c r="AK59" i="20"/>
  <c r="Y61" i="20"/>
  <c r="AC61" i="20"/>
  <c r="AG61" i="20"/>
  <c r="AK61" i="20"/>
  <c r="Y62" i="20"/>
  <c r="AC62" i="20"/>
  <c r="AG62" i="20"/>
  <c r="AK62" i="20"/>
  <c r="Y76" i="20"/>
  <c r="AC76" i="20"/>
  <c r="AG76" i="20"/>
  <c r="AK76" i="20"/>
  <c r="Y16" i="20"/>
  <c r="AC16" i="20"/>
  <c r="AG16" i="20"/>
  <c r="AK16" i="20"/>
  <c r="Y22" i="20"/>
  <c r="AC22" i="20"/>
  <c r="AG22" i="20"/>
  <c r="AK982" i="20"/>
  <c r="AG983" i="20"/>
  <c r="AC984" i="20"/>
  <c r="Y985" i="20"/>
  <c r="AK986" i="20"/>
  <c r="AG987" i="20"/>
  <c r="AC988" i="20"/>
  <c r="Y989" i="20"/>
  <c r="AG989" i="20"/>
  <c r="Y10" i="20"/>
  <c r="AG10" i="20"/>
  <c r="Y9" i="20"/>
  <c r="AG9" i="20"/>
  <c r="Y11" i="20"/>
  <c r="AG11" i="20"/>
  <c r="Y13" i="20"/>
  <c r="AG13" i="20"/>
  <c r="Y15" i="20"/>
  <c r="AG15" i="20"/>
  <c r="Y34" i="20"/>
  <c r="AG34" i="20"/>
  <c r="Y14" i="20"/>
  <c r="AG14" i="20"/>
  <c r="Y31" i="20"/>
  <c r="AG31" i="20"/>
  <c r="Y25" i="20"/>
  <c r="AG25" i="20"/>
  <c r="Y42" i="20"/>
  <c r="AG42" i="20"/>
  <c r="Y26" i="20"/>
  <c r="AG26" i="20"/>
  <c r="Y30" i="20"/>
  <c r="AG30" i="20"/>
  <c r="Y29" i="20"/>
  <c r="AG29" i="20"/>
  <c r="Y27" i="20"/>
  <c r="AE27" i="20"/>
  <c r="AI27" i="20"/>
  <c r="AA35" i="20"/>
  <c r="AE35" i="20"/>
  <c r="AI35" i="20"/>
  <c r="AA43" i="20"/>
  <c r="AE43" i="20"/>
  <c r="AI43" i="20"/>
  <c r="AA45" i="20"/>
  <c r="AE45" i="20"/>
  <c r="AI45" i="20"/>
  <c r="AA36" i="20"/>
  <c r="AE36" i="20"/>
  <c r="AI36" i="20"/>
  <c r="AA37" i="20"/>
  <c r="AE37" i="20"/>
  <c r="AI37" i="20"/>
  <c r="AA44" i="20"/>
  <c r="AE44" i="20"/>
  <c r="AI44" i="20"/>
  <c r="AA40" i="20"/>
  <c r="AE40" i="20"/>
  <c r="AI40" i="20"/>
  <c r="AA41" i="20"/>
  <c r="AE41" i="20"/>
  <c r="AI41" i="20"/>
  <c r="AA47" i="20"/>
  <c r="AE47" i="20"/>
  <c r="AI47" i="20"/>
  <c r="AA48" i="20"/>
  <c r="AE48" i="20"/>
  <c r="AI48" i="20"/>
  <c r="AA28" i="20"/>
  <c r="AE28" i="20"/>
  <c r="AI28" i="20"/>
  <c r="AA32" i="20"/>
  <c r="AE32" i="20"/>
  <c r="AI32" i="20"/>
  <c r="AG982" i="20"/>
  <c r="Y984" i="20"/>
  <c r="AG986" i="20"/>
  <c r="Y988" i="20"/>
  <c r="AE10" i="20"/>
  <c r="AE11" i="20"/>
  <c r="AE15" i="20"/>
  <c r="AE14" i="20"/>
  <c r="AE25" i="20"/>
  <c r="AE26" i="20"/>
  <c r="AE29" i="20"/>
  <c r="AL27" i="20"/>
  <c r="AH35" i="20"/>
  <c r="AD43" i="20"/>
  <c r="Z45" i="20"/>
  <c r="AL36" i="20"/>
  <c r="AH37" i="20"/>
  <c r="AD44" i="20"/>
  <c r="Z40" i="20"/>
  <c r="AL41" i="20"/>
  <c r="AH47" i="20"/>
  <c r="AD48" i="20"/>
  <c r="Z28" i="20"/>
  <c r="AJ32" i="20"/>
  <c r="Z38" i="20"/>
  <c r="AE38" i="20"/>
  <c r="AJ38" i="20"/>
  <c r="Z39" i="20"/>
  <c r="AE39" i="20"/>
  <c r="AJ39" i="20"/>
  <c r="Z49" i="20"/>
  <c r="AE49" i="20"/>
  <c r="AJ49" i="20"/>
  <c r="Z54" i="20"/>
  <c r="AE54" i="20"/>
  <c r="AJ54" i="20"/>
  <c r="Z33" i="20"/>
  <c r="AE33" i="20"/>
  <c r="AJ33" i="20"/>
  <c r="Z56" i="20"/>
  <c r="AE56" i="20"/>
  <c r="AJ56" i="20"/>
  <c r="Z57" i="20"/>
  <c r="AE57" i="20"/>
  <c r="AJ57" i="20"/>
  <c r="Z58" i="20"/>
  <c r="AE58" i="20"/>
  <c r="AJ58" i="20"/>
  <c r="Z59" i="20"/>
  <c r="AE59" i="20"/>
  <c r="AJ59" i="20"/>
  <c r="Z61" i="20"/>
  <c r="AE61" i="20"/>
  <c r="AJ61" i="20"/>
  <c r="Z62" i="20"/>
  <c r="AE62" i="20"/>
  <c r="AJ62" i="20"/>
  <c r="Z76" i="20"/>
  <c r="AE76" i="20"/>
  <c r="AJ76" i="20"/>
  <c r="Z16" i="20"/>
  <c r="AE16" i="20"/>
  <c r="AJ16" i="20"/>
  <c r="Z22" i="20"/>
  <c r="AL35" i="20"/>
  <c r="AH43" i="20"/>
  <c r="AD45" i="20"/>
  <c r="Z36" i="20"/>
  <c r="AL37" i="20"/>
  <c r="AH44" i="20"/>
  <c r="AD40" i="20"/>
  <c r="Z41" i="20"/>
  <c r="AL47" i="20"/>
  <c r="AH48" i="20"/>
  <c r="AD28" i="20"/>
  <c r="Z32" i="20"/>
  <c r="AL32" i="20"/>
  <c r="AA38" i="20"/>
  <c r="AF38" i="20"/>
  <c r="AL38" i="20"/>
  <c r="AA39" i="20"/>
  <c r="AF39" i="20"/>
  <c r="AL39" i="20"/>
  <c r="AA49" i="20"/>
  <c r="AF49" i="20"/>
  <c r="AL49" i="20"/>
  <c r="AA54" i="20"/>
  <c r="AF54" i="20"/>
  <c r="AL54" i="20"/>
  <c r="AA33" i="20"/>
  <c r="AF33" i="20"/>
  <c r="AL33" i="20"/>
  <c r="AA56" i="20"/>
  <c r="AF56" i="20"/>
  <c r="AL56" i="20"/>
  <c r="AA57" i="20"/>
  <c r="AF57" i="20"/>
  <c r="AL57" i="20"/>
  <c r="AA58" i="20"/>
  <c r="AF58" i="20"/>
  <c r="AL58" i="20"/>
  <c r="AA59" i="20"/>
  <c r="AF59" i="20"/>
  <c r="AL59" i="20"/>
  <c r="AA61" i="20"/>
  <c r="AF61" i="20"/>
  <c r="AL61" i="20"/>
  <c r="AA62" i="20"/>
  <c r="AF62" i="20"/>
  <c r="AL62" i="20"/>
  <c r="AA76" i="20"/>
  <c r="AF76" i="20"/>
  <c r="AL76" i="20"/>
  <c r="AA16" i="20"/>
  <c r="AF16" i="20"/>
  <c r="AL16" i="20"/>
  <c r="AA22" i="20"/>
  <c r="AF22" i="20"/>
  <c r="AK22" i="20"/>
  <c r="Y12" i="20"/>
  <c r="AC12" i="20"/>
  <c r="AG12" i="20"/>
  <c r="AK12" i="20"/>
  <c r="Y19" i="20"/>
  <c r="AC19" i="20"/>
  <c r="AG19" i="20"/>
  <c r="AK19" i="20"/>
  <c r="Y20" i="20"/>
  <c r="AC20" i="20"/>
  <c r="AG20" i="20"/>
  <c r="AK20" i="20"/>
  <c r="Y24" i="20"/>
  <c r="AC24" i="20"/>
  <c r="AG24" i="20"/>
  <c r="AK24" i="20"/>
  <c r="Y17" i="20"/>
  <c r="AC17" i="20"/>
  <c r="AG17" i="20"/>
  <c r="AK17" i="20"/>
  <c r="Y21" i="20"/>
  <c r="AC21" i="20"/>
  <c r="AG21" i="20"/>
  <c r="AK21" i="20"/>
  <c r="Y18" i="20"/>
  <c r="AC18" i="20"/>
  <c r="AG18" i="20"/>
  <c r="AK18" i="20"/>
  <c r="Y7" i="20"/>
  <c r="AC7" i="20"/>
  <c r="AG7" i="20"/>
  <c r="AK7" i="20"/>
  <c r="Y55" i="20"/>
  <c r="AC55" i="20"/>
  <c r="AG55" i="20"/>
  <c r="AK55" i="20"/>
  <c r="Y46" i="20"/>
  <c r="AC46" i="20"/>
  <c r="AG46" i="20"/>
  <c r="AK46" i="20"/>
  <c r="Y50" i="20"/>
  <c r="AC50" i="20"/>
  <c r="AG50" i="20"/>
  <c r="AK50" i="20"/>
  <c r="Y51" i="20"/>
  <c r="AC51" i="20"/>
  <c r="AG51" i="20"/>
  <c r="AK51" i="20"/>
  <c r="Y52" i="20"/>
  <c r="AC983" i="20"/>
  <c r="AK985" i="20"/>
  <c r="AC987" i="20"/>
  <c r="AE989" i="20"/>
  <c r="AE9" i="20"/>
  <c r="AE13" i="20"/>
  <c r="AE34" i="20"/>
  <c r="AE31" i="20"/>
  <c r="AE42" i="20"/>
  <c r="AE30" i="20"/>
  <c r="AD27" i="20"/>
  <c r="Z35" i="20"/>
  <c r="AL43" i="20"/>
  <c r="AH45" i="20"/>
  <c r="AD36" i="20"/>
  <c r="Z37" i="20"/>
  <c r="AL44" i="20"/>
  <c r="AH40" i="20"/>
  <c r="AD41" i="20"/>
  <c r="Z47" i="20"/>
  <c r="AL48" i="20"/>
  <c r="AH28" i="20"/>
  <c r="AD32" i="20"/>
  <c r="AB38" i="20"/>
  <c r="AH38" i="20"/>
  <c r="AB39" i="20"/>
  <c r="AH39" i="20"/>
  <c r="AB49" i="20"/>
  <c r="AH49" i="20"/>
  <c r="AB54" i="20"/>
  <c r="AH54" i="20"/>
  <c r="AB33" i="20"/>
  <c r="AH33" i="20"/>
  <c r="AB56" i="20"/>
  <c r="AH56" i="20"/>
  <c r="AB57" i="20"/>
  <c r="AH57" i="20"/>
  <c r="AB58" i="20"/>
  <c r="AH58" i="20"/>
  <c r="AB59" i="20"/>
  <c r="AH59" i="20"/>
  <c r="AB61" i="20"/>
  <c r="AH61" i="20"/>
  <c r="AB62" i="20"/>
  <c r="AH62" i="20"/>
  <c r="AB76" i="20"/>
  <c r="AH76" i="20"/>
  <c r="AB16" i="20"/>
  <c r="AH16" i="20"/>
  <c r="AB22" i="20"/>
  <c r="AH22" i="20"/>
  <c r="AL22" i="20"/>
  <c r="Z12" i="20"/>
  <c r="AD12" i="20"/>
  <c r="AH12" i="20"/>
  <c r="AL12" i="20"/>
  <c r="Z19" i="20"/>
  <c r="AD19" i="20"/>
  <c r="AH19" i="20"/>
  <c r="AL19" i="20"/>
  <c r="Z20" i="20"/>
  <c r="AD20" i="20"/>
  <c r="AH20" i="20"/>
  <c r="AL20" i="20"/>
  <c r="Z24" i="20"/>
  <c r="AD24" i="20"/>
  <c r="AH24" i="20"/>
  <c r="AL24" i="20"/>
  <c r="Z17" i="20"/>
  <c r="AD17" i="20"/>
  <c r="AH17" i="20"/>
  <c r="AL17" i="20"/>
  <c r="Z21" i="20"/>
  <c r="AD21" i="20"/>
  <c r="AH21" i="20"/>
  <c r="AL21" i="20"/>
  <c r="Z18" i="20"/>
  <c r="AD18" i="20"/>
  <c r="AH18" i="20"/>
  <c r="AL18" i="20"/>
  <c r="Z7" i="20"/>
  <c r="AD7" i="20"/>
  <c r="AH7" i="20"/>
  <c r="AL7" i="20"/>
  <c r="Z55" i="20"/>
  <c r="AD38" i="20"/>
  <c r="AD39" i="20"/>
  <c r="AD49" i="20"/>
  <c r="AD54" i="20"/>
  <c r="AD33" i="20"/>
  <c r="AD56" i="20"/>
  <c r="AD57" i="20"/>
  <c r="AD58" i="20"/>
  <c r="AD59" i="20"/>
  <c r="AD61" i="20"/>
  <c r="AD62" i="20"/>
  <c r="AD76" i="20"/>
  <c r="AD16" i="20"/>
  <c r="AD22" i="20"/>
  <c r="AE12" i="20"/>
  <c r="AE19" i="20"/>
  <c r="AE20" i="20"/>
  <c r="AE24" i="20"/>
  <c r="AE17" i="20"/>
  <c r="AE21" i="20"/>
  <c r="AH27" i="20"/>
  <c r="Z43" i="20"/>
  <c r="AH36" i="20"/>
  <c r="Z44" i="20"/>
  <c r="AH41" i="20"/>
  <c r="Z48" i="20"/>
  <c r="AH32" i="20"/>
  <c r="AI38" i="20"/>
  <c r="AI39" i="20"/>
  <c r="AI49" i="20"/>
  <c r="AI54" i="20"/>
  <c r="AI33" i="20"/>
  <c r="AI56" i="20"/>
  <c r="AI57" i="20"/>
  <c r="AI58" i="20"/>
  <c r="AI59" i="20"/>
  <c r="AI61" i="20"/>
  <c r="AI62" i="20"/>
  <c r="AI76" i="20"/>
  <c r="AI16" i="20"/>
  <c r="AE22" i="20"/>
  <c r="AN22" i="20"/>
  <c r="AF12" i="20"/>
  <c r="AN12" i="20"/>
  <c r="AF19" i="20"/>
  <c r="AN19" i="20"/>
  <c r="AF20" i="20"/>
  <c r="AN20" i="20"/>
  <c r="AF24" i="20"/>
  <c r="AN24" i="20"/>
  <c r="AF17" i="20"/>
  <c r="AN17" i="20"/>
  <c r="AF21" i="20"/>
  <c r="AN21" i="20"/>
  <c r="AF18" i="20"/>
  <c r="AN18" i="20"/>
  <c r="AF7" i="20"/>
  <c r="AN7" i="20"/>
  <c r="AE55" i="20"/>
  <c r="AJ55" i="20"/>
  <c r="Z46" i="20"/>
  <c r="AE46" i="20"/>
  <c r="AJ46" i="20"/>
  <c r="Z50" i="20"/>
  <c r="AE50" i="20"/>
  <c r="AJ50" i="20"/>
  <c r="Z51" i="20"/>
  <c r="AE51" i="20"/>
  <c r="AJ51" i="20"/>
  <c r="Z52" i="20"/>
  <c r="AD52" i="20"/>
  <c r="AH52" i="20"/>
  <c r="AL52" i="20"/>
  <c r="Z53" i="20"/>
  <c r="AD53" i="20"/>
  <c r="AH53" i="20"/>
  <c r="AL53" i="20"/>
  <c r="Z8" i="20"/>
  <c r="AD8" i="20"/>
  <c r="AH8" i="20"/>
  <c r="AL8" i="20"/>
  <c r="Z23" i="20"/>
  <c r="AD23" i="20"/>
  <c r="AH23" i="20"/>
  <c r="AL23" i="20"/>
  <c r="Z75" i="20"/>
  <c r="AD75" i="20"/>
  <c r="AH75" i="20"/>
  <c r="AL75" i="20"/>
  <c r="Z60" i="20"/>
  <c r="AD60" i="20"/>
  <c r="AH60" i="20"/>
  <c r="AL60" i="20"/>
  <c r="Z77" i="20"/>
  <c r="AD77" i="20"/>
  <c r="AH77" i="20"/>
  <c r="AL77" i="20"/>
  <c r="Z921" i="20"/>
  <c r="AD921" i="20"/>
  <c r="AH921" i="20"/>
  <c r="AL921" i="20"/>
  <c r="Z922" i="20"/>
  <c r="AD922" i="20"/>
  <c r="AH922" i="20"/>
  <c r="AL922" i="20"/>
  <c r="Z923" i="20"/>
  <c r="AD923" i="20"/>
  <c r="AH923" i="20"/>
  <c r="AL923" i="20"/>
  <c r="Z924" i="20"/>
  <c r="AD924" i="20"/>
  <c r="AH924" i="20"/>
  <c r="AL924" i="20"/>
  <c r="Z925" i="20"/>
  <c r="AD925" i="20"/>
  <c r="AH925" i="20"/>
  <c r="AL925" i="20"/>
  <c r="Z926" i="20"/>
  <c r="AD926" i="20"/>
  <c r="AH926" i="20"/>
  <c r="AL926" i="20"/>
  <c r="Z927" i="20"/>
  <c r="AD927" i="20"/>
  <c r="AH927" i="20"/>
  <c r="AL927" i="20"/>
  <c r="Z928" i="20"/>
  <c r="AD928" i="20"/>
  <c r="AH928" i="20"/>
  <c r="AL928" i="20"/>
  <c r="Z929" i="20"/>
  <c r="AD929" i="20"/>
  <c r="AH929" i="20"/>
  <c r="AL929" i="20"/>
  <c r="Z930" i="20"/>
  <c r="AD930" i="20"/>
  <c r="AH930" i="20"/>
  <c r="AL930" i="20"/>
  <c r="AD35" i="20"/>
  <c r="AL45" i="20"/>
  <c r="AD37" i="20"/>
  <c r="AL40" i="20"/>
  <c r="AD47" i="20"/>
  <c r="AL28" i="20"/>
  <c r="AN32" i="20"/>
  <c r="AN38" i="20"/>
  <c r="AN39" i="20"/>
  <c r="AN49" i="20"/>
  <c r="AN54" i="20"/>
  <c r="AN33" i="20"/>
  <c r="AN56" i="20"/>
  <c r="AN57" i="20"/>
  <c r="AN58" i="20"/>
  <c r="AN59" i="20"/>
  <c r="AN61" i="20"/>
  <c r="AN62" i="20"/>
  <c r="AN76" i="20"/>
  <c r="AN16" i="20"/>
  <c r="AJ22" i="20"/>
  <c r="AB12" i="20"/>
  <c r="AJ12" i="20"/>
  <c r="AB19" i="20"/>
  <c r="AJ19" i="20"/>
  <c r="AB20" i="20"/>
  <c r="AJ20" i="20"/>
  <c r="AB24" i="20"/>
  <c r="AJ24" i="20"/>
  <c r="AB17" i="20"/>
  <c r="AJ17" i="20"/>
  <c r="AB21" i="20"/>
  <c r="AJ21" i="20"/>
  <c r="AB18" i="20"/>
  <c r="AJ18" i="20"/>
  <c r="AB7" i="20"/>
  <c r="AJ7" i="20"/>
  <c r="AB55" i="20"/>
  <c r="AH55" i="20"/>
  <c r="AB46" i="20"/>
  <c r="AH46" i="20"/>
  <c r="AB50" i="20"/>
  <c r="AH50" i="20"/>
  <c r="AB51" i="20"/>
  <c r="AH51" i="20"/>
  <c r="AB52" i="20"/>
  <c r="AF52" i="20"/>
  <c r="AJ52" i="20"/>
  <c r="AN52" i="20"/>
  <c r="AB53" i="20"/>
  <c r="AF53" i="20"/>
  <c r="AJ53" i="20"/>
  <c r="AN53" i="20"/>
  <c r="AB8" i="20"/>
  <c r="AF8" i="20"/>
  <c r="AJ8" i="20"/>
  <c r="AN8" i="20"/>
  <c r="AB23" i="20"/>
  <c r="AF23" i="20"/>
  <c r="AJ23" i="20"/>
  <c r="AN23" i="20"/>
  <c r="AB75" i="20"/>
  <c r="AF75" i="20"/>
  <c r="AJ75" i="20"/>
  <c r="AN75" i="20"/>
  <c r="AB60" i="20"/>
  <c r="AF60" i="20"/>
  <c r="AJ60" i="20"/>
  <c r="AN60" i="20"/>
  <c r="AB77" i="20"/>
  <c r="AF77" i="20"/>
  <c r="AJ77" i="20"/>
  <c r="AN77" i="20"/>
  <c r="AB921" i="20"/>
  <c r="AF921" i="20"/>
  <c r="AJ921" i="20"/>
  <c r="AN921" i="20"/>
  <c r="AB922" i="20"/>
  <c r="AF922" i="20"/>
  <c r="AJ922" i="20"/>
  <c r="AN922" i="20"/>
  <c r="AB923" i="20"/>
  <c r="AF923" i="20"/>
  <c r="AJ923" i="20"/>
  <c r="AN923" i="20"/>
  <c r="AA19" i="20"/>
  <c r="AI20" i="20"/>
  <c r="AA21" i="20"/>
  <c r="AE18" i="20"/>
  <c r="AE7" i="20"/>
  <c r="AD55" i="20"/>
  <c r="AF46" i="20"/>
  <c r="AN46" i="20"/>
  <c r="AI50" i="20"/>
  <c r="AA51" i="20"/>
  <c r="AL51" i="20"/>
  <c r="AC52" i="20"/>
  <c r="AK52" i="20"/>
  <c r="AC53" i="20"/>
  <c r="AK53" i="20"/>
  <c r="AC8" i="20"/>
  <c r="AK8" i="20"/>
  <c r="AC23" i="20"/>
  <c r="AK23" i="20"/>
  <c r="AC75" i="20"/>
  <c r="AK75" i="20"/>
  <c r="AC60" i="20"/>
  <c r="AK60" i="20"/>
  <c r="AC77" i="20"/>
  <c r="AK77" i="20"/>
  <c r="AC921" i="20"/>
  <c r="AK921" i="20"/>
  <c r="AC922" i="20"/>
  <c r="AK922" i="20"/>
  <c r="AC923" i="20"/>
  <c r="AK923" i="20"/>
  <c r="AB924" i="20"/>
  <c r="AG924" i="20"/>
  <c r="AB925" i="20"/>
  <c r="AG925" i="20"/>
  <c r="AB926" i="20"/>
  <c r="AG926" i="20"/>
  <c r="AB927" i="20"/>
  <c r="AG927" i="20"/>
  <c r="AB928" i="20"/>
  <c r="AG928" i="20"/>
  <c r="AB929" i="20"/>
  <c r="AG929" i="20"/>
  <c r="AB930" i="20"/>
  <c r="AG930" i="20"/>
  <c r="AA931" i="20"/>
  <c r="AE931" i="20"/>
  <c r="AI931" i="20"/>
  <c r="AA932" i="20"/>
  <c r="AE932" i="20"/>
  <c r="AI932" i="20"/>
  <c r="AA933" i="20"/>
  <c r="AE933" i="20"/>
  <c r="AI933" i="20"/>
  <c r="AA934" i="20"/>
  <c r="AE934" i="20"/>
  <c r="AI934" i="20"/>
  <c r="AA935" i="20"/>
  <c r="AE935" i="20"/>
  <c r="AI935" i="20"/>
  <c r="AA936" i="20"/>
  <c r="AE936" i="20"/>
  <c r="AI936" i="20"/>
  <c r="AA937" i="20"/>
  <c r="AE937" i="20"/>
  <c r="AI937" i="20"/>
  <c r="AA938" i="20"/>
  <c r="AE938" i="20"/>
  <c r="AI938" i="20"/>
  <c r="AA939" i="20"/>
  <c r="AE939" i="20"/>
  <c r="AI939" i="20"/>
  <c r="AA940" i="20"/>
  <c r="AE940" i="20"/>
  <c r="AI940" i="20"/>
  <c r="AA941" i="20"/>
  <c r="AE941" i="20"/>
  <c r="AI941" i="20"/>
  <c r="AA942" i="20"/>
  <c r="AE942" i="20"/>
  <c r="AI942" i="20"/>
  <c r="AA943" i="20"/>
  <c r="AE943" i="20"/>
  <c r="AI943" i="20"/>
  <c r="AA944" i="20"/>
  <c r="AE944" i="20"/>
  <c r="AI944" i="20"/>
  <c r="AA945" i="20"/>
  <c r="AE945" i="20"/>
  <c r="AI945" i="20"/>
  <c r="AA12" i="20"/>
  <c r="AI19" i="20"/>
  <c r="AA17" i="20"/>
  <c r="AI21" i="20"/>
  <c r="AI18" i="20"/>
  <c r="AI7" i="20"/>
  <c r="AF55" i="20"/>
  <c r="AN55" i="20"/>
  <c r="AI46" i="20"/>
  <c r="AA50" i="20"/>
  <c r="AL50" i="20"/>
  <c r="AD51" i="20"/>
  <c r="AE52" i="20"/>
  <c r="AE53" i="20"/>
  <c r="AE8" i="20"/>
  <c r="AE23" i="20"/>
  <c r="AE75" i="20"/>
  <c r="AE60" i="20"/>
  <c r="AE77" i="20"/>
  <c r="AE921" i="20"/>
  <c r="AE922" i="20"/>
  <c r="AE923" i="20"/>
  <c r="AC924" i="20"/>
  <c r="AI924" i="20"/>
  <c r="AN924" i="20"/>
  <c r="AC925" i="20"/>
  <c r="AI925" i="20"/>
  <c r="AN925" i="20"/>
  <c r="AC926" i="20"/>
  <c r="AI926" i="20"/>
  <c r="AN926" i="20"/>
  <c r="AC927" i="20"/>
  <c r="AI927" i="20"/>
  <c r="AN927" i="20"/>
  <c r="AC928" i="20"/>
  <c r="AI928" i="20"/>
  <c r="AN928" i="20"/>
  <c r="AC929" i="20"/>
  <c r="AI929" i="20"/>
  <c r="AN929" i="20"/>
  <c r="AC930" i="20"/>
  <c r="AI930" i="20"/>
  <c r="AN930" i="20"/>
  <c r="AB931" i="20"/>
  <c r="AF931" i="20"/>
  <c r="AJ931" i="20"/>
  <c r="AN931" i="20"/>
  <c r="AB932" i="20"/>
  <c r="AF932" i="20"/>
  <c r="AJ932" i="20"/>
  <c r="AN932" i="20"/>
  <c r="AB933" i="20"/>
  <c r="AF933" i="20"/>
  <c r="AJ933" i="20"/>
  <c r="AN933" i="20"/>
  <c r="AB934" i="20"/>
  <c r="AF934" i="20"/>
  <c r="AJ934" i="20"/>
  <c r="AN934" i="20"/>
  <c r="AB935" i="20"/>
  <c r="AF935" i="20"/>
  <c r="AJ935" i="20"/>
  <c r="AN935" i="20"/>
  <c r="AB936" i="20"/>
  <c r="AF936" i="20"/>
  <c r="AJ936" i="20"/>
  <c r="AN936" i="20"/>
  <c r="AB937" i="20"/>
  <c r="AF937" i="20"/>
  <c r="AJ937" i="20"/>
  <c r="AN937" i="20"/>
  <c r="AB938" i="20"/>
  <c r="AF938" i="20"/>
  <c r="AJ938" i="20"/>
  <c r="AN938" i="20"/>
  <c r="AB939" i="20"/>
  <c r="AF939" i="20"/>
  <c r="AJ939" i="20"/>
  <c r="AN939" i="20"/>
  <c r="AB940" i="20"/>
  <c r="AF940" i="20"/>
  <c r="AJ940" i="20"/>
  <c r="AN940" i="20"/>
  <c r="AB941" i="20"/>
  <c r="AF941" i="20"/>
  <c r="AJ941" i="20"/>
  <c r="AN941" i="20"/>
  <c r="AB942" i="20"/>
  <c r="AF942" i="20"/>
  <c r="AJ942" i="20"/>
  <c r="AN942" i="20"/>
  <c r="AB943" i="20"/>
  <c r="AF943" i="20"/>
  <c r="AJ943" i="20"/>
  <c r="AN943" i="20"/>
  <c r="AB944" i="20"/>
  <c r="AF944" i="20"/>
  <c r="AJ944" i="20"/>
  <c r="AN944" i="20"/>
  <c r="AB945" i="20"/>
  <c r="AF945" i="20"/>
  <c r="AJ945" i="20"/>
  <c r="AN945" i="20"/>
  <c r="AB946" i="20"/>
  <c r="AF946" i="20"/>
  <c r="AJ946" i="20"/>
  <c r="AN946" i="20"/>
  <c r="AB947" i="20"/>
  <c r="AF947" i="20"/>
  <c r="AJ947" i="20"/>
  <c r="AN947" i="20"/>
  <c r="AB948" i="20"/>
  <c r="AF948" i="20"/>
  <c r="AJ948" i="20"/>
  <c r="AN948" i="20"/>
  <c r="AB949" i="20"/>
  <c r="AF949" i="20"/>
  <c r="AJ949" i="20"/>
  <c r="AN949" i="20"/>
  <c r="AB950" i="20"/>
  <c r="AF950" i="20"/>
  <c r="AJ950" i="20"/>
  <c r="AN950" i="20"/>
  <c r="AB951" i="20"/>
  <c r="AF951" i="20"/>
  <c r="AJ951" i="20"/>
  <c r="AN951" i="20"/>
  <c r="AB952" i="20"/>
  <c r="AF952" i="20"/>
  <c r="AJ952" i="20"/>
  <c r="AN952" i="20"/>
  <c r="AB953" i="20"/>
  <c r="AF953" i="20"/>
  <c r="AJ953" i="20"/>
  <c r="AN953" i="20"/>
  <c r="AB954" i="20"/>
  <c r="AF954" i="20"/>
  <c r="AJ954" i="20"/>
  <c r="AN954" i="20"/>
  <c r="AB955" i="20"/>
  <c r="AF955" i="20"/>
  <c r="AJ955" i="20"/>
  <c r="AN955" i="20"/>
  <c r="AB956" i="20"/>
  <c r="AF956" i="20"/>
  <c r="AJ956" i="20"/>
  <c r="AN956" i="20"/>
  <c r="AI22" i="20"/>
  <c r="AA20" i="20"/>
  <c r="AI24" i="20"/>
  <c r="AA18" i="20"/>
  <c r="AA7" i="20"/>
  <c r="AA55" i="20"/>
  <c r="AL55" i="20"/>
  <c r="AD46" i="20"/>
  <c r="AF50" i="20"/>
  <c r="AN50" i="20"/>
  <c r="AI51" i="20"/>
  <c r="AA52" i="20"/>
  <c r="AI52" i="20"/>
  <c r="AA53" i="20"/>
  <c r="AI53" i="20"/>
  <c r="AA8" i="20"/>
  <c r="AI8" i="20"/>
  <c r="AA23" i="20"/>
  <c r="AI23" i="20"/>
  <c r="AA75" i="20"/>
  <c r="AI75" i="20"/>
  <c r="AA60" i="20"/>
  <c r="AI60" i="20"/>
  <c r="AA77" i="20"/>
  <c r="AI77" i="20"/>
  <c r="AA921" i="20"/>
  <c r="AI921" i="20"/>
  <c r="AA922" i="20"/>
  <c r="AI922" i="20"/>
  <c r="AA923" i="20"/>
  <c r="AI923" i="20"/>
  <c r="AA924" i="20"/>
  <c r="AF924" i="20"/>
  <c r="AK924" i="20"/>
  <c r="AA925" i="20"/>
  <c r="AF925" i="20"/>
  <c r="AK925" i="20"/>
  <c r="AA926" i="20"/>
  <c r="AF926" i="20"/>
  <c r="AK926" i="20"/>
  <c r="AA927" i="20"/>
  <c r="AF927" i="20"/>
  <c r="AK927" i="20"/>
  <c r="AA928" i="20"/>
  <c r="AF928" i="20"/>
  <c r="AK928" i="20"/>
  <c r="AA929" i="20"/>
  <c r="AF929" i="20"/>
  <c r="AK929" i="20"/>
  <c r="AA930" i="20"/>
  <c r="AF930" i="20"/>
  <c r="AK930" i="20"/>
  <c r="Z931" i="20"/>
  <c r="AD931" i="20"/>
  <c r="AH931" i="20"/>
  <c r="AL931" i="20"/>
  <c r="Z932" i="20"/>
  <c r="AD932" i="20"/>
  <c r="AH932" i="20"/>
  <c r="AL932" i="20"/>
  <c r="Z933" i="20"/>
  <c r="AD933" i="20"/>
  <c r="AH933" i="20"/>
  <c r="AL933" i="20"/>
  <c r="Z934" i="20"/>
  <c r="AD934" i="20"/>
  <c r="AH934" i="20"/>
  <c r="AL934" i="20"/>
  <c r="Z935" i="20"/>
  <c r="AD935" i="20"/>
  <c r="AH935" i="20"/>
  <c r="AL935" i="20"/>
  <c r="Z936" i="20"/>
  <c r="AD936" i="20"/>
  <c r="AH936" i="20"/>
  <c r="AL936" i="20"/>
  <c r="Z937" i="20"/>
  <c r="AD937" i="20"/>
  <c r="AH937" i="20"/>
  <c r="AL937" i="20"/>
  <c r="Z938" i="20"/>
  <c r="AD938" i="20"/>
  <c r="AH938" i="20"/>
  <c r="AL938" i="20"/>
  <c r="Z939" i="20"/>
  <c r="AD939" i="20"/>
  <c r="AH939" i="20"/>
  <c r="AL939" i="20"/>
  <c r="Z940" i="20"/>
  <c r="AD940" i="20"/>
  <c r="AH940" i="20"/>
  <c r="AL940" i="20"/>
  <c r="Z941" i="20"/>
  <c r="AD941" i="20"/>
  <c r="AH941" i="20"/>
  <c r="AL941" i="20"/>
  <c r="Z942" i="20"/>
  <c r="AD942" i="20"/>
  <c r="AH942" i="20"/>
  <c r="AL942" i="20"/>
  <c r="Z943" i="20"/>
  <c r="AD943" i="20"/>
  <c r="AH943" i="20"/>
  <c r="AL943" i="20"/>
  <c r="Z944" i="20"/>
  <c r="AD944" i="20"/>
  <c r="AH944" i="20"/>
  <c r="AL944" i="20"/>
  <c r="Z945" i="20"/>
  <c r="AD945" i="20"/>
  <c r="AH945" i="20"/>
  <c r="AL945" i="20"/>
  <c r="Z946" i="20"/>
  <c r="AD946" i="20"/>
  <c r="AH946" i="20"/>
  <c r="AL946" i="20"/>
  <c r="Z947" i="20"/>
  <c r="AD947" i="20"/>
  <c r="AH947" i="20"/>
  <c r="AL947" i="20"/>
  <c r="Z948" i="20"/>
  <c r="AD948" i="20"/>
  <c r="AH948" i="20"/>
  <c r="AL948" i="20"/>
  <c r="Z949" i="20"/>
  <c r="AD949" i="20"/>
  <c r="AH949" i="20"/>
  <c r="AL949" i="20"/>
  <c r="Z950" i="20"/>
  <c r="AD950" i="20"/>
  <c r="AH950" i="20"/>
  <c r="AL950" i="20"/>
  <c r="Z951" i="20"/>
  <c r="AD951" i="20"/>
  <c r="AH951" i="20"/>
  <c r="AL951" i="20"/>
  <c r="Z952" i="20"/>
  <c r="AD952" i="20"/>
  <c r="AH952" i="20"/>
  <c r="AL952" i="20"/>
  <c r="Z953" i="20"/>
  <c r="AD953" i="20"/>
  <c r="AH953" i="20"/>
  <c r="AL953" i="20"/>
  <c r="Z954" i="20"/>
  <c r="AD954" i="20"/>
  <c r="AH954" i="20"/>
  <c r="AL954" i="20"/>
  <c r="Z955" i="20"/>
  <c r="AD955" i="20"/>
  <c r="AH955" i="20"/>
  <c r="AL955" i="20"/>
  <c r="Z956" i="20"/>
  <c r="AD956" i="20"/>
  <c r="AH956" i="20"/>
  <c r="AL956" i="20"/>
  <c r="Z957" i="20"/>
  <c r="AD957" i="20"/>
  <c r="AH957" i="20"/>
  <c r="AL957" i="20"/>
  <c r="Z958" i="20"/>
  <c r="AD958" i="20"/>
  <c r="AH958" i="20"/>
  <c r="AL958" i="20"/>
  <c r="Z959" i="20"/>
  <c r="AD959" i="20"/>
  <c r="AH959" i="20"/>
  <c r="AL959" i="20"/>
  <c r="Z960" i="20"/>
  <c r="AD960" i="20"/>
  <c r="AI12" i="20"/>
  <c r="AA24" i="20"/>
  <c r="AD50" i="20"/>
  <c r="AN51" i="20"/>
  <c r="AG53" i="20"/>
  <c r="Y75" i="20"/>
  <c r="AG60" i="20"/>
  <c r="Y922" i="20"/>
  <c r="AG923" i="20"/>
  <c r="AJ924" i="20"/>
  <c r="AJ925" i="20"/>
  <c r="AJ926" i="20"/>
  <c r="AJ927" i="20"/>
  <c r="AJ928" i="20"/>
  <c r="AJ929" i="20"/>
  <c r="AJ930" i="20"/>
  <c r="AG931" i="20"/>
  <c r="AC932" i="20"/>
  <c r="Y933" i="20"/>
  <c r="AK934" i="20"/>
  <c r="AG935" i="20"/>
  <c r="AC936" i="20"/>
  <c r="Y937" i="20"/>
  <c r="AK938" i="20"/>
  <c r="AG939" i="20"/>
  <c r="AC940" i="20"/>
  <c r="Y941" i="20"/>
  <c r="AK942" i="20"/>
  <c r="AG943" i="20"/>
  <c r="AC944" i="20"/>
  <c r="Y945" i="20"/>
  <c r="AE946" i="20"/>
  <c r="AE947" i="20"/>
  <c r="AE948" i="20"/>
  <c r="AE949" i="20"/>
  <c r="AE950" i="20"/>
  <c r="AE951" i="20"/>
  <c r="AE952" i="20"/>
  <c r="AE953" i="20"/>
  <c r="AE954" i="20"/>
  <c r="AE955" i="20"/>
  <c r="AE956" i="20"/>
  <c r="AC957" i="20"/>
  <c r="AI957" i="20"/>
  <c r="AN957" i="20"/>
  <c r="AC958" i="20"/>
  <c r="AI958" i="20"/>
  <c r="AN958" i="20"/>
  <c r="AC959" i="20"/>
  <c r="AI959" i="20"/>
  <c r="AN959" i="20"/>
  <c r="AC960" i="20"/>
  <c r="AH960" i="20"/>
  <c r="AL960" i="20"/>
  <c r="Z961" i="20"/>
  <c r="AD961" i="20"/>
  <c r="AH961" i="20"/>
  <c r="AL961" i="20"/>
  <c r="Z962" i="20"/>
  <c r="AD962" i="20"/>
  <c r="AH962" i="20"/>
  <c r="AL962" i="20"/>
  <c r="Z963" i="20"/>
  <c r="AD963" i="20"/>
  <c r="AH963" i="20"/>
  <c r="AL963" i="20"/>
  <c r="Z964" i="20"/>
  <c r="AD964" i="20"/>
  <c r="AH964" i="20"/>
  <c r="AL964" i="20"/>
  <c r="Z965" i="20"/>
  <c r="AD965" i="20"/>
  <c r="AH965" i="20"/>
  <c r="AL965" i="20"/>
  <c r="Z966" i="20"/>
  <c r="AD966" i="20"/>
  <c r="AH966" i="20"/>
  <c r="AL966" i="20"/>
  <c r="Z967" i="20"/>
  <c r="AD967" i="20"/>
  <c r="AH967" i="20"/>
  <c r="AL967" i="20"/>
  <c r="Z968" i="20"/>
  <c r="AD968" i="20"/>
  <c r="AH968" i="20"/>
  <c r="AL968" i="20"/>
  <c r="Z969" i="20"/>
  <c r="AD969" i="20"/>
  <c r="AH969" i="20"/>
  <c r="AL969" i="20"/>
  <c r="Z970" i="20"/>
  <c r="AD970" i="20"/>
  <c r="AH970" i="20"/>
  <c r="AL970" i="20"/>
  <c r="Z971" i="20"/>
  <c r="AD971" i="20"/>
  <c r="AH971" i="20"/>
  <c r="AL971" i="20"/>
  <c r="Z972" i="20"/>
  <c r="AD972" i="20"/>
  <c r="AH972" i="20"/>
  <c r="AL972" i="20"/>
  <c r="Z973" i="20"/>
  <c r="AD973" i="20"/>
  <c r="AH973" i="20"/>
  <c r="AL973" i="20"/>
  <c r="Z974" i="20"/>
  <c r="AD974" i="20"/>
  <c r="AH974" i="20"/>
  <c r="AL974" i="20"/>
  <c r="Z975" i="20"/>
  <c r="AD975" i="20"/>
  <c r="AH975" i="20"/>
  <c r="AL975" i="20"/>
  <c r="Z976" i="20"/>
  <c r="AD976" i="20"/>
  <c r="AH976" i="20"/>
  <c r="AL976" i="20"/>
  <c r="Z977" i="20"/>
  <c r="AD977" i="20"/>
  <c r="AH977" i="20"/>
  <c r="AA46" i="20"/>
  <c r="AG52" i="20"/>
  <c r="Y23" i="20"/>
  <c r="AG75" i="20"/>
  <c r="Y921" i="20"/>
  <c r="AG922" i="20"/>
  <c r="AK931" i="20"/>
  <c r="AG932" i="20"/>
  <c r="AC933" i="20"/>
  <c r="Y934" i="20"/>
  <c r="AK935" i="20"/>
  <c r="AG936" i="20"/>
  <c r="AC937" i="20"/>
  <c r="Y938" i="20"/>
  <c r="AK939" i="20"/>
  <c r="AG940" i="20"/>
  <c r="AC941" i="20"/>
  <c r="Y942" i="20"/>
  <c r="AK943" i="20"/>
  <c r="AG944" i="20"/>
  <c r="AC945" i="20"/>
  <c r="Y946" i="20"/>
  <c r="AG946" i="20"/>
  <c r="Y947" i="20"/>
  <c r="AG947" i="20"/>
  <c r="Y948" i="20"/>
  <c r="AG948" i="20"/>
  <c r="Y949" i="20"/>
  <c r="AG949" i="20"/>
  <c r="Y950" i="20"/>
  <c r="AG950" i="20"/>
  <c r="Y951" i="20"/>
  <c r="AG951" i="20"/>
  <c r="Y952" i="20"/>
  <c r="AG952" i="20"/>
  <c r="Y953" i="20"/>
  <c r="AG953" i="20"/>
  <c r="Y954" i="20"/>
  <c r="AG954" i="20"/>
  <c r="Y955" i="20"/>
  <c r="AG955" i="20"/>
  <c r="Y956" i="20"/>
  <c r="AG956" i="20"/>
  <c r="Y957" i="20"/>
  <c r="AE957" i="20"/>
  <c r="AJ957" i="20"/>
  <c r="Y958" i="20"/>
  <c r="AE958" i="20"/>
  <c r="AJ958" i="20"/>
  <c r="Y959" i="20"/>
  <c r="AE959" i="20"/>
  <c r="AJ959" i="20"/>
  <c r="Y960" i="20"/>
  <c r="AE960" i="20"/>
  <c r="AI960" i="20"/>
  <c r="AA961" i="20"/>
  <c r="AE961" i="20"/>
  <c r="AI961" i="20"/>
  <c r="AA962" i="20"/>
  <c r="AE962" i="20"/>
  <c r="AI962" i="20"/>
  <c r="AA963" i="20"/>
  <c r="AE963" i="20"/>
  <c r="AI963" i="20"/>
  <c r="AA964" i="20"/>
  <c r="AE964" i="20"/>
  <c r="AI964" i="20"/>
  <c r="AA965" i="20"/>
  <c r="AE965" i="20"/>
  <c r="AI965" i="20"/>
  <c r="AA966" i="20"/>
  <c r="AE966" i="20"/>
  <c r="AI966" i="20"/>
  <c r="AA967" i="20"/>
  <c r="AE967" i="20"/>
  <c r="AI967" i="20"/>
  <c r="AA968" i="20"/>
  <c r="AE968" i="20"/>
  <c r="AI968" i="20"/>
  <c r="AA969" i="20"/>
  <c r="AE969" i="20"/>
  <c r="AI969" i="20"/>
  <c r="AA970" i="20"/>
  <c r="AE970" i="20"/>
  <c r="AI970" i="20"/>
  <c r="AA971" i="20"/>
  <c r="AE971" i="20"/>
  <c r="AI971" i="20"/>
  <c r="AA972" i="20"/>
  <c r="AE972" i="20"/>
  <c r="AI972" i="20"/>
  <c r="AA973" i="20"/>
  <c r="AE973" i="20"/>
  <c r="AI973" i="20"/>
  <c r="AA974" i="20"/>
  <c r="AE974" i="20"/>
  <c r="AI974" i="20"/>
  <c r="AA975" i="20"/>
  <c r="AE975" i="20"/>
  <c r="AI975" i="20"/>
  <c r="AA976" i="20"/>
  <c r="AE976" i="20"/>
  <c r="AI976" i="20"/>
  <c r="AA977" i="20"/>
  <c r="AE977" i="20"/>
  <c r="AI977" i="20"/>
  <c r="AA978" i="20"/>
  <c r="AE978" i="20"/>
  <c r="AI978" i="20"/>
  <c r="AA979" i="20"/>
  <c r="AE979" i="20"/>
  <c r="AI17" i="20"/>
  <c r="AL46" i="20"/>
  <c r="AF51" i="20"/>
  <c r="Y8" i="20"/>
  <c r="AG23" i="20"/>
  <c r="Y77" i="20"/>
  <c r="AG921" i="20"/>
  <c r="Y924" i="20"/>
  <c r="Y925" i="20"/>
  <c r="Y926" i="20"/>
  <c r="Y927" i="20"/>
  <c r="Y928" i="20"/>
  <c r="Y929" i="20"/>
  <c r="Y930" i="20"/>
  <c r="Y931" i="20"/>
  <c r="AK932" i="20"/>
  <c r="AG933" i="20"/>
  <c r="AC934" i="20"/>
  <c r="Y935" i="20"/>
  <c r="AK936" i="20"/>
  <c r="AG937" i="20"/>
  <c r="AC938" i="20"/>
  <c r="Y939" i="20"/>
  <c r="AK940" i="20"/>
  <c r="AG941" i="20"/>
  <c r="AC942" i="20"/>
  <c r="Y943" i="20"/>
  <c r="AK944" i="20"/>
  <c r="AG945" i="20"/>
  <c r="AA946" i="20"/>
  <c r="AI946" i="20"/>
  <c r="AA947" i="20"/>
  <c r="AI947" i="20"/>
  <c r="AA948" i="20"/>
  <c r="AI948" i="20"/>
  <c r="AA949" i="20"/>
  <c r="AI949" i="20"/>
  <c r="AA950" i="20"/>
  <c r="AI950" i="20"/>
  <c r="AA951" i="20"/>
  <c r="AI951" i="20"/>
  <c r="AA952" i="20"/>
  <c r="AI952" i="20"/>
  <c r="AA953" i="20"/>
  <c r="AI953" i="20"/>
  <c r="AA954" i="20"/>
  <c r="AI954" i="20"/>
  <c r="AA955" i="20"/>
  <c r="AI955" i="20"/>
  <c r="AA956" i="20"/>
  <c r="AI956" i="20"/>
  <c r="AA957" i="20"/>
  <c r="AF957" i="20"/>
  <c r="AK957" i="20"/>
  <c r="AA958" i="20"/>
  <c r="AF958" i="20"/>
  <c r="AK958" i="20"/>
  <c r="AA959" i="20"/>
  <c r="AF959" i="20"/>
  <c r="AK959" i="20"/>
  <c r="AA960" i="20"/>
  <c r="AF960" i="20"/>
  <c r="AJ960" i="20"/>
  <c r="AN960" i="20"/>
  <c r="AB961" i="20"/>
  <c r="AF961" i="20"/>
  <c r="AJ961" i="20"/>
  <c r="AN961" i="20"/>
  <c r="AB962" i="20"/>
  <c r="AF962" i="20"/>
  <c r="AJ962" i="20"/>
  <c r="AN962" i="20"/>
  <c r="AB963" i="20"/>
  <c r="AF963" i="20"/>
  <c r="AJ963" i="20"/>
  <c r="AN963" i="20"/>
  <c r="AB964" i="20"/>
  <c r="AF964" i="20"/>
  <c r="AJ964" i="20"/>
  <c r="AN964" i="20"/>
  <c r="AB965" i="20"/>
  <c r="AF965" i="20"/>
  <c r="AJ965" i="20"/>
  <c r="AN965" i="20"/>
  <c r="AB966" i="20"/>
  <c r="AF966" i="20"/>
  <c r="AJ966" i="20"/>
  <c r="AN966" i="20"/>
  <c r="AB967" i="20"/>
  <c r="AF967" i="20"/>
  <c r="AJ967" i="20"/>
  <c r="AN967" i="20"/>
  <c r="AB968" i="20"/>
  <c r="AF968" i="20"/>
  <c r="AJ968" i="20"/>
  <c r="AN968" i="20"/>
  <c r="AB969" i="20"/>
  <c r="AF969" i="20"/>
  <c r="AJ969" i="20"/>
  <c r="AN969" i="20"/>
  <c r="AB970" i="20"/>
  <c r="AF970" i="20"/>
  <c r="AJ970" i="20"/>
  <c r="AN970" i="20"/>
  <c r="AB971" i="20"/>
  <c r="AF971" i="20"/>
  <c r="AJ971" i="20"/>
  <c r="AN971" i="20"/>
  <c r="AB972" i="20"/>
  <c r="AF972" i="20"/>
  <c r="AJ972" i="20"/>
  <c r="AN972" i="20"/>
  <c r="AB973" i="20"/>
  <c r="AF973" i="20"/>
  <c r="AJ973" i="20"/>
  <c r="AN973" i="20"/>
  <c r="AB974" i="20"/>
  <c r="AF974" i="20"/>
  <c r="AJ974" i="20"/>
  <c r="AN974" i="20"/>
  <c r="AB975" i="20"/>
  <c r="AF975" i="20"/>
  <c r="AJ975" i="20"/>
  <c r="AN975" i="20"/>
  <c r="AB976" i="20"/>
  <c r="AF976" i="20"/>
  <c r="AJ976" i="20"/>
  <c r="AN976" i="20"/>
  <c r="AB977" i="20"/>
  <c r="AF977" i="20"/>
  <c r="AJ977" i="20"/>
  <c r="AN977" i="20"/>
  <c r="AB978" i="20"/>
  <c r="AF978" i="20"/>
  <c r="AJ978" i="20"/>
  <c r="AN978" i="20"/>
  <c r="AB979" i="20"/>
  <c r="AF979" i="20"/>
  <c r="AJ979" i="20"/>
  <c r="AN979" i="20"/>
  <c r="AB980" i="20"/>
  <c r="AF980" i="20"/>
  <c r="AJ980" i="20"/>
  <c r="AN980" i="20"/>
  <c r="AB981" i="20"/>
  <c r="AF981" i="20"/>
  <c r="AJ981" i="20"/>
  <c r="AN981" i="20"/>
  <c r="AB898" i="20"/>
  <c r="AF898" i="20"/>
  <c r="AJ898" i="20"/>
  <c r="AN898" i="20"/>
  <c r="AB899" i="20"/>
  <c r="AF899" i="20"/>
  <c r="AJ899" i="20"/>
  <c r="AN899" i="20"/>
  <c r="AB900" i="20"/>
  <c r="AF900" i="20"/>
  <c r="AJ900" i="20"/>
  <c r="AN900" i="20"/>
  <c r="AB901" i="20"/>
  <c r="AF901" i="20"/>
  <c r="AJ901" i="20"/>
  <c r="AN901" i="20"/>
  <c r="AB902" i="20"/>
  <c r="AF902" i="20"/>
  <c r="AJ902" i="20"/>
  <c r="AN902" i="20"/>
  <c r="AB903" i="20"/>
  <c r="AF903" i="20"/>
  <c r="AI55" i="20"/>
  <c r="AG8" i="20"/>
  <c r="Y60" i="20"/>
  <c r="AE924" i="20"/>
  <c r="AE926" i="20"/>
  <c r="AE928" i="20"/>
  <c r="AE930" i="20"/>
  <c r="Y932" i="20"/>
  <c r="AG934" i="20"/>
  <c r="Y936" i="20"/>
  <c r="AG938" i="20"/>
  <c r="Y940" i="20"/>
  <c r="AG942" i="20"/>
  <c r="Y944" i="20"/>
  <c r="AC946" i="20"/>
  <c r="AK947" i="20"/>
  <c r="AC950" i="20"/>
  <c r="AK951" i="20"/>
  <c r="AC954" i="20"/>
  <c r="AK955" i="20"/>
  <c r="AB958" i="20"/>
  <c r="AG959" i="20"/>
  <c r="AK960" i="20"/>
  <c r="AG961" i="20"/>
  <c r="AC962" i="20"/>
  <c r="Y963" i="20"/>
  <c r="AK964" i="20"/>
  <c r="AG965" i="20"/>
  <c r="AC966" i="20"/>
  <c r="Y967" i="20"/>
  <c r="AK968" i="20"/>
  <c r="AG969" i="20"/>
  <c r="AC970" i="20"/>
  <c r="Y971" i="20"/>
  <c r="AK972" i="20"/>
  <c r="AG973" i="20"/>
  <c r="AC974" i="20"/>
  <c r="Y975" i="20"/>
  <c r="AK976" i="20"/>
  <c r="AG977" i="20"/>
  <c r="Y978" i="20"/>
  <c r="AG978" i="20"/>
  <c r="AD979" i="20"/>
  <c r="AK979" i="20"/>
  <c r="Z980" i="20"/>
  <c r="AE980" i="20"/>
  <c r="AK980" i="20"/>
  <c r="Z981" i="20"/>
  <c r="AE981" i="20"/>
  <c r="AK981" i="20"/>
  <c r="Z898" i="20"/>
  <c r="AE898" i="20"/>
  <c r="AK898" i="20"/>
  <c r="Z899" i="20"/>
  <c r="AE899" i="20"/>
  <c r="AK899" i="20"/>
  <c r="Z900" i="20"/>
  <c r="AE900" i="20"/>
  <c r="AK900" i="20"/>
  <c r="Z901" i="20"/>
  <c r="AE901" i="20"/>
  <c r="AK901" i="20"/>
  <c r="Z902" i="20"/>
  <c r="AE902" i="20"/>
  <c r="AK902" i="20"/>
  <c r="Z903" i="20"/>
  <c r="AE903" i="20"/>
  <c r="AJ903" i="20"/>
  <c r="AN903" i="20"/>
  <c r="AB904" i="20"/>
  <c r="AF904" i="20"/>
  <c r="AJ904" i="20"/>
  <c r="AN904" i="20"/>
  <c r="AB905" i="20"/>
  <c r="AF905" i="20"/>
  <c r="AJ905" i="20"/>
  <c r="AN905" i="20"/>
  <c r="AB906" i="20"/>
  <c r="AF906" i="20"/>
  <c r="AJ906" i="20"/>
  <c r="AN906" i="20"/>
  <c r="AB907" i="20"/>
  <c r="AF907" i="20"/>
  <c r="AJ907" i="20"/>
  <c r="AN907" i="20"/>
  <c r="AB908" i="20"/>
  <c r="AF908" i="20"/>
  <c r="AJ908" i="20"/>
  <c r="AN908" i="20"/>
  <c r="AB909" i="20"/>
  <c r="AF909" i="20"/>
  <c r="AJ909" i="20"/>
  <c r="AN909" i="20"/>
  <c r="AB910" i="20"/>
  <c r="AF910" i="20"/>
  <c r="AJ910" i="20"/>
  <c r="AN910" i="20"/>
  <c r="AB911" i="20"/>
  <c r="AF911" i="20"/>
  <c r="AJ911" i="20"/>
  <c r="AN911" i="20"/>
  <c r="AB912" i="20"/>
  <c r="AF912" i="20"/>
  <c r="AJ912" i="20"/>
  <c r="AN912" i="20"/>
  <c r="AB913" i="20"/>
  <c r="AF913" i="20"/>
  <c r="AJ913" i="20"/>
  <c r="AN913" i="20"/>
  <c r="AB914" i="20"/>
  <c r="AF914" i="20"/>
  <c r="AJ914" i="20"/>
  <c r="AN914" i="20"/>
  <c r="AB915" i="20"/>
  <c r="AF915" i="20"/>
  <c r="AJ915" i="20"/>
  <c r="AN915" i="20"/>
  <c r="AB916" i="20"/>
  <c r="AF916" i="20"/>
  <c r="AJ916" i="20"/>
  <c r="AN916" i="20"/>
  <c r="AB917" i="20"/>
  <c r="AF917" i="20"/>
  <c r="AJ917" i="20"/>
  <c r="AN917" i="20"/>
  <c r="AB918" i="20"/>
  <c r="AF918" i="20"/>
  <c r="AJ918" i="20"/>
  <c r="AN918" i="20"/>
  <c r="AB919" i="20"/>
  <c r="AF919" i="20"/>
  <c r="AJ919" i="20"/>
  <c r="AN919" i="20"/>
  <c r="AB920" i="20"/>
  <c r="AF920" i="20"/>
  <c r="AJ920" i="20"/>
  <c r="AN920" i="20"/>
  <c r="Y961" i="20"/>
  <c r="AC980" i="20"/>
  <c r="AC981" i="20"/>
  <c r="AH981" i="20"/>
  <c r="AH899" i="20"/>
  <c r="AH900" i="20"/>
  <c r="AC901" i="20"/>
  <c r="AH901" i="20"/>
  <c r="AC902" i="20"/>
  <c r="Z905" i="20"/>
  <c r="AK946" i="20"/>
  <c r="AC949" i="20"/>
  <c r="AK950" i="20"/>
  <c r="AC953" i="20"/>
  <c r="AK954" i="20"/>
  <c r="AB957" i="20"/>
  <c r="AG958" i="20"/>
  <c r="AK961" i="20"/>
  <c r="AG962" i="20"/>
  <c r="AC963" i="20"/>
  <c r="Y964" i="20"/>
  <c r="AK965" i="20"/>
  <c r="AG966" i="20"/>
  <c r="AC967" i="20"/>
  <c r="Y968" i="20"/>
  <c r="AK969" i="20"/>
  <c r="AG970" i="20"/>
  <c r="AC971" i="20"/>
  <c r="Y972" i="20"/>
  <c r="AK973" i="20"/>
  <c r="AG974" i="20"/>
  <c r="AC975" i="20"/>
  <c r="Y976" i="20"/>
  <c r="AK977" i="20"/>
  <c r="Z978" i="20"/>
  <c r="AH978" i="20"/>
  <c r="Y979" i="20"/>
  <c r="AG979" i="20"/>
  <c r="AL979" i="20"/>
  <c r="AA980" i="20"/>
  <c r="AG980" i="20"/>
  <c r="AL980" i="20"/>
  <c r="AA981" i="20"/>
  <c r="AG981" i="20"/>
  <c r="AL981" i="20"/>
  <c r="AA898" i="20"/>
  <c r="AG898" i="20"/>
  <c r="AL898" i="20"/>
  <c r="AA899" i="20"/>
  <c r="AG899" i="20"/>
  <c r="AL899" i="20"/>
  <c r="AA900" i="20"/>
  <c r="AG900" i="20"/>
  <c r="AL900" i="20"/>
  <c r="AA901" i="20"/>
  <c r="AG901" i="20"/>
  <c r="AL901" i="20"/>
  <c r="AA902" i="20"/>
  <c r="AG902" i="20"/>
  <c r="AL902" i="20"/>
  <c r="AA903" i="20"/>
  <c r="AG903" i="20"/>
  <c r="AK903" i="20"/>
  <c r="Y904" i="20"/>
  <c r="AC904" i="20"/>
  <c r="AG904" i="20"/>
  <c r="AK904" i="20"/>
  <c r="Y905" i="20"/>
  <c r="AC905" i="20"/>
  <c r="AG905" i="20"/>
  <c r="AK905" i="20"/>
  <c r="Y906" i="20"/>
  <c r="AC906" i="20"/>
  <c r="AG906" i="20"/>
  <c r="AK906" i="20"/>
  <c r="Y907" i="20"/>
  <c r="AC907" i="20"/>
  <c r="AG907" i="20"/>
  <c r="AK907" i="20"/>
  <c r="Y908" i="20"/>
  <c r="AC908" i="20"/>
  <c r="AG908" i="20"/>
  <c r="AK908" i="20"/>
  <c r="Y909" i="20"/>
  <c r="AC909" i="20"/>
  <c r="AG909" i="20"/>
  <c r="AK909" i="20"/>
  <c r="Y910" i="20"/>
  <c r="AC910" i="20"/>
  <c r="AG910" i="20"/>
  <c r="AK910" i="20"/>
  <c r="Y911" i="20"/>
  <c r="AC911" i="20"/>
  <c r="AG911" i="20"/>
  <c r="AK911" i="20"/>
  <c r="Y912" i="20"/>
  <c r="AC912" i="20"/>
  <c r="AG912" i="20"/>
  <c r="AK912" i="20"/>
  <c r="Y913" i="20"/>
  <c r="AC913" i="20"/>
  <c r="AG913" i="20"/>
  <c r="AK913" i="20"/>
  <c r="Y914" i="20"/>
  <c r="AC914" i="20"/>
  <c r="AG914" i="20"/>
  <c r="AK914" i="20"/>
  <c r="Y915" i="20"/>
  <c r="AC915" i="20"/>
  <c r="AG915" i="20"/>
  <c r="AK915" i="20"/>
  <c r="Y916" i="20"/>
  <c r="AC916" i="20"/>
  <c r="AG916" i="20"/>
  <c r="AK916" i="20"/>
  <c r="Y917" i="20"/>
  <c r="AC917" i="20"/>
  <c r="AG917" i="20"/>
  <c r="AK917" i="20"/>
  <c r="Y918" i="20"/>
  <c r="AC918" i="20"/>
  <c r="AG918" i="20"/>
  <c r="AK918" i="20"/>
  <c r="Y919" i="20"/>
  <c r="AC919" i="20"/>
  <c r="AG919" i="20"/>
  <c r="AK919" i="20"/>
  <c r="Y920" i="20"/>
  <c r="AC920" i="20"/>
  <c r="AG920" i="20"/>
  <c r="AK920" i="20"/>
  <c r="Y53" i="20"/>
  <c r="AG77" i="20"/>
  <c r="Y923" i="20"/>
  <c r="AE925" i="20"/>
  <c r="AE927" i="20"/>
  <c r="AE929" i="20"/>
  <c r="AC931" i="20"/>
  <c r="AK933" i="20"/>
  <c r="AC935" i="20"/>
  <c r="AK937" i="20"/>
  <c r="AC939" i="20"/>
  <c r="AK941" i="20"/>
  <c r="AC943" i="20"/>
  <c r="AK945" i="20"/>
  <c r="AC948" i="20"/>
  <c r="AK949" i="20"/>
  <c r="AC952" i="20"/>
  <c r="AK953" i="20"/>
  <c r="AC956" i="20"/>
  <c r="AG957" i="20"/>
  <c r="AK962" i="20"/>
  <c r="AG963" i="20"/>
  <c r="AC964" i="20"/>
  <c r="Y965" i="20"/>
  <c r="AK966" i="20"/>
  <c r="AG967" i="20"/>
  <c r="AC968" i="20"/>
  <c r="Y969" i="20"/>
  <c r="AK970" i="20"/>
  <c r="AG971" i="20"/>
  <c r="AC972" i="20"/>
  <c r="Y973" i="20"/>
  <c r="AK974" i="20"/>
  <c r="AG975" i="20"/>
  <c r="AC976" i="20"/>
  <c r="Y977" i="20"/>
  <c r="AL977" i="20"/>
  <c r="AC978" i="20"/>
  <c r="AK978" i="20"/>
  <c r="Z979" i="20"/>
  <c r="AH979" i="20"/>
  <c r="AH980" i="20"/>
  <c r="AC898" i="20"/>
  <c r="AC900" i="20"/>
  <c r="AH902" i="20"/>
  <c r="AC903" i="20"/>
  <c r="AH903" i="20"/>
  <c r="Z904" i="20"/>
  <c r="AH904" i="20"/>
  <c r="AC947" i="20"/>
  <c r="AK948" i="20"/>
  <c r="AC951" i="20"/>
  <c r="AK952" i="20"/>
  <c r="AC955" i="20"/>
  <c r="AK956" i="20"/>
  <c r="AB959" i="20"/>
  <c r="AG960" i="20"/>
  <c r="AC961" i="20"/>
  <c r="Y962" i="20"/>
  <c r="AK963" i="20"/>
  <c r="AG964" i="20"/>
  <c r="AC965" i="20"/>
  <c r="Y966" i="20"/>
  <c r="AK967" i="20"/>
  <c r="AG968" i="20"/>
  <c r="AC969" i="20"/>
  <c r="Y970" i="20"/>
  <c r="AK971" i="20"/>
  <c r="AG972" i="20"/>
  <c r="AC973" i="20"/>
  <c r="Y974" i="20"/>
  <c r="AK975" i="20"/>
  <c r="AG976" i="20"/>
  <c r="AC977" i="20"/>
  <c r="AD978" i="20"/>
  <c r="AL978" i="20"/>
  <c r="AC979" i="20"/>
  <c r="AI979" i="20"/>
  <c r="Y980" i="20"/>
  <c r="AD980" i="20"/>
  <c r="AI980" i="20"/>
  <c r="Y981" i="20"/>
  <c r="AD981" i="20"/>
  <c r="AI981" i="20"/>
  <c r="Y898" i="20"/>
  <c r="AD898" i="20"/>
  <c r="AI898" i="20"/>
  <c r="Y899" i="20"/>
  <c r="AD899" i="20"/>
  <c r="AI899" i="20"/>
  <c r="Y900" i="20"/>
  <c r="AD900" i="20"/>
  <c r="AI900" i="20"/>
  <c r="Y901" i="20"/>
  <c r="AD901" i="20"/>
  <c r="AI901" i="20"/>
  <c r="Y902" i="20"/>
  <c r="AD902" i="20"/>
  <c r="AI902" i="20"/>
  <c r="Y903" i="20"/>
  <c r="AD903" i="20"/>
  <c r="AI903" i="20"/>
  <c r="AA904" i="20"/>
  <c r="AE904" i="20"/>
  <c r="AI904" i="20"/>
  <c r="AA905" i="20"/>
  <c r="AE905" i="20"/>
  <c r="AI905" i="20"/>
  <c r="AA906" i="20"/>
  <c r="AE906" i="20"/>
  <c r="AI906" i="20"/>
  <c r="AA907" i="20"/>
  <c r="AE907" i="20"/>
  <c r="AI907" i="20"/>
  <c r="AA908" i="20"/>
  <c r="AE908" i="20"/>
  <c r="AI908" i="20"/>
  <c r="AA909" i="20"/>
  <c r="AE909" i="20"/>
  <c r="AI909" i="20"/>
  <c r="AA910" i="20"/>
  <c r="AE910" i="20"/>
  <c r="AI910" i="20"/>
  <c r="AA911" i="20"/>
  <c r="AE911" i="20"/>
  <c r="AI911" i="20"/>
  <c r="AA912" i="20"/>
  <c r="AE912" i="20"/>
  <c r="AI912" i="20"/>
  <c r="AA913" i="20"/>
  <c r="AE913" i="20"/>
  <c r="AI913" i="20"/>
  <c r="AA914" i="20"/>
  <c r="AE914" i="20"/>
  <c r="AI914" i="20"/>
  <c r="AA915" i="20"/>
  <c r="AE915" i="20"/>
  <c r="AI915" i="20"/>
  <c r="AA916" i="20"/>
  <c r="AE916" i="20"/>
  <c r="AI916" i="20"/>
  <c r="AA917" i="20"/>
  <c r="AE917" i="20"/>
  <c r="AI917" i="20"/>
  <c r="AA918" i="20"/>
  <c r="AE918" i="20"/>
  <c r="AI918" i="20"/>
  <c r="AA919" i="20"/>
  <c r="AE919" i="20"/>
  <c r="AI919" i="20"/>
  <c r="AA920" i="20"/>
  <c r="AE920" i="20"/>
  <c r="AI920" i="20"/>
  <c r="AB960" i="20"/>
  <c r="AH898" i="20"/>
  <c r="AC899" i="20"/>
  <c r="AL903" i="20"/>
  <c r="AD904" i="20"/>
  <c r="AL904" i="20"/>
  <c r="AH905" i="20"/>
  <c r="AL905" i="20"/>
  <c r="AH906" i="20"/>
  <c r="AD907" i="20"/>
  <c r="Z908" i="20"/>
  <c r="AL909" i="20"/>
  <c r="AH910" i="20"/>
  <c r="AD911" i="20"/>
  <c r="Z912" i="20"/>
  <c r="AL913" i="20"/>
  <c r="AH914" i="20"/>
  <c r="AD915" i="20"/>
  <c r="Z916" i="20"/>
  <c r="AL917" i="20"/>
  <c r="AH918" i="20"/>
  <c r="AD919" i="20"/>
  <c r="Z920" i="20"/>
  <c r="AD905" i="20"/>
  <c r="AD910" i="20"/>
  <c r="AH913" i="20"/>
  <c r="AL916" i="20"/>
  <c r="Z919" i="20"/>
  <c r="AL906" i="20"/>
  <c r="AH907" i="20"/>
  <c r="AD908" i="20"/>
  <c r="Z909" i="20"/>
  <c r="AL910" i="20"/>
  <c r="AH911" i="20"/>
  <c r="AD912" i="20"/>
  <c r="Z913" i="20"/>
  <c r="AL914" i="20"/>
  <c r="AH915" i="20"/>
  <c r="AD916" i="20"/>
  <c r="Z917" i="20"/>
  <c r="AL918" i="20"/>
  <c r="AH919" i="20"/>
  <c r="AD920" i="20"/>
  <c r="AD906" i="20"/>
  <c r="AH909" i="20"/>
  <c r="Z911" i="20"/>
  <c r="AD914" i="20"/>
  <c r="AH917" i="20"/>
  <c r="Z906" i="20"/>
  <c r="AL907" i="20"/>
  <c r="AH908" i="20"/>
  <c r="AD909" i="20"/>
  <c r="Z910" i="20"/>
  <c r="AL911" i="20"/>
  <c r="AH912" i="20"/>
  <c r="AD913" i="20"/>
  <c r="Z914" i="20"/>
  <c r="AL915" i="20"/>
  <c r="AH916" i="20"/>
  <c r="AD917" i="20"/>
  <c r="Z918" i="20"/>
  <c r="AL919" i="20"/>
  <c r="AH920" i="20"/>
  <c r="Z907" i="20"/>
  <c r="AL908" i="20"/>
  <c r="AL912" i="20"/>
  <c r="Z915" i="20"/>
  <c r="AD918" i="20"/>
  <c r="AL920" i="20"/>
  <c r="AI67" i="20"/>
  <c r="AF64" i="20"/>
  <c r="AJ63" i="20"/>
  <c r="AJ70" i="20"/>
  <c r="AH65" i="20"/>
  <c r="AJ66" i="20"/>
  <c r="AD69" i="20"/>
  <c r="Z67" i="20"/>
  <c r="AD67" i="20"/>
  <c r="AD71" i="20"/>
  <c r="AH67" i="20"/>
  <c r="AN63" i="20"/>
  <c r="AB63" i="20"/>
  <c r="Y66" i="20"/>
  <c r="AL66" i="20"/>
  <c r="AK70" i="20"/>
  <c r="AI70" i="20"/>
  <c r="AH70" i="20"/>
  <c r="AG64" i="20"/>
  <c r="AE64" i="20"/>
  <c r="AD64" i="20"/>
  <c r="AA63" i="20"/>
  <c r="Y63" i="20"/>
  <c r="AG68" i="20"/>
  <c r="AE68" i="20"/>
  <c r="AD68" i="20"/>
  <c r="AJ65" i="20"/>
  <c r="AJ67" i="20"/>
  <c r="AJ69" i="20"/>
  <c r="AJ71" i="20"/>
  <c r="AH72" i="20"/>
  <c r="AJ73" i="20"/>
  <c r="AH74" i="20"/>
  <c r="AG65" i="20"/>
  <c r="AG67" i="20"/>
  <c r="AG69" i="20"/>
  <c r="AG71" i="20"/>
  <c r="AI72" i="20"/>
  <c r="AK73" i="20"/>
  <c r="AB72" i="20"/>
  <c r="AB74" i="20"/>
  <c r="AA65" i="20"/>
  <c r="AA69" i="20"/>
  <c r="Y72" i="20"/>
  <c r="AE73" i="20"/>
  <c r="AJ68" i="20"/>
  <c r="AF70" i="20"/>
  <c r="AD73" i="20"/>
  <c r="AN68" i="20"/>
  <c r="Z69" i="20"/>
  <c r="AB71" i="20"/>
  <c r="Y71" i="20"/>
  <c r="AJ72" i="20"/>
  <c r="AA71" i="20"/>
  <c r="AI71" i="20"/>
  <c r="AI65" i="20"/>
  <c r="AF66" i="20"/>
  <c r="AH73" i="20"/>
  <c r="AB68" i="20"/>
  <c r="AD65" i="20"/>
  <c r="AL65" i="20"/>
  <c r="AL69" i="20"/>
  <c r="AL73" i="20"/>
  <c r="AH71" i="20"/>
  <c r="AL63" i="20"/>
  <c r="AK66" i="20"/>
  <c r="AI66" i="20"/>
  <c r="AH66" i="20"/>
  <c r="AG70" i="20"/>
  <c r="AE70" i="20"/>
  <c r="AD70" i="20"/>
  <c r="AC64" i="20"/>
  <c r="AA64" i="20"/>
  <c r="AJ64" i="20"/>
  <c r="AK63" i="20"/>
  <c r="AF63" i="20"/>
  <c r="AC68" i="20"/>
  <c r="AA68" i="20"/>
  <c r="Z68" i="20"/>
  <c r="AN65" i="20"/>
  <c r="AN67" i="20"/>
  <c r="AN69" i="20"/>
  <c r="AN71" i="20"/>
  <c r="AL72" i="20"/>
  <c r="AN73" i="20"/>
  <c r="AL74" i="20"/>
  <c r="AK65" i="20"/>
  <c r="AK67" i="20"/>
  <c r="AK69" i="20"/>
  <c r="AK71" i="20"/>
  <c r="Y73" i="20"/>
  <c r="AA74" i="20"/>
  <c r="AF72" i="20"/>
  <c r="AF74" i="20"/>
  <c r="AE65" i="20"/>
  <c r="AE69" i="20"/>
  <c r="AC72" i="20"/>
  <c r="Y74" i="20"/>
  <c r="AI69" i="20"/>
  <c r="AB66" i="20"/>
  <c r="AB70" i="20"/>
  <c r="Z63" i="20"/>
  <c r="AB64" i="20"/>
  <c r="AG66" i="20"/>
  <c r="AD66" i="20"/>
  <c r="AA70" i="20"/>
  <c r="Z70" i="20"/>
  <c r="AL64" i="20"/>
  <c r="AG63" i="20"/>
  <c r="Y68" i="20"/>
  <c r="AB65" i="20"/>
  <c r="AB67" i="20"/>
  <c r="AB73" i="20"/>
  <c r="Y67" i="20"/>
  <c r="AA72" i="20"/>
  <c r="AE74" i="20"/>
  <c r="AA67" i="20"/>
  <c r="AC74" i="20"/>
  <c r="AK72" i="20"/>
  <c r="AI73" i="20"/>
  <c r="AK74" i="20"/>
  <c r="Z73" i="20"/>
  <c r="Z65" i="20"/>
  <c r="AH63" i="20"/>
  <c r="AF68" i="20"/>
  <c r="AH69" i="20"/>
  <c r="AL67" i="20"/>
  <c r="AN66" i="20"/>
  <c r="AN70" i="20"/>
  <c r="Z71" i="20"/>
  <c r="AD63" i="20"/>
  <c r="AN64" i="20"/>
  <c r="AC66" i="20"/>
  <c r="AA66" i="20"/>
  <c r="Z66" i="20"/>
  <c r="Y70" i="20"/>
  <c r="AL70" i="20"/>
  <c r="AK64" i="20"/>
  <c r="AI64" i="20"/>
  <c r="AH64" i="20"/>
  <c r="AE63" i="20"/>
  <c r="AC63" i="20"/>
  <c r="AK68" i="20"/>
  <c r="AI68" i="20"/>
  <c r="AH68" i="20"/>
  <c r="AF65" i="20"/>
  <c r="AF67" i="20"/>
  <c r="AF69" i="20"/>
  <c r="AF71" i="20"/>
  <c r="AD72" i="20"/>
  <c r="AF73" i="20"/>
  <c r="AD74" i="20"/>
  <c r="AC65" i="20"/>
  <c r="AC67" i="20"/>
  <c r="AC69" i="20"/>
  <c r="AC71" i="20"/>
  <c r="AE72" i="20"/>
  <c r="AG73" i="20"/>
  <c r="AI74" i="20"/>
  <c r="AN72" i="20"/>
  <c r="AN74" i="20"/>
  <c r="AE67" i="20"/>
  <c r="AE71" i="20"/>
  <c r="AA73" i="20"/>
  <c r="AG74" i="20"/>
  <c r="AL71" i="20"/>
  <c r="AE66" i="20"/>
  <c r="AC70" i="20"/>
  <c r="Y64" i="20"/>
  <c r="AI63" i="20"/>
  <c r="Z64" i="20"/>
  <c r="AL68" i="20"/>
  <c r="AB69" i="20"/>
  <c r="Z72" i="20"/>
  <c r="Z74" i="20"/>
  <c r="Y65" i="20"/>
  <c r="Y69" i="20"/>
  <c r="AC73" i="20"/>
  <c r="AJ74" i="20"/>
  <c r="AG72" i="20"/>
  <c r="AE215" i="20"/>
  <c r="AN215" i="20"/>
  <c r="AG215" i="20"/>
  <c r="AK215" i="20"/>
  <c r="AB215" i="20"/>
  <c r="AF215" i="20"/>
  <c r="AI215" i="20"/>
  <c r="AL215" i="20"/>
  <c r="AC215" i="20"/>
  <c r="AJ215" i="20"/>
  <c r="Y215" i="20"/>
  <c r="AD215" i="20"/>
  <c r="AH215" i="20"/>
  <c r="Z215" i="20"/>
  <c r="AA215" i="20"/>
  <c r="AC6" i="20"/>
  <c r="AA6" i="20"/>
  <c r="AB6" i="20"/>
  <c r="AF6" i="20"/>
  <c r="AJ6" i="20"/>
  <c r="AN6" i="20"/>
  <c r="AG6" i="20"/>
  <c r="AK6" i="20"/>
  <c r="AH6" i="20"/>
  <c r="AL6" i="20"/>
  <c r="AI6" i="20"/>
  <c r="I54" i="37"/>
  <c r="Y262" i="20"/>
  <c r="AC261" i="20"/>
  <c r="AN529" i="20"/>
  <c r="AN112" i="20"/>
  <c r="AN316" i="20"/>
  <c r="AN294" i="20"/>
  <c r="AN178" i="20"/>
  <c r="AN173" i="20"/>
  <c r="AN177" i="20"/>
  <c r="AN176" i="20"/>
  <c r="AN175" i="20"/>
  <c r="AN174" i="20"/>
  <c r="AN164" i="20"/>
  <c r="AN141" i="20"/>
  <c r="AN139" i="20"/>
  <c r="AN162" i="20"/>
  <c r="AN137" i="20"/>
  <c r="AN155" i="20"/>
  <c r="AN167" i="20"/>
  <c r="AN159" i="20"/>
  <c r="AN160" i="20"/>
  <c r="AN142" i="20"/>
  <c r="AN166" i="20"/>
  <c r="AN165" i="20"/>
  <c r="AN140" i="20"/>
  <c r="AN170" i="20"/>
  <c r="AN134" i="20"/>
  <c r="AN169" i="20"/>
  <c r="AN152" i="20"/>
  <c r="AN156" i="20"/>
  <c r="AN151" i="20"/>
  <c r="AN168" i="20"/>
  <c r="AN149" i="20"/>
  <c r="AN135" i="20"/>
  <c r="AN143" i="20"/>
  <c r="AN153" i="20"/>
  <c r="AN147" i="20"/>
  <c r="AN148" i="20"/>
  <c r="AN163" i="20"/>
  <c r="AN158" i="20"/>
  <c r="AN154" i="20"/>
  <c r="AN157" i="20"/>
  <c r="AN145" i="20"/>
  <c r="AN138" i="20"/>
  <c r="AN146" i="20"/>
  <c r="AN133" i="20"/>
  <c r="AN150" i="20"/>
  <c r="AN144" i="20"/>
  <c r="AN161" i="20"/>
  <c r="AN136" i="20"/>
  <c r="AN120" i="20"/>
  <c r="AN128" i="20"/>
  <c r="AN119" i="20"/>
  <c r="AN122" i="20"/>
  <c r="AN125" i="20"/>
  <c r="AN90" i="20"/>
  <c r="AN116" i="20"/>
  <c r="AN115" i="20"/>
  <c r="AN127" i="20"/>
  <c r="AN118" i="20"/>
  <c r="AN121" i="20"/>
  <c r="AN88" i="20"/>
  <c r="AN87" i="20"/>
  <c r="AN103" i="20"/>
  <c r="AN114" i="20"/>
  <c r="AN126" i="20"/>
  <c r="AN117" i="20"/>
  <c r="AN124" i="20"/>
  <c r="AN123" i="20"/>
  <c r="AN104" i="20"/>
  <c r="AN89" i="20"/>
  <c r="AN113" i="20"/>
  <c r="AN254" i="20"/>
  <c r="AN257" i="20"/>
  <c r="AN261" i="20"/>
  <c r="AN258" i="20"/>
  <c r="AN262" i="20"/>
  <c r="AN255" i="20"/>
  <c r="AN887" i="20"/>
  <c r="AN863" i="20"/>
  <c r="AN856" i="20"/>
  <c r="AN839" i="20"/>
  <c r="AN822" i="20"/>
  <c r="AN807" i="20"/>
  <c r="AN791" i="20"/>
  <c r="AN763" i="20"/>
  <c r="AN759" i="20"/>
  <c r="AN743" i="20"/>
  <c r="AN728" i="20"/>
  <c r="AN711" i="20"/>
  <c r="AN885" i="20"/>
  <c r="AN868" i="20"/>
  <c r="AN852" i="20"/>
  <c r="AN836" i="20"/>
  <c r="AN821" i="20"/>
  <c r="AN803" i="20"/>
  <c r="AN793" i="20"/>
  <c r="AN776" i="20"/>
  <c r="AN756" i="20"/>
  <c r="AN741" i="20"/>
  <c r="AN725" i="20"/>
  <c r="AN683" i="20"/>
  <c r="AN883" i="20"/>
  <c r="AN866" i="20"/>
  <c r="AN850" i="20"/>
  <c r="AN835" i="20"/>
  <c r="AN818" i="20"/>
  <c r="AN804" i="20"/>
  <c r="AN787" i="20"/>
  <c r="AN782" i="20"/>
  <c r="AN754" i="20"/>
  <c r="AN740" i="20"/>
  <c r="AN723" i="20"/>
  <c r="AN706" i="20"/>
  <c r="AN897" i="20"/>
  <c r="AN881" i="20"/>
  <c r="AN869" i="20"/>
  <c r="AN845" i="20"/>
  <c r="AN833" i="20"/>
  <c r="AN819" i="20"/>
  <c r="AN801" i="20"/>
  <c r="AN786" i="20"/>
  <c r="AN765" i="20"/>
  <c r="AN752" i="20"/>
  <c r="AN737" i="20"/>
  <c r="AN721" i="20"/>
  <c r="AN699" i="20"/>
  <c r="AN678" i="20"/>
  <c r="AN651" i="20"/>
  <c r="AN645" i="20"/>
  <c r="AN618" i="20"/>
  <c r="AN602" i="20"/>
  <c r="AN246" i="20"/>
  <c r="AN227" i="20"/>
  <c r="AN211" i="20"/>
  <c r="AN194" i="20"/>
  <c r="AN172" i="20"/>
  <c r="AN109" i="20"/>
  <c r="AN886" i="20"/>
  <c r="AN864" i="20"/>
  <c r="AN854" i="20"/>
  <c r="AN838" i="20"/>
  <c r="AN825" i="20"/>
  <c r="AN806" i="20"/>
  <c r="AN789" i="20"/>
  <c r="AN775" i="20"/>
  <c r="AN758" i="20"/>
  <c r="AN742" i="20"/>
  <c r="AN726" i="20"/>
  <c r="AN710" i="20"/>
  <c r="AN670" i="20"/>
  <c r="AN686" i="20"/>
  <c r="AN662" i="20"/>
  <c r="AN639" i="20"/>
  <c r="AN629" i="20"/>
  <c r="AN611" i="20"/>
  <c r="AN604" i="20"/>
  <c r="AN577" i="20"/>
  <c r="AN558" i="20"/>
  <c r="AN550" i="20"/>
  <c r="AN537" i="20"/>
  <c r="AN516" i="20"/>
  <c r="AN504" i="20"/>
  <c r="AN484" i="20"/>
  <c r="AN713" i="20"/>
  <c r="AN664" i="20"/>
  <c r="AN692" i="20"/>
  <c r="AN681" i="20"/>
  <c r="AN649" i="20"/>
  <c r="AN630" i="20"/>
  <c r="AN613" i="20"/>
  <c r="AN250" i="20"/>
  <c r="AN232" i="20"/>
  <c r="AN217" i="20"/>
  <c r="AN199" i="20"/>
  <c r="AN184" i="20"/>
  <c r="AN96" i="20"/>
  <c r="AN85" i="20"/>
  <c r="AN83" i="20"/>
  <c r="AN895" i="20"/>
  <c r="AN877" i="20"/>
  <c r="AN847" i="20"/>
  <c r="AN815" i="20"/>
  <c r="AN785" i="20"/>
  <c r="AN750" i="20"/>
  <c r="AN719" i="20"/>
  <c r="AN879" i="20"/>
  <c r="AN849" i="20"/>
  <c r="AN813" i="20"/>
  <c r="AN770" i="20"/>
  <c r="AN749" i="20"/>
  <c r="AN669" i="20"/>
  <c r="AN696" i="20"/>
  <c r="AN638" i="20"/>
  <c r="AN627" i="20"/>
  <c r="AN617" i="20"/>
  <c r="AN238" i="20"/>
  <c r="AN218" i="20"/>
  <c r="AN198" i="20"/>
  <c r="AN130" i="20"/>
  <c r="AN91" i="20"/>
  <c r="AN80" i="20"/>
  <c r="AN878" i="20"/>
  <c r="AN858" i="20"/>
  <c r="AN834" i="20"/>
  <c r="AN814" i="20"/>
  <c r="AN792" i="20"/>
  <c r="AN769" i="20"/>
  <c r="AN751" i="20"/>
  <c r="AN729" i="20"/>
  <c r="AN707" i="20"/>
  <c r="AN700" i="20"/>
  <c r="AN677" i="20"/>
  <c r="AN648" i="20"/>
  <c r="AN622" i="20"/>
  <c r="AN598" i="20"/>
  <c r="AN581" i="20"/>
  <c r="AN557" i="20"/>
  <c r="AN535" i="20"/>
  <c r="AN519" i="20"/>
  <c r="AN493" i="20"/>
  <c r="AN717" i="20"/>
  <c r="AN665" i="20"/>
  <c r="AN671" i="20"/>
  <c r="AN652" i="20"/>
  <c r="AN633" i="20"/>
  <c r="AN612" i="20"/>
  <c r="AN239" i="20"/>
  <c r="AN212" i="20"/>
  <c r="AN193" i="20"/>
  <c r="AN107" i="20"/>
  <c r="AN896" i="20"/>
  <c r="AN876" i="20"/>
  <c r="AN860" i="20"/>
  <c r="AN844" i="20"/>
  <c r="AN828" i="20"/>
  <c r="AN811" i="20"/>
  <c r="AN796" i="20"/>
  <c r="AN779" i="20"/>
  <c r="AN772" i="20"/>
  <c r="AN748" i="20"/>
  <c r="AN732" i="20"/>
  <c r="AN716" i="20"/>
  <c r="AN688" i="20"/>
  <c r="AN675" i="20"/>
  <c r="AN667" i="20"/>
  <c r="AN653" i="20"/>
  <c r="AN646" i="20"/>
  <c r="AN620" i="20"/>
  <c r="AN605" i="20"/>
  <c r="AN586" i="20"/>
  <c r="AN571" i="20"/>
  <c r="AN566" i="20"/>
  <c r="AN536" i="20"/>
  <c r="AN517" i="20"/>
  <c r="AN503" i="20"/>
  <c r="AN492" i="20"/>
  <c r="AN600" i="20"/>
  <c r="AN597" i="20"/>
  <c r="AN569" i="20"/>
  <c r="AN553" i="20"/>
  <c r="AN539" i="20"/>
  <c r="AN518" i="20"/>
  <c r="AN500" i="20"/>
  <c r="AN488" i="20"/>
  <c r="AN474" i="20"/>
  <c r="AN455" i="20"/>
  <c r="AN440" i="20"/>
  <c r="AN409" i="20"/>
  <c r="AN423" i="20"/>
  <c r="AN372" i="20"/>
  <c r="AN415" i="20"/>
  <c r="AN400" i="20"/>
  <c r="AN342" i="20"/>
  <c r="AN329" i="20"/>
  <c r="AN313" i="20"/>
  <c r="AN295" i="20"/>
  <c r="AN277" i="20"/>
  <c r="AN606" i="20"/>
  <c r="AN579" i="20"/>
  <c r="AN568" i="20"/>
  <c r="AN552" i="20"/>
  <c r="AN540" i="20"/>
  <c r="AN520" i="20"/>
  <c r="AN499" i="20"/>
  <c r="AN485" i="20"/>
  <c r="AN470" i="20"/>
  <c r="AN454" i="20"/>
  <c r="AN436" i="20"/>
  <c r="AN422" i="20"/>
  <c r="AN417" i="20"/>
  <c r="AN420" i="20"/>
  <c r="AN357" i="20"/>
  <c r="AN360" i="20"/>
  <c r="AN343" i="20"/>
  <c r="AN326" i="20"/>
  <c r="AN309" i="20"/>
  <c r="AN292" i="20"/>
  <c r="AN276" i="20"/>
  <c r="AN260" i="20"/>
  <c r="AN465" i="20"/>
  <c r="AN450" i="20"/>
  <c r="AN433" i="20"/>
  <c r="AN354" i="20"/>
  <c r="AN384" i="20"/>
  <c r="AN411" i="20"/>
  <c r="AN421" i="20"/>
  <c r="AN350" i="20"/>
  <c r="AN336" i="20"/>
  <c r="AN322" i="20"/>
  <c r="AN301" i="20"/>
  <c r="AN284" i="20"/>
  <c r="AN269" i="20"/>
  <c r="AN249" i="20"/>
  <c r="AN233" i="20"/>
  <c r="AN219" i="20"/>
  <c r="AN201" i="20"/>
  <c r="AN185" i="20"/>
  <c r="AN93" i="20"/>
  <c r="AN86" i="20"/>
  <c r="AN463" i="20"/>
  <c r="AN449" i="20"/>
  <c r="AN434" i="20"/>
  <c r="AN394" i="20"/>
  <c r="AN426" i="20"/>
  <c r="AN362" i="20"/>
  <c r="AN381" i="20"/>
  <c r="AN353" i="20"/>
  <c r="AN337" i="20"/>
  <c r="AN321" i="20"/>
  <c r="AN305" i="20"/>
  <c r="AN288" i="20"/>
  <c r="AN272" i="20"/>
  <c r="AN248" i="20"/>
  <c r="AN234" i="20"/>
  <c r="AN216" i="20"/>
  <c r="AN200" i="20"/>
  <c r="AN186" i="20"/>
  <c r="AN98" i="20"/>
  <c r="AN79" i="20"/>
  <c r="AN84" i="20"/>
  <c r="AN875" i="20"/>
  <c r="AN843" i="20"/>
  <c r="AN812" i="20"/>
  <c r="AN780" i="20"/>
  <c r="AN747" i="20"/>
  <c r="AN715" i="20"/>
  <c r="AN861" i="20"/>
  <c r="AN841" i="20"/>
  <c r="AN809" i="20"/>
  <c r="AN781" i="20"/>
  <c r="AN746" i="20"/>
  <c r="AN663" i="20"/>
  <c r="AN684" i="20"/>
  <c r="AN640" i="20"/>
  <c r="AN626" i="20"/>
  <c r="AN256" i="20"/>
  <c r="AN236" i="20"/>
  <c r="AN214" i="20"/>
  <c r="AN191" i="20"/>
  <c r="AN102" i="20"/>
  <c r="AN82" i="20"/>
  <c r="AN894" i="20"/>
  <c r="AN874" i="20"/>
  <c r="AN851" i="20"/>
  <c r="AN827" i="20"/>
  <c r="AN810" i="20"/>
  <c r="AN788" i="20"/>
  <c r="AN768" i="20"/>
  <c r="AN745" i="20"/>
  <c r="AN722" i="20"/>
  <c r="AN701" i="20"/>
  <c r="AN694" i="20"/>
  <c r="AN658" i="20"/>
  <c r="AN635" i="20"/>
  <c r="AN619" i="20"/>
  <c r="AN585" i="20"/>
  <c r="AN574" i="20"/>
  <c r="AN555" i="20"/>
  <c r="AN530" i="20"/>
  <c r="AN511" i="20"/>
  <c r="AN489" i="20"/>
  <c r="AN709" i="20"/>
  <c r="AN687" i="20"/>
  <c r="AN682" i="20"/>
  <c r="AN636" i="20"/>
  <c r="AN623" i="20"/>
  <c r="AN599" i="20"/>
  <c r="AN231" i="20"/>
  <c r="AN209" i="20"/>
  <c r="AN187" i="20"/>
  <c r="AN101" i="20"/>
  <c r="AN888" i="20"/>
  <c r="AN862" i="20"/>
  <c r="AN855" i="20"/>
  <c r="AN840" i="20"/>
  <c r="AN824" i="20"/>
  <c r="AN808" i="20"/>
  <c r="AN794" i="20"/>
  <c r="AN778" i="20"/>
  <c r="AN760" i="20"/>
  <c r="AN744" i="20"/>
  <c r="AN727" i="20"/>
  <c r="AN712" i="20"/>
  <c r="AN668" i="20"/>
  <c r="AN693" i="20"/>
  <c r="AN698" i="20"/>
  <c r="AN637" i="20"/>
  <c r="AN631" i="20"/>
  <c r="AN608" i="20"/>
  <c r="AN601" i="20"/>
  <c r="AN583" i="20"/>
  <c r="AN567" i="20"/>
  <c r="AN551" i="20"/>
  <c r="AN541" i="20"/>
  <c r="AN522" i="20"/>
  <c r="AN498" i="20"/>
  <c r="AN487" i="20"/>
  <c r="AN592" i="20"/>
  <c r="AN580" i="20"/>
  <c r="AN560" i="20"/>
  <c r="AN549" i="20"/>
  <c r="AN533" i="20"/>
  <c r="AN523" i="20"/>
  <c r="AN505" i="20"/>
  <c r="AN486" i="20"/>
  <c r="AN468" i="20"/>
  <c r="AN453" i="20"/>
  <c r="AN438" i="20"/>
  <c r="AN392" i="20"/>
  <c r="AN389" i="20"/>
  <c r="AN401" i="20"/>
  <c r="AN412" i="20"/>
  <c r="AN365" i="20"/>
  <c r="AN339" i="20"/>
  <c r="AN324" i="20"/>
  <c r="AN307" i="20"/>
  <c r="AN291" i="20"/>
  <c r="AN274" i="20"/>
  <c r="AN588" i="20"/>
  <c r="AN584" i="20"/>
  <c r="AN564" i="20"/>
  <c r="AN547" i="20"/>
  <c r="AN531" i="20"/>
  <c r="AN513" i="20"/>
  <c r="AN502" i="20"/>
  <c r="AN483" i="20"/>
  <c r="AN464" i="20"/>
  <c r="AN448" i="20"/>
  <c r="AN435" i="20"/>
  <c r="AN358" i="20"/>
  <c r="AN386" i="20"/>
  <c r="AN424" i="20"/>
  <c r="AN413" i="20"/>
  <c r="AN416" i="20"/>
  <c r="AN338" i="20"/>
  <c r="AN319" i="20"/>
  <c r="AN303" i="20"/>
  <c r="AN289" i="20"/>
  <c r="AN271" i="20"/>
  <c r="AN473" i="20"/>
  <c r="AN458" i="20"/>
  <c r="AN444" i="20"/>
  <c r="AN427" i="20"/>
  <c r="AN388" i="20"/>
  <c r="AN393" i="20"/>
  <c r="AN361" i="20"/>
  <c r="AN419" i="20"/>
  <c r="AN349" i="20"/>
  <c r="AN332" i="20"/>
  <c r="AN315" i="20"/>
  <c r="AN299" i="20"/>
  <c r="AN281" i="20"/>
  <c r="AN265" i="20"/>
  <c r="AN243" i="20"/>
  <c r="AN230" i="20"/>
  <c r="AN213" i="20"/>
  <c r="AN197" i="20"/>
  <c r="AN182" i="20"/>
  <c r="AN92" i="20"/>
  <c r="AN78" i="20"/>
  <c r="AN81" i="20"/>
  <c r="AN466" i="20"/>
  <c r="AN445" i="20"/>
  <c r="AN429" i="20"/>
  <c r="AN380" i="20"/>
  <c r="AN403" i="20"/>
  <c r="AN377" i="20"/>
  <c r="AN387" i="20"/>
  <c r="AN347" i="20"/>
  <c r="AN331" i="20"/>
  <c r="AN317" i="20"/>
  <c r="AN300" i="20"/>
  <c r="AN283" i="20"/>
  <c r="AN267" i="20"/>
  <c r="AN244" i="20"/>
  <c r="AN228" i="20"/>
  <c r="AN210" i="20"/>
  <c r="AN196" i="20"/>
  <c r="AN179" i="20"/>
  <c r="AN108" i="20"/>
  <c r="AN892" i="20"/>
  <c r="AN870" i="20"/>
  <c r="AN831" i="20"/>
  <c r="AN799" i="20"/>
  <c r="AN889" i="20"/>
  <c r="AN764" i="20"/>
  <c r="AN704" i="20"/>
  <c r="AN871" i="20"/>
  <c r="AN797" i="20"/>
  <c r="AN733" i="20"/>
  <c r="AN659" i="20"/>
  <c r="AN607" i="20"/>
  <c r="AN229" i="20"/>
  <c r="AN183" i="20"/>
  <c r="AN891" i="20"/>
  <c r="AN848" i="20"/>
  <c r="AN802" i="20"/>
  <c r="AN761" i="20"/>
  <c r="AN718" i="20"/>
  <c r="AN690" i="20"/>
  <c r="AN634" i="20"/>
  <c r="AN591" i="20"/>
  <c r="AN546" i="20"/>
  <c r="AN497" i="20"/>
  <c r="AN705" i="20"/>
  <c r="AN661" i="20"/>
  <c r="AN621" i="20"/>
  <c r="AN222" i="20"/>
  <c r="AN180" i="20"/>
  <c r="AN884" i="20"/>
  <c r="AN853" i="20"/>
  <c r="AN820" i="20"/>
  <c r="AN783" i="20"/>
  <c r="AN755" i="20"/>
  <c r="AN724" i="20"/>
  <c r="AN685" i="20"/>
  <c r="AN660" i="20"/>
  <c r="AN625" i="20"/>
  <c r="AN593" i="20"/>
  <c r="AN563" i="20"/>
  <c r="AN532" i="20"/>
  <c r="AN501" i="20"/>
  <c r="AN594" i="20"/>
  <c r="AN562" i="20"/>
  <c r="AN528" i="20"/>
  <c r="AN506" i="20"/>
  <c r="AN461" i="20"/>
  <c r="AN430" i="20"/>
  <c r="AN391" i="20"/>
  <c r="AN398" i="20"/>
  <c r="AN335" i="20"/>
  <c r="AN308" i="20"/>
  <c r="AN270" i="20"/>
  <c r="AN575" i="20"/>
  <c r="AN543" i="20"/>
  <c r="AN509" i="20"/>
  <c r="AN480" i="20"/>
  <c r="AN446" i="20"/>
  <c r="AN356" i="20"/>
  <c r="AN404" i="20"/>
  <c r="AN351" i="20"/>
  <c r="AN318" i="20"/>
  <c r="AN286" i="20"/>
  <c r="AN472" i="20"/>
  <c r="AN439" i="20"/>
  <c r="AN405" i="20"/>
  <c r="AN355" i="20"/>
  <c r="AN344" i="20"/>
  <c r="AN310" i="20"/>
  <c r="AN278" i="20"/>
  <c r="AN240" i="20"/>
  <c r="AN208" i="20"/>
  <c r="AN171" i="20"/>
  <c r="AN457" i="20"/>
  <c r="AN402" i="20"/>
  <c r="AN390" i="20"/>
  <c r="AN382" i="20"/>
  <c r="AN327" i="20"/>
  <c r="AN296" i="20"/>
  <c r="AN266" i="20"/>
  <c r="AN220" i="20"/>
  <c r="AN190" i="20"/>
  <c r="AN106" i="20"/>
  <c r="AN859" i="20"/>
  <c r="AN773" i="20"/>
  <c r="AN676" i="20"/>
  <c r="AN857" i="20"/>
  <c r="AN790" i="20"/>
  <c r="AN730" i="20"/>
  <c r="AN655" i="20"/>
  <c r="AN614" i="20"/>
  <c r="AN224" i="20"/>
  <c r="AN181" i="20"/>
  <c r="AN882" i="20"/>
  <c r="AN842" i="20"/>
  <c r="AN798" i="20"/>
  <c r="AN757" i="20"/>
  <c r="AN714" i="20"/>
  <c r="AN689" i="20"/>
  <c r="AN628" i="20"/>
  <c r="AN589" i="20"/>
  <c r="AN544" i="20"/>
  <c r="AN496" i="20"/>
  <c r="AN702" i="20"/>
  <c r="AN657" i="20"/>
  <c r="AN610" i="20"/>
  <c r="AN221" i="20"/>
  <c r="AN132" i="20"/>
  <c r="AN880" i="20"/>
  <c r="AN846" i="20"/>
  <c r="AN816" i="20"/>
  <c r="AN784" i="20"/>
  <c r="AN753" i="20"/>
  <c r="AN720" i="20"/>
  <c r="AN672" i="20"/>
  <c r="AN656" i="20"/>
  <c r="AN624" i="20"/>
  <c r="AN596" i="20"/>
  <c r="AN561" i="20"/>
  <c r="AN527" i="20"/>
  <c r="AN507" i="20"/>
  <c r="AN587" i="20"/>
  <c r="AN565" i="20"/>
  <c r="AN524" i="20"/>
  <c r="AN491" i="20"/>
  <c r="AN460" i="20"/>
  <c r="AN428" i="20"/>
  <c r="AN414" i="20"/>
  <c r="AN370" i="20"/>
  <c r="AN334" i="20"/>
  <c r="AN298" i="20"/>
  <c r="AN264" i="20"/>
  <c r="AN572" i="20"/>
  <c r="AN538" i="20"/>
  <c r="AN508" i="20"/>
  <c r="AN475" i="20"/>
  <c r="AN442" i="20"/>
  <c r="AN375" i="20"/>
  <c r="AN399" i="20"/>
  <c r="AN346" i="20"/>
  <c r="AN311" i="20"/>
  <c r="AN280" i="20"/>
  <c r="AN467" i="20"/>
  <c r="AN432" i="20"/>
  <c r="AN373" i="20"/>
  <c r="AN368" i="20"/>
  <c r="AN340" i="20"/>
  <c r="AN304" i="20"/>
  <c r="AN275" i="20"/>
  <c r="AN235" i="20"/>
  <c r="AN204" i="20"/>
  <c r="AN129" i="20"/>
  <c r="AN452" i="20"/>
  <c r="AN425" i="20"/>
  <c r="AN359" i="20"/>
  <c r="AN325" i="20"/>
  <c r="AN290" i="20"/>
  <c r="AN252" i="20"/>
  <c r="AN225" i="20"/>
  <c r="AN100" i="20"/>
  <c r="AN829" i="20"/>
  <c r="AN735" i="20"/>
  <c r="AN893" i="20"/>
  <c r="AN830" i="20"/>
  <c r="AN777" i="20"/>
  <c r="AN697" i="20"/>
  <c r="AN642" i="20"/>
  <c r="AN251" i="20"/>
  <c r="AN206" i="20"/>
  <c r="AN94" i="20"/>
  <c r="AN867" i="20"/>
  <c r="AN826" i="20"/>
  <c r="AN771" i="20"/>
  <c r="AN738" i="20"/>
  <c r="AN674" i="20"/>
  <c r="AN654" i="20"/>
  <c r="AN616" i="20"/>
  <c r="AN570" i="20"/>
  <c r="AN526" i="20"/>
  <c r="AN479" i="20"/>
  <c r="AN673" i="20"/>
  <c r="AN647" i="20"/>
  <c r="AN245" i="20"/>
  <c r="AN205" i="20"/>
  <c r="AN95" i="20"/>
  <c r="AN865" i="20"/>
  <c r="AN837" i="20"/>
  <c r="AN805" i="20"/>
  <c r="AN767" i="20"/>
  <c r="AN739" i="20"/>
  <c r="AN708" i="20"/>
  <c r="AN680" i="20"/>
  <c r="AN644" i="20"/>
  <c r="AN609" i="20"/>
  <c r="AN582" i="20"/>
  <c r="AN548" i="20"/>
  <c r="AN521" i="20"/>
  <c r="AN482" i="20"/>
  <c r="AN578" i="20"/>
  <c r="AN545" i="20"/>
  <c r="AN512" i="20"/>
  <c r="AN477" i="20"/>
  <c r="AN447" i="20"/>
  <c r="AN363" i="20"/>
  <c r="AN395" i="20"/>
  <c r="AN352" i="20"/>
  <c r="AN320" i="20"/>
  <c r="AN285" i="20"/>
  <c r="AN595" i="20"/>
  <c r="AN559" i="20"/>
  <c r="AN525" i="20"/>
  <c r="AN494" i="20"/>
  <c r="AN462" i="20"/>
  <c r="AN431" i="20"/>
  <c r="AN406" i="20"/>
  <c r="AN376" i="20"/>
  <c r="AN333" i="20"/>
  <c r="AN302" i="20"/>
  <c r="AN268" i="20"/>
  <c r="AN456" i="20"/>
  <c r="AN397" i="20"/>
  <c r="AN369" i="20"/>
  <c r="AN407" i="20"/>
  <c r="AN328" i="20"/>
  <c r="AN293" i="20"/>
  <c r="AN259" i="20"/>
  <c r="AN226" i="20"/>
  <c r="AN192" i="20"/>
  <c r="AN110" i="20"/>
  <c r="AN471" i="20"/>
  <c r="AN441" i="20"/>
  <c r="AN410" i="20"/>
  <c r="AN366" i="20"/>
  <c r="AN345" i="20"/>
  <c r="AN312" i="20"/>
  <c r="AN279" i="20"/>
  <c r="AN242" i="20"/>
  <c r="AN207" i="20"/>
  <c r="AN131" i="20"/>
  <c r="AN795" i="20"/>
  <c r="AN731" i="20"/>
  <c r="AN890" i="20"/>
  <c r="AN823" i="20"/>
  <c r="AN762" i="20"/>
  <c r="AN695" i="20"/>
  <c r="AN632" i="20"/>
  <c r="AN247" i="20"/>
  <c r="AN202" i="20"/>
  <c r="AN105" i="20"/>
  <c r="AN872" i="20"/>
  <c r="AN817" i="20"/>
  <c r="AN774" i="20"/>
  <c r="AN734" i="20"/>
  <c r="AN666" i="20"/>
  <c r="AN650" i="20"/>
  <c r="AN603" i="20"/>
  <c r="AN556" i="20"/>
  <c r="AN515" i="20"/>
  <c r="AN478" i="20"/>
  <c r="AN679" i="20"/>
  <c r="AN643" i="20"/>
  <c r="AN241" i="20"/>
  <c r="AN195" i="20"/>
  <c r="AN99" i="20"/>
  <c r="AN873" i="20"/>
  <c r="AN832" i="20"/>
  <c r="AN800" i="20"/>
  <c r="AN766" i="20"/>
  <c r="AN736" i="20"/>
  <c r="AN703" i="20"/>
  <c r="AN691" i="20"/>
  <c r="AN641" i="20"/>
  <c r="AN615" i="20"/>
  <c r="AN576" i="20"/>
  <c r="AN542" i="20"/>
  <c r="AN510" i="20"/>
  <c r="AN481" i="20"/>
  <c r="AN573" i="20"/>
  <c r="AN534" i="20"/>
  <c r="AN495" i="20"/>
  <c r="AN476" i="20"/>
  <c r="AN443" i="20"/>
  <c r="AN396" i="20"/>
  <c r="AN364" i="20"/>
  <c r="AN348" i="20"/>
  <c r="AN314" i="20"/>
  <c r="AN282" i="20"/>
  <c r="AN590" i="20"/>
  <c r="AN554" i="20"/>
  <c r="AN514" i="20"/>
  <c r="AN490" i="20"/>
  <c r="AN459" i="20"/>
  <c r="AN374" i="20"/>
  <c r="AN379" i="20"/>
  <c r="AN418" i="20"/>
  <c r="AN330" i="20"/>
  <c r="AN297" i="20"/>
  <c r="AN263" i="20"/>
  <c r="AN451" i="20"/>
  <c r="AN371" i="20"/>
  <c r="AN383" i="20"/>
  <c r="AN367" i="20"/>
  <c r="AN323" i="20"/>
  <c r="AN287" i="20"/>
  <c r="AN253" i="20"/>
  <c r="AN223" i="20"/>
  <c r="AN189" i="20"/>
  <c r="AN111" i="20"/>
  <c r="AN469" i="20"/>
  <c r="AN437" i="20"/>
  <c r="AN385" i="20"/>
  <c r="AN408" i="20"/>
  <c r="AN341" i="20"/>
  <c r="AN306" i="20"/>
  <c r="AN273" i="20"/>
  <c r="AN237" i="20"/>
  <c r="AN203" i="20"/>
  <c r="AN97" i="20"/>
  <c r="AN378" i="20"/>
  <c r="AN188" i="20"/>
  <c r="AH51" i="14"/>
  <c r="AH58" i="14"/>
  <c r="AH49" i="14"/>
  <c r="AH76" i="14"/>
  <c r="AH153" i="14"/>
  <c r="AH48" i="14"/>
  <c r="AH57" i="14"/>
  <c r="AH162" i="14"/>
  <c r="AH16" i="14"/>
  <c r="AH94" i="14"/>
  <c r="AH112" i="14"/>
  <c r="AH106" i="14"/>
  <c r="AH46" i="14"/>
  <c r="AH28" i="14"/>
  <c r="AH170" i="14"/>
  <c r="AH50" i="14"/>
  <c r="AH56" i="14"/>
  <c r="AH47" i="14"/>
  <c r="AH63" i="14"/>
  <c r="AH234" i="14"/>
  <c r="AH74" i="14"/>
  <c r="AH45" i="14"/>
  <c r="AH176" i="14"/>
  <c r="AH142" i="14"/>
  <c r="AH107" i="14"/>
  <c r="AH73" i="14"/>
  <c r="AH224" i="14"/>
  <c r="AH196" i="14"/>
  <c r="AH236" i="14"/>
  <c r="AH137" i="14"/>
  <c r="J54" i="37"/>
  <c r="N54" i="37"/>
  <c r="Y112" i="20"/>
  <c r="AD112" i="20"/>
  <c r="AB112" i="20"/>
  <c r="AK112" i="20"/>
  <c r="AL112" i="20"/>
  <c r="AJ112" i="20"/>
  <c r="Z112" i="20"/>
  <c r="AG112" i="20"/>
  <c r="AF112" i="20"/>
  <c r="AH112" i="20"/>
  <c r="AA112" i="20"/>
  <c r="AC112" i="20"/>
  <c r="AI112" i="20"/>
  <c r="AE112" i="20"/>
  <c r="Y294" i="20"/>
  <c r="AB294" i="20"/>
  <c r="AA294" i="20"/>
  <c r="Z294" i="20"/>
  <c r="AI316" i="20"/>
  <c r="AK316" i="20"/>
  <c r="AE316" i="20"/>
  <c r="AH316" i="20"/>
  <c r="AJ294" i="20"/>
  <c r="AI294" i="20"/>
  <c r="AH294" i="20"/>
  <c r="AG294" i="20"/>
  <c r="AG316" i="20"/>
  <c r="AA316" i="20"/>
  <c r="Z316" i="20"/>
  <c r="AL294" i="20"/>
  <c r="AK294" i="20"/>
  <c r="AC316" i="20"/>
  <c r="AF316" i="20"/>
  <c r="Y316" i="20"/>
  <c r="AD316" i="20"/>
  <c r="AF294" i="20"/>
  <c r="AE294" i="20"/>
  <c r="AD294" i="20"/>
  <c r="AC294" i="20"/>
  <c r="AB316" i="20"/>
  <c r="AJ316" i="20"/>
  <c r="AL316" i="20"/>
  <c r="Y175" i="20"/>
  <c r="Y178" i="20"/>
  <c r="AA175" i="20"/>
  <c r="AD177" i="20"/>
  <c r="AF177" i="20"/>
  <c r="Z177" i="20"/>
  <c r="AH177" i="20"/>
  <c r="AF174" i="20"/>
  <c r="AF178" i="20"/>
  <c r="AD176" i="20"/>
  <c r="AL173" i="20"/>
  <c r="AB176" i="20"/>
  <c r="AB175" i="20"/>
  <c r="AH176" i="20"/>
  <c r="AA176" i="20"/>
  <c r="AK173" i="20"/>
  <c r="AH175" i="20"/>
  <c r="AG175" i="20"/>
  <c r="AD178" i="20"/>
  <c r="AG178" i="20"/>
  <c r="AK175" i="20"/>
  <c r="AH178" i="20"/>
  <c r="AK178" i="20"/>
  <c r="Y174" i="20"/>
  <c r="Y177" i="20"/>
  <c r="AF176" i="20"/>
  <c r="AD174" i="20"/>
  <c r="AA177" i="20"/>
  <c r="AE174" i="20"/>
  <c r="AB177" i="20"/>
  <c r="Z174" i="20"/>
  <c r="AH173" i="20"/>
  <c r="AE178" i="20"/>
  <c r="AF173" i="20"/>
  <c r="AJ178" i="20"/>
  <c r="AJ173" i="20"/>
  <c r="Z176" i="20"/>
  <c r="AK174" i="20"/>
  <c r="AK177" i="20"/>
  <c r="AK176" i="20"/>
  <c r="AG173" i="20"/>
  <c r="AD175" i="20"/>
  <c r="AC175" i="20"/>
  <c r="Z178" i="20"/>
  <c r="AC178" i="20"/>
  <c r="Y176" i="20"/>
  <c r="AD173" i="20"/>
  <c r="AJ174" i="20"/>
  <c r="AL174" i="20"/>
  <c r="AJ177" i="20"/>
  <c r="AI178" i="20"/>
  <c r="AI174" i="20"/>
  <c r="AI175" i="20"/>
  <c r="AB173" i="20"/>
  <c r="AL175" i="20"/>
  <c r="AA173" i="20"/>
  <c r="AB178" i="20"/>
  <c r="AE173" i="20"/>
  <c r="AH174" i="20"/>
  <c r="AG174" i="20"/>
  <c r="AG177" i="20"/>
  <c r="AI176" i="20"/>
  <c r="AG176" i="20"/>
  <c r="AC173" i="20"/>
  <c r="Z175" i="20"/>
  <c r="AL178" i="20"/>
  <c r="Y173" i="20"/>
  <c r="AI177" i="20"/>
  <c r="AF175" i="20"/>
  <c r="AL177" i="20"/>
  <c r="AE177" i="20"/>
  <c r="AA178" i="20"/>
  <c r="AA174" i="20"/>
  <c r="AI173" i="20"/>
  <c r="AL176" i="20"/>
  <c r="AE175" i="20"/>
  <c r="AJ176" i="20"/>
  <c r="AJ175" i="20"/>
  <c r="Z173" i="20"/>
  <c r="AB174" i="20"/>
  <c r="AC174" i="20"/>
  <c r="AC177" i="20"/>
  <c r="AE176" i="20"/>
  <c r="AC176" i="20"/>
  <c r="F54" i="37"/>
  <c r="M54" i="37"/>
  <c r="E54" i="37"/>
  <c r="N13" i="43"/>
  <c r="E16" i="43"/>
  <c r="Y168" i="20"/>
  <c r="AJ168" i="20"/>
  <c r="AE168" i="20"/>
  <c r="AC168" i="20"/>
  <c r="AL168" i="20"/>
  <c r="AB168" i="20"/>
  <c r="AA168" i="20"/>
  <c r="AF168" i="20"/>
  <c r="AH168" i="20"/>
  <c r="AK168" i="20"/>
  <c r="AD168" i="20"/>
  <c r="Z168" i="20"/>
  <c r="AI168" i="20"/>
  <c r="AG168" i="20"/>
  <c r="AL457" i="20"/>
  <c r="Y139" i="20"/>
  <c r="Y152" i="20"/>
  <c r="Y153" i="20"/>
  <c r="Y141" i="20"/>
  <c r="Y169" i="20"/>
  <c r="Z163" i="20"/>
  <c r="Z146" i="20"/>
  <c r="Z165" i="20"/>
  <c r="Z148" i="20"/>
  <c r="AA144" i="20"/>
  <c r="AA137" i="20"/>
  <c r="AA135" i="20"/>
  <c r="AA150" i="20"/>
  <c r="AA162" i="20"/>
  <c r="AB134" i="20"/>
  <c r="AB137" i="20"/>
  <c r="AB146" i="20"/>
  <c r="AB153" i="20"/>
  <c r="AB170" i="20"/>
  <c r="AB162" i="20"/>
  <c r="AC144" i="20"/>
  <c r="AC137" i="20"/>
  <c r="AC135" i="20"/>
  <c r="AC150" i="20"/>
  <c r="AC162" i="20"/>
  <c r="AD134" i="20"/>
  <c r="AD145" i="20"/>
  <c r="AD167" i="20"/>
  <c r="AD170" i="20"/>
  <c r="AD157" i="20"/>
  <c r="AE139" i="20"/>
  <c r="AE152" i="20"/>
  <c r="AE153" i="20"/>
  <c r="AE141" i="20"/>
  <c r="AE169" i="20"/>
  <c r="AF142" i="20"/>
  <c r="AF136" i="20"/>
  <c r="AF154" i="20"/>
  <c r="AF151" i="20"/>
  <c r="AF160" i="20"/>
  <c r="AF161" i="20"/>
  <c r="AG139" i="20"/>
  <c r="AG152" i="20"/>
  <c r="AG153" i="20"/>
  <c r="AG141" i="20"/>
  <c r="AG169" i="20"/>
  <c r="AH163" i="20"/>
  <c r="AH146" i="20"/>
  <c r="AH165" i="20"/>
  <c r="AH148" i="20"/>
  <c r="AI144" i="20"/>
  <c r="AI137" i="20"/>
  <c r="AI135" i="20"/>
  <c r="AI150" i="20"/>
  <c r="AI162" i="20"/>
  <c r="AJ134" i="20"/>
  <c r="AJ137" i="20"/>
  <c r="AJ146" i="20"/>
  <c r="AJ153" i="20"/>
  <c r="AJ170" i="20"/>
  <c r="AJ162" i="20"/>
  <c r="AK144" i="20"/>
  <c r="AK137" i="20"/>
  <c r="AK135" i="20"/>
  <c r="AK150" i="20"/>
  <c r="AK162" i="20"/>
  <c r="AL134" i="20"/>
  <c r="AL145" i="20"/>
  <c r="AL167" i="20"/>
  <c r="AL170" i="20"/>
  <c r="AL157" i="20"/>
  <c r="Y134" i="20"/>
  <c r="Y146" i="20"/>
  <c r="Y150" i="20"/>
  <c r="Y157" i="20"/>
  <c r="Z137" i="20"/>
  <c r="Z167" i="20"/>
  <c r="Z141" i="20"/>
  <c r="AA134" i="20"/>
  <c r="AA152" i="20"/>
  <c r="AA165" i="20"/>
  <c r="AA157" i="20"/>
  <c r="AB142" i="20"/>
  <c r="AB152" i="20"/>
  <c r="AB165" i="20"/>
  <c r="AB160" i="20"/>
  <c r="AB169" i="20"/>
  <c r="AC145" i="20"/>
  <c r="AC153" i="20"/>
  <c r="AC148" i="20"/>
  <c r="AD139" i="20"/>
  <c r="AD146" i="20"/>
  <c r="AD150" i="20"/>
  <c r="AD169" i="20"/>
  <c r="AE137" i="20"/>
  <c r="AE167" i="20"/>
  <c r="AE148" i="20"/>
  <c r="AF134" i="20"/>
  <c r="AF145" i="20"/>
  <c r="AF167" i="20"/>
  <c r="AF170" i="20"/>
  <c r="AF157" i="20"/>
  <c r="AG163" i="20"/>
  <c r="AG135" i="20"/>
  <c r="AG170" i="20"/>
  <c r="AH144" i="20"/>
  <c r="AH145" i="20"/>
  <c r="AH153" i="20"/>
  <c r="AH162" i="20"/>
  <c r="AI139" i="20"/>
  <c r="AI146" i="20"/>
  <c r="AI170" i="20"/>
  <c r="AI169" i="20"/>
  <c r="AJ163" i="20"/>
  <c r="AJ135" i="20"/>
  <c r="AJ151" i="20"/>
  <c r="AJ148" i="20"/>
  <c r="AK134" i="20"/>
  <c r="AK152" i="20"/>
  <c r="AK165" i="20"/>
  <c r="AK157" i="20"/>
  <c r="AL163" i="20"/>
  <c r="AL135" i="20"/>
  <c r="AL141" i="20"/>
  <c r="AB155" i="20"/>
  <c r="AL156" i="20"/>
  <c r="AA163" i="20"/>
  <c r="Y163" i="20"/>
  <c r="Y135" i="20"/>
  <c r="Y170" i="20"/>
  <c r="Z144" i="20"/>
  <c r="Z145" i="20"/>
  <c r="Z153" i="20"/>
  <c r="Z162" i="20"/>
  <c r="AA139" i="20"/>
  <c r="AA146" i="20"/>
  <c r="AA170" i="20"/>
  <c r="AA169" i="20"/>
  <c r="AB163" i="20"/>
  <c r="AB135" i="20"/>
  <c r="AB151" i="20"/>
  <c r="AB148" i="20"/>
  <c r="AC134" i="20"/>
  <c r="AC152" i="20"/>
  <c r="AC165" i="20"/>
  <c r="AC157" i="20"/>
  <c r="AD163" i="20"/>
  <c r="AD135" i="20"/>
  <c r="AD141" i="20"/>
  <c r="AE144" i="20"/>
  <c r="AE145" i="20"/>
  <c r="AE165" i="20"/>
  <c r="AE162" i="20"/>
  <c r="AF139" i="20"/>
  <c r="AF152" i="20"/>
  <c r="AF153" i="20"/>
  <c r="AF141" i="20"/>
  <c r="AF169" i="20"/>
  <c r="AG137" i="20"/>
  <c r="AG167" i="20"/>
  <c r="AG148" i="20"/>
  <c r="AH134" i="20"/>
  <c r="AH152" i="20"/>
  <c r="AH150" i="20"/>
  <c r="AH157" i="20"/>
  <c r="AI163" i="20"/>
  <c r="AI167" i="20"/>
  <c r="AI141" i="20"/>
  <c r="AJ144" i="20"/>
  <c r="AJ145" i="20"/>
  <c r="AJ154" i="20"/>
  <c r="AJ150" i="20"/>
  <c r="AJ157" i="20"/>
  <c r="AK139" i="20"/>
  <c r="AK146" i="20"/>
  <c r="AK170" i="20"/>
  <c r="AK169" i="20"/>
  <c r="AL137" i="20"/>
  <c r="AL153" i="20"/>
  <c r="AL148" i="20"/>
  <c r="Y144" i="20"/>
  <c r="Y145" i="20"/>
  <c r="Y165" i="20"/>
  <c r="Y162" i="20"/>
  <c r="Z139" i="20"/>
  <c r="Z135" i="20"/>
  <c r="Z170" i="20"/>
  <c r="Z169" i="20"/>
  <c r="AA145" i="20"/>
  <c r="AA153" i="20"/>
  <c r="AA148" i="20"/>
  <c r="AB139" i="20"/>
  <c r="AB136" i="20"/>
  <c r="AB167" i="20"/>
  <c r="AB141" i="20"/>
  <c r="AB161" i="20"/>
  <c r="AC163" i="20"/>
  <c r="AC167" i="20"/>
  <c r="AC141" i="20"/>
  <c r="AD144" i="20"/>
  <c r="AD152" i="20"/>
  <c r="AD165" i="20"/>
  <c r="AD162" i="20"/>
  <c r="AE163" i="20"/>
  <c r="AE135" i="20"/>
  <c r="AE170" i="20"/>
  <c r="AF144" i="20"/>
  <c r="AF137" i="20"/>
  <c r="AF135" i="20"/>
  <c r="AF150" i="20"/>
  <c r="AF162" i="20"/>
  <c r="AG134" i="20"/>
  <c r="AG146" i="20"/>
  <c r="AG150" i="20"/>
  <c r="AG157" i="20"/>
  <c r="AH137" i="20"/>
  <c r="AH167" i="20"/>
  <c r="AH141" i="20"/>
  <c r="AI134" i="20"/>
  <c r="AI152" i="20"/>
  <c r="AI165" i="20"/>
  <c r="AI157" i="20"/>
  <c r="AJ142" i="20"/>
  <c r="AJ152" i="20"/>
  <c r="AJ165" i="20"/>
  <c r="AJ160" i="20"/>
  <c r="AJ169" i="20"/>
  <c r="AK145" i="20"/>
  <c r="AK153" i="20"/>
  <c r="AK148" i="20"/>
  <c r="AL139" i="20"/>
  <c r="AL146" i="20"/>
  <c r="AL150" i="20"/>
  <c r="AL169" i="20"/>
  <c r="AD138" i="20"/>
  <c r="AI138" i="20"/>
  <c r="AE156" i="20"/>
  <c r="AE159" i="20"/>
  <c r="Z138" i="20"/>
  <c r="AE138" i="20"/>
  <c r="AJ138" i="20"/>
  <c r="AJ164" i="20"/>
  <c r="AJ159" i="20"/>
  <c r="AA138" i="20"/>
  <c r="AF138" i="20"/>
  <c r="AL138" i="20"/>
  <c r="AH155" i="20"/>
  <c r="AJ166" i="20"/>
  <c r="Y137" i="20"/>
  <c r="Y167" i="20"/>
  <c r="Y148" i="20"/>
  <c r="Z134" i="20"/>
  <c r="Z152" i="20"/>
  <c r="Z150" i="20"/>
  <c r="Z157" i="20"/>
  <c r="AA167" i="20"/>
  <c r="AA141" i="20"/>
  <c r="AB150" i="20"/>
  <c r="AC170" i="20"/>
  <c r="AD148" i="20"/>
  <c r="AE157" i="20"/>
  <c r="AF148" i="20"/>
  <c r="AG162" i="20"/>
  <c r="AH169" i="20"/>
  <c r="AJ139" i="20"/>
  <c r="AJ161" i="20"/>
  <c r="AL144" i="20"/>
  <c r="AH138" i="20"/>
  <c r="AB159" i="20"/>
  <c r="AB144" i="20"/>
  <c r="AB157" i="20"/>
  <c r="AC169" i="20"/>
  <c r="AE134" i="20"/>
  <c r="AF163" i="20"/>
  <c r="AG144" i="20"/>
  <c r="AH139" i="20"/>
  <c r="AI145" i="20"/>
  <c r="AJ136" i="20"/>
  <c r="AK163" i="20"/>
  <c r="AL152" i="20"/>
  <c r="AB145" i="20"/>
  <c r="AC139" i="20"/>
  <c r="AD137" i="20"/>
  <c r="AE146" i="20"/>
  <c r="AF146" i="20"/>
  <c r="AG145" i="20"/>
  <c r="AH135" i="20"/>
  <c r="AI153" i="20"/>
  <c r="AJ167" i="20"/>
  <c r="AK167" i="20"/>
  <c r="AL165" i="20"/>
  <c r="AB154" i="20"/>
  <c r="AC146" i="20"/>
  <c r="AD153" i="20"/>
  <c r="AE150" i="20"/>
  <c r="AF165" i="20"/>
  <c r="AG165" i="20"/>
  <c r="AH170" i="20"/>
  <c r="AI148" i="20"/>
  <c r="AJ141" i="20"/>
  <c r="AK141" i="20"/>
  <c r="AL162" i="20"/>
  <c r="AB138" i="20"/>
  <c r="AK155" i="20"/>
  <c r="Y156" i="20"/>
  <c r="Y164" i="20"/>
  <c r="Y147" i="20"/>
  <c r="Y151" i="20"/>
  <c r="AI151" i="20"/>
  <c r="AE161" i="20"/>
  <c r="AE136" i="20"/>
  <c r="AA151" i="20"/>
  <c r="AL161" i="20"/>
  <c r="AL136" i="20"/>
  <c r="AH151" i="20"/>
  <c r="AD161" i="20"/>
  <c r="AD136" i="20"/>
  <c r="Z151" i="20"/>
  <c r="AK161" i="20"/>
  <c r="AK136" i="20"/>
  <c r="AG151" i="20"/>
  <c r="AC161" i="20"/>
  <c r="AC136" i="20"/>
  <c r="AC138" i="20"/>
  <c r="AI133" i="20"/>
  <c r="AJ156" i="20"/>
  <c r="Z164" i="20"/>
  <c r="AA156" i="20"/>
  <c r="AE166" i="20"/>
  <c r="AE164" i="20"/>
  <c r="AF155" i="20"/>
  <c r="AA155" i="20"/>
  <c r="AB164" i="20"/>
  <c r="AB156" i="20"/>
  <c r="AI143" i="20"/>
  <c r="AJ158" i="20"/>
  <c r="AE143" i="20"/>
  <c r="AD164" i="20"/>
  <c r="AB166" i="20"/>
  <c r="AJ149" i="20"/>
  <c r="AF147" i="20"/>
  <c r="AH149" i="20"/>
  <c r="AG149" i="20"/>
  <c r="AH158" i="20"/>
  <c r="AK158" i="20"/>
  <c r="AD155" i="20"/>
  <c r="Z143" i="20"/>
  <c r="AL166" i="20"/>
  <c r="AK156" i="20"/>
  <c r="AL133" i="20"/>
  <c r="AK133" i="20"/>
  <c r="AL140" i="20"/>
  <c r="AK140" i="20"/>
  <c r="AA164" i="20"/>
  <c r="Y158" i="20"/>
  <c r="Y143" i="20"/>
  <c r="Y159" i="20"/>
  <c r="Y149" i="20"/>
  <c r="Y154" i="20"/>
  <c r="AI154" i="20"/>
  <c r="AE160" i="20"/>
  <c r="AE142" i="20"/>
  <c r="AA154" i="20"/>
  <c r="AL160" i="20"/>
  <c r="AL142" i="20"/>
  <c r="AH154" i="20"/>
  <c r="AD160" i="20"/>
  <c r="AD142" i="20"/>
  <c r="Z154" i="20"/>
  <c r="AK160" i="20"/>
  <c r="AK142" i="20"/>
  <c r="AG154" i="20"/>
  <c r="AC160" i="20"/>
  <c r="AC142" i="20"/>
  <c r="Y166" i="20"/>
  <c r="AF133" i="20"/>
  <c r="AD156" i="20"/>
  <c r="AJ133" i="20"/>
  <c r="AI166" i="20"/>
  <c r="AF158" i="20"/>
  <c r="AE133" i="20"/>
  <c r="AI158" i="20"/>
  <c r="AA158" i="20"/>
  <c r="AI140" i="20"/>
  <c r="AK166" i="20"/>
  <c r="AA143" i="20"/>
  <c r="AB158" i="20"/>
  <c r="AE149" i="20"/>
  <c r="AJ140" i="20"/>
  <c r="AJ143" i="20"/>
  <c r="AB149" i="20"/>
  <c r="AE147" i="20"/>
  <c r="AD149" i="20"/>
  <c r="AC149" i="20"/>
  <c r="AD158" i="20"/>
  <c r="AG158" i="20"/>
  <c r="Z155" i="20"/>
  <c r="AL143" i="20"/>
  <c r="AK143" i="20"/>
  <c r="AH166" i="20"/>
  <c r="AG156" i="20"/>
  <c r="AH133" i="20"/>
  <c r="AG133" i="20"/>
  <c r="AH140" i="20"/>
  <c r="AG140" i="20"/>
  <c r="AK164" i="20"/>
  <c r="AL159" i="20"/>
  <c r="AK159" i="20"/>
  <c r="AA147" i="20"/>
  <c r="Z147" i="20"/>
  <c r="Y160" i="20"/>
  <c r="Y142" i="20"/>
  <c r="Y140" i="20"/>
  <c r="Y155" i="20"/>
  <c r="Y133" i="20"/>
  <c r="Y161" i="20"/>
  <c r="Y136" i="20"/>
  <c r="AI161" i="20"/>
  <c r="AI136" i="20"/>
  <c r="AE151" i="20"/>
  <c r="AA161" i="20"/>
  <c r="AA136" i="20"/>
  <c r="AL151" i="20"/>
  <c r="AH161" i="20"/>
  <c r="AH136" i="20"/>
  <c r="AD151" i="20"/>
  <c r="Z161" i="20"/>
  <c r="Z136" i="20"/>
  <c r="AK151" i="20"/>
  <c r="AG161" i="20"/>
  <c r="AG136" i="20"/>
  <c r="AC151" i="20"/>
  <c r="AK138" i="20"/>
  <c r="AF159" i="20"/>
  <c r="AF140" i="20"/>
  <c r="AI159" i="20"/>
  <c r="AA133" i="20"/>
  <c r="AF156" i="20"/>
  <c r="AF164" i="20"/>
  <c r="AC166" i="20"/>
  <c r="AF149" i="20"/>
  <c r="AE140" i="20"/>
  <c r="AA140" i="20"/>
  <c r="AF166" i="20"/>
  <c r="AJ155" i="20"/>
  <c r="AI149" i="20"/>
  <c r="AF143" i="20"/>
  <c r="AB140" i="20"/>
  <c r="AB143" i="20"/>
  <c r="AJ147" i="20"/>
  <c r="Z149" i="20"/>
  <c r="Z158" i="20"/>
  <c r="AC158" i="20"/>
  <c r="AG155" i="20"/>
  <c r="AH143" i="20"/>
  <c r="AG143" i="20"/>
  <c r="AD166" i="20"/>
  <c r="AC156" i="20"/>
  <c r="AD133" i="20"/>
  <c r="AC133" i="20"/>
  <c r="AD140" i="20"/>
  <c r="AC140" i="20"/>
  <c r="AG164" i="20"/>
  <c r="AH159" i="20"/>
  <c r="AG159" i="20"/>
  <c r="AL147" i="20"/>
  <c r="AK147" i="20"/>
  <c r="Z166" i="20"/>
  <c r="Y138" i="20"/>
  <c r="AI160" i="20"/>
  <c r="AI142" i="20"/>
  <c r="AE154" i="20"/>
  <c r="AA160" i="20"/>
  <c r="AA142" i="20"/>
  <c r="AL154" i="20"/>
  <c r="AH160" i="20"/>
  <c r="AH142" i="20"/>
  <c r="AD154" i="20"/>
  <c r="Z160" i="20"/>
  <c r="Z142" i="20"/>
  <c r="AK154" i="20"/>
  <c r="AG160" i="20"/>
  <c r="AG142" i="20"/>
  <c r="AC154" i="20"/>
  <c r="AG138" i="20"/>
  <c r="AL164" i="20"/>
  <c r="AB133" i="20"/>
  <c r="AA159" i="20"/>
  <c r="AI156" i="20"/>
  <c r="Z156" i="20"/>
  <c r="AB147" i="20"/>
  <c r="AL155" i="20"/>
  <c r="AI155" i="20"/>
  <c r="AH164" i="20"/>
  <c r="AH156" i="20"/>
  <c r="AA166" i="20"/>
  <c r="AE155" i="20"/>
  <c r="AA149" i="20"/>
  <c r="AI147" i="20"/>
  <c r="AC155" i="20"/>
  <c r="Z140" i="20"/>
  <c r="AD159" i="20"/>
  <c r="AH147" i="20"/>
  <c r="AI164" i="20"/>
  <c r="AL158" i="20"/>
  <c r="Z159" i="20"/>
  <c r="AD147" i="20"/>
  <c r="AG166" i="20"/>
  <c r="AL149" i="20"/>
  <c r="AD143" i="20"/>
  <c r="Z133" i="20"/>
  <c r="AC164" i="20"/>
  <c r="AC159" i="20"/>
  <c r="AG147" i="20"/>
  <c r="AC147" i="20"/>
  <c r="AE158" i="20"/>
  <c r="AK149" i="20"/>
  <c r="AC143" i="20"/>
  <c r="Y117" i="20"/>
  <c r="Z117" i="20"/>
  <c r="AA89" i="20"/>
  <c r="AB121" i="20"/>
  <c r="AC122" i="20"/>
  <c r="AD121" i="20"/>
  <c r="AD126" i="20"/>
  <c r="AE114" i="20"/>
  <c r="AE126" i="20"/>
  <c r="AG114" i="20"/>
  <c r="AG104" i="20"/>
  <c r="AH90" i="20"/>
  <c r="AH121" i="20"/>
  <c r="AH126" i="20"/>
  <c r="AI89" i="20"/>
  <c r="AJ121" i="20"/>
  <c r="AJ127" i="20"/>
  <c r="AK89" i="20"/>
  <c r="AL113" i="20"/>
  <c r="AL122" i="20"/>
  <c r="AL127" i="20"/>
  <c r="Y104" i="20"/>
  <c r="Z90" i="20"/>
  <c r="Z118" i="20"/>
  <c r="Z127" i="20"/>
  <c r="AA117" i="20"/>
  <c r="AB122" i="20"/>
  <c r="AC125" i="20"/>
  <c r="AD113" i="20"/>
  <c r="AD122" i="20"/>
  <c r="AD127" i="20"/>
  <c r="AE117" i="20"/>
  <c r="AE127" i="20"/>
  <c r="AF127" i="20"/>
  <c r="AG117" i="20"/>
  <c r="AG127" i="20"/>
  <c r="AH89" i="20"/>
  <c r="AH125" i="20"/>
  <c r="AH127" i="20"/>
  <c r="AI117" i="20"/>
  <c r="AI126" i="20"/>
  <c r="AJ113" i="20"/>
  <c r="AJ122" i="20"/>
  <c r="AK114" i="20"/>
  <c r="AK126" i="20"/>
  <c r="AL117" i="20"/>
  <c r="AL104" i="20"/>
  <c r="Z89" i="20"/>
  <c r="Z121" i="20"/>
  <c r="AA122" i="20"/>
  <c r="AB113" i="20"/>
  <c r="AC90" i="20"/>
  <c r="AC126" i="20"/>
  <c r="AD117" i="20"/>
  <c r="AD87" i="20"/>
  <c r="AE125" i="20"/>
  <c r="AF103" i="20"/>
  <c r="AG118" i="20"/>
  <c r="AH113" i="20"/>
  <c r="AH104" i="20"/>
  <c r="AI122" i="20"/>
  <c r="AJ114" i="20"/>
  <c r="AJ104" i="20"/>
  <c r="AK118" i="20"/>
  <c r="AL118" i="20"/>
  <c r="Y114" i="20"/>
  <c r="Z113" i="20"/>
  <c r="Z125" i="20"/>
  <c r="AA90" i="20"/>
  <c r="AB114" i="20"/>
  <c r="AC89" i="20"/>
  <c r="AD118" i="20"/>
  <c r="AE104" i="20"/>
  <c r="AF104" i="20"/>
  <c r="AG90" i="20"/>
  <c r="AG125" i="20"/>
  <c r="AH117" i="20"/>
  <c r="AI90" i="20"/>
  <c r="AI104" i="20"/>
  <c r="AJ118" i="20"/>
  <c r="AK90" i="20"/>
  <c r="AK125" i="20"/>
  <c r="AL121" i="20"/>
  <c r="AL126" i="20"/>
  <c r="Y120" i="20"/>
  <c r="AF128" i="20"/>
  <c r="AF119" i="20"/>
  <c r="Y121" i="20"/>
  <c r="AF120" i="20"/>
  <c r="AD123" i="20"/>
  <c r="AD128" i="20"/>
  <c r="Y119" i="20"/>
  <c r="AD115" i="20"/>
  <c r="Y127" i="20"/>
  <c r="AC104" i="20"/>
  <c r="AD104" i="20"/>
  <c r="Y122" i="20"/>
  <c r="AE118" i="20"/>
  <c r="Z114" i="20"/>
  <c r="AI114" i="20"/>
  <c r="Y89" i="20"/>
  <c r="AF89" i="20"/>
  <c r="AK122" i="20"/>
  <c r="AF87" i="20"/>
  <c r="AC127" i="20"/>
  <c r="AL125" i="20"/>
  <c r="AJ125" i="20"/>
  <c r="AG126" i="20"/>
  <c r="AF125" i="20"/>
  <c r="AF90" i="20"/>
  <c r="AD90" i="20"/>
  <c r="AB90" i="20"/>
  <c r="AH120" i="20"/>
  <c r="Z120" i="20"/>
  <c r="AJ120" i="20"/>
  <c r="AH128" i="20"/>
  <c r="AH119" i="20"/>
  <c r="AB120" i="20"/>
  <c r="Z128" i="20"/>
  <c r="Z119" i="20"/>
  <c r="AL88" i="20"/>
  <c r="AJ87" i="20"/>
  <c r="AJ103" i="20"/>
  <c r="AD88" i="20"/>
  <c r="AB87" i="20"/>
  <c r="AB103" i="20"/>
  <c r="AI113" i="20"/>
  <c r="AG121" i="20"/>
  <c r="AA113" i="20"/>
  <c r="AK88" i="20"/>
  <c r="AI88" i="20"/>
  <c r="AG88" i="20"/>
  <c r="AE88" i="20"/>
  <c r="AC88" i="20"/>
  <c r="AA88" i="20"/>
  <c r="Y116" i="20"/>
  <c r="AL115" i="20"/>
  <c r="Y126" i="20"/>
  <c r="AB117" i="20"/>
  <c r="AL87" i="20"/>
  <c r="AF88" i="20"/>
  <c r="AA126" i="20"/>
  <c r="AF124" i="20"/>
  <c r="AL128" i="20"/>
  <c r="AD119" i="20"/>
  <c r="AL103" i="20"/>
  <c r="AB127" i="20"/>
  <c r="AK104" i="20"/>
  <c r="Z122" i="20"/>
  <c r="AE122" i="20"/>
  <c r="AB118" i="20"/>
  <c r="AA114" i="20"/>
  <c r="AL114" i="20"/>
  <c r="AB89" i="20"/>
  <c r="AL123" i="20"/>
  <c r="AH118" i="20"/>
  <c r="AC114" i="20"/>
  <c r="AL90" i="20"/>
  <c r="AJ117" i="20"/>
  <c r="AF121" i="20"/>
  <c r="AC117" i="20"/>
  <c r="AA125" i="20"/>
  <c r="AH116" i="20"/>
  <c r="Z116" i="20"/>
  <c r="AJ116" i="20"/>
  <c r="AH115" i="20"/>
  <c r="AB116" i="20"/>
  <c r="Z115" i="20"/>
  <c r="AH124" i="20"/>
  <c r="AL124" i="20"/>
  <c r="AJ123" i="20"/>
  <c r="AD124" i="20"/>
  <c r="AB123" i="20"/>
  <c r="AG113" i="20"/>
  <c r="AE121" i="20"/>
  <c r="AK124" i="20"/>
  <c r="AI124" i="20"/>
  <c r="AG124" i="20"/>
  <c r="AE124" i="20"/>
  <c r="AC124" i="20"/>
  <c r="AA124" i="20"/>
  <c r="Y88" i="20"/>
  <c r="Y87" i="20"/>
  <c r="Y103" i="20"/>
  <c r="Y113" i="20"/>
  <c r="Z126" i="20"/>
  <c r="AL119" i="20"/>
  <c r="AF123" i="20"/>
  <c r="AA127" i="20"/>
  <c r="AA104" i="20"/>
  <c r="AG122" i="20"/>
  <c r="AF122" i="20"/>
  <c r="AC118" i="20"/>
  <c r="AD114" i="20"/>
  <c r="AF114" i="20"/>
  <c r="AD89" i="20"/>
  <c r="AL89" i="20"/>
  <c r="AJ89" i="20"/>
  <c r="AA118" i="20"/>
  <c r="AK117" i="20"/>
  <c r="AJ90" i="20"/>
  <c r="AF126" i="20"/>
  <c r="AF117" i="20"/>
  <c r="AE90" i="20"/>
  <c r="AB126" i="20"/>
  <c r="Z88" i="20"/>
  <c r="AJ88" i="20"/>
  <c r="AH87" i="20"/>
  <c r="AH103" i="20"/>
  <c r="AB88" i="20"/>
  <c r="Z87" i="20"/>
  <c r="Z103" i="20"/>
  <c r="AL120" i="20"/>
  <c r="AJ128" i="20"/>
  <c r="AJ119" i="20"/>
  <c r="AD120" i="20"/>
  <c r="AB128" i="20"/>
  <c r="AB119" i="20"/>
  <c r="AK121" i="20"/>
  <c r="AE113" i="20"/>
  <c r="AC121" i="20"/>
  <c r="AK120" i="20"/>
  <c r="AI120" i="20"/>
  <c r="AG120" i="20"/>
  <c r="AE120" i="20"/>
  <c r="AC120" i="20"/>
  <c r="AA120" i="20"/>
  <c r="AK128" i="20"/>
  <c r="AK119" i="20"/>
  <c r="AI128" i="20"/>
  <c r="AI119" i="20"/>
  <c r="AG128" i="20"/>
  <c r="AG119" i="20"/>
  <c r="AE128" i="20"/>
  <c r="AE119" i="20"/>
  <c r="AC128" i="20"/>
  <c r="AC119" i="20"/>
  <c r="AA128" i="20"/>
  <c r="AA119" i="20"/>
  <c r="Y124" i="20"/>
  <c r="Y123" i="20"/>
  <c r="Y125" i="20"/>
  <c r="Y90" i="20"/>
  <c r="AF116" i="20"/>
  <c r="Y128" i="20"/>
  <c r="Y115" i="20"/>
  <c r="AF115" i="20"/>
  <c r="AI127" i="20"/>
  <c r="AB104" i="20"/>
  <c r="AH122" i="20"/>
  <c r="Y118" i="20"/>
  <c r="AF118" i="20"/>
  <c r="AH114" i="20"/>
  <c r="AG89" i="20"/>
  <c r="AE89" i="20"/>
  <c r="AK127" i="20"/>
  <c r="AI118" i="20"/>
  <c r="AD103" i="20"/>
  <c r="Z104" i="20"/>
  <c r="AJ126" i="20"/>
  <c r="AI125" i="20"/>
  <c r="AF113" i="20"/>
  <c r="AD125" i="20"/>
  <c r="AB125" i="20"/>
  <c r="AH88" i="20"/>
  <c r="Z124" i="20"/>
  <c r="AJ124" i="20"/>
  <c r="AH123" i="20"/>
  <c r="AB124" i="20"/>
  <c r="Z123" i="20"/>
  <c r="AL116" i="20"/>
  <c r="AJ115" i="20"/>
  <c r="AD116" i="20"/>
  <c r="AB115" i="20"/>
  <c r="AK113" i="20"/>
  <c r="AI121" i="20"/>
  <c r="AC113" i="20"/>
  <c r="AA121" i="20"/>
  <c r="AK116" i="20"/>
  <c r="AI116" i="20"/>
  <c r="AG116" i="20"/>
  <c r="AE116" i="20"/>
  <c r="AC116" i="20"/>
  <c r="AA116" i="20"/>
  <c r="AK115" i="20"/>
  <c r="AI115" i="20"/>
  <c r="AG115" i="20"/>
  <c r="AE115" i="20"/>
  <c r="AC115" i="20"/>
  <c r="AA115" i="20"/>
  <c r="AK87" i="20"/>
  <c r="AK103" i="20"/>
  <c r="AI87" i="20"/>
  <c r="AI103" i="20"/>
  <c r="AG87" i="20"/>
  <c r="AG103" i="20"/>
  <c r="AE87" i="20"/>
  <c r="AE103" i="20"/>
  <c r="AC87" i="20"/>
  <c r="AC103" i="20"/>
  <c r="AA87" i="20"/>
  <c r="AA103" i="20"/>
  <c r="AK123" i="20"/>
  <c r="AI123" i="20"/>
  <c r="AG123" i="20"/>
  <c r="AE123" i="20"/>
  <c r="AC123" i="20"/>
  <c r="AA123" i="20"/>
  <c r="E19" i="43"/>
  <c r="Q1" i="86"/>
  <c r="P14" i="36"/>
  <c r="L14" i="36" s="1"/>
  <c r="P7" i="36"/>
  <c r="L7" i="36" s="1"/>
  <c r="M26" i="36"/>
  <c r="P26" i="36"/>
  <c r="L26" i="36" s="1"/>
  <c r="P24" i="36"/>
  <c r="L24" i="36" s="1"/>
  <c r="P22" i="36"/>
  <c r="L22" i="36" s="1"/>
  <c r="P20" i="36"/>
  <c r="L20" i="36" s="1"/>
  <c r="P18" i="36"/>
  <c r="L18" i="36" s="1"/>
  <c r="M16" i="36"/>
  <c r="P16" i="36"/>
  <c r="L16" i="36" s="1"/>
  <c r="M13" i="36"/>
  <c r="P13" i="36"/>
  <c r="L13" i="36" s="1"/>
  <c r="M11" i="36"/>
  <c r="P11" i="36"/>
  <c r="L11" i="36" s="1"/>
  <c r="M9" i="36"/>
  <c r="P9" i="36"/>
  <c r="L9" i="36" s="1"/>
  <c r="P27" i="36"/>
  <c r="L27" i="36" s="1"/>
  <c r="P25" i="36"/>
  <c r="L25" i="36" s="1"/>
  <c r="P23" i="36"/>
  <c r="L23" i="36" s="1"/>
  <c r="P21" i="36"/>
  <c r="L21" i="36" s="1"/>
  <c r="P19" i="36"/>
  <c r="L19" i="36" s="1"/>
  <c r="P17" i="36"/>
  <c r="L17" i="36" s="1"/>
  <c r="P15" i="36"/>
  <c r="L15" i="36" s="1"/>
  <c r="P12" i="36"/>
  <c r="L12" i="36" s="1"/>
  <c r="M12" i="36"/>
  <c r="M10" i="36"/>
  <c r="P10" i="36"/>
  <c r="L10" i="36" s="1"/>
  <c r="P8" i="36"/>
  <c r="L8" i="36" s="1"/>
  <c r="M8" i="36"/>
  <c r="E15" i="43"/>
  <c r="AJ254" i="20"/>
  <c r="AF254" i="20"/>
  <c r="AB254" i="20"/>
  <c r="AK257" i="20"/>
  <c r="AG257" i="20"/>
  <c r="AC257" i="20"/>
  <c r="Y257" i="20"/>
  <c r="AL261" i="20"/>
  <c r="AH261" i="20"/>
  <c r="AD261" i="20"/>
  <c r="Z261" i="20"/>
  <c r="AJ261" i="20"/>
  <c r="AI261" i="20"/>
  <c r="AE261" i="20"/>
  <c r="AA261" i="20"/>
  <c r="AI254" i="20"/>
  <c r="AE254" i="20"/>
  <c r="AA254" i="20"/>
  <c r="AJ257" i="20"/>
  <c r="AF257" i="20"/>
  <c r="AB257" i="20"/>
  <c r="AK261" i="20"/>
  <c r="AG261" i="20"/>
  <c r="Y261" i="20"/>
  <c r="AL254" i="20"/>
  <c r="AH254" i="20"/>
  <c r="AD254" i="20"/>
  <c r="Z254" i="20"/>
  <c r="AI257" i="20"/>
  <c r="AE257" i="20"/>
  <c r="AA257" i="20"/>
  <c r="AF261" i="20"/>
  <c r="AB261" i="20"/>
  <c r="AK254" i="20"/>
  <c r="AG254" i="20"/>
  <c r="AC254" i="20"/>
  <c r="Y254" i="20"/>
  <c r="AL257" i="20"/>
  <c r="AH257" i="20"/>
  <c r="AD257" i="20"/>
  <c r="Z257" i="20"/>
  <c r="E14" i="43"/>
  <c r="AG886" i="20"/>
  <c r="AE640" i="20"/>
  <c r="AB550" i="20"/>
  <c r="Z366" i="20"/>
  <c r="Z715" i="20"/>
  <c r="Y652" i="20"/>
  <c r="AK657" i="20"/>
  <c r="Y479" i="20"/>
  <c r="Z387" i="20"/>
  <c r="AC861" i="20"/>
  <c r="Z393" i="20"/>
  <c r="AB547" i="20"/>
  <c r="AE493" i="20"/>
  <c r="AF629" i="20"/>
  <c r="AC474" i="20"/>
  <c r="AD787" i="20"/>
  <c r="AE735" i="20"/>
  <c r="AK839" i="20"/>
  <c r="AF370" i="20"/>
  <c r="AK824" i="20"/>
  <c r="AF831" i="20"/>
  <c r="Y682" i="20"/>
  <c r="AB683" i="20"/>
  <c r="AF621" i="20"/>
  <c r="AB875" i="20"/>
  <c r="AD426" i="20"/>
  <c r="AE633" i="20"/>
  <c r="Z690" i="20"/>
  <c r="Z600" i="20"/>
  <c r="AB396" i="20"/>
  <c r="AD871" i="20"/>
  <c r="AA518" i="20"/>
  <c r="AC804" i="20"/>
  <c r="AB592" i="20"/>
  <c r="AA372" i="20"/>
  <c r="Z609" i="20"/>
  <c r="AD393" i="20"/>
  <c r="AK570" i="20"/>
  <c r="AC791" i="20"/>
  <c r="AA644" i="20"/>
  <c r="AG778" i="20"/>
  <c r="Z718" i="20"/>
  <c r="AK621" i="20"/>
  <c r="AC738" i="20"/>
  <c r="AA779" i="20"/>
  <c r="AB577" i="20"/>
  <c r="AK831" i="20"/>
  <c r="AA781" i="20"/>
  <c r="AE769" i="20"/>
  <c r="Z584" i="20"/>
  <c r="AC770" i="20"/>
  <c r="AD581" i="20"/>
  <c r="AK320" i="20"/>
  <c r="AD670" i="20"/>
  <c r="AD896" i="20"/>
  <c r="AF738" i="20"/>
  <c r="Z663" i="20"/>
  <c r="AB449" i="20"/>
  <c r="Y581" i="20"/>
  <c r="AE502" i="20"/>
  <c r="AD782" i="20"/>
  <c r="AD370" i="20"/>
  <c r="AK847" i="20"/>
  <c r="AF365" i="20"/>
  <c r="AD402" i="20"/>
  <c r="Z571" i="20"/>
  <c r="AC492" i="20"/>
  <c r="AA892" i="20"/>
  <c r="AD550" i="20"/>
  <c r="AF410" i="20"/>
  <c r="AF698" i="20"/>
  <c r="AK855" i="20"/>
  <c r="AC787" i="20"/>
  <c r="AC594" i="20"/>
  <c r="AK356" i="20"/>
  <c r="AG571" i="20"/>
  <c r="AA732" i="20"/>
  <c r="Z544" i="20"/>
  <c r="AD507" i="20"/>
  <c r="AE410" i="20"/>
  <c r="AG477" i="20"/>
  <c r="Y844" i="20"/>
  <c r="Y716" i="20"/>
  <c r="AG356" i="20"/>
  <c r="AG862" i="20"/>
  <c r="AA485" i="20"/>
  <c r="Y614" i="20"/>
  <c r="AF670" i="20"/>
  <c r="AF791" i="20"/>
  <c r="Y535" i="20"/>
  <c r="AG395" i="20"/>
  <c r="Z799" i="20"/>
  <c r="Y361" i="20"/>
  <c r="Y706" i="20"/>
  <c r="AG420" i="20"/>
  <c r="AE727" i="20"/>
  <c r="AK548" i="20"/>
  <c r="AF511" i="20"/>
  <c r="AG724" i="20"/>
  <c r="Z595" i="20"/>
  <c r="AD555" i="20"/>
  <c r="AE455" i="20"/>
  <c r="AK761" i="20"/>
  <c r="AK266" i="20"/>
  <c r="Y339" i="20"/>
  <c r="AA666" i="20"/>
  <c r="AE583" i="20"/>
  <c r="AB833" i="20"/>
  <c r="AG753" i="20"/>
  <c r="Y502" i="20"/>
  <c r="Z415" i="20"/>
  <c r="Z856" i="20"/>
  <c r="AC541" i="20"/>
  <c r="Z832" i="20"/>
  <c r="AB670" i="20"/>
  <c r="Z791" i="20"/>
  <c r="Z554" i="20"/>
  <c r="AF671" i="20"/>
  <c r="AD784" i="20"/>
  <c r="AF672" i="20"/>
  <c r="AC823" i="20"/>
  <c r="AK630" i="20"/>
  <c r="AG861" i="20"/>
  <c r="AG747" i="20"/>
  <c r="AG447" i="20"/>
  <c r="Y627" i="20"/>
  <c r="AF470" i="20"/>
  <c r="AB651" i="20"/>
  <c r="Y395" i="20"/>
  <c r="AE516" i="20"/>
  <c r="Z517" i="20"/>
  <c r="AG692" i="20"/>
  <c r="AA397" i="20"/>
  <c r="AC760" i="20"/>
  <c r="AB684" i="20"/>
  <c r="AB392" i="20"/>
  <c r="AB15" i="43"/>
  <c r="AB13" i="43"/>
  <c r="AB17" i="43"/>
  <c r="AB18" i="43"/>
  <c r="AB22" i="43"/>
  <c r="AB14" i="43"/>
  <c r="AB21" i="43"/>
  <c r="AB16" i="43"/>
  <c r="AB19" i="43"/>
  <c r="AB20" i="43"/>
  <c r="O7" i="36" l="1"/>
  <c r="L28" i="36"/>
  <c r="AG291" i="20"/>
  <c r="AK264" i="20"/>
  <c r="AK323" i="20"/>
  <c r="AE534" i="20"/>
  <c r="AK500" i="20"/>
  <c r="AF610" i="20"/>
  <c r="AB760" i="20"/>
  <c r="AD601" i="20"/>
  <c r="AA874" i="20"/>
  <c r="AC641" i="20"/>
  <c r="AB750" i="20"/>
  <c r="AC421" i="20"/>
  <c r="AB349" i="20"/>
  <c r="AE444" i="20"/>
  <c r="AA567" i="20"/>
  <c r="AA854" i="20"/>
  <c r="AG390" i="20"/>
  <c r="AF609" i="20"/>
  <c r="AB876" i="20"/>
  <c r="AA679" i="20"/>
  <c r="Y640" i="20"/>
  <c r="Y563" i="20"/>
  <c r="AD753" i="20"/>
  <c r="AD853" i="20"/>
  <c r="AF827" i="20"/>
  <c r="AK613" i="20"/>
  <c r="AB695" i="20"/>
  <c r="AD559" i="20"/>
  <c r="AC829" i="20"/>
  <c r="Z621" i="20"/>
  <c r="AF897" i="20"/>
  <c r="AC404" i="20"/>
  <c r="AB701" i="20"/>
  <c r="AE872" i="20"/>
  <c r="Y714" i="20"/>
  <c r="AE426" i="20"/>
  <c r="AB374" i="20"/>
  <c r="Y484" i="20"/>
  <c r="AG559" i="20"/>
  <c r="AB706" i="20"/>
  <c r="AC773" i="20"/>
  <c r="AK811" i="20"/>
  <c r="AC855" i="20"/>
  <c r="Z710" i="20"/>
  <c r="AC694" i="20"/>
  <c r="AE542" i="20"/>
  <c r="Z385" i="20"/>
  <c r="AC646" i="20"/>
  <c r="AD826" i="20"/>
  <c r="AK619" i="20"/>
  <c r="AG353" i="20"/>
  <c r="AC609" i="20"/>
  <c r="AD807" i="20"/>
  <c r="Z887" i="20"/>
  <c r="Z631" i="20"/>
  <c r="Y383" i="20"/>
  <c r="AG416" i="20"/>
  <c r="AB533" i="20"/>
  <c r="Z608" i="20"/>
  <c r="Y781" i="20"/>
  <c r="AF804" i="20"/>
  <c r="Z855" i="20"/>
  <c r="AB895" i="20"/>
  <c r="AE655" i="20"/>
  <c r="AA630" i="20"/>
  <c r="AD674" i="20"/>
  <c r="AB357" i="20"/>
  <c r="AE385" i="20"/>
  <c r="AE661" i="20"/>
  <c r="AA557" i="20"/>
  <c r="AB825" i="20"/>
  <c r="Z628" i="20"/>
  <c r="AC364" i="20"/>
  <c r="AA506" i="20"/>
  <c r="AE711" i="20"/>
  <c r="AG799" i="20"/>
  <c r="AE862" i="20"/>
  <c r="AD658" i="20"/>
  <c r="AG675" i="20"/>
  <c r="AG387" i="20"/>
  <c r="AF636" i="20"/>
  <c r="AK492" i="20"/>
  <c r="AA563" i="20"/>
  <c r="AE716" i="20"/>
  <c r="AK457" i="20"/>
  <c r="Y550" i="20"/>
  <c r="AG385" i="20"/>
  <c r="AG357" i="20"/>
  <c r="AB678" i="20"/>
  <c r="AD630" i="20"/>
  <c r="AG659" i="20"/>
  <c r="AD884" i="20"/>
  <c r="AG847" i="20"/>
  <c r="AE816" i="20"/>
  <c r="AG773" i="20"/>
  <c r="Y724" i="20"/>
  <c r="AA540" i="20"/>
  <c r="Z433" i="20"/>
  <c r="Z419" i="20"/>
  <c r="AE687" i="20"/>
  <c r="Z817" i="20"/>
  <c r="Z587" i="20"/>
  <c r="AC637" i="20"/>
  <c r="Y692" i="20"/>
  <c r="AK789" i="20"/>
  <c r="AB642" i="20"/>
  <c r="AC386" i="20"/>
  <c r="Z547" i="20"/>
  <c r="Z686" i="20"/>
  <c r="AD710" i="20"/>
  <c r="AK884" i="20"/>
  <c r="Z829" i="20"/>
  <c r="AG769" i="20"/>
  <c r="AF600" i="20"/>
  <c r="AA492" i="20"/>
  <c r="AB373" i="20"/>
  <c r="AC479" i="20"/>
  <c r="AA850" i="20"/>
  <c r="Z728" i="20"/>
  <c r="AA402" i="20"/>
  <c r="AA531" i="20"/>
  <c r="AD382" i="20"/>
  <c r="AK678" i="20"/>
  <c r="AA477" i="20"/>
  <c r="AG896" i="20"/>
  <c r="Y840" i="20"/>
  <c r="Z787" i="20"/>
  <c r="Y608" i="20"/>
  <c r="AB517" i="20"/>
  <c r="Z636" i="20"/>
  <c r="AC671" i="20"/>
  <c r="AA778" i="20"/>
  <c r="AG628" i="20"/>
  <c r="AC536" i="20"/>
  <c r="AD861" i="20"/>
  <c r="AF492" i="20"/>
  <c r="AD859" i="20"/>
  <c r="AE628" i="20"/>
  <c r="AA829" i="20"/>
  <c r="AB624" i="20"/>
  <c r="AK365" i="20"/>
  <c r="AC631" i="20"/>
  <c r="AA799" i="20"/>
  <c r="AK434" i="20"/>
  <c r="AK785" i="20"/>
  <c r="Y586" i="20"/>
  <c r="AE631" i="20"/>
  <c r="AC546" i="20"/>
  <c r="AD856" i="20"/>
  <c r="AD487" i="20"/>
  <c r="AD785" i="20"/>
  <c r="AD417" i="20"/>
  <c r="AC789" i="20"/>
  <c r="AK620" i="20"/>
  <c r="Z794" i="20"/>
  <c r="AC237" i="20"/>
  <c r="AF457" i="20"/>
  <c r="AF339" i="20"/>
  <c r="AC382" i="20"/>
  <c r="AF542" i="20"/>
  <c r="AA682" i="20"/>
  <c r="AB621" i="20"/>
  <c r="AK655" i="20"/>
  <c r="AE875" i="20"/>
  <c r="AA840" i="20"/>
  <c r="AB809" i="20"/>
  <c r="AG781" i="20"/>
  <c r="AA624" i="20"/>
  <c r="AK510" i="20"/>
  <c r="AF318" i="20"/>
  <c r="AE383" i="20"/>
  <c r="AD699" i="20"/>
  <c r="AB887" i="20"/>
  <c r="AF784" i="20"/>
  <c r="AA556" i="20"/>
  <c r="AC402" i="20"/>
  <c r="AK652" i="20"/>
  <c r="AE760" i="20"/>
  <c r="AC381" i="20"/>
  <c r="Z361" i="20"/>
  <c r="AG536" i="20"/>
  <c r="AK694" i="20"/>
  <c r="AE866" i="20"/>
  <c r="Z820" i="20"/>
  <c r="Y753" i="20"/>
  <c r="AE590" i="20"/>
  <c r="Z447" i="20"/>
  <c r="AC426" i="20"/>
  <c r="AK650" i="20"/>
  <c r="AB830" i="20"/>
  <c r="AK556" i="20"/>
  <c r="AC406" i="20"/>
  <c r="AE863" i="20"/>
  <c r="Y677" i="20"/>
  <c r="AF399" i="20"/>
  <c r="AK686" i="20"/>
  <c r="AG655" i="20"/>
  <c r="AF877" i="20"/>
  <c r="AB820" i="20"/>
  <c r="AE755" i="20"/>
  <c r="AA600" i="20"/>
  <c r="AC505" i="20"/>
  <c r="AK412" i="20"/>
  <c r="AB691" i="20"/>
  <c r="AG887" i="20"/>
  <c r="AE564" i="20"/>
  <c r="Y848" i="20"/>
  <c r="AE682" i="20"/>
  <c r="Z796" i="20"/>
  <c r="AF648" i="20"/>
  <c r="AF799" i="20"/>
  <c r="AG515" i="20"/>
  <c r="Z804" i="20"/>
  <c r="Y594" i="20"/>
  <c r="AD412" i="20"/>
  <c r="AC658" i="20"/>
  <c r="AE744" i="20"/>
  <c r="Z417" i="20"/>
  <c r="AD573" i="20"/>
  <c r="AA513" i="20"/>
  <c r="AB845" i="20"/>
  <c r="Z805" i="20"/>
  <c r="AF375" i="20"/>
  <c r="Z490" i="20"/>
  <c r="Z488" i="20"/>
  <c r="Z428" i="20"/>
  <c r="AC794" i="20"/>
  <c r="AB457" i="20"/>
  <c r="AG457" i="20"/>
  <c r="AE550" i="20"/>
  <c r="AF550" i="20"/>
  <c r="Z550" i="20"/>
  <c r="AA339" i="20"/>
  <c r="AD339" i="20"/>
  <c r="AG370" i="20"/>
  <c r="AA385" i="20"/>
  <c r="AG382" i="20"/>
  <c r="AB393" i="20"/>
  <c r="Z399" i="20"/>
  <c r="Z357" i="20"/>
  <c r="AD547" i="20"/>
  <c r="Y536" i="20"/>
  <c r="AE670" i="20"/>
  <c r="Y678" i="20"/>
  <c r="AF682" i="20"/>
  <c r="AG690" i="20"/>
  <c r="AB694" i="20"/>
  <c r="AF630" i="20"/>
  <c r="Z625" i="20"/>
  <c r="AD583" i="20"/>
  <c r="AD477" i="20"/>
  <c r="AC710" i="20"/>
  <c r="Z659" i="20"/>
  <c r="AD651" i="20"/>
  <c r="AE896" i="20"/>
  <c r="AG884" i="20"/>
  <c r="AA875" i="20"/>
  <c r="AK866" i="20"/>
  <c r="AD860" i="20"/>
  <c r="AF853" i="20"/>
  <c r="AA844" i="20"/>
  <c r="AB837" i="20"/>
  <c r="Y829" i="20"/>
  <c r="AD820" i="20"/>
  <c r="AC809" i="20"/>
  <c r="AC800" i="20"/>
  <c r="AE787" i="20"/>
  <c r="Z769" i="20"/>
  <c r="AA777" i="20"/>
  <c r="AB755" i="20"/>
  <c r="Z747" i="20"/>
  <c r="AA736" i="20"/>
  <c r="Z716" i="20"/>
  <c r="AC624" i="20"/>
  <c r="Y616" i="20"/>
  <c r="AB590" i="20"/>
  <c r="AF559" i="20"/>
  <c r="AC540" i="20"/>
  <c r="Z521" i="20"/>
  <c r="Z502" i="20"/>
  <c r="AD494" i="20"/>
  <c r="AE474" i="20"/>
  <c r="AG433" i="20"/>
  <c r="Y348" i="20"/>
  <c r="AE297" i="20"/>
  <c r="AF644" i="20"/>
  <c r="AB397" i="20"/>
  <c r="AB412" i="20"/>
  <c r="AA362" i="20"/>
  <c r="AK383" i="20"/>
  <c r="AG415" i="20"/>
  <c r="Y543" i="20"/>
  <c r="AD671" i="20"/>
  <c r="Z679" i="20"/>
  <c r="AE695" i="20"/>
  <c r="AA618" i="20"/>
  <c r="AK658" i="20"/>
  <c r="AB650" i="20"/>
  <c r="AE888" i="20"/>
  <c r="AG867" i="20"/>
  <c r="AG856" i="20"/>
  <c r="AC835" i="20"/>
  <c r="AG817" i="20"/>
  <c r="AK805" i="20"/>
  <c r="AD792" i="20"/>
  <c r="AC766" i="20"/>
  <c r="AA739" i="20"/>
  <c r="AF719" i="20"/>
  <c r="AE605" i="20"/>
  <c r="AG584" i="20"/>
  <c r="AD537" i="20"/>
  <c r="AA495" i="20"/>
  <c r="AC470" i="20"/>
  <c r="AK293" i="20"/>
  <c r="AB380" i="20"/>
  <c r="AC420" i="20"/>
  <c r="Z384" i="20"/>
  <c r="AF546" i="20"/>
  <c r="AG684" i="20"/>
  <c r="AK632" i="20"/>
  <c r="AE660" i="20"/>
  <c r="AE892" i="20"/>
  <c r="AB854" i="20"/>
  <c r="AF802" i="20"/>
  <c r="AG779" i="20"/>
  <c r="AF726" i="20"/>
  <c r="AA596" i="20"/>
  <c r="AA496" i="20"/>
  <c r="AC309" i="20"/>
  <c r="AK369" i="20"/>
  <c r="AA620" i="20"/>
  <c r="AE873" i="20"/>
  <c r="AA722" i="20"/>
  <c r="AB370" i="20"/>
  <c r="AA386" i="20"/>
  <c r="AG361" i="20"/>
  <c r="AA393" i="20"/>
  <c r="AE399" i="20"/>
  <c r="Y357" i="20"/>
  <c r="AE547" i="20"/>
  <c r="AK536" i="20"/>
  <c r="AK666" i="20"/>
  <c r="AF674" i="20"/>
  <c r="Z678" i="20"/>
  <c r="AA686" i="20"/>
  <c r="AE690" i="20"/>
  <c r="AK698" i="20"/>
  <c r="AE625" i="20"/>
  <c r="Z583" i="20"/>
  <c r="AE710" i="20"/>
  <c r="AC655" i="20"/>
  <c r="AC570" i="20"/>
  <c r="Z896" i="20"/>
  <c r="AE884" i="20"/>
  <c r="Y875" i="20"/>
  <c r="AE861" i="20"/>
  <c r="AF855" i="20"/>
  <c r="AA847" i="20"/>
  <c r="AE837" i="20"/>
  <c r="AC824" i="20"/>
  <c r="AK804" i="20"/>
  <c r="AC796" i="20"/>
  <c r="AK783" i="20"/>
  <c r="Y769" i="20"/>
  <c r="AF777" i="20"/>
  <c r="AD755" i="20"/>
  <c r="AE738" i="20"/>
  <c r="AG727" i="20"/>
  <c r="Z624" i="20"/>
  <c r="AF616" i="20"/>
  <c r="AF586" i="20"/>
  <c r="AF563" i="20"/>
  <c r="Y533" i="20"/>
  <c r="AK498" i="20"/>
  <c r="AG492" i="20"/>
  <c r="AB447" i="20"/>
  <c r="AD365" i="20"/>
  <c r="AK636" i="20"/>
  <c r="Z397" i="20"/>
  <c r="Z362" i="20"/>
  <c r="AB372" i="20"/>
  <c r="AG426" i="20"/>
  <c r="AG663" i="20"/>
  <c r="AD683" i="20"/>
  <c r="AB631" i="20"/>
  <c r="Z575" i="20"/>
  <c r="AE654" i="20"/>
  <c r="Y893" i="20"/>
  <c r="AF867" i="20"/>
  <c r="AC856" i="20"/>
  <c r="AG831" i="20"/>
  <c r="Y815" i="20"/>
  <c r="AB792" i="20"/>
  <c r="AA774" i="20"/>
  <c r="AE731" i="20"/>
  <c r="AE626" i="20"/>
  <c r="AK578" i="20"/>
  <c r="AE530" i="20"/>
  <c r="AB487" i="20"/>
  <c r="Z445" i="20"/>
  <c r="Y380" i="20"/>
  <c r="AF364" i="20"/>
  <c r="AK546" i="20"/>
  <c r="AC692" i="20"/>
  <c r="AF657" i="20"/>
  <c r="AE868" i="20"/>
  <c r="AD834" i="20"/>
  <c r="AB789" i="20"/>
  <c r="AA705" i="20"/>
  <c r="AD551" i="20"/>
  <c r="AF378" i="20"/>
  <c r="Z545" i="20"/>
  <c r="AB881" i="20"/>
  <c r="AG562" i="20"/>
  <c r="AB385" i="20"/>
  <c r="AC361" i="20"/>
  <c r="Y399" i="20"/>
  <c r="AD357" i="20"/>
  <c r="AC542" i="20"/>
  <c r="AE666" i="20"/>
  <c r="Y674" i="20"/>
  <c r="AF686" i="20"/>
  <c r="AA690" i="20"/>
  <c r="AB630" i="20"/>
  <c r="AA625" i="20"/>
  <c r="AB477" i="20"/>
  <c r="AA715" i="20"/>
  <c r="AB659" i="20"/>
  <c r="AA651" i="20"/>
  <c r="AF884" i="20"/>
  <c r="Y866" i="20"/>
  <c r="AA860" i="20"/>
  <c r="AE853" i="20"/>
  <c r="AD844" i="20"/>
  <c r="Z833" i="20"/>
  <c r="AD816" i="20"/>
  <c r="AA809" i="20"/>
  <c r="Y796" i="20"/>
  <c r="AB787" i="20"/>
  <c r="AB769" i="20"/>
  <c r="AB758" i="20"/>
  <c r="AD743" i="20"/>
  <c r="AK735" i="20"/>
  <c r="AG720" i="20"/>
  <c r="AF624" i="20"/>
  <c r="AC616" i="20"/>
  <c r="AG594" i="20"/>
  <c r="AB568" i="20"/>
  <c r="AG554" i="20"/>
  <c r="AE533" i="20"/>
  <c r="AF502" i="20"/>
  <c r="AD492" i="20"/>
  <c r="AD474" i="20"/>
  <c r="AE365" i="20"/>
  <c r="Z318" i="20"/>
  <c r="AC648" i="20"/>
  <c r="AD389" i="20"/>
  <c r="AE373" i="20"/>
  <c r="Z372" i="20"/>
  <c r="AF426" i="20"/>
  <c r="Y663" i="20"/>
  <c r="AE683" i="20"/>
  <c r="AG631" i="20"/>
  <c r="AB479" i="20"/>
  <c r="AK571" i="20"/>
  <c r="Z888" i="20"/>
  <c r="AK862" i="20"/>
  <c r="Y839" i="20"/>
  <c r="AG807" i="20"/>
  <c r="Z770" i="20"/>
  <c r="AD731" i="20"/>
  <c r="AG595" i="20"/>
  <c r="AB506" i="20"/>
  <c r="Z637" i="20"/>
  <c r="AD375" i="20"/>
  <c r="AF692" i="20"/>
  <c r="AA868" i="20"/>
  <c r="Y721" i="20"/>
  <c r="Z398" i="20"/>
  <c r="AF385" i="20"/>
  <c r="AK547" i="20"/>
  <c r="AC678" i="20"/>
  <c r="AD625" i="20"/>
  <c r="AF655" i="20"/>
  <c r="AB877" i="20"/>
  <c r="AF837" i="20"/>
  <c r="Y804" i="20"/>
  <c r="AF773" i="20"/>
  <c r="AF727" i="20"/>
  <c r="AK582" i="20"/>
  <c r="AA498" i="20"/>
  <c r="Y636" i="20"/>
  <c r="AC403" i="20"/>
  <c r="AA687" i="20"/>
  <c r="AG658" i="20"/>
  <c r="AC883" i="20"/>
  <c r="AD815" i="20"/>
  <c r="AC731" i="20"/>
  <c r="AK518" i="20"/>
  <c r="AE645" i="20"/>
  <c r="AB688" i="20"/>
  <c r="AB864" i="20"/>
  <c r="AA598" i="20"/>
  <c r="AC877" i="20"/>
  <c r="Y860" i="20"/>
  <c r="AC833" i="20"/>
  <c r="Z811" i="20"/>
  <c r="AK787" i="20"/>
  <c r="AD758" i="20"/>
  <c r="AC735" i="20"/>
  <c r="AC706" i="20"/>
  <c r="AC586" i="20"/>
  <c r="Y559" i="20"/>
  <c r="AB513" i="20"/>
  <c r="Y505" i="20"/>
  <c r="AB444" i="20"/>
  <c r="AA297" i="20"/>
  <c r="AC356" i="20"/>
  <c r="AF403" i="20"/>
  <c r="AA415" i="20"/>
  <c r="AE671" i="20"/>
  <c r="AG699" i="20"/>
  <c r="Z714" i="20"/>
  <c r="AK878" i="20"/>
  <c r="AE845" i="20"/>
  <c r="AA807" i="20"/>
  <c r="AD778" i="20"/>
  <c r="AG707" i="20"/>
  <c r="AD595" i="20"/>
  <c r="AA514" i="20"/>
  <c r="AB455" i="20"/>
  <c r="AA358" i="20"/>
  <c r="AF384" i="20"/>
  <c r="AD676" i="20"/>
  <c r="AE657" i="20"/>
  <c r="Y863" i="20"/>
  <c r="AE802" i="20"/>
  <c r="AD610" i="20"/>
  <c r="AE351" i="20"/>
  <c r="AB828" i="20"/>
  <c r="Z735" i="20"/>
  <c r="AE616" i="20"/>
  <c r="AG535" i="20"/>
  <c r="AA480" i="20"/>
  <c r="AK648" i="20"/>
  <c r="AA395" i="20"/>
  <c r="AD691" i="20"/>
  <c r="AC650" i="20"/>
  <c r="AF862" i="20"/>
  <c r="AD795" i="20"/>
  <c r="AC626" i="20"/>
  <c r="Y455" i="20"/>
  <c r="AA375" i="20"/>
  <c r="Z657" i="20"/>
  <c r="AE806" i="20"/>
  <c r="AG456" i="20"/>
  <c r="Y593" i="20"/>
  <c r="AB862" i="20"/>
  <c r="AK815" i="20"/>
  <c r="AE782" i="20"/>
  <c r="AE707" i="20"/>
  <c r="AD584" i="20"/>
  <c r="AF495" i="20"/>
  <c r="AB313" i="20"/>
  <c r="AB364" i="20"/>
  <c r="AG672" i="20"/>
  <c r="AG482" i="20"/>
  <c r="AG889" i="20"/>
  <c r="AF818" i="20"/>
  <c r="AE565" i="20"/>
  <c r="AB885" i="20"/>
  <c r="AA707" i="20"/>
  <c r="Z495" i="20"/>
  <c r="AB376" i="20"/>
  <c r="AD660" i="20"/>
  <c r="AE810" i="20"/>
  <c r="AD486" i="20"/>
  <c r="AA754" i="20"/>
  <c r="AE825" i="20"/>
  <c r="AD726" i="20"/>
  <c r="Z519" i="20"/>
  <c r="Z405" i="20"/>
  <c r="AG508" i="20"/>
  <c r="Z561" i="20"/>
  <c r="Y391" i="20"/>
  <c r="AD516" i="20"/>
  <c r="AE629" i="20"/>
  <c r="Z466" i="20"/>
  <c r="AD819" i="20"/>
  <c r="AE843" i="20"/>
  <c r="AD508" i="20"/>
  <c r="AG589" i="20"/>
  <c r="AA342" i="20"/>
  <c r="AD269" i="20"/>
  <c r="AC458" i="20"/>
  <c r="AD262" i="20"/>
  <c r="AL834" i="20"/>
  <c r="AL510" i="20"/>
  <c r="AL109" i="20"/>
  <c r="AL629" i="20"/>
  <c r="AL869" i="20"/>
  <c r="AL673" i="20"/>
  <c r="AL246" i="20"/>
  <c r="AL216" i="20"/>
  <c r="AL722" i="20"/>
  <c r="AL228" i="20"/>
  <c r="AL233" i="20"/>
  <c r="AL479" i="20"/>
  <c r="AL311" i="20"/>
  <c r="AL552" i="20"/>
  <c r="AL848" i="20"/>
  <c r="AL651" i="20"/>
  <c r="AL502" i="20"/>
  <c r="AL744" i="20"/>
  <c r="AL219" i="20"/>
  <c r="AL486" i="20"/>
  <c r="AL737" i="20"/>
  <c r="AL860" i="20"/>
  <c r="AL191" i="20"/>
  <c r="AL331" i="20"/>
  <c r="AL493" i="20"/>
  <c r="AL789" i="20"/>
  <c r="AL236" i="20"/>
  <c r="AL207" i="20"/>
  <c r="AL326" i="20"/>
  <c r="AL507" i="20"/>
  <c r="AL595" i="20"/>
  <c r="AL667" i="20"/>
  <c r="AL757" i="20"/>
  <c r="AL878" i="20"/>
  <c r="AJ845" i="20"/>
  <c r="AJ503" i="20"/>
  <c r="AJ749" i="20"/>
  <c r="AJ510" i="20"/>
  <c r="AJ638" i="20"/>
  <c r="AJ93" i="20"/>
  <c r="AJ410" i="20"/>
  <c r="AJ544" i="20"/>
  <c r="AJ631" i="20"/>
  <c r="AJ865" i="20"/>
  <c r="AJ86" i="20"/>
  <c r="AJ105" i="20"/>
  <c r="AJ458" i="20"/>
  <c r="AJ719" i="20"/>
  <c r="AJ389" i="20"/>
  <c r="AJ285" i="20"/>
  <c r="AJ580" i="20"/>
  <c r="AJ180" i="20"/>
  <c r="AJ470" i="20"/>
  <c r="AJ722" i="20"/>
  <c r="AJ833" i="20"/>
  <c r="AJ414" i="20"/>
  <c r="AJ609" i="20"/>
  <c r="AJ233" i="20"/>
  <c r="AJ427" i="20"/>
  <c r="AJ881" i="20"/>
  <c r="AJ345" i="20"/>
  <c r="AJ395" i="20"/>
  <c r="AJ523" i="20"/>
  <c r="AJ794" i="20"/>
  <c r="AJ850" i="20"/>
  <c r="AL428" i="20"/>
  <c r="AL729" i="20"/>
  <c r="AL554" i="20"/>
  <c r="AL498" i="20"/>
  <c r="AL385" i="20"/>
  <c r="AL373" i="20"/>
  <c r="AL580" i="20"/>
  <c r="AL451" i="20"/>
  <c r="AL854" i="20"/>
  <c r="AL582" i="20"/>
  <c r="AL778" i="20"/>
  <c r="AL194" i="20"/>
  <c r="AL394" i="20"/>
  <c r="AL730" i="20"/>
  <c r="AL340" i="20"/>
  <c r="AL812" i="20"/>
  <c r="AL315" i="20"/>
  <c r="AL415" i="20"/>
  <c r="AL641" i="20"/>
  <c r="AL817" i="20"/>
  <c r="AL227" i="20"/>
  <c r="AL421" i="20"/>
  <c r="AL691" i="20"/>
  <c r="AL829" i="20"/>
  <c r="AL192" i="20"/>
  <c r="AL278" i="20"/>
  <c r="AL441" i="20"/>
  <c r="AL557" i="20"/>
  <c r="AL601" i="20"/>
  <c r="AL698" i="20"/>
  <c r="AL804" i="20"/>
  <c r="AJ183" i="20"/>
  <c r="AJ864" i="20"/>
  <c r="AJ476" i="20"/>
  <c r="AJ592" i="20"/>
  <c r="AJ637" i="20"/>
  <c r="AJ432" i="20"/>
  <c r="AJ109" i="20"/>
  <c r="H145" i="86" s="1"/>
  <c r="K145" i="86" s="1"/>
  <c r="AJ473" i="20"/>
  <c r="AJ585" i="20"/>
  <c r="AJ670" i="20"/>
  <c r="AJ498" i="20"/>
  <c r="H43" i="86" s="1"/>
  <c r="K43" i="86" s="1"/>
  <c r="AJ706" i="20"/>
  <c r="AJ342" i="20"/>
  <c r="AJ569" i="20"/>
  <c r="AJ761" i="20"/>
  <c r="AJ803" i="20"/>
  <c r="AJ319" i="20"/>
  <c r="AJ750" i="20"/>
  <c r="AJ343" i="20"/>
  <c r="AJ530" i="20"/>
  <c r="AJ779" i="20"/>
  <c r="AJ618" i="20"/>
  <c r="AJ437" i="20"/>
  <c r="AJ792" i="20"/>
  <c r="AJ756" i="20"/>
  <c r="AJ273" i="20"/>
  <c r="AJ616" i="20"/>
  <c r="H45" i="86" s="1"/>
  <c r="K45" i="86" s="1"/>
  <c r="AJ300" i="20"/>
  <c r="AJ359" i="20"/>
  <c r="AJ477" i="20"/>
  <c r="AJ655" i="20"/>
  <c r="AJ820" i="20"/>
  <c r="AJ275" i="20"/>
  <c r="AJ365" i="20"/>
  <c r="AJ739" i="20"/>
  <c r="AJ347" i="20"/>
  <c r="AJ206" i="20"/>
  <c r="AJ621" i="20"/>
  <c r="AJ882" i="20"/>
  <c r="AJ211" i="20"/>
  <c r="AJ416" i="20"/>
  <c r="AJ576" i="20"/>
  <c r="AJ707" i="20"/>
  <c r="AJ813" i="20"/>
  <c r="AJ897" i="20"/>
  <c r="AJ188" i="20"/>
  <c r="AJ242" i="20"/>
  <c r="AJ368" i="20"/>
  <c r="AJ492" i="20"/>
  <c r="AJ691" i="20"/>
  <c r="AJ808" i="20"/>
  <c r="AB255" i="20"/>
  <c r="AL303" i="20"/>
  <c r="N15" i="37" s="1"/>
  <c r="AL588" i="20"/>
  <c r="AL683" i="20"/>
  <c r="AL675" i="20"/>
  <c r="AL618" i="20"/>
  <c r="AL328" i="20"/>
  <c r="AL442" i="20"/>
  <c r="AL364" i="20"/>
  <c r="AL628" i="20"/>
  <c r="AL356" i="20"/>
  <c r="AL836" i="20"/>
  <c r="AL270" i="20"/>
  <c r="AL714" i="20"/>
  <c r="AL197" i="20"/>
  <c r="AL463" i="20"/>
  <c r="AL619" i="20"/>
  <c r="AL871" i="20"/>
  <c r="AJ255" i="20"/>
  <c r="H119" i="86" s="1"/>
  <c r="K119" i="86" s="1"/>
  <c r="AJ222" i="20"/>
  <c r="AJ461" i="20"/>
  <c r="AJ538" i="20"/>
  <c r="AJ665" i="20"/>
  <c r="AJ717" i="20"/>
  <c r="AJ673" i="20"/>
  <c r="AJ129" i="20"/>
  <c r="AJ171" i="20"/>
  <c r="AJ571" i="20"/>
  <c r="AJ228" i="20"/>
  <c r="AJ831" i="20"/>
  <c r="AJ369" i="20"/>
  <c r="AJ306" i="20"/>
  <c r="AJ487" i="20"/>
  <c r="AJ848" i="20"/>
  <c r="AJ377" i="20"/>
  <c r="AJ776" i="20"/>
  <c r="AJ484" i="20"/>
  <c r="AJ511" i="20"/>
  <c r="AJ894" i="20"/>
  <c r="AJ318" i="20"/>
  <c r="AJ456" i="20"/>
  <c r="AJ737" i="20"/>
  <c r="AJ852" i="20"/>
  <c r="AJ266" i="20"/>
  <c r="AJ398" i="20"/>
  <c r="AJ659" i="20"/>
  <c r="AJ819" i="20"/>
  <c r="AJ78" i="20"/>
  <c r="AJ201" i="20"/>
  <c r="AJ278" i="20"/>
  <c r="AJ326" i="20"/>
  <c r="AJ440" i="20"/>
  <c r="AJ506" i="20"/>
  <c r="AJ559" i="20"/>
  <c r="AJ591" i="20"/>
  <c r="AJ606" i="20"/>
  <c r="AJ667" i="20"/>
  <c r="AJ725" i="20"/>
  <c r="AJ815" i="20"/>
  <c r="AI287" i="20"/>
  <c r="AI855" i="20"/>
  <c r="AI262" i="20"/>
  <c r="G123" i="86" s="1"/>
  <c r="AI466" i="20"/>
  <c r="AI543" i="20"/>
  <c r="AI510" i="20"/>
  <c r="AI625" i="20"/>
  <c r="AI402" i="20"/>
  <c r="AI94" i="20"/>
  <c r="AI397" i="20"/>
  <c r="AI538" i="20"/>
  <c r="AI588" i="20"/>
  <c r="AI668" i="20"/>
  <c r="AI865" i="20"/>
  <c r="AI608" i="20"/>
  <c r="G42" i="86" s="1"/>
  <c r="AI706" i="20"/>
  <c r="AI271" i="20"/>
  <c r="AI458" i="20"/>
  <c r="AI673" i="20"/>
  <c r="AI761" i="20"/>
  <c r="AI567" i="20"/>
  <c r="AI272" i="20"/>
  <c r="AI391" i="20"/>
  <c r="AI752" i="20"/>
  <c r="AI344" i="20"/>
  <c r="AL102" i="20"/>
  <c r="AL342" i="20"/>
  <c r="AL343" i="20"/>
  <c r="AL721" i="20"/>
  <c r="AL360" i="20"/>
  <c r="AL745" i="20"/>
  <c r="AL209" i="20"/>
  <c r="AL743" i="20"/>
  <c r="AL412" i="20"/>
  <c r="AL418" i="20"/>
  <c r="AL678" i="20"/>
  <c r="AJ457" i="20"/>
  <c r="AJ517" i="20"/>
  <c r="AJ94" i="20"/>
  <c r="AJ605" i="20"/>
  <c r="AJ244" i="20"/>
  <c r="AJ736" i="20"/>
  <c r="AJ391" i="20"/>
  <c r="AJ494" i="20"/>
  <c r="AJ393" i="20"/>
  <c r="AJ758" i="20"/>
  <c r="AJ249" i="20"/>
  <c r="AJ648" i="20"/>
  <c r="AJ301" i="20"/>
  <c r="AJ710" i="20"/>
  <c r="AJ202" i="20"/>
  <c r="AJ767" i="20"/>
  <c r="AJ253" i="20"/>
  <c r="AJ622" i="20"/>
  <c r="AJ796" i="20"/>
  <c r="AJ310" i="20"/>
  <c r="AJ519" i="20"/>
  <c r="AJ768" i="20"/>
  <c r="AJ100" i="20"/>
  <c r="H77" i="86" s="1"/>
  <c r="K77" i="86" s="1"/>
  <c r="AJ234" i="20"/>
  <c r="AJ308" i="20"/>
  <c r="AJ444" i="20"/>
  <c r="AJ529" i="20"/>
  <c r="AJ595" i="20"/>
  <c r="AJ617" i="20"/>
  <c r="AJ681" i="20"/>
  <c r="AJ793" i="20"/>
  <c r="AI535" i="20"/>
  <c r="AI864" i="20"/>
  <c r="AI396" i="20"/>
  <c r="AI558" i="20"/>
  <c r="AI637" i="20"/>
  <c r="AI374" i="20"/>
  <c r="AI109" i="20"/>
  <c r="G145" i="86" s="1"/>
  <c r="J145" i="86" s="1"/>
  <c r="AI474" i="20"/>
  <c r="AI556" i="20"/>
  <c r="AI670" i="20"/>
  <c r="AI498" i="20"/>
  <c r="G43" i="86" s="1"/>
  <c r="AI283" i="20"/>
  <c r="AI422" i="20"/>
  <c r="AI594" i="20"/>
  <c r="AI873" i="20"/>
  <c r="AI803" i="20"/>
  <c r="AI319" i="20"/>
  <c r="AI724" i="20"/>
  <c r="AI384" i="20"/>
  <c r="AI494" i="20"/>
  <c r="AI734" i="20"/>
  <c r="AI801" i="20"/>
  <c r="AI618" i="20"/>
  <c r="AI393" i="20"/>
  <c r="AI536" i="20"/>
  <c r="AI692" i="20"/>
  <c r="AI859" i="20"/>
  <c r="AI711" i="20"/>
  <c r="AI818" i="20"/>
  <c r="AI390" i="20"/>
  <c r="AI485" i="20"/>
  <c r="AI658" i="20"/>
  <c r="AI249" i="20"/>
  <c r="AI312" i="20"/>
  <c r="AI420" i="20"/>
  <c r="AI394" i="20"/>
  <c r="AI453" i="20"/>
  <c r="AI546" i="20"/>
  <c r="AI697" i="20"/>
  <c r="AI802" i="20"/>
  <c r="AI846" i="20"/>
  <c r="AI223" i="20"/>
  <c r="AI341" i="20"/>
  <c r="AI363" i="20"/>
  <c r="AI686" i="20"/>
  <c r="AI745" i="20"/>
  <c r="AI839" i="20"/>
  <c r="AI443" i="20"/>
  <c r="AI612" i="20"/>
  <c r="AI314" i="20"/>
  <c r="AI621" i="20"/>
  <c r="AI755" i="20"/>
  <c r="AI838" i="20"/>
  <c r="AI85" i="20"/>
  <c r="AI230" i="20"/>
  <c r="AI349" i="20"/>
  <c r="AI408" i="20"/>
  <c r="AI540" i="20"/>
  <c r="AI641" i="20"/>
  <c r="AI707" i="20"/>
  <c r="AI782" i="20"/>
  <c r="AI817" i="20"/>
  <c r="AI875" i="20"/>
  <c r="AI204" i="20"/>
  <c r="AI231" i="20"/>
  <c r="AI270" i="20"/>
  <c r="AI368" i="20"/>
  <c r="AI387" i="20"/>
  <c r="AI493" i="20"/>
  <c r="AI656" i="20"/>
  <c r="AI715" i="20"/>
  <c r="AI789" i="20"/>
  <c r="AI886" i="20"/>
  <c r="AI896" i="20"/>
  <c r="AI193" i="20"/>
  <c r="AI213" i="20"/>
  <c r="G133" i="86" s="1"/>
  <c r="AI264" i="20"/>
  <c r="AI293" i="20"/>
  <c r="AI332" i="20"/>
  <c r="AI441" i="20"/>
  <c r="AI496" i="20"/>
  <c r="AI528" i="20"/>
  <c r="AI557" i="20"/>
  <c r="AI591" i="20"/>
  <c r="AI598" i="20"/>
  <c r="AI619" i="20"/>
  <c r="AI678" i="20"/>
  <c r="AI725" i="20"/>
  <c r="AI773" i="20"/>
  <c r="AI878" i="20"/>
  <c r="AL503" i="20"/>
  <c r="AL687" i="20"/>
  <c r="AL712" i="20"/>
  <c r="AL759" i="20"/>
  <c r="AL505" i="20"/>
  <c r="AL826" i="20"/>
  <c r="AL206" i="20"/>
  <c r="AL576" i="20"/>
  <c r="AL643" i="20"/>
  <c r="AL264" i="20"/>
  <c r="AL570" i="20"/>
  <c r="AL773" i="20"/>
  <c r="AJ280" i="20"/>
  <c r="AJ549" i="20"/>
  <c r="AJ455" i="20"/>
  <c r="AJ867" i="20"/>
  <c r="AJ417" i="20"/>
  <c r="AJ583" i="20"/>
  <c r="AJ344" i="20"/>
  <c r="AJ809" i="20"/>
  <c r="AJ627" i="20"/>
  <c r="AJ504" i="20"/>
  <c r="AJ424" i="20"/>
  <c r="AJ807" i="20"/>
  <c r="AJ462" i="20"/>
  <c r="AJ840" i="20"/>
  <c r="AJ399" i="20"/>
  <c r="AJ408" i="20"/>
  <c r="AJ704" i="20"/>
  <c r="AJ877" i="20"/>
  <c r="AJ217" i="20"/>
  <c r="AJ381" i="20"/>
  <c r="AJ766" i="20"/>
  <c r="AJ197" i="20"/>
  <c r="AJ291" i="20"/>
  <c r="H7" i="86" s="1"/>
  <c r="K7" i="86" s="1"/>
  <c r="AJ418" i="20"/>
  <c r="AJ496" i="20"/>
  <c r="AJ566" i="20"/>
  <c r="AJ602" i="20"/>
  <c r="AJ634" i="20"/>
  <c r="AJ757" i="20"/>
  <c r="AJ878" i="20"/>
  <c r="AI834" i="20"/>
  <c r="AI613" i="20"/>
  <c r="AI749" i="20"/>
  <c r="AI240" i="20"/>
  <c r="AI638" i="20"/>
  <c r="AI102" i="20"/>
  <c r="AI106" i="20"/>
  <c r="AI544" i="20"/>
  <c r="AI630" i="20"/>
  <c r="AI868" i="20"/>
  <c r="AI726" i="20"/>
  <c r="AI869" i="20"/>
  <c r="AI454" i="20"/>
  <c r="AI705" i="20"/>
  <c r="AI373" i="20"/>
  <c r="AI229" i="20"/>
  <c r="AI509" i="20"/>
  <c r="AI180" i="20"/>
  <c r="AI459" i="20"/>
  <c r="AI533" i="20"/>
  <c r="AI748" i="20"/>
  <c r="AI267" i="20"/>
  <c r="AI437" i="20"/>
  <c r="AI627" i="20"/>
  <c r="AI806" i="20"/>
  <c r="AI245" i="20"/>
  <c r="AI781" i="20"/>
  <c r="AI241" i="20"/>
  <c r="AI372" i="20"/>
  <c r="AI614" i="20"/>
  <c r="AI82" i="20"/>
  <c r="AI300" i="20"/>
  <c r="AI350" i="20"/>
  <c r="AI401" i="20"/>
  <c r="AI429" i="20"/>
  <c r="AI523" i="20"/>
  <c r="AI647" i="20"/>
  <c r="AI733" i="20"/>
  <c r="AI821" i="20"/>
  <c r="AI880" i="20"/>
  <c r="AI275" i="20"/>
  <c r="AI377" i="20"/>
  <c r="AI480" i="20"/>
  <c r="AI710" i="20"/>
  <c r="AI811" i="20"/>
  <c r="AI471" i="20"/>
  <c r="AI239" i="20"/>
  <c r="AI366" i="20"/>
  <c r="AI695" i="20"/>
  <c r="AI810" i="20"/>
  <c r="AI209" i="20"/>
  <c r="AI318" i="20"/>
  <c r="AI354" i="20"/>
  <c r="AI446" i="20"/>
  <c r="AI620" i="20"/>
  <c r="AI690" i="20"/>
  <c r="AI737" i="20"/>
  <c r="AI813" i="20"/>
  <c r="AI837" i="20"/>
  <c r="AI887" i="20"/>
  <c r="AI189" i="20"/>
  <c r="AI203" i="20"/>
  <c r="AI252" i="20"/>
  <c r="AI334" i="20"/>
  <c r="AI381" i="20"/>
  <c r="AI492" i="20"/>
  <c r="AI579" i="20"/>
  <c r="AI691" i="20"/>
  <c r="AI768" i="20"/>
  <c r="AI814" i="20"/>
  <c r="AI888" i="20"/>
  <c r="AI512" i="20"/>
  <c r="AI130" i="20"/>
  <c r="AI197" i="20"/>
  <c r="AI234" i="20"/>
  <c r="AI281" i="20"/>
  <c r="AI317" i="20"/>
  <c r="AI382" i="20"/>
  <c r="AI447" i="20"/>
  <c r="AI507" i="20"/>
  <c r="AI553" i="20"/>
  <c r="AI584" i="20"/>
  <c r="AI590" i="20"/>
  <c r="AI604" i="20"/>
  <c r="AI696" i="20"/>
  <c r="AI698" i="20"/>
  <c r="AI762" i="20"/>
  <c r="AI853" i="20"/>
  <c r="AI895" i="20"/>
  <c r="AF79" i="20"/>
  <c r="AE91" i="20"/>
  <c r="Y91" i="20"/>
  <c r="AC79" i="20"/>
  <c r="AE85" i="20"/>
  <c r="AC91" i="20"/>
  <c r="AD82" i="20"/>
  <c r="Z85" i="20"/>
  <c r="Y86" i="20"/>
  <c r="AB86" i="20"/>
  <c r="AA86" i="20"/>
  <c r="AK78" i="20"/>
  <c r="AB78" i="20"/>
  <c r="Z171" i="20"/>
  <c r="AE131" i="20"/>
  <c r="Z130" i="20"/>
  <c r="AG172" i="20"/>
  <c r="AF132" i="20"/>
  <c r="AB171" i="20"/>
  <c r="AA130" i="20"/>
  <c r="AC132" i="20"/>
  <c r="AF172" i="20"/>
  <c r="AG131" i="20"/>
  <c r="AL633" i="20"/>
  <c r="AL468" i="20"/>
  <c r="AL223" i="20"/>
  <c r="AL701" i="20"/>
  <c r="AL799" i="20"/>
  <c r="AL597" i="20"/>
  <c r="AJ662" i="20"/>
  <c r="AJ563" i="20"/>
  <c r="AJ562" i="20"/>
  <c r="AJ407" i="20"/>
  <c r="AJ548" i="20"/>
  <c r="AJ429" i="20"/>
  <c r="AJ679" i="20"/>
  <c r="AJ728" i="20"/>
  <c r="AJ449" i="20"/>
  <c r="AJ448" i="20"/>
  <c r="AJ236" i="20"/>
  <c r="AJ299" i="20"/>
  <c r="AJ527" i="20"/>
  <c r="AJ598" i="20"/>
  <c r="AJ772" i="20"/>
  <c r="AI856" i="20"/>
  <c r="AI305" i="20"/>
  <c r="G39" i="86" s="1"/>
  <c r="AI729" i="20"/>
  <c r="AI445" i="20"/>
  <c r="AI629" i="20"/>
  <c r="AI282" i="20"/>
  <c r="AI562" i="20"/>
  <c r="AI491" i="20"/>
  <c r="AI675" i="20"/>
  <c r="AI469" i="20"/>
  <c r="AI779" i="20"/>
  <c r="AI329" i="20"/>
  <c r="AI644" i="20"/>
  <c r="AI693" i="20"/>
  <c r="AI273" i="20"/>
  <c r="AI640" i="20"/>
  <c r="AI307" i="20"/>
  <c r="AI424" i="20"/>
  <c r="AI532" i="20"/>
  <c r="AI797" i="20"/>
  <c r="AI891" i="20"/>
  <c r="AI378" i="20"/>
  <c r="AI740" i="20"/>
  <c r="AI347" i="20"/>
  <c r="AI297" i="20"/>
  <c r="AI738" i="20"/>
  <c r="AI325" i="20"/>
  <c r="AI486" i="20"/>
  <c r="AI703" i="20"/>
  <c r="AI816" i="20"/>
  <c r="AI190" i="20"/>
  <c r="AI269" i="20"/>
  <c r="AI421" i="20"/>
  <c r="AI635" i="20"/>
  <c r="AI788" i="20"/>
  <c r="AI179" i="20"/>
  <c r="AI247" i="20"/>
  <c r="AI326" i="20"/>
  <c r="AI450" i="20"/>
  <c r="AI559" i="20"/>
  <c r="AI597" i="20"/>
  <c r="AI682" i="20"/>
  <c r="AI777" i="20"/>
  <c r="AF82" i="20"/>
  <c r="AG79" i="20"/>
  <c r="AG91" i="20"/>
  <c r="Y79" i="20"/>
  <c r="AE82" i="20"/>
  <c r="AD91" i="20"/>
  <c r="AB91" i="20"/>
  <c r="AF85" i="20"/>
  <c r="AG86" i="20"/>
  <c r="AC86" i="20"/>
  <c r="AC78" i="20"/>
  <c r="AD78" i="20"/>
  <c r="AC131" i="20"/>
  <c r="AD131" i="20"/>
  <c r="AB130" i="20"/>
  <c r="AK132" i="20"/>
  <c r="AK131" i="20"/>
  <c r="AG130" i="20"/>
  <c r="AC172" i="20"/>
  <c r="AF171" i="20"/>
  <c r="Y132" i="20"/>
  <c r="AK171" i="20"/>
  <c r="AD129" i="20"/>
  <c r="AG129" i="20"/>
  <c r="Z110" i="20"/>
  <c r="AB96" i="20"/>
  <c r="AC98" i="20"/>
  <c r="AE96" i="20"/>
  <c r="AF99" i="20"/>
  <c r="AG106" i="20"/>
  <c r="Y94" i="20"/>
  <c r="AA94" i="20"/>
  <c r="AB97" i="20"/>
  <c r="AC99" i="20"/>
  <c r="AE98" i="20"/>
  <c r="AF101" i="20"/>
  <c r="AG109" i="20"/>
  <c r="Y95" i="20"/>
  <c r="AA95" i="20"/>
  <c r="AB98" i="20"/>
  <c r="AC105" i="20"/>
  <c r="AE99" i="20"/>
  <c r="AF102" i="20"/>
  <c r="AG110" i="20"/>
  <c r="Y98" i="20"/>
  <c r="AA96" i="20"/>
  <c r="AB99" i="20"/>
  <c r="AC106" i="20"/>
  <c r="AE101" i="20"/>
  <c r="AF105" i="20"/>
  <c r="AK98" i="20"/>
  <c r="Y92" i="20"/>
  <c r="AC100" i="20"/>
  <c r="AD100" i="20"/>
  <c r="Y101" i="20"/>
  <c r="AC92" i="20"/>
  <c r="Z181" i="20"/>
  <c r="AB181" i="20"/>
  <c r="AD181" i="20"/>
  <c r="AF181" i="20"/>
  <c r="AK181" i="20"/>
  <c r="AK97" i="20"/>
  <c r="Y93" i="20"/>
  <c r="Z100" i="20"/>
  <c r="AD107" i="20"/>
  <c r="AK93" i="20"/>
  <c r="AG101" i="20"/>
  <c r="Y111" i="20"/>
  <c r="Z92" i="20"/>
  <c r="Z223" i="20"/>
  <c r="AB223" i="20"/>
  <c r="AD223" i="20"/>
  <c r="AF223" i="20"/>
  <c r="AK223" i="20"/>
  <c r="AK108" i="20"/>
  <c r="Y102" i="20"/>
  <c r="Z102" i="20"/>
  <c r="AD96" i="20"/>
  <c r="Z224" i="20"/>
  <c r="AB224" i="20"/>
  <c r="AD224" i="20"/>
  <c r="AC221" i="20"/>
  <c r="AK222" i="20"/>
  <c r="AB222" i="20"/>
  <c r="AG224" i="20"/>
  <c r="AC222" i="20"/>
  <c r="AG182" i="20"/>
  <c r="AD221" i="20"/>
  <c r="AK221" i="20"/>
  <c r="AK186" i="20"/>
  <c r="AB180" i="20"/>
  <c r="AB186" i="20"/>
  <c r="AC183" i="20"/>
  <c r="AA186" i="20"/>
  <c r="AA183" i="20"/>
  <c r="AD180" i="20"/>
  <c r="AA185" i="20"/>
  <c r="AD179" i="20"/>
  <c r="AL409" i="20"/>
  <c r="AL711" i="20"/>
  <c r="AL832" i="20"/>
  <c r="AL433" i="20"/>
  <c r="AL732" i="20"/>
  <c r="AJ823" i="20"/>
  <c r="AJ289" i="20"/>
  <c r="AJ741" i="20"/>
  <c r="AJ870" i="20"/>
  <c r="AJ339" i="20"/>
  <c r="AJ800" i="20"/>
  <c r="AJ769" i="20"/>
  <c r="AJ331" i="20"/>
  <c r="AJ186" i="20"/>
  <c r="AJ431" i="20"/>
  <c r="AJ586" i="20"/>
  <c r="AJ874" i="20"/>
  <c r="AI265" i="20"/>
  <c r="AI827" i="20"/>
  <c r="AI489" i="20"/>
  <c r="AI866" i="20"/>
  <c r="AI405" i="20"/>
  <c r="AI889" i="20"/>
  <c r="AI185" i="20"/>
  <c r="AI741" i="20"/>
  <c r="AI379" i="20"/>
  <c r="AI831" i="20"/>
  <c r="AI881" i="20"/>
  <c r="AI352" i="20"/>
  <c r="AI465" i="20"/>
  <c r="AI807" i="20"/>
  <c r="AI309" i="20"/>
  <c r="AI680" i="20"/>
  <c r="AI460" i="20"/>
  <c r="AI367" i="20"/>
  <c r="AI894" i="20"/>
  <c r="AI415" i="20"/>
  <c r="AI623" i="20"/>
  <c r="AI769" i="20"/>
  <c r="AI227" i="20"/>
  <c r="AI413" i="20"/>
  <c r="AI671" i="20"/>
  <c r="AI819" i="20"/>
  <c r="AI100" i="20"/>
  <c r="G77" i="86" s="1"/>
  <c r="J77" i="86" s="1"/>
  <c r="AI278" i="20"/>
  <c r="AI400" i="20"/>
  <c r="AI531" i="20"/>
  <c r="AI600" i="20"/>
  <c r="AI723" i="20"/>
  <c r="AI879" i="20"/>
  <c r="Y85" i="20"/>
  <c r="AG85" i="20"/>
  <c r="AE79" i="20"/>
  <c r="AD85" i="20"/>
  <c r="AF91" i="20"/>
  <c r="AA85" i="20"/>
  <c r="AB85" i="20"/>
  <c r="AE86" i="20"/>
  <c r="AE78" i="20"/>
  <c r="AA78" i="20"/>
  <c r="AG132" i="20"/>
  <c r="AF131" i="20"/>
  <c r="AK172" i="20"/>
  <c r="AE132" i="20"/>
  <c r="Y172" i="20"/>
  <c r="AB172" i="20"/>
  <c r="Z132" i="20"/>
  <c r="AF129" i="20"/>
  <c r="AK129" i="20"/>
  <c r="Z99" i="20"/>
  <c r="AB101" i="20"/>
  <c r="AD98" i="20"/>
  <c r="AF95" i="20"/>
  <c r="AK94" i="20"/>
  <c r="Z94" i="20"/>
  <c r="AB93" i="20"/>
  <c r="AC110" i="20"/>
  <c r="AE111" i="20"/>
  <c r="AG98" i="20"/>
  <c r="Y106" i="20"/>
  <c r="AL843" i="20"/>
  <c r="AL263" i="20"/>
  <c r="AL349" i="20"/>
  <c r="AL896" i="20"/>
  <c r="AJ287" i="20"/>
  <c r="AJ110" i="20"/>
  <c r="AJ321" i="20"/>
  <c r="AJ350" i="20"/>
  <c r="AJ811" i="20"/>
  <c r="AJ209" i="20"/>
  <c r="AJ836" i="20"/>
  <c r="AJ635" i="20"/>
  <c r="AJ214" i="20"/>
  <c r="AJ472" i="20"/>
  <c r="AJ645" i="20"/>
  <c r="AJ879" i="20"/>
  <c r="AI662" i="20"/>
  <c r="AI461" i="20"/>
  <c r="AI563" i="20"/>
  <c r="AI550" i="20"/>
  <c r="AI596" i="20"/>
  <c r="AI296" i="20"/>
  <c r="AI406" i="20"/>
  <c r="AI833" i="20"/>
  <c r="AI468" i="20"/>
  <c r="AI235" i="20"/>
  <c r="AI371" i="20"/>
  <c r="AI184" i="20"/>
  <c r="AI360" i="20"/>
  <c r="AI572" i="20"/>
  <c r="AI835" i="20"/>
  <c r="AI339" i="20"/>
  <c r="AI746" i="20"/>
  <c r="AI502" i="20"/>
  <c r="AI628" i="20"/>
  <c r="AI208" i="20"/>
  <c r="AI355" i="20"/>
  <c r="AI654" i="20"/>
  <c r="AI836" i="20"/>
  <c r="AI242" i="20"/>
  <c r="AI370" i="20"/>
  <c r="AI714" i="20"/>
  <c r="AI890" i="20"/>
  <c r="AI195" i="20"/>
  <c r="AI290" i="20"/>
  <c r="AI439" i="20"/>
  <c r="AI570" i="20"/>
  <c r="AI617" i="20"/>
  <c r="AI732" i="20"/>
  <c r="AL425" i="20"/>
  <c r="AJ856" i="20"/>
  <c r="AJ284" i="20"/>
  <c r="AJ697" i="20"/>
  <c r="AJ353" i="20"/>
  <c r="AJ764" i="20"/>
  <c r="AJ537" i="20"/>
  <c r="AI457" i="20"/>
  <c r="AI98" i="20"/>
  <c r="AI717" i="20"/>
  <c r="AI426" i="20"/>
  <c r="AI320" i="20"/>
  <c r="AI747" i="20"/>
  <c r="AI263" i="20"/>
  <c r="AI655" i="20"/>
  <c r="AI462" i="20"/>
  <c r="AI202" i="20"/>
  <c r="AI219" i="20"/>
  <c r="AI709" i="20"/>
  <c r="AI91" i="20"/>
  <c r="AI490" i="20"/>
  <c r="AI308" i="20"/>
  <c r="AI581" i="20"/>
  <c r="AI804" i="20"/>
  <c r="Y82" i="20"/>
  <c r="AK85" i="20"/>
  <c r="AA91" i="20"/>
  <c r="AD86" i="20"/>
  <c r="Z78" i="20"/>
  <c r="Y130" i="20"/>
  <c r="Y171" i="20"/>
  <c r="AD130" i="20"/>
  <c r="AC171" i="20"/>
  <c r="AC130" i="20"/>
  <c r="AB132" i="20"/>
  <c r="Y129" i="20"/>
  <c r="Y99" i="20"/>
  <c r="AA111" i="20"/>
  <c r="AD109" i="20"/>
  <c r="AF110" i="20"/>
  <c r="Y105" i="20"/>
  <c r="AB102" i="20"/>
  <c r="AD110" i="20"/>
  <c r="AF111" i="20"/>
  <c r="Z95" i="20"/>
  <c r="AB94" i="20"/>
  <c r="AD94" i="20"/>
  <c r="AF93" i="20"/>
  <c r="AG99" i="20"/>
  <c r="Y109" i="20"/>
  <c r="AA110" i="20"/>
  <c r="AC95" i="20"/>
  <c r="AE109" i="20"/>
  <c r="AG94" i="20"/>
  <c r="Z111" i="20"/>
  <c r="AC93" i="20"/>
  <c r="AC96" i="20"/>
  <c r="AF92" i="20"/>
  <c r="AA225" i="20"/>
  <c r="AC181" i="20"/>
  <c r="AF225" i="20"/>
  <c r="Z107" i="20"/>
  <c r="AC108" i="20"/>
  <c r="AC111" i="20"/>
  <c r="Z101" i="20"/>
  <c r="AC102" i="20"/>
  <c r="Z108" i="20"/>
  <c r="AK92" i="20"/>
  <c r="AA223" i="20"/>
  <c r="AC220" i="20"/>
  <c r="AF220" i="20"/>
  <c r="Z96" i="20"/>
  <c r="AC97" i="20"/>
  <c r="Y107" i="20"/>
  <c r="Y224" i="20"/>
  <c r="AA182" i="20"/>
  <c r="AE92" i="20"/>
  <c r="AF222" i="20"/>
  <c r="Z222" i="20"/>
  <c r="AK224" i="20"/>
  <c r="AE182" i="20"/>
  <c r="AB221" i="20"/>
  <c r="AD183" i="20"/>
  <c r="AF180" i="20"/>
  <c r="AD184" i="20"/>
  <c r="AB185" i="20"/>
  <c r="AG180" i="20"/>
  <c r="AK179" i="20"/>
  <c r="Z186" i="20"/>
  <c r="AF179" i="20"/>
  <c r="AC179" i="20"/>
  <c r="AE185" i="20"/>
  <c r="Z184" i="20"/>
  <c r="AE186" i="20"/>
  <c r="AD186" i="20"/>
  <c r="Y187" i="20"/>
  <c r="AK187" i="20"/>
  <c r="Y264" i="20"/>
  <c r="AD188" i="20"/>
  <c r="AA187" i="20"/>
  <c r="AC187" i="20"/>
  <c r="AE268" i="20"/>
  <c r="AB264" i="20"/>
  <c r="AK262" i="20"/>
  <c r="I123" i="86" s="1"/>
  <c r="L123" i="86" s="1"/>
  <c r="AA264" i="20"/>
  <c r="Z267" i="20"/>
  <c r="AG268" i="20"/>
  <c r="AA258" i="20"/>
  <c r="AC267" i="20"/>
  <c r="AA255" i="20"/>
  <c r="AF267" i="20"/>
  <c r="AG207" i="20"/>
  <c r="Y207" i="20"/>
  <c r="AG189" i="20"/>
  <c r="AA207" i="20"/>
  <c r="Y190" i="20"/>
  <c r="AB192" i="20"/>
  <c r="AB195" i="20"/>
  <c r="AF189" i="20"/>
  <c r="AE196" i="20"/>
  <c r="AF193" i="20"/>
  <c r="AC196" i="20"/>
  <c r="AG192" i="20"/>
  <c r="AF195" i="20"/>
  <c r="AF191" i="20"/>
  <c r="AF190" i="20"/>
  <c r="AK191" i="20"/>
  <c r="Z190" i="20"/>
  <c r="AE190" i="20"/>
  <c r="Z195" i="20"/>
  <c r="AF207" i="20"/>
  <c r="AD196" i="20"/>
  <c r="AK197" i="20"/>
  <c r="AA212" i="20"/>
  <c r="AG212" i="20"/>
  <c r="Z212" i="20"/>
  <c r="Y243" i="20"/>
  <c r="Y287" i="20"/>
  <c r="Z218" i="20"/>
  <c r="Z272" i="20"/>
  <c r="AA205" i="20"/>
  <c r="AA276" i="20"/>
  <c r="AB199" i="20"/>
  <c r="AB228" i="20"/>
  <c r="AB272" i="20"/>
  <c r="AC217" i="20"/>
  <c r="AC213" i="20"/>
  <c r="AD236" i="20"/>
  <c r="Y260" i="20"/>
  <c r="Y240" i="20"/>
  <c r="Y291" i="20"/>
  <c r="Z243" i="20"/>
  <c r="Z287" i="20"/>
  <c r="AA218" i="20"/>
  <c r="AA272" i="20"/>
  <c r="AB200" i="20"/>
  <c r="AB226" i="20"/>
  <c r="AB287" i="20"/>
  <c r="AC216" i="20"/>
  <c r="AC274" i="20"/>
  <c r="AD235" i="20"/>
  <c r="AD285" i="20"/>
  <c r="AE236" i="20"/>
  <c r="AE284" i="20"/>
  <c r="AF211" i="20"/>
  <c r="AL530" i="20"/>
  <c r="AL203" i="20"/>
  <c r="AJ624" i="20"/>
  <c r="AJ652" i="20"/>
  <c r="AJ199" i="20"/>
  <c r="AJ650" i="20"/>
  <c r="AJ886" i="20"/>
  <c r="AJ570" i="20"/>
  <c r="AI892" i="20"/>
  <c r="AI110" i="20"/>
  <c r="AI132" i="20"/>
  <c r="AI131" i="20"/>
  <c r="AI228" i="20"/>
  <c r="AI778" i="20"/>
  <c r="AI323" i="20"/>
  <c r="AI730" i="20"/>
  <c r="AI626" i="20"/>
  <c r="AI399" i="20"/>
  <c r="AI256" i="20"/>
  <c r="AI743" i="20"/>
  <c r="AI205" i="20"/>
  <c r="AI575" i="20"/>
  <c r="AI785" i="20"/>
  <c r="AI336" i="20"/>
  <c r="AI587" i="20"/>
  <c r="AI872" i="20"/>
  <c r="AB79" i="20"/>
  <c r="AK79" i="20"/>
  <c r="AC82" i="20"/>
  <c r="AA79" i="20"/>
  <c r="Z91" i="20"/>
  <c r="AK86" i="20"/>
  <c r="AG78" i="20"/>
  <c r="AF130" i="20"/>
  <c r="Z172" i="20"/>
  <c r="Z131" i="20"/>
  <c r="AE171" i="20"/>
  <c r="AA171" i="20"/>
  <c r="AD171" i="20"/>
  <c r="AE129" i="20"/>
  <c r="Y110" i="20"/>
  <c r="AB107" i="20"/>
  <c r="AE105" i="20"/>
  <c r="AG95" i="20"/>
  <c r="Z105" i="20"/>
  <c r="AB108" i="20"/>
  <c r="AE106" i="20"/>
  <c r="AK95" i="20"/>
  <c r="Z106" i="20"/>
  <c r="AB105" i="20"/>
  <c r="AD105" i="20"/>
  <c r="AF97" i="20"/>
  <c r="AK96" i="20"/>
  <c r="Z98" i="20"/>
  <c r="AB95" i="20"/>
  <c r="AD95" i="20"/>
  <c r="AF94" i="20"/>
  <c r="AG105" i="20"/>
  <c r="AA97" i="20"/>
  <c r="Y97" i="20"/>
  <c r="Z97" i="20"/>
  <c r="Y225" i="20"/>
  <c r="AA181" i="20"/>
  <c r="AD225" i="20"/>
  <c r="AG225" i="20"/>
  <c r="AA100" i="20"/>
  <c r="Y100" i="20"/>
  <c r="Z93" i="20"/>
  <c r="AA108" i="20"/>
  <c r="Y108" i="20"/>
  <c r="AE97" i="20"/>
  <c r="Y223" i="20"/>
  <c r="AA220" i="20"/>
  <c r="AD220" i="20"/>
  <c r="AG223" i="20"/>
  <c r="AA102" i="20"/>
  <c r="AG96" i="20"/>
  <c r="AE100" i="20"/>
  <c r="Y182" i="20"/>
  <c r="AB182" i="20"/>
  <c r="Y221" i="20"/>
  <c r="AG222" i="20"/>
  <c r="AD222" i="20"/>
  <c r="Y222" i="20"/>
  <c r="AF182" i="20"/>
  <c r="AE221" i="20"/>
  <c r="Z185" i="20"/>
  <c r="AE183" i="20"/>
  <c r="AB179" i="20"/>
  <c r="AD185" i="20"/>
  <c r="AE180" i="20"/>
  <c r="AK184" i="20"/>
  <c r="Y179" i="20"/>
  <c r="AF184" i="20"/>
  <c r="AE184" i="20"/>
  <c r="Y183" i="20"/>
  <c r="AF183" i="20"/>
  <c r="Z179" i="20"/>
  <c r="AF185" i="20"/>
  <c r="AB187" i="20"/>
  <c r="AD187" i="20"/>
  <c r="AF268" i="20"/>
  <c r="AA188" i="20"/>
  <c r="AF188" i="20"/>
  <c r="AB188" i="20"/>
  <c r="Y258" i="20"/>
  <c r="AA267" i="20"/>
  <c r="AD267" i="20"/>
  <c r="Z262" i="20"/>
  <c r="AC264" i="20"/>
  <c r="AF264" i="20"/>
  <c r="AG264" i="20"/>
  <c r="AA268" i="20"/>
  <c r="AC268" i="20"/>
  <c r="Y189" i="20"/>
  <c r="Y192" i="20"/>
  <c r="Z192" i="20"/>
  <c r="AK207" i="20"/>
  <c r="AB189" i="20"/>
  <c r="Y197" i="20"/>
  <c r="AB197" i="20"/>
  <c r="AD190" i="20"/>
  <c r="AA197" i="20"/>
  <c r="Z196" i="20"/>
  <c r="AA191" i="20"/>
  <c r="AE192" i="20"/>
  <c r="AC197" i="20"/>
  <c r="Y191" i="20"/>
  <c r="AA189" i="20"/>
  <c r="AA190" i="20"/>
  <c r="Y193" i="20"/>
  <c r="AE197" i="20"/>
  <c r="AD192" i="20"/>
  <c r="AC195" i="20"/>
  <c r="AG197" i="20"/>
  <c r="AK196" i="20"/>
  <c r="AE193" i="20"/>
  <c r="AF212" i="20"/>
  <c r="Y212" i="20"/>
  <c r="Y210" i="20"/>
  <c r="Y231" i="20"/>
  <c r="Z260" i="20"/>
  <c r="Z229" i="20"/>
  <c r="Z282" i="20"/>
  <c r="AA238" i="20"/>
  <c r="AA289" i="20"/>
  <c r="AB252" i="20"/>
  <c r="AB284" i="20"/>
  <c r="AB289" i="20"/>
  <c r="AC205" i="20"/>
  <c r="AC279" i="20"/>
  <c r="AD217" i="20"/>
  <c r="Y211" i="20"/>
  <c r="Y226" i="20"/>
  <c r="Z259" i="20"/>
  <c r="Z231" i="20"/>
  <c r="AA260" i="20"/>
  <c r="AA229" i="20"/>
  <c r="AA282" i="20"/>
  <c r="AB204" i="20"/>
  <c r="AB285" i="20"/>
  <c r="AB292" i="20"/>
  <c r="AC218" i="20"/>
  <c r="AC277" i="20"/>
  <c r="AD216" i="20"/>
  <c r="AD280" i="20"/>
  <c r="AE217" i="20"/>
  <c r="AE198" i="20"/>
  <c r="AF199" i="20"/>
  <c r="AF274" i="20"/>
  <c r="AG232" i="20"/>
  <c r="AG284" i="20"/>
  <c r="Y236" i="20"/>
  <c r="Z211" i="20"/>
  <c r="AA210" i="20"/>
  <c r="AB259" i="20"/>
  <c r="AB213" i="20"/>
  <c r="AC240" i="20"/>
  <c r="AD205" i="20"/>
  <c r="AE210" i="20"/>
  <c r="AE274" i="20"/>
  <c r="AF218" i="20"/>
  <c r="AG260" i="20"/>
  <c r="AG194" i="20"/>
  <c r="AK237" i="20"/>
  <c r="AK194" i="20"/>
  <c r="AK289" i="20"/>
  <c r="Y274" i="20"/>
  <c r="Z213" i="20"/>
  <c r="AA285" i="20"/>
  <c r="AB241" i="20"/>
  <c r="AC211" i="20"/>
  <c r="AC289" i="20"/>
  <c r="AD277" i="20"/>
  <c r="AE240" i="20"/>
  <c r="AF210" i="20"/>
  <c r="AF198" i="20"/>
  <c r="AG205" i="20"/>
  <c r="AG287" i="20"/>
  <c r="AK204" i="20"/>
  <c r="AK213" i="20"/>
  <c r="I133" i="86" s="1"/>
  <c r="L133" i="86" s="1"/>
  <c r="Y205" i="20"/>
  <c r="AA216" i="20"/>
  <c r="AB276" i="20"/>
  <c r="AD226" i="20"/>
  <c r="AE276" i="20"/>
  <c r="AG236" i="20"/>
  <c r="AK210" i="20"/>
  <c r="AK273" i="20"/>
  <c r="Z226" i="20"/>
  <c r="AB205" i="20"/>
  <c r="AC276" i="20"/>
  <c r="AE205" i="20"/>
  <c r="AF285" i="20"/>
  <c r="AG273" i="20"/>
  <c r="AK198" i="20"/>
  <c r="Z199" i="20"/>
  <c r="AB245" i="20"/>
  <c r="AC226" i="20"/>
  <c r="AE235" i="20"/>
  <c r="AF240" i="20"/>
  <c r="AE204" i="20"/>
  <c r="AK236" i="20"/>
  <c r="AA240" i="20"/>
  <c r="AF291" i="20"/>
  <c r="Y282" i="20"/>
  <c r="Y253" i="20"/>
  <c r="AE285" i="20"/>
  <c r="AK199" i="20"/>
  <c r="AG211" i="20"/>
  <c r="AK219" i="20"/>
  <c r="AF281" i="20"/>
  <c r="AC273" i="20"/>
  <c r="AF273" i="20"/>
  <c r="AB281" i="20"/>
  <c r="Y209" i="20"/>
  <c r="AE290" i="20"/>
  <c r="AD214" i="20"/>
  <c r="Y219" i="20"/>
  <c r="Z203" i="20"/>
  <c r="AA278" i="20"/>
  <c r="Z202" i="20"/>
  <c r="AD206" i="20"/>
  <c r="AA288" i="20"/>
  <c r="AA286" i="20"/>
  <c r="AA241" i="20"/>
  <c r="AA245" i="20"/>
  <c r="AA271" i="20"/>
  <c r="AC227" i="20"/>
  <c r="AD256" i="20"/>
  <c r="AG271" i="20"/>
  <c r="Z292" i="20"/>
  <c r="Z234" i="20"/>
  <c r="AA201" i="20"/>
  <c r="AF256" i="20"/>
  <c r="AC253" i="20"/>
  <c r="AK214" i="20"/>
  <c r="Y286" i="20"/>
  <c r="AF214" i="20"/>
  <c r="AK279" i="20"/>
  <c r="AF252" i="20"/>
  <c r="AB242" i="20"/>
  <c r="AK230" i="20"/>
  <c r="AC214" i="20"/>
  <c r="AG201" i="20"/>
  <c r="Z256" i="20"/>
  <c r="AE227" i="20"/>
  <c r="AC271" i="20"/>
  <c r="AG230" i="20"/>
  <c r="AE281" i="20"/>
  <c r="AE273" i="20"/>
  <c r="AE209" i="20"/>
  <c r="AA252" i="20"/>
  <c r="AA253" i="20"/>
  <c r="AA208" i="20"/>
  <c r="AG228" i="20"/>
  <c r="AF239" i="20"/>
  <c r="AF275" i="20"/>
  <c r="AB271" i="20"/>
  <c r="Y279" i="20"/>
  <c r="AD290" i="20"/>
  <c r="AC233" i="20"/>
  <c r="Z281" i="20"/>
  <c r="AE230" i="20"/>
  <c r="Z228" i="20"/>
  <c r="AD245" i="20"/>
  <c r="Y234" i="20"/>
  <c r="AL676" i="20"/>
  <c r="AL841" i="20"/>
  <c r="AL527" i="20"/>
  <c r="AJ608" i="20"/>
  <c r="H42" i="86" s="1"/>
  <c r="K42" i="86" s="1"/>
  <c r="AJ79" i="20"/>
  <c r="AJ260" i="20"/>
  <c r="AJ221" i="20"/>
  <c r="AJ332" i="20"/>
  <c r="AJ723" i="20"/>
  <c r="AI573" i="20"/>
  <c r="AI685" i="20"/>
  <c r="AI187" i="20"/>
  <c r="AI610" i="20"/>
  <c r="AI792" i="20"/>
  <c r="AI504" i="20"/>
  <c r="AI452" i="20"/>
  <c r="AI232" i="20"/>
  <c r="AI841" i="20"/>
  <c r="AI832" i="20"/>
  <c r="AI568" i="20"/>
  <c r="AI884" i="20"/>
  <c r="AI335" i="20"/>
  <c r="AI799" i="20"/>
  <c r="AI214" i="20"/>
  <c r="AI527" i="20"/>
  <c r="AI681" i="20"/>
  <c r="AL291" i="20"/>
  <c r="AJ190" i="20"/>
  <c r="AI605" i="20"/>
  <c r="AI479" i="20"/>
  <c r="AI767" i="20"/>
  <c r="AI765" i="20"/>
  <c r="AJ669" i="20"/>
  <c r="AJ277" i="20"/>
  <c r="AI736" i="20"/>
  <c r="AI411" i="20"/>
  <c r="AI435" i="20"/>
  <c r="AI207" i="20"/>
  <c r="AC85" i="20"/>
  <c r="AK82" i="20"/>
  <c r="Y78" i="20"/>
  <c r="AE130" i="20"/>
  <c r="AE172" i="20"/>
  <c r="AD172" i="20"/>
  <c r="AA98" i="20"/>
  <c r="AE110" i="20"/>
  <c r="AA99" i="20"/>
  <c r="AF96" i="20"/>
  <c r="AA101" i="20"/>
  <c r="AE94" i="20"/>
  <c r="AK105" i="20"/>
  <c r="AB106" i="20"/>
  <c r="AF98" i="20"/>
  <c r="AK102" i="20"/>
  <c r="AE108" i="20"/>
  <c r="AB225" i="20"/>
  <c r="AG181" i="20"/>
  <c r="AG107" i="20"/>
  <c r="AK100" i="20"/>
  <c r="I77" i="86" s="1"/>
  <c r="L77" i="86" s="1"/>
  <c r="AD101" i="20"/>
  <c r="AB220" i="20"/>
  <c r="AG220" i="20"/>
  <c r="AD97" i="20"/>
  <c r="Z182" i="20"/>
  <c r="AA221" i="20"/>
  <c r="AE224" i="20"/>
  <c r="AB92" i="20"/>
  <c r="Z180" i="20"/>
  <c r="AG179" i="20"/>
  <c r="AG186" i="20"/>
  <c r="AC186" i="20"/>
  <c r="AC184" i="20"/>
  <c r="AC185" i="20"/>
  <c r="Y185" i="20"/>
  <c r="AE188" i="20"/>
  <c r="AE264" i="20"/>
  <c r="AG188" i="20"/>
  <c r="AK255" i="20"/>
  <c r="I119" i="86" s="1"/>
  <c r="L119" i="86" s="1"/>
  <c r="Z268" i="20"/>
  <c r="AD268" i="20"/>
  <c r="AA262" i="20"/>
  <c r="AA193" i="20"/>
  <c r="AB207" i="20"/>
  <c r="AE207" i="20"/>
  <c r="AB191" i="20"/>
  <c r="AD193" i="20"/>
  <c r="AD191" i="20"/>
  <c r="AE191" i="20"/>
  <c r="AK190" i="20"/>
  <c r="AC192" i="20"/>
  <c r="Z189" i="20"/>
  <c r="AF197" i="20"/>
  <c r="AG191" i="20"/>
  <c r="AE212" i="20"/>
  <c r="Y285" i="20"/>
  <c r="Z284" i="20"/>
  <c r="AA194" i="20"/>
  <c r="AB218" i="20"/>
  <c r="AC259" i="20"/>
  <c r="AC287" i="20"/>
  <c r="Y232" i="20"/>
  <c r="Z235" i="20"/>
  <c r="AA236" i="20"/>
  <c r="AB210" i="20"/>
  <c r="AB275" i="20"/>
  <c r="AC229" i="20"/>
  <c r="AD243" i="20"/>
  <c r="AE218" i="20"/>
  <c r="AF205" i="20"/>
  <c r="AF289" i="20"/>
  <c r="AG229" i="20"/>
  <c r="Y218" i="20"/>
  <c r="Z194" i="20"/>
  <c r="AA277" i="20"/>
  <c r="AB273" i="20"/>
  <c r="AC272" i="20"/>
  <c r="AD291" i="20"/>
  <c r="AE287" i="20"/>
  <c r="AF213" i="20"/>
  <c r="AG240" i="20"/>
  <c r="AK216" i="20"/>
  <c r="AK280" i="20"/>
  <c r="Y238" i="20"/>
  <c r="Z291" i="20"/>
  <c r="AB211" i="20"/>
  <c r="AB288" i="20"/>
  <c r="AD232" i="20"/>
  <c r="AE211" i="20"/>
  <c r="AE291" i="20"/>
  <c r="AF287" i="20"/>
  <c r="AG285" i="20"/>
  <c r="AK232" i="20"/>
  <c r="AK277" i="20"/>
  <c r="Z204" i="20"/>
  <c r="AB229" i="20"/>
  <c r="AD272" i="20"/>
  <c r="AF229" i="20"/>
  <c r="AG282" i="20"/>
  <c r="Y245" i="20"/>
  <c r="AA231" i="20"/>
  <c r="AC243" i="20"/>
  <c r="AE213" i="20"/>
  <c r="AG216" i="20"/>
  <c r="AK226" i="20"/>
  <c r="I132" i="86" s="1"/>
  <c r="L132" i="86" s="1"/>
  <c r="Z274" i="20"/>
  <c r="AB280" i="20"/>
  <c r="AD276" i="20"/>
  <c r="Z238" i="20"/>
  <c r="AG217" i="20"/>
  <c r="Y229" i="20"/>
  <c r="AG231" i="20"/>
  <c r="AF216" i="20"/>
  <c r="AD199" i="20"/>
  <c r="AK284" i="20"/>
  <c r="AK259" i="20"/>
  <c r="AK292" i="20"/>
  <c r="AE214" i="20"/>
  <c r="AF203" i="20"/>
  <c r="AB219" i="20"/>
  <c r="AG290" i="20"/>
  <c r="AG242" i="20"/>
  <c r="AG256" i="20"/>
  <c r="AC281" i="20"/>
  <c r="AC230" i="20"/>
  <c r="AA292" i="20"/>
  <c r="AA209" i="20"/>
  <c r="Z237" i="20"/>
  <c r="AC292" i="20"/>
  <c r="AD242" i="20"/>
  <c r="AE206" i="20"/>
  <c r="AC239" i="20"/>
  <c r="Z252" i="20"/>
  <c r="AG253" i="20"/>
  <c r="AF241" i="20"/>
  <c r="AK242" i="20"/>
  <c r="AK275" i="20"/>
  <c r="AC203" i="20"/>
  <c r="AF253" i="20"/>
  <c r="AA233" i="20"/>
  <c r="AG278" i="20"/>
  <c r="AC219" i="20"/>
  <c r="AD203" i="20"/>
  <c r="AG281" i="20"/>
  <c r="AC206" i="20"/>
  <c r="AE292" i="20"/>
  <c r="AE286" i="20"/>
  <c r="AD237" i="20"/>
  <c r="AE208" i="20"/>
  <c r="AK234" i="20"/>
  <c r="AA214" i="20"/>
  <c r="AF200" i="20"/>
  <c r="AE242" i="20"/>
  <c r="AG214" i="20"/>
  <c r="AG241" i="20"/>
  <c r="AG206" i="20"/>
  <c r="Z241" i="20"/>
  <c r="AG234" i="20"/>
  <c r="AK256" i="20"/>
  <c r="Y228" i="20"/>
  <c r="AB206" i="20"/>
  <c r="Z219" i="20"/>
  <c r="AD288" i="20"/>
  <c r="AE239" i="20"/>
  <c r="Y278" i="20"/>
  <c r="Z271" i="20"/>
  <c r="AD252" i="20"/>
  <c r="Y201" i="20"/>
  <c r="AG202" i="20"/>
  <c r="AD228" i="20"/>
  <c r="AK239" i="20"/>
  <c r="Y281" i="20"/>
  <c r="AD275" i="20"/>
  <c r="AC527" i="20"/>
  <c r="Z525" i="20"/>
  <c r="AE528" i="20"/>
  <c r="AA526" i="20"/>
  <c r="AA527" i="20"/>
  <c r="Y529" i="20"/>
  <c r="AF526" i="20"/>
  <c r="AG527" i="20"/>
  <c r="AK529" i="20"/>
  <c r="AB526" i="20"/>
  <c r="AD527" i="20"/>
  <c r="AC526" i="20"/>
  <c r="AF529" i="20"/>
  <c r="Y305" i="20"/>
  <c r="AA305" i="20"/>
  <c r="AD308" i="20"/>
  <c r="Z308" i="20"/>
  <c r="Y303" i="20"/>
  <c r="AK303" i="20"/>
  <c r="M15" i="37" s="1"/>
  <c r="Y308" i="20"/>
  <c r="Y328" i="20"/>
  <c r="Z329" i="20"/>
  <c r="Z461" i="20"/>
  <c r="AA427" i="20"/>
  <c r="AB335" i="20"/>
  <c r="AB469" i="20"/>
  <c r="AC334" i="20"/>
  <c r="AC440" i="20"/>
  <c r="AD458" i="20"/>
  <c r="AE475" i="20"/>
  <c r="AE432" i="20"/>
  <c r="AF350" i="20"/>
  <c r="AF439" i="20"/>
  <c r="AG458" i="20"/>
  <c r="AK346" i="20"/>
  <c r="Y446" i="20"/>
  <c r="Z334" i="20"/>
  <c r="Z440" i="20"/>
  <c r="AA448" i="20"/>
  <c r="AB329" i="20"/>
  <c r="AB462" i="20"/>
  <c r="AC327" i="20"/>
  <c r="AC439" i="20"/>
  <c r="AD441" i="20"/>
  <c r="AE338" i="20"/>
  <c r="AE440" i="20"/>
  <c r="AF427" i="20"/>
  <c r="AF317" i="20"/>
  <c r="AG441" i="20"/>
  <c r="AK469" i="20"/>
  <c r="Y475" i="20"/>
  <c r="Z327" i="20"/>
  <c r="Z439" i="20"/>
  <c r="AA346" i="20"/>
  <c r="AB333" i="20"/>
  <c r="AB465" i="20"/>
  <c r="AC337" i="20"/>
  <c r="AD335" i="20"/>
  <c r="AD471" i="20"/>
  <c r="AE350" i="20"/>
  <c r="AE439" i="20"/>
  <c r="AF448" i="20"/>
  <c r="AG335" i="20"/>
  <c r="AG471" i="20"/>
  <c r="AK465" i="20"/>
  <c r="Y350" i="20"/>
  <c r="Z337" i="20"/>
  <c r="AA335" i="20"/>
  <c r="AA469" i="20"/>
  <c r="AB334" i="20"/>
  <c r="AB438" i="20"/>
  <c r="AC328" i="20"/>
  <c r="AD329" i="20"/>
  <c r="AD461" i="20"/>
  <c r="AE427" i="20"/>
  <c r="AE317" i="20"/>
  <c r="AF346" i="20"/>
  <c r="AG329" i="20"/>
  <c r="AG461" i="20"/>
  <c r="AK438" i="20"/>
  <c r="AF326" i="20"/>
  <c r="Z330" i="20"/>
  <c r="AA437" i="20"/>
  <c r="AK336" i="20"/>
  <c r="AF429" i="20"/>
  <c r="AG459" i="20"/>
  <c r="Z326" i="20"/>
  <c r="AK317" i="20"/>
  <c r="AG338" i="20"/>
  <c r="Y352" i="20"/>
  <c r="AC436" i="20"/>
  <c r="Z437" i="20"/>
  <c r="AE336" i="20"/>
  <c r="AK324" i="20"/>
  <c r="I26" i="86" s="1"/>
  <c r="L26" i="86" s="1"/>
  <c r="AK459" i="20"/>
  <c r="AD326" i="20"/>
  <c r="AK432" i="20"/>
  <c r="AG330" i="20"/>
  <c r="Y468" i="20"/>
  <c r="AE436" i="20"/>
  <c r="Z317" i="20"/>
  <c r="Z325" i="20"/>
  <c r="AA429" i="20"/>
  <c r="AA331" i="20"/>
  <c r="AF331" i="20"/>
  <c r="AA435" i="20"/>
  <c r="AK352" i="20"/>
  <c r="AG325" i="20"/>
  <c r="Y462" i="20"/>
  <c r="AD325" i="20"/>
  <c r="AG324" i="20"/>
  <c r="AD429" i="20"/>
  <c r="Z331" i="20"/>
  <c r="Z473" i="20"/>
  <c r="AK435" i="20"/>
  <c r="AB324" i="20"/>
  <c r="AK330" i="20"/>
  <c r="AC468" i="20"/>
  <c r="Y333" i="20"/>
  <c r="AK436" i="20"/>
  <c r="AE250" i="20"/>
  <c r="AG249" i="20"/>
  <c r="Y249" i="20"/>
  <c r="Z263" i="20"/>
  <c r="AE244" i="20"/>
  <c r="Z251" i="20"/>
  <c r="Z269" i="20"/>
  <c r="Z247" i="20"/>
  <c r="Z270" i="20"/>
  <c r="AF244" i="20"/>
  <c r="AD246" i="20"/>
  <c r="AC265" i="20"/>
  <c r="AK248" i="20"/>
  <c r="AC251" i="20"/>
  <c r="AK269" i="20"/>
  <c r="Y315" i="20"/>
  <c r="AC315" i="20"/>
  <c r="AG315" i="20"/>
  <c r="AD251" i="20"/>
  <c r="AK246" i="20"/>
  <c r="AC246" i="20"/>
  <c r="AG270" i="20"/>
  <c r="AK247" i="20"/>
  <c r="AC266" i="20"/>
  <c r="Y304" i="20"/>
  <c r="AC304" i="20"/>
  <c r="AG304" i="20"/>
  <c r="AF247" i="20"/>
  <c r="Y246" i="20"/>
  <c r="AK265" i="20"/>
  <c r="AE251" i="20"/>
  <c r="AE269" i="20"/>
  <c r="Y307" i="20"/>
  <c r="AC307" i="20"/>
  <c r="AG307" i="20"/>
  <c r="AK244" i="20"/>
  <c r="AA246" i="20"/>
  <c r="AF265" i="20"/>
  <c r="AL657" i="20"/>
  <c r="AJ443" i="20"/>
  <c r="AI222" i="20"/>
  <c r="AI574" i="20"/>
  <c r="AI812" i="20"/>
  <c r="AI331" i="20"/>
  <c r="AI634" i="20"/>
  <c r="AB82" i="20"/>
  <c r="Z79" i="20"/>
  <c r="AF86" i="20"/>
  <c r="AD132" i="20"/>
  <c r="AK130" i="20"/>
  <c r="AA172" i="20"/>
  <c r="Z129" i="20"/>
  <c r="AB111" i="20"/>
  <c r="AK99" i="20"/>
  <c r="AB100" i="20"/>
  <c r="AK101" i="20"/>
  <c r="AB109" i="20"/>
  <c r="AF108" i="20"/>
  <c r="Z109" i="20"/>
  <c r="AD106" i="20"/>
  <c r="AK106" i="20"/>
  <c r="AG111" i="20"/>
  <c r="Y181" i="20"/>
  <c r="AE225" i="20"/>
  <c r="AA93" i="20"/>
  <c r="Y96" i="20"/>
  <c r="AD102" i="20"/>
  <c r="Y220" i="20"/>
  <c r="AE223" i="20"/>
  <c r="AG100" i="20"/>
  <c r="AE93" i="20"/>
  <c r="AC224" i="20"/>
  <c r="AK182" i="20"/>
  <c r="AA222" i="20"/>
  <c r="AF221" i="20"/>
  <c r="AB183" i="20"/>
  <c r="Y184" i="20"/>
  <c r="AG183" i="20"/>
  <c r="AA179" i="20"/>
  <c r="AK180" i="20"/>
  <c r="AA184" i="20"/>
  <c r="AE187" i="20"/>
  <c r="Z187" i="20"/>
  <c r="Z188" i="20"/>
  <c r="Y268" i="20"/>
  <c r="AK268" i="20"/>
  <c r="AE267" i="20"/>
  <c r="Z258" i="20"/>
  <c r="Y267" i="20"/>
  <c r="AA192" i="20"/>
  <c r="AE189" i="20"/>
  <c r="Z207" i="20"/>
  <c r="AK195" i="20"/>
  <c r="AG196" i="20"/>
  <c r="AD195" i="20"/>
  <c r="AB196" i="20"/>
  <c r="AD197" i="20"/>
  <c r="Y196" i="20"/>
  <c r="AC193" i="20"/>
  <c r="AC190" i="20"/>
  <c r="AK212" i="20"/>
  <c r="Y235" i="20"/>
  <c r="Z236" i="20"/>
  <c r="AA211" i="20"/>
  <c r="AB253" i="20"/>
  <c r="AB274" i="20"/>
  <c r="AC238" i="20"/>
  <c r="AD218" i="20"/>
  <c r="Y213" i="20"/>
  <c r="Z285" i="20"/>
  <c r="AA284" i="20"/>
  <c r="AB243" i="20"/>
  <c r="AC210" i="20"/>
  <c r="AC291" i="20"/>
  <c r="AD287" i="20"/>
  <c r="AE272" i="20"/>
  <c r="AF194" i="20"/>
  <c r="AG252" i="20"/>
  <c r="AG276" i="20"/>
  <c r="Y272" i="20"/>
  <c r="AA204" i="20"/>
  <c r="AB203" i="20"/>
  <c r="AC199" i="20"/>
  <c r="AD194" i="20"/>
  <c r="AE243" i="20"/>
  <c r="AF232" i="20"/>
  <c r="AG235" i="20"/>
  <c r="AG272" i="20"/>
  <c r="AK238" i="20"/>
  <c r="Y259" i="20"/>
  <c r="Z232" i="20"/>
  <c r="AA243" i="20"/>
  <c r="AB194" i="20"/>
  <c r="AC231" i="20"/>
  <c r="AD284" i="20"/>
  <c r="AE194" i="20"/>
  <c r="AF243" i="20"/>
  <c r="AG199" i="20"/>
  <c r="AK260" i="20"/>
  <c r="AK229" i="20"/>
  <c r="AK282" i="20"/>
  <c r="AA280" i="20"/>
  <c r="AC284" i="20"/>
  <c r="AE231" i="20"/>
  <c r="AG243" i="20"/>
  <c r="AK240" i="20"/>
  <c r="Z210" i="20"/>
  <c r="AB286" i="20"/>
  <c r="AD274" i="20"/>
  <c r="AF204" i="20"/>
  <c r="AK235" i="20"/>
  <c r="Y217" i="20"/>
  <c r="AA213" i="20"/>
  <c r="AC282" i="20"/>
  <c r="AE277" i="20"/>
  <c r="AC280" i="20"/>
  <c r="AK231" i="20"/>
  <c r="AD213" i="20"/>
  <c r="AK274" i="20"/>
  <c r="I110" i="86" s="1"/>
  <c r="L110" i="86" s="1"/>
  <c r="Z289" i="20"/>
  <c r="AG203" i="20"/>
  <c r="AD282" i="20"/>
  <c r="Y241" i="20"/>
  <c r="AF230" i="20"/>
  <c r="AG209" i="20"/>
  <c r="AB202" i="20"/>
  <c r="AK281" i="20"/>
  <c r="Y214" i="20"/>
  <c r="AD219" i="20"/>
  <c r="AE278" i="20"/>
  <c r="AD271" i="20"/>
  <c r="Z239" i="20"/>
  <c r="AA279" i="20"/>
  <c r="AA234" i="20"/>
  <c r="AG292" i="20"/>
  <c r="AB208" i="20"/>
  <c r="Y256" i="20"/>
  <c r="Y208" i="20"/>
  <c r="Z275" i="20"/>
  <c r="AE201" i="20"/>
  <c r="AK252" i="20"/>
  <c r="AB256" i="20"/>
  <c r="Y288" i="20"/>
  <c r="AF242" i="20"/>
  <c r="AF279" i="20"/>
  <c r="AB214" i="20"/>
  <c r="Y273" i="20"/>
  <c r="AD227" i="20"/>
  <c r="AD233" i="20"/>
  <c r="AC286" i="20"/>
  <c r="AD202" i="20"/>
  <c r="AD239" i="20"/>
  <c r="AE279" i="20"/>
  <c r="AE234" i="20"/>
  <c r="AE245" i="20"/>
  <c r="Y275" i="20"/>
  <c r="AF208" i="20"/>
  <c r="AF292" i="20"/>
  <c r="AB201" i="20"/>
  <c r="AK206" i="20"/>
  <c r="Z201" i="20"/>
  <c r="AC202" i="20"/>
  <c r="Z279" i="20"/>
  <c r="AA200" i="20"/>
  <c r="AK278" i="20"/>
  <c r="AF278" i="20"/>
  <c r="AF237" i="20"/>
  <c r="AC290" i="20"/>
  <c r="AD281" i="20"/>
  <c r="AD241" i="20"/>
  <c r="Y200" i="20"/>
  <c r="AG233" i="20"/>
  <c r="AD273" i="20"/>
  <c r="AK202" i="20"/>
  <c r="AA202" i="20"/>
  <c r="AA281" i="20"/>
  <c r="AD253" i="20"/>
  <c r="AD201" i="20"/>
  <c r="AG239" i="20"/>
  <c r="AG200" i="20"/>
  <c r="AD528" i="20"/>
  <c r="AA525" i="20"/>
  <c r="AD526" i="20"/>
  <c r="AK527" i="20"/>
  <c r="AF528" i="20"/>
  <c r="AB529" i="20"/>
  <c r="AB525" i="20"/>
  <c r="AG528" i="20"/>
  <c r="Y526" i="20"/>
  <c r="AF525" i="20"/>
  <c r="Z528" i="20"/>
  <c r="AE527" i="20"/>
  <c r="AA308" i="20"/>
  <c r="AA303" i="20"/>
  <c r="AK305" i="20"/>
  <c r="I39" i="86" s="1"/>
  <c r="L39" i="86" s="1"/>
  <c r="AG305" i="20"/>
  <c r="AC305" i="20"/>
  <c r="AK308" i="20"/>
  <c r="AD303" i="20"/>
  <c r="F15" i="37" s="1"/>
  <c r="AC308" i="20"/>
  <c r="Y438" i="20"/>
  <c r="Z427" i="20"/>
  <c r="AA325" i="20"/>
  <c r="AA458" i="20"/>
  <c r="AB330" i="20"/>
  <c r="AB471" i="20"/>
  <c r="AC346" i="20"/>
  <c r="AD446" i="20"/>
  <c r="AE333" i="20"/>
  <c r="AE465" i="20"/>
  <c r="AF327" i="20"/>
  <c r="AF468" i="20"/>
  <c r="AG446" i="20"/>
  <c r="AK334" i="20"/>
  <c r="AK440" i="20"/>
  <c r="Y458" i="20"/>
  <c r="Z346" i="20"/>
  <c r="AA337" i="20"/>
  <c r="AA441" i="20"/>
  <c r="AB446" i="20"/>
  <c r="AB461" i="20"/>
  <c r="AC469" i="20"/>
  <c r="AD475" i="20"/>
  <c r="AE334" i="20"/>
  <c r="AE438" i="20"/>
  <c r="AF325" i="20"/>
  <c r="AF458" i="20"/>
  <c r="AG475" i="20"/>
  <c r="AK327" i="20"/>
  <c r="AK439" i="20"/>
  <c r="Y441" i="20"/>
  <c r="Z469" i="20"/>
  <c r="AA328" i="20"/>
  <c r="AA352" i="20"/>
  <c r="AB475" i="20"/>
  <c r="AB432" i="20"/>
  <c r="AC465" i="20"/>
  <c r="AD350" i="20"/>
  <c r="AE327" i="20"/>
  <c r="AE468" i="20"/>
  <c r="AF337" i="20"/>
  <c r="AF441" i="20"/>
  <c r="AG350" i="20"/>
  <c r="AK337" i="20"/>
  <c r="Y335" i="20"/>
  <c r="Y471" i="20"/>
  <c r="Z465" i="20"/>
  <c r="AA330" i="20"/>
  <c r="AA471" i="20"/>
  <c r="AB338" i="20"/>
  <c r="AB440" i="20"/>
  <c r="AC438" i="20"/>
  <c r="AD427" i="20"/>
  <c r="AE325" i="20"/>
  <c r="AE458" i="20"/>
  <c r="AF328" i="20"/>
  <c r="AF352" i="20"/>
  <c r="AG427" i="20"/>
  <c r="AK328" i="20"/>
  <c r="Z436" i="20"/>
  <c r="Z468" i="20"/>
  <c r="AE324" i="20"/>
  <c r="Y437" i="20"/>
  <c r="AD331" i="20"/>
  <c r="AD473" i="20"/>
  <c r="Z435" i="20"/>
  <c r="AB473" i="20"/>
  <c r="AK325" i="20"/>
  <c r="AC462" i="20"/>
  <c r="AD352" i="20"/>
  <c r="AD324" i="20"/>
  <c r="AG429" i="20"/>
  <c r="AG336" i="20"/>
  <c r="AE459" i="20"/>
  <c r="AD435" i="20"/>
  <c r="AB437" i="20"/>
  <c r="AK333" i="20"/>
  <c r="AC448" i="20"/>
  <c r="AD468" i="20"/>
  <c r="AF473" i="20"/>
  <c r="Z462" i="20"/>
  <c r="AC324" i="20"/>
  <c r="AC429" i="20"/>
  <c r="AC331" i="20"/>
  <c r="AC473" i="20"/>
  <c r="AB459" i="20"/>
  <c r="AG317" i="20"/>
  <c r="AC338" i="20"/>
  <c r="AD317" i="20"/>
  <c r="AB436" i="20"/>
  <c r="AC437" i="20"/>
  <c r="AC336" i="20"/>
  <c r="AF437" i="20"/>
  <c r="Y459" i="20"/>
  <c r="AG326" i="20"/>
  <c r="AB331" i="20"/>
  <c r="AG448" i="20"/>
  <c r="Y432" i="20"/>
  <c r="AD448" i="20"/>
  <c r="AG436" i="20"/>
  <c r="Z250" i="20"/>
  <c r="Y244" i="20"/>
  <c r="AD249" i="20"/>
  <c r="Y269" i="20"/>
  <c r="Y251" i="20"/>
  <c r="AK251" i="20"/>
  <c r="Y247" i="20"/>
  <c r="AG250" i="20"/>
  <c r="AF251" i="20"/>
  <c r="AB269" i="20"/>
  <c r="AB250" i="20"/>
  <c r="AA265" i="20"/>
  <c r="AC248" i="20"/>
  <c r="AA263" i="20"/>
  <c r="AD283" i="20"/>
  <c r="AA315" i="20"/>
  <c r="AE315" i="20"/>
  <c r="AB251" i="20"/>
  <c r="AC244" i="20"/>
  <c r="Y265" i="20"/>
  <c r="AK250" i="20"/>
  <c r="Z244" i="20"/>
  <c r="AC247" i="20"/>
  <c r="AG269" i="20"/>
  <c r="AA304" i="20"/>
  <c r="AE304" i="20"/>
  <c r="AF283" i="20"/>
  <c r="AE265" i="20"/>
  <c r="AB265" i="20"/>
  <c r="AE248" i="20"/>
  <c r="AK263" i="20"/>
  <c r="AE283" i="20"/>
  <c r="AA307" i="20"/>
  <c r="AE307" i="20"/>
  <c r="AB244" i="20"/>
  <c r="AE249" i="20"/>
  <c r="AF250" i="20"/>
  <c r="AJ677" i="20"/>
  <c r="AI506" i="20"/>
  <c r="AG82" i="20"/>
  <c r="AK91" i="20"/>
  <c r="AB131" i="20"/>
  <c r="AB129" i="20"/>
  <c r="AF106" i="20"/>
  <c r="AF107" i="20"/>
  <c r="AE107" i="20"/>
  <c r="AB110" i="20"/>
  <c r="AG108" i="20"/>
  <c r="AC225" i="20"/>
  <c r="AD108" i="20"/>
  <c r="AA92" i="20"/>
  <c r="AK220" i="20"/>
  <c r="AA224" i="20"/>
  <c r="AF224" i="20"/>
  <c r="AF186" i="20"/>
  <c r="Y186" i="20"/>
  <c r="AK185" i="20"/>
  <c r="AG187" i="20"/>
  <c r="AB268" i="20"/>
  <c r="AD264" i="20"/>
  <c r="Z264" i="20"/>
  <c r="AC189" i="20"/>
  <c r="AK192" i="20"/>
  <c r="Z197" i="20"/>
  <c r="Z191" i="20"/>
  <c r="AG195" i="20"/>
  <c r="AA196" i="20"/>
  <c r="AD212" i="20"/>
  <c r="Z198" i="20"/>
  <c r="AB238" i="20"/>
  <c r="AD260" i="20"/>
  <c r="Z216" i="20"/>
  <c r="AB235" i="20"/>
  <c r="AC209" i="20"/>
  <c r="AE229" i="20"/>
  <c r="AG210" i="20"/>
  <c r="Y284" i="20"/>
  <c r="AB232" i="20"/>
  <c r="AD211" i="20"/>
  <c r="AF259" i="20"/>
  <c r="AG280" i="20"/>
  <c r="AK272" i="20"/>
  <c r="AA235" i="20"/>
  <c r="AC252" i="20"/>
  <c r="AE216" i="20"/>
  <c r="AG259" i="20"/>
  <c r="AK243" i="20"/>
  <c r="Z277" i="20"/>
  <c r="AE232" i="20"/>
  <c r="AK217" i="20"/>
  <c r="AB260" i="20"/>
  <c r="AF260" i="20"/>
  <c r="AK291" i="20"/>
  <c r="I7" i="86" s="1"/>
  <c r="L7" i="86" s="1"/>
  <c r="AC245" i="20"/>
  <c r="AB216" i="20"/>
  <c r="AB291" i="20"/>
  <c r="AK241" i="20"/>
  <c r="AA291" i="20"/>
  <c r="AF202" i="20"/>
  <c r="AF245" i="20"/>
  <c r="AC278" i="20"/>
  <c r="AG288" i="20"/>
  <c r="Y206" i="20"/>
  <c r="AA228" i="20"/>
  <c r="Y292" i="20"/>
  <c r="AA256" i="20"/>
  <c r="Z253" i="20"/>
  <c r="AB227" i="20"/>
  <c r="AF290" i="20"/>
  <c r="AB290" i="20"/>
  <c r="Y227" i="20"/>
  <c r="AG286" i="20"/>
  <c r="Y239" i="20"/>
  <c r="AE228" i="20"/>
  <c r="AC275" i="20"/>
  <c r="AK228" i="20"/>
  <c r="AK271" i="20"/>
  <c r="AC241" i="20"/>
  <c r="AE252" i="20"/>
  <c r="AK200" i="20"/>
  <c r="AA242" i="20"/>
  <c r="AD286" i="20"/>
  <c r="AC242" i="20"/>
  <c r="AC200" i="20"/>
  <c r="Z206" i="20"/>
  <c r="Z214" i="20"/>
  <c r="AD234" i="20"/>
  <c r="AE526" i="20"/>
  <c r="AK525" i="20"/>
  <c r="AE529" i="20"/>
  <c r="AB527" i="20"/>
  <c r="AG526" i="20"/>
  <c r="Y527" i="20"/>
  <c r="AE305" i="20"/>
  <c r="AB305" i="20"/>
  <c r="Z303" i="20"/>
  <c r="AG303" i="20"/>
  <c r="I15" i="37" s="1"/>
  <c r="Z328" i="20"/>
  <c r="AA462" i="20"/>
  <c r="AB468" i="20"/>
  <c r="AD334" i="20"/>
  <c r="AE448" i="20"/>
  <c r="AF469" i="20"/>
  <c r="AG440" i="20"/>
  <c r="Y346" i="20"/>
  <c r="AA333" i="20"/>
  <c r="AB325" i="20"/>
  <c r="AC475" i="20"/>
  <c r="AD439" i="20"/>
  <c r="AF329" i="20"/>
  <c r="AG327" i="20"/>
  <c r="AK441" i="20"/>
  <c r="Z475" i="20"/>
  <c r="AA438" i="20"/>
  <c r="AB441" i="20"/>
  <c r="AD337" i="20"/>
  <c r="AE469" i="20"/>
  <c r="AF465" i="20"/>
  <c r="AK335" i="20"/>
  <c r="Y465" i="20"/>
  <c r="AA327" i="20"/>
  <c r="AB328" i="20"/>
  <c r="AC427" i="20"/>
  <c r="AE329" i="20"/>
  <c r="AF334" i="20"/>
  <c r="AG328" i="20"/>
  <c r="AK461" i="20"/>
  <c r="Z333" i="20"/>
  <c r="Y336" i="20"/>
  <c r="AC459" i="20"/>
  <c r="AK462" i="20"/>
  <c r="Y338" i="20"/>
  <c r="AG437" i="20"/>
  <c r="AF336" i="20"/>
  <c r="AK326" i="20"/>
  <c r="AC432" i="20"/>
  <c r="AA436" i="20"/>
  <c r="AA317" i="20"/>
  <c r="AK331" i="20"/>
  <c r="AC435" i="20"/>
  <c r="AC352" i="20"/>
  <c r="Y436" i="20"/>
  <c r="AK429" i="20"/>
  <c r="AG473" i="20"/>
  <c r="AB435" i="20"/>
  <c r="AC330" i="20"/>
  <c r="AD436" i="20"/>
  <c r="Y270" i="20"/>
  <c r="Z265" i="20"/>
  <c r="AF266" i="20"/>
  <c r="AB266" i="20"/>
  <c r="AC249" i="20"/>
  <c r="AF270" i="20"/>
  <c r="AG263" i="20"/>
  <c r="Z315" i="20"/>
  <c r="AK315" i="20"/>
  <c r="AA249" i="20"/>
  <c r="AA270" i="20"/>
  <c r="AB263" i="20"/>
  <c r="AD304" i="20"/>
  <c r="AA244" i="20"/>
  <c r="Z248" i="20"/>
  <c r="AC269" i="20"/>
  <c r="AD307" i="20"/>
  <c r="AK249" i="20"/>
  <c r="AF248" i="20"/>
  <c r="AA266" i="20"/>
  <c r="AG283" i="20"/>
  <c r="AB312" i="20"/>
  <c r="AG312" i="20"/>
  <c r="AD314" i="20"/>
  <c r="AB314" i="20"/>
  <c r="AC310" i="20"/>
  <c r="AG314" i="20"/>
  <c r="AG345" i="20"/>
  <c r="Y311" i="20"/>
  <c r="AC345" i="20"/>
  <c r="AG310" i="20"/>
  <c r="Y464" i="20"/>
  <c r="AD311" i="20"/>
  <c r="AB310" i="20"/>
  <c r="AD306" i="20"/>
  <c r="AG464" i="20"/>
  <c r="AK310" i="20"/>
  <c r="AA311" i="20"/>
  <c r="AD301" i="20"/>
  <c r="AD464" i="20"/>
  <c r="AA301" i="20"/>
  <c r="AF452" i="20"/>
  <c r="AC454" i="20"/>
  <c r="AD454" i="20"/>
  <c r="AD451" i="20"/>
  <c r="Y451" i="20"/>
  <c r="AE463" i="20"/>
  <c r="AA452" i="20"/>
  <c r="AK454" i="20"/>
  <c r="AA463" i="20"/>
  <c r="AK451" i="20"/>
  <c r="AB463" i="20"/>
  <c r="AC442" i="20"/>
  <c r="AC452" i="20"/>
  <c r="AG467" i="20"/>
  <c r="Z451" i="20"/>
  <c r="AG321" i="20"/>
  <c r="AA322" i="20"/>
  <c r="AC320" i="20"/>
  <c r="AK322" i="20"/>
  <c r="AD321" i="20"/>
  <c r="AA319" i="20"/>
  <c r="AB320" i="20"/>
  <c r="Z321" i="20"/>
  <c r="AA320" i="20"/>
  <c r="Z322" i="20"/>
  <c r="AC299" i="20"/>
  <c r="AD298" i="20"/>
  <c r="AE296" i="20"/>
  <c r="AK299" i="20"/>
  <c r="AK295" i="20"/>
  <c r="Z300" i="20"/>
  <c r="AB299" i="20"/>
  <c r="AA298" i="20"/>
  <c r="AB300" i="20"/>
  <c r="AA299" i="20"/>
  <c r="AE298" i="20"/>
  <c r="AC300" i="20"/>
  <c r="AA344" i="20"/>
  <c r="AB341" i="20"/>
  <c r="AA340" i="20"/>
  <c r="AE344" i="20"/>
  <c r="AC341" i="20"/>
  <c r="AC342" i="20"/>
  <c r="AK341" i="20"/>
  <c r="AE343" i="20"/>
  <c r="AG342" i="20"/>
  <c r="AK344" i="20"/>
  <c r="AD343" i="20"/>
  <c r="AK340" i="20"/>
  <c r="AC340" i="20"/>
  <c r="AE424" i="20"/>
  <c r="AG418" i="20"/>
  <c r="AK411" i="20"/>
  <c r="Y354" i="20"/>
  <c r="AD394" i="20"/>
  <c r="AC647" i="20"/>
  <c r="AA639" i="20"/>
  <c r="AG635" i="20"/>
  <c r="Y347" i="20"/>
  <c r="AB360" i="20"/>
  <c r="AE431" i="20"/>
  <c r="AK453" i="20"/>
  <c r="AK466" i="20"/>
  <c r="AD478" i="20"/>
  <c r="AF489" i="20"/>
  <c r="Z508" i="20"/>
  <c r="AB424" i="20"/>
  <c r="AG411" i="20"/>
  <c r="AK354" i="20"/>
  <c r="Z371" i="20"/>
  <c r="AA643" i="20"/>
  <c r="Y639" i="20"/>
  <c r="AK302" i="20"/>
  <c r="AG407" i="20"/>
  <c r="AD443" i="20"/>
  <c r="AE466" i="20"/>
  <c r="AF472" i="20"/>
  <c r="AE489" i="20"/>
  <c r="AK508" i="20"/>
  <c r="AC501" i="20"/>
  <c r="AE497" i="20"/>
  <c r="AK509" i="20"/>
  <c r="AC368" i="20"/>
  <c r="AE411" i="20"/>
  <c r="Z394" i="20"/>
  <c r="Z647" i="20"/>
  <c r="AB639" i="20"/>
  <c r="Y302" i="20"/>
  <c r="AB347" i="20"/>
  <c r="AC360" i="20"/>
  <c r="AB443" i="20"/>
  <c r="AE472" i="20"/>
  <c r="AA491" i="20"/>
  <c r="AK504" i="20"/>
  <c r="AE501" i="20"/>
  <c r="AD509" i="20"/>
  <c r="AF516" i="20"/>
  <c r="AF512" i="20"/>
  <c r="AK539" i="20"/>
  <c r="Z552" i="20"/>
  <c r="Z562" i="20"/>
  <c r="AG567" i="20"/>
  <c r="AG581" i="20"/>
  <c r="Z593" i="20"/>
  <c r="AK585" i="20"/>
  <c r="AD599" i="20"/>
  <c r="Y615" i="20"/>
  <c r="AF607" i="20"/>
  <c r="Z703" i="20"/>
  <c r="AK708" i="20"/>
  <c r="AE717" i="20"/>
  <c r="AE725" i="20"/>
  <c r="AG730" i="20"/>
  <c r="AE368" i="20"/>
  <c r="Z411" i="20"/>
  <c r="AG647" i="20"/>
  <c r="AD347" i="20"/>
  <c r="Y453" i="20"/>
  <c r="AC489" i="20"/>
  <c r="AF504" i="20"/>
  <c r="Y516" i="20"/>
  <c r="AB532" i="20"/>
  <c r="AB552" i="20"/>
  <c r="AF562" i="20"/>
  <c r="AC581" i="20"/>
  <c r="AB593" i="20"/>
  <c r="Z589" i="20"/>
  <c r="AB603" i="20"/>
  <c r="Z611" i="20"/>
  <c r="Y633" i="20"/>
  <c r="AE708" i="20"/>
  <c r="AC730" i="20"/>
  <c r="AK741" i="20"/>
  <c r="Y746" i="20"/>
  <c r="AE752" i="20"/>
  <c r="AC754" i="20"/>
  <c r="AF762" i="20"/>
  <c r="AA772" i="20"/>
  <c r="AB768" i="20"/>
  <c r="AA764" i="20"/>
  <c r="AA794" i="20"/>
  <c r="AC790" i="20"/>
  <c r="AC801" i="20"/>
  <c r="AK803" i="20"/>
  <c r="AF813" i="20"/>
  <c r="AA411" i="20"/>
  <c r="AC394" i="20"/>
  <c r="AD639" i="20"/>
  <c r="AK347" i="20"/>
  <c r="AF431" i="20"/>
  <c r="AI524" i="20"/>
  <c r="AD79" i="20"/>
  <c r="Z86" i="20"/>
  <c r="Y131" i="20"/>
  <c r="AA129" i="20"/>
  <c r="AK107" i="20"/>
  <c r="AK109" i="20"/>
  <c r="I145" i="86" s="1"/>
  <c r="L145" i="86" s="1"/>
  <c r="AF100" i="20"/>
  <c r="AE95" i="20"/>
  <c r="AD93" i="20"/>
  <c r="AE181" i="20"/>
  <c r="AE102" i="20"/>
  <c r="Z220" i="20"/>
  <c r="AG93" i="20"/>
  <c r="AC182" i="20"/>
  <c r="AD182" i="20"/>
  <c r="Y180" i="20"/>
  <c r="AG185" i="20"/>
  <c r="AC180" i="20"/>
  <c r="Y188" i="20"/>
  <c r="AK188" i="20"/>
  <c r="AG267" i="20"/>
  <c r="AC207" i="20"/>
  <c r="AB193" i="20"/>
  <c r="AF192" i="20"/>
  <c r="AK189" i="20"/>
  <c r="AD189" i="20"/>
  <c r="AF196" i="20"/>
  <c r="Y216" i="20"/>
  <c r="AA199" i="20"/>
  <c r="AB279" i="20"/>
  <c r="AD229" i="20"/>
  <c r="Z280" i="20"/>
  <c r="AB234" i="20"/>
  <c r="AD259" i="20"/>
  <c r="AE282" i="20"/>
  <c r="AG218" i="20"/>
  <c r="Z205" i="20"/>
  <c r="AB231" i="20"/>
  <c r="AD198" i="20"/>
  <c r="AF231" i="20"/>
  <c r="AK211" i="20"/>
  <c r="Y199" i="20"/>
  <c r="AA287" i="20"/>
  <c r="AC198" i="20"/>
  <c r="AE280" i="20"/>
  <c r="AG238" i="20"/>
  <c r="AK209" i="20"/>
  <c r="AB237" i="20"/>
  <c r="AF235" i="20"/>
  <c r="AK285" i="20"/>
  <c r="AB282" i="20"/>
  <c r="AF282" i="20"/>
  <c r="Y198" i="20"/>
  <c r="AD238" i="20"/>
  <c r="AF284" i="20"/>
  <c r="AE289" i="20"/>
  <c r="AB209" i="20"/>
  <c r="AG213" i="20"/>
  <c r="AF219" i="20"/>
  <c r="AB230" i="20"/>
  <c r="Z227" i="20"/>
  <c r="AC288" i="20"/>
  <c r="AA230" i="20"/>
  <c r="AD200" i="20"/>
  <c r="Z278" i="20"/>
  <c r="Z230" i="20"/>
  <c r="AK227" i="20"/>
  <c r="AA290" i="20"/>
  <c r="AF233" i="20"/>
  <c r="AB233" i="20"/>
  <c r="Z242" i="20"/>
  <c r="AA227" i="20"/>
  <c r="AA219" i="20"/>
  <c r="AE241" i="20"/>
  <c r="AK201" i="20"/>
  <c r="AF234" i="20"/>
  <c r="Y290" i="20"/>
  <c r="AD208" i="20"/>
  <c r="AE253" i="20"/>
  <c r="AF206" i="20"/>
  <c r="AG227" i="20"/>
  <c r="AA237" i="20"/>
  <c r="AE256" i="20"/>
  <c r="AD278" i="20"/>
  <c r="AD279" i="20"/>
  <c r="AE203" i="20"/>
  <c r="Z529" i="20"/>
  <c r="Y528" i="20"/>
  <c r="AF527" i="20"/>
  <c r="Y525" i="20"/>
  <c r="AB528" i="20"/>
  <c r="AC525" i="20"/>
  <c r="AG529" i="20"/>
  <c r="AB308" i="20"/>
  <c r="AE303" i="20"/>
  <c r="G15" i="37" s="1"/>
  <c r="AD305" i="20"/>
  <c r="Y329" i="20"/>
  <c r="Z438" i="20"/>
  <c r="AA461" i="20"/>
  <c r="AB439" i="20"/>
  <c r="AD346" i="20"/>
  <c r="AE441" i="20"/>
  <c r="AF471" i="20"/>
  <c r="AK446" i="20"/>
  <c r="Y440" i="20"/>
  <c r="AA475" i="20"/>
  <c r="AB427" i="20"/>
  <c r="AC441" i="20"/>
  <c r="AE328" i="20"/>
  <c r="AF446" i="20"/>
  <c r="AG469" i="20"/>
  <c r="Y327" i="20"/>
  <c r="Z441" i="20"/>
  <c r="AA440" i="20"/>
  <c r="AC335" i="20"/>
  <c r="AD465" i="20"/>
  <c r="AE471" i="20"/>
  <c r="AF432" i="20"/>
  <c r="AK350" i="20"/>
  <c r="Z335" i="20"/>
  <c r="AA350" i="20"/>
  <c r="AB346" i="20"/>
  <c r="AC461" i="20"/>
  <c r="AE446" i="20"/>
  <c r="AF338" i="20"/>
  <c r="AG438" i="20"/>
  <c r="AF459" i="20"/>
  <c r="Z324" i="20"/>
  <c r="AK473" i="20"/>
  <c r="AA326" i="20"/>
  <c r="AG352" i="20"/>
  <c r="AD338" i="20"/>
  <c r="Y429" i="20"/>
  <c r="Z459" i="20"/>
  <c r="AB336" i="20"/>
  <c r="AC333" i="20"/>
  <c r="AF435" i="20"/>
  <c r="AD437" i="20"/>
  <c r="AF324" i="20"/>
  <c r="AB326" i="20"/>
  <c r="Y317" i="20"/>
  <c r="AA324" i="20"/>
  <c r="AE331" i="20"/>
  <c r="AE435" i="20"/>
  <c r="AK468" i="20"/>
  <c r="Y448" i="20"/>
  <c r="Z246" i="20"/>
  <c r="AF249" i="20"/>
  <c r="AC270" i="20"/>
  <c r="Y263" i="20"/>
  <c r="AE263" i="20"/>
  <c r="AF246" i="20"/>
  <c r="AD248" i="20"/>
  <c r="AD265" i="20"/>
  <c r="AB315" i="20"/>
  <c r="AF269" i="20"/>
  <c r="AB246" i="20"/>
  <c r="AB248" i="20"/>
  <c r="Z283" i="20"/>
  <c r="AF304" i="20"/>
  <c r="AC263" i="20"/>
  <c r="AA248" i="20"/>
  <c r="AK283" i="20"/>
  <c r="AF307" i="20"/>
  <c r="AG246" i="20"/>
  <c r="AE247" i="20"/>
  <c r="AF263" i="20"/>
  <c r="AA312" i="20"/>
  <c r="AF312" i="20"/>
  <c r="Z312" i="20"/>
  <c r="AC306" i="20"/>
  <c r="Z306" i="20"/>
  <c r="AB306" i="20"/>
  <c r="AC311" i="20"/>
  <c r="AA345" i="20"/>
  <c r="Z310" i="20"/>
  <c r="AB311" i="20"/>
  <c r="AE314" i="20"/>
  <c r="Z464" i="20"/>
  <c r="AF310" i="20"/>
  <c r="AF311" i="20"/>
  <c r="AB301" i="20"/>
  <c r="AA464" i="20"/>
  <c r="Y310" i="20"/>
  <c r="AK314" i="20"/>
  <c r="AF345" i="20"/>
  <c r="Y306" i="20"/>
  <c r="AF464" i="20"/>
  <c r="Y467" i="20"/>
  <c r="AB451" i="20"/>
  <c r="AD463" i="20"/>
  <c r="AC451" i="20"/>
  <c r="Y442" i="20"/>
  <c r="AA442" i="20"/>
  <c r="AE451" i="20"/>
  <c r="AG454" i="20"/>
  <c r="AK463" i="20"/>
  <c r="AF467" i="20"/>
  <c r="AF451" i="20"/>
  <c r="AG463" i="20"/>
  <c r="AG451" i="20"/>
  <c r="AK442" i="20"/>
  <c r="Z467" i="20"/>
  <c r="AC321" i="20"/>
  <c r="Z319" i="20"/>
  <c r="AE321" i="20"/>
  <c r="AB319" i="20"/>
  <c r="AD322" i="20"/>
  <c r="AF319" i="20"/>
  <c r="Y320" i="20"/>
  <c r="AF322" i="20"/>
  <c r="AF320" i="20"/>
  <c r="Z320" i="20"/>
  <c r="AF299" i="20"/>
  <c r="AE300" i="20"/>
  <c r="AC296" i="20"/>
  <c r="AA295" i="20"/>
  <c r="AB298" i="20"/>
  <c r="AD300" i="20"/>
  <c r="Y299" i="20"/>
  <c r="AF298" i="20"/>
  <c r="Y300" i="20"/>
  <c r="AG299" i="20"/>
  <c r="AK298" i="20"/>
  <c r="AG300" i="20"/>
  <c r="AF344" i="20"/>
  <c r="AD341" i="20"/>
  <c r="Y342" i="20"/>
  <c r="Z344" i="20"/>
  <c r="AG341" i="20"/>
  <c r="AB342" i="20"/>
  <c r="Y343" i="20"/>
  <c r="Y340" i="20"/>
  <c r="AF342" i="20"/>
  <c r="Z341" i="20"/>
  <c r="AA343" i="20"/>
  <c r="AK342" i="20"/>
  <c r="AD342" i="20"/>
  <c r="AK424" i="20"/>
  <c r="AC418" i="20"/>
  <c r="AC388" i="20"/>
  <c r="AA394" i="20"/>
  <c r="Y371" i="20"/>
  <c r="AE643" i="20"/>
  <c r="AK639" i="20"/>
  <c r="AD302" i="20"/>
  <c r="AG347" i="20"/>
  <c r="Y360" i="20"/>
  <c r="Z443" i="20"/>
  <c r="AB453" i="20"/>
  <c r="AC472" i="20"/>
  <c r="AK478" i="20"/>
  <c r="AD491" i="20"/>
  <c r="Z504" i="20"/>
  <c r="AC424" i="20"/>
  <c r="AE388" i="20"/>
  <c r="AG354" i="20"/>
  <c r="AC371" i="20"/>
  <c r="AB643" i="20"/>
  <c r="AE635" i="20"/>
  <c r="Y323" i="20"/>
  <c r="Z360" i="20"/>
  <c r="AC443" i="20"/>
  <c r="Y466" i="20"/>
  <c r="AE478" i="20"/>
  <c r="AB491" i="20"/>
  <c r="AA504" i="20"/>
  <c r="AG501" i="20"/>
  <c r="AA509" i="20"/>
  <c r="AB520" i="20"/>
  <c r="AA424" i="20"/>
  <c r="AD411" i="20"/>
  <c r="Y394" i="20"/>
  <c r="AK647" i="20"/>
  <c r="Z639" i="20"/>
  <c r="AC302" i="20"/>
  <c r="AA407" i="20"/>
  <c r="Y431" i="20"/>
  <c r="AC453" i="20"/>
  <c r="AB472" i="20"/>
  <c r="Y508" i="20"/>
  <c r="AG504" i="20"/>
  <c r="AC497" i="20"/>
  <c r="AE520" i="20"/>
  <c r="AG516" i="20"/>
  <c r="AD532" i="20"/>
  <c r="AA552" i="20"/>
  <c r="AB566" i="20"/>
  <c r="AE558" i="20"/>
  <c r="Y567" i="20"/>
  <c r="AB597" i="20"/>
  <c r="AA589" i="20"/>
  <c r="AF585" i="20"/>
  <c r="AE599" i="20"/>
  <c r="Y611" i="20"/>
  <c r="AC633" i="20"/>
  <c r="AE703" i="20"/>
  <c r="AF708" i="20"/>
  <c r="AE722" i="20"/>
  <c r="AC725" i="20"/>
  <c r="Z734" i="20"/>
  <c r="Y368" i="20"/>
  <c r="Y388" i="20"/>
  <c r="AG639" i="20"/>
  <c r="AF347" i="20"/>
  <c r="AE453" i="20"/>
  <c r="AA489" i="20"/>
  <c r="AI850" i="20"/>
  <c r="Z82" i="20"/>
  <c r="AG171" i="20"/>
  <c r="AC109" i="20"/>
  <c r="AC94" i="20"/>
  <c r="AK111" i="20"/>
  <c r="AG102" i="20"/>
  <c r="AE220" i="20"/>
  <c r="AD92" i="20"/>
  <c r="AA180" i="20"/>
  <c r="AK183" i="20"/>
  <c r="AB267" i="20"/>
  <c r="AK258" i="20"/>
  <c r="I118" i="86" s="1"/>
  <c r="L118" i="86" s="1"/>
  <c r="AK193" i="20"/>
  <c r="Z193" i="20"/>
  <c r="AB212" i="20"/>
  <c r="AB236" i="20"/>
  <c r="Y277" i="20"/>
  <c r="AC235" i="20"/>
  <c r="AF276" i="20"/>
  <c r="AA226" i="20"/>
  <c r="AE226" i="20"/>
  <c r="AK286" i="20"/>
  <c r="AB198" i="20"/>
  <c r="AF226" i="20"/>
  <c r="Y276" i="20"/>
  <c r="AG274" i="20"/>
  <c r="AE259" i="20"/>
  <c r="AB240" i="20"/>
  <c r="AK288" i="20"/>
  <c r="AG289" i="20"/>
  <c r="AF209" i="20"/>
  <c r="Z233" i="20"/>
  <c r="AA275" i="20"/>
  <c r="AA203" i="20"/>
  <c r="AF288" i="20"/>
  <c r="AF228" i="20"/>
  <c r="AE202" i="20"/>
  <c r="AE275" i="20"/>
  <c r="AF201" i="20"/>
  <c r="AE219" i="20"/>
  <c r="AA206" i="20"/>
  <c r="Y230" i="20"/>
  <c r="AD209" i="20"/>
  <c r="AA239" i="20"/>
  <c r="AD529" i="20"/>
  <c r="AA528" i="20"/>
  <c r="AE525" i="20"/>
  <c r="AF308" i="20"/>
  <c r="Z305" i="20"/>
  <c r="Y461" i="20"/>
  <c r="AB350" i="20"/>
  <c r="AE337" i="20"/>
  <c r="AG346" i="20"/>
  <c r="Z458" i="20"/>
  <c r="AB317" i="20"/>
  <c r="AE352" i="20"/>
  <c r="AK475" i="20"/>
  <c r="AA338" i="20"/>
  <c r="AC471" i="20"/>
  <c r="AF475" i="20"/>
  <c r="Y337" i="20"/>
  <c r="AA439" i="20"/>
  <c r="AD438" i="20"/>
  <c r="AF440" i="20"/>
  <c r="Z448" i="20"/>
  <c r="AA459" i="20"/>
  <c r="AC325" i="20"/>
  <c r="Y331" i="20"/>
  <c r="AG468" i="20"/>
  <c r="Z338" i="20"/>
  <c r="AD459" i="20"/>
  <c r="AD462" i="20"/>
  <c r="AA473" i="20"/>
  <c r="AG333" i="20"/>
  <c r="AD266" i="20"/>
  <c r="Z266" i="20"/>
  <c r="AG244" i="20"/>
  <c r="AG251" i="20"/>
  <c r="AF315" i="20"/>
  <c r="AG265" i="20"/>
  <c r="AB304" i="20"/>
  <c r="AB270" i="20"/>
  <c r="AB307" i="20"/>
  <c r="AK270" i="20"/>
  <c r="AA283" i="20"/>
  <c r="AC312" i="20"/>
  <c r="AC464" i="20"/>
  <c r="AE306" i="20"/>
  <c r="AE464" i="20"/>
  <c r="AC301" i="20"/>
  <c r="Z311" i="20"/>
  <c r="AK311" i="20"/>
  <c r="Z314" i="20"/>
  <c r="AK301" i="20"/>
  <c r="AG301" i="20"/>
  <c r="AB454" i="20"/>
  <c r="Z452" i="20"/>
  <c r="AD442" i="20"/>
  <c r="Z454" i="20"/>
  <c r="AA451" i="20"/>
  <c r="AE442" i="20"/>
  <c r="AA467" i="20"/>
  <c r="AF321" i="20"/>
  <c r="AE320" i="20"/>
  <c r="AD320" i="20"/>
  <c r="AD319" i="20"/>
  <c r="AK319" i="20"/>
  <c r="AE299" i="20"/>
  <c r="Z296" i="20"/>
  <c r="AG295" i="20"/>
  <c r="AK296" i="20"/>
  <c r="AC298" i="20"/>
  <c r="AC295" i="20"/>
  <c r="AF296" i="20"/>
  <c r="AF340" i="20"/>
  <c r="AF341" i="20"/>
  <c r="AE341" i="20"/>
  <c r="AG340" i="20"/>
  <c r="AC343" i="20"/>
  <c r="AF343" i="20"/>
  <c r="Z418" i="20"/>
  <c r="AD354" i="20"/>
  <c r="AK371" i="20"/>
  <c r="AB635" i="20"/>
  <c r="Y407" i="20"/>
  <c r="AE443" i="20"/>
  <c r="AB478" i="20"/>
  <c r="AE508" i="20"/>
  <c r="AA418" i="20"/>
  <c r="AA371" i="20"/>
  <c r="AC639" i="20"/>
  <c r="AA347" i="20"/>
  <c r="AA453" i="20"/>
  <c r="AD489" i="20"/>
  <c r="Y504" i="20"/>
  <c r="AG509" i="20"/>
  <c r="Y424" i="20"/>
  <c r="AA647" i="20"/>
  <c r="AE302" i="20"/>
  <c r="AA360" i="20"/>
  <c r="AG472" i="20"/>
  <c r="AD504" i="20"/>
  <c r="AF497" i="20"/>
  <c r="AK512" i="20"/>
  <c r="AG552" i="20"/>
  <c r="AB567" i="20"/>
  <c r="AE593" i="20"/>
  <c r="AC599" i="20"/>
  <c r="AG607" i="20"/>
  <c r="AF703" i="20"/>
  <c r="Z725" i="20"/>
  <c r="AE741" i="20"/>
  <c r="Z354" i="20"/>
  <c r="Z431" i="20"/>
  <c r="AB508" i="20"/>
  <c r="Y512" i="20"/>
  <c r="AA539" i="20"/>
  <c r="AA566" i="20"/>
  <c r="Z597" i="20"/>
  <c r="AE589" i="20"/>
  <c r="AC603" i="20"/>
  <c r="AK611" i="20"/>
  <c r="I17" i="86" s="1"/>
  <c r="L17" i="86" s="1"/>
  <c r="AK703" i="20"/>
  <c r="Y725" i="20"/>
  <c r="Y737" i="20"/>
  <c r="Z749" i="20"/>
  <c r="AE754" i="20"/>
  <c r="Z780" i="20"/>
  <c r="AC772" i="20"/>
  <c r="AG764" i="20"/>
  <c r="AF794" i="20"/>
  <c r="Z797" i="20"/>
  <c r="AD803" i="20"/>
  <c r="AK813" i="20"/>
  <c r="AF388" i="20"/>
  <c r="AF643" i="20"/>
  <c r="AF407" i="20"/>
  <c r="AD453" i="20"/>
  <c r="AA478" i="20"/>
  <c r="AA501" i="20"/>
  <c r="AF520" i="20"/>
  <c r="AA532" i="20"/>
  <c r="AE552" i="20"/>
  <c r="AE562" i="20"/>
  <c r="AK558" i="20"/>
  <c r="AC597" i="20"/>
  <c r="AC593" i="20"/>
  <c r="AE585" i="20"/>
  <c r="AA599" i="20"/>
  <c r="Y607" i="20"/>
  <c r="AB703" i="20"/>
  <c r="AC717" i="20"/>
  <c r="Z722" i="20"/>
  <c r="AC734" i="20"/>
  <c r="Z737" i="20"/>
  <c r="AA749" i="20"/>
  <c r="AB752" i="20"/>
  <c r="Y754" i="20"/>
  <c r="AA780" i="20"/>
  <c r="AA776" i="20"/>
  <c r="AG772" i="20"/>
  <c r="Z764" i="20"/>
  <c r="AF786" i="20"/>
  <c r="Y790" i="20"/>
  <c r="AC797" i="20"/>
  <c r="AA801" i="20"/>
  <c r="Z813" i="20"/>
  <c r="AA819" i="20"/>
  <c r="AG821" i="20"/>
  <c r="Z828" i="20"/>
  <c r="AD836" i="20"/>
  <c r="Z849" i="20"/>
  <c r="AF846" i="20"/>
  <c r="AK857" i="20"/>
  <c r="AK873" i="20"/>
  <c r="AG869" i="20"/>
  <c r="AE865" i="20"/>
  <c r="AK880" i="20"/>
  <c r="Z885" i="20"/>
  <c r="Z894" i="20"/>
  <c r="AB897" i="20"/>
  <c r="Y574" i="20"/>
  <c r="Y653" i="20"/>
  <c r="AF411" i="20"/>
  <c r="Y635" i="20"/>
  <c r="AK443" i="20"/>
  <c r="AC504" i="20"/>
  <c r="AC512" i="20"/>
  <c r="AK562" i="20"/>
  <c r="AG597" i="20"/>
  <c r="Y599" i="20"/>
  <c r="Z607" i="20"/>
  <c r="AD717" i="20"/>
  <c r="AK730" i="20"/>
  <c r="AE746" i="20"/>
  <c r="Y780" i="20"/>
  <c r="AF768" i="20"/>
  <c r="AA786" i="20"/>
  <c r="AG797" i="20"/>
  <c r="Y808" i="20"/>
  <c r="AK819" i="20"/>
  <c r="AD828" i="20"/>
  <c r="AB843" i="20"/>
  <c r="AC849" i="20"/>
  <c r="Y852" i="20"/>
  <c r="AB870" i="20"/>
  <c r="AA869" i="20"/>
  <c r="AF881" i="20"/>
  <c r="AK885" i="20"/>
  <c r="AD897" i="20"/>
  <c r="Y569" i="20"/>
  <c r="AD656" i="20"/>
  <c r="AA712" i="20"/>
  <c r="AK483" i="20"/>
  <c r="AK579" i="20"/>
  <c r="AK623" i="20"/>
  <c r="AK697" i="20"/>
  <c r="AK693" i="20"/>
  <c r="AB685" i="20"/>
  <c r="AF677" i="20"/>
  <c r="AE673" i="20"/>
  <c r="AD665" i="20"/>
  <c r="AF534" i="20"/>
  <c r="AD549" i="20"/>
  <c r="AF405" i="20"/>
  <c r="AG398" i="20"/>
  <c r="Z359" i="20"/>
  <c r="AK418" i="20"/>
  <c r="AA635" i="20"/>
  <c r="AA431" i="20"/>
  <c r="AE491" i="20"/>
  <c r="Y520" i="20"/>
  <c r="AK552" i="20"/>
  <c r="Z567" i="20"/>
  <c r="Y585" i="20"/>
  <c r="AB607" i="20"/>
  <c r="AF717" i="20"/>
  <c r="AE734" i="20"/>
  <c r="Z746" i="20"/>
  <c r="AD752" i="20"/>
  <c r="AK776" i="20"/>
  <c r="AB764" i="20"/>
  <c r="AG801" i="20"/>
  <c r="AA813" i="20"/>
  <c r="AD821" i="20"/>
  <c r="AG828" i="20"/>
  <c r="AB836" i="20"/>
  <c r="AA849" i="20"/>
  <c r="Y846" i="20"/>
  <c r="AC873" i="20"/>
  <c r="AK865" i="20"/>
  <c r="AE881" i="20"/>
  <c r="Z897" i="20"/>
  <c r="AG653" i="20"/>
  <c r="AA661" i="20"/>
  <c r="Y712" i="20"/>
  <c r="Y553" i="20"/>
  <c r="AB620" i="20"/>
  <c r="Y629" i="20"/>
  <c r="Y697" i="20"/>
  <c r="AE689" i="20"/>
  <c r="AF685" i="20"/>
  <c r="AD677" i="20"/>
  <c r="Z669" i="20"/>
  <c r="AF665" i="20"/>
  <c r="AK545" i="20"/>
  <c r="AK549" i="20"/>
  <c r="AD405" i="20"/>
  <c r="AA391" i="20"/>
  <c r="AA381" i="20"/>
  <c r="AB359" i="20"/>
  <c r="Z379" i="20"/>
  <c r="Y369" i="20"/>
  <c r="AA414" i="20"/>
  <c r="Y408" i="20"/>
  <c r="AK422" i="20"/>
  <c r="AK392" i="20"/>
  <c r="AB646" i="20"/>
  <c r="AA638" i="20"/>
  <c r="Y634" i="20"/>
  <c r="AC332" i="20"/>
  <c r="AF351" i="20"/>
  <c r="Y378" i="20"/>
  <c r="AD430" i="20"/>
  <c r="AE450" i="20"/>
  <c r="AC476" i="20"/>
  <c r="AG486" i="20"/>
  <c r="AD490" i="20"/>
  <c r="Z503" i="20"/>
  <c r="AA388" i="20"/>
  <c r="AG431" i="20"/>
  <c r="AC539" i="20"/>
  <c r="AB585" i="20"/>
  <c r="AD722" i="20"/>
  <c r="AF746" i="20"/>
  <c r="AG776" i="20"/>
  <c r="Y794" i="20"/>
  <c r="Z808" i="20"/>
  <c r="AE828" i="20"/>
  <c r="Z846" i="20"/>
  <c r="AB873" i="20"/>
  <c r="AA885" i="20"/>
  <c r="AA897" i="20"/>
  <c r="AE574" i="20"/>
  <c r="AF661" i="20"/>
  <c r="AB483" i="20"/>
  <c r="Y623" i="20"/>
  <c r="AD697" i="20"/>
  <c r="AA685" i="20"/>
  <c r="AK669" i="20"/>
  <c r="Y549" i="20"/>
  <c r="AB391" i="20"/>
  <c r="AK359" i="20"/>
  <c r="AG369" i="20"/>
  <c r="AD421" i="20"/>
  <c r="AE408" i="20"/>
  <c r="AD392" i="20"/>
  <c r="AD646" i="20"/>
  <c r="AE638" i="20"/>
  <c r="AF309" i="20"/>
  <c r="AE332" i="20"/>
  <c r="AB428" i="20"/>
  <c r="AG430" i="20"/>
  <c r="AB456" i="20"/>
  <c r="Y476" i="20"/>
  <c r="AA490" i="20"/>
  <c r="AD503" i="20"/>
  <c r="AF500" i="20"/>
  <c r="Z523" i="20"/>
  <c r="Y519" i="20"/>
  <c r="Z524" i="20"/>
  <c r="Z538" i="20"/>
  <c r="AG565" i="20"/>
  <c r="Z557" i="20"/>
  <c r="Z573" i="20"/>
  <c r="AK596" i="20"/>
  <c r="AG592" i="20"/>
  <c r="AG606" i="20"/>
  <c r="Y598" i="20"/>
  <c r="AK614" i="20"/>
  <c r="AE705" i="20"/>
  <c r="AF702" i="20"/>
  <c r="AD718" i="20"/>
  <c r="AE721" i="20"/>
  <c r="Y729" i="20"/>
  <c r="AE740" i="20"/>
  <c r="AG742" i="20"/>
  <c r="Z757" i="20"/>
  <c r="AD760" i="20"/>
  <c r="Z775" i="20"/>
  <c r="AK771" i="20"/>
  <c r="AE763" i="20"/>
  <c r="AD793" i="20"/>
  <c r="AD407" i="20"/>
  <c r="Z497" i="20"/>
  <c r="Y552" i="20"/>
  <c r="AC589" i="20"/>
  <c r="Z633" i="20"/>
  <c r="AF741" i="20"/>
  <c r="AE762" i="20"/>
  <c r="AA803" i="20"/>
  <c r="AG823" i="20"/>
  <c r="AC843" i="20"/>
  <c r="AF857" i="20"/>
  <c r="AF865" i="20"/>
  <c r="AF894" i="20"/>
  <c r="AE653" i="20"/>
  <c r="AA483" i="20"/>
  <c r="AD620" i="20"/>
  <c r="Z697" i="20"/>
  <c r="Z681" i="20"/>
  <c r="AB673" i="20"/>
  <c r="AI852" i="20"/>
  <c r="AA132" i="20"/>
  <c r="AA107" i="20"/>
  <c r="AK110" i="20"/>
  <c r="AD111" i="20"/>
  <c r="AG97" i="20"/>
  <c r="AC101" i="20"/>
  <c r="Z221" i="20"/>
  <c r="Z183" i="20"/>
  <c r="AC188" i="20"/>
  <c r="Z255" i="20"/>
  <c r="AD207" i="20"/>
  <c r="AC191" i="20"/>
  <c r="AE195" i="20"/>
  <c r="Y280" i="20"/>
  <c r="AC236" i="20"/>
  <c r="AA217" i="20"/>
  <c r="AD231" i="20"/>
  <c r="AG198" i="20"/>
  <c r="AC260" i="20"/>
  <c r="AF272" i="20"/>
  <c r="Y289" i="20"/>
  <c r="AD240" i="20"/>
  <c r="AG279" i="20"/>
  <c r="AC232" i="20"/>
  <c r="Y194" i="20"/>
  <c r="AG226" i="20"/>
  <c r="AE238" i="20"/>
  <c r="AK205" i="20"/>
  <c r="AK276" i="20"/>
  <c r="AE233" i="20"/>
  <c r="Y271" i="20"/>
  <c r="AE237" i="20"/>
  <c r="Z273" i="20"/>
  <c r="AK233" i="20"/>
  <c r="AK290" i="20"/>
  <c r="Y202" i="20"/>
  <c r="Z245" i="20"/>
  <c r="AC228" i="20"/>
  <c r="Z288" i="20"/>
  <c r="AF286" i="20"/>
  <c r="AE200" i="20"/>
  <c r="AC256" i="20"/>
  <c r="AC208" i="20"/>
  <c r="Z527" i="20"/>
  <c r="AK526" i="20"/>
  <c r="AC529" i="20"/>
  <c r="AF305" i="20"/>
  <c r="AG308" i="20"/>
  <c r="AA329" i="20"/>
  <c r="AC446" i="20"/>
  <c r="AF335" i="20"/>
  <c r="AK458" i="20"/>
  <c r="AA465" i="20"/>
  <c r="AD327" i="20"/>
  <c r="AF462" i="20"/>
  <c r="Y469" i="20"/>
  <c r="AB337" i="20"/>
  <c r="AE335" i="20"/>
  <c r="AG337" i="20"/>
  <c r="Z350" i="20"/>
  <c r="AB352" i="20"/>
  <c r="AE462" i="20"/>
  <c r="AK329" i="20"/>
  <c r="AK437" i="20"/>
  <c r="AC326" i="20"/>
  <c r="AF436" i="20"/>
  <c r="Y435" i="20"/>
  <c r="Y330" i="20"/>
  <c r="Z429" i="20"/>
  <c r="AK338" i="20"/>
  <c r="Y324" i="20"/>
  <c r="AG435" i="20"/>
  <c r="AD432" i="20"/>
  <c r="Z249" i="20"/>
  <c r="AE270" i="20"/>
  <c r="AA250" i="20"/>
  <c r="AD270" i="20"/>
  <c r="AD244" i="20"/>
  <c r="AG247" i="20"/>
  <c r="AE246" i="20"/>
  <c r="AA251" i="20"/>
  <c r="AK307" i="20"/>
  <c r="AA247" i="20"/>
  <c r="AE312" i="20"/>
  <c r="AD312" i="20"/>
  <c r="Z301" i="20"/>
  <c r="AD310" i="20"/>
  <c r="AE310" i="20"/>
  <c r="AB345" i="20"/>
  <c r="AE301" i="20"/>
  <c r="AK345" i="20"/>
  <c r="AG306" i="20"/>
  <c r="Y345" i="20"/>
  <c r="AB442" i="20"/>
  <c r="AF442" i="20"/>
  <c r="AD467" i="20"/>
  <c r="AE454" i="20"/>
  <c r="AG442" i="20"/>
  <c r="AK467" i="20"/>
  <c r="AB452" i="20"/>
  <c r="AE452" i="20"/>
  <c r="AB322" i="20"/>
  <c r="AK321" i="20"/>
  <c r="AE322" i="20"/>
  <c r="AB321" i="20"/>
  <c r="AG320" i="20"/>
  <c r="AB295" i="20"/>
  <c r="AG296" i="20"/>
  <c r="Y298" i="20"/>
  <c r="AE295" i="20"/>
  <c r="AB296" i="20"/>
  <c r="AA300" i="20"/>
  <c r="AG344" i="20"/>
  <c r="Z342" i="20"/>
  <c r="AK343" i="20"/>
  <c r="Z343" i="20"/>
  <c r="AB344" i="20"/>
  <c r="AB340" i="20"/>
  <c r="Z368" i="20"/>
  <c r="Y411" i="20"/>
  <c r="AK394" i="20"/>
  <c r="AD643" i="20"/>
  <c r="AD323" i="20"/>
  <c r="AC431" i="20"/>
  <c r="AF453" i="20"/>
  <c r="AK489" i="20"/>
  <c r="AA368" i="20"/>
  <c r="AB388" i="20"/>
  <c r="Y647" i="20"/>
  <c r="AD635" i="20"/>
  <c r="AF360" i="20"/>
  <c r="AC466" i="20"/>
  <c r="AG491" i="20"/>
  <c r="AD497" i="20"/>
  <c r="AD520" i="20"/>
  <c r="AG388" i="20"/>
  <c r="AC643" i="20"/>
  <c r="AE323" i="20"/>
  <c r="AB431" i="20"/>
  <c r="AG478" i="20"/>
  <c r="Z501" i="20"/>
  <c r="AK520" i="20"/>
  <c r="Z532" i="20"/>
  <c r="AK566" i="20"/>
  <c r="AD567" i="20"/>
  <c r="AF589" i="20"/>
  <c r="AA615" i="20"/>
  <c r="AD633" i="20"/>
  <c r="AB708" i="20"/>
  <c r="AG725" i="20"/>
  <c r="AG424" i="20"/>
  <c r="AF635" i="20"/>
  <c r="AG466" i="20"/>
  <c r="Y501" i="20"/>
  <c r="AD512" i="20"/>
  <c r="AD539" i="20"/>
  <c r="Y558" i="20"/>
  <c r="AF597" i="20"/>
  <c r="AD589" i="20"/>
  <c r="AA603" i="20"/>
  <c r="AK607" i="20"/>
  <c r="AC708" i="20"/>
  <c r="AA734" i="20"/>
  <c r="AK737" i="20"/>
  <c r="AG749" i="20"/>
  <c r="AF754" i="20"/>
  <c r="AD780" i="20"/>
  <c r="AD772" i="20"/>
  <c r="AC786" i="20"/>
  <c r="AG794" i="20"/>
  <c r="AD797" i="20"/>
  <c r="AC803" i="20"/>
  <c r="AF424" i="20"/>
  <c r="AB354" i="20"/>
  <c r="AA302" i="20"/>
  <c r="AD360" i="20"/>
  <c r="AB466" i="20"/>
  <c r="AF491" i="20"/>
  <c r="AK497" i="20"/>
  <c r="I41" i="86" s="1"/>
  <c r="L41" i="86" s="1"/>
  <c r="AG520" i="20"/>
  <c r="AK532" i="20"/>
  <c r="AD552" i="20"/>
  <c r="Y562" i="20"/>
  <c r="AE567" i="20"/>
  <c r="AE597" i="20"/>
  <c r="AB589" i="20"/>
  <c r="Z603" i="20"/>
  <c r="AB615" i="20"/>
  <c r="AD607" i="20"/>
  <c r="AG703" i="20"/>
  <c r="AB717" i="20"/>
  <c r="AA730" i="20"/>
  <c r="AA741" i="20"/>
  <c r="AF737" i="20"/>
  <c r="AF749" i="20"/>
  <c r="Y752" i="20"/>
  <c r="AC762" i="20"/>
  <c r="AF780" i="20"/>
  <c r="Y776" i="20"/>
  <c r="AE768" i="20"/>
  <c r="AF764" i="20"/>
  <c r="AD794" i="20"/>
  <c r="Z790" i="20"/>
  <c r="Y797" i="20"/>
  <c r="Z803" i="20"/>
  <c r="AE813" i="20"/>
  <c r="Y819" i="20"/>
  <c r="AE823" i="20"/>
  <c r="AF828" i="20"/>
  <c r="AC836" i="20"/>
  <c r="AE849" i="20"/>
  <c r="AD852" i="20"/>
  <c r="AA873" i="20"/>
  <c r="AA870" i="20"/>
  <c r="AF869" i="20"/>
  <c r="AA880" i="20"/>
  <c r="Z881" i="20"/>
  <c r="Y885" i="20"/>
  <c r="AE894" i="20"/>
  <c r="AG897" i="20"/>
  <c r="Z574" i="20"/>
  <c r="AK653" i="20"/>
  <c r="AC354" i="20"/>
  <c r="AF323" i="20"/>
  <c r="AA466" i="20"/>
  <c r="AB501" i="20"/>
  <c r="AB512" i="20"/>
  <c r="AG558" i="20"/>
  <c r="Y589" i="20"/>
  <c r="AB599" i="20"/>
  <c r="AG633" i="20"/>
  <c r="AB722" i="20"/>
  <c r="AD741" i="20"/>
  <c r="AK746" i="20"/>
  <c r="AF776" i="20"/>
  <c r="AC768" i="20"/>
  <c r="AB790" i="20"/>
  <c r="AF803" i="20"/>
  <c r="Y813" i="20"/>
  <c r="AE821" i="20"/>
  <c r="AC832" i="20"/>
  <c r="AG843" i="20"/>
  <c r="AE846" i="20"/>
  <c r="AE857" i="20"/>
  <c r="AC870" i="20"/>
  <c r="Y865" i="20"/>
  <c r="AA881" i="20"/>
  <c r="Y890" i="20"/>
  <c r="AG574" i="20"/>
  <c r="AK656" i="20"/>
  <c r="AF712" i="20"/>
  <c r="AE483" i="20"/>
  <c r="Z620" i="20"/>
  <c r="AF623" i="20"/>
  <c r="Z693" i="20"/>
  <c r="AB689" i="20"/>
  <c r="AE681" i="20"/>
  <c r="AC677" i="20"/>
  <c r="AG669" i="20"/>
  <c r="Z534" i="20"/>
  <c r="AB545" i="20"/>
  <c r="AE355" i="20"/>
  <c r="AG405" i="20"/>
  <c r="Z391" i="20"/>
  <c r="AE359" i="20"/>
  <c r="Z388" i="20"/>
  <c r="AG302" i="20"/>
  <c r="AG453" i="20"/>
  <c r="AC508" i="20"/>
  <c r="AC516" i="20"/>
  <c r="AC566" i="20"/>
  <c r="AK581" i="20"/>
  <c r="AG615" i="20"/>
  <c r="AA633" i="20"/>
  <c r="AG722" i="20"/>
  <c r="AD734" i="20"/>
  <c r="AG746" i="20"/>
  <c r="AD754" i="20"/>
  <c r="AA768" i="20"/>
  <c r="AE794" i="20"/>
  <c r="AF801" i="20"/>
  <c r="AB813" i="20"/>
  <c r="AF821" i="20"/>
  <c r="AA828" i="20"/>
  <c r="AG836" i="20"/>
  <c r="AK849" i="20"/>
  <c r="AF852" i="20"/>
  <c r="Y870" i="20"/>
  <c r="AE880" i="20"/>
  <c r="AE885" i="20"/>
  <c r="AE897" i="20"/>
  <c r="AD569" i="20"/>
  <c r="AA656" i="20"/>
  <c r="Y661" i="20"/>
  <c r="AC483" i="20"/>
  <c r="AG553" i="20"/>
  <c r="AC620" i="20"/>
  <c r="Z629" i="20"/>
  <c r="AC697" i="20"/>
  <c r="AK689" i="20"/>
  <c r="AB681" i="20"/>
  <c r="AC673" i="20"/>
  <c r="AB669" i="20"/>
  <c r="AB534" i="20"/>
  <c r="AA549" i="20"/>
  <c r="AB355" i="20"/>
  <c r="AC405" i="20"/>
  <c r="AF391" i="20"/>
  <c r="Y381" i="20"/>
  <c r="AF377" i="20"/>
  <c r="AE379" i="20"/>
  <c r="AD366" i="20"/>
  <c r="AF414" i="20"/>
  <c r="AF408" i="20"/>
  <c r="AE409" i="20"/>
  <c r="AC363" i="20"/>
  <c r="AK646" i="20"/>
  <c r="AK638" i="20"/>
  <c r="AF634" i="20"/>
  <c r="AD332" i="20"/>
  <c r="AG351" i="20"/>
  <c r="AK378" i="20"/>
  <c r="AF430" i="20"/>
  <c r="AA456" i="20"/>
  <c r="Z486" i="20"/>
  <c r="AA488" i="20"/>
  <c r="AC490" i="20"/>
  <c r="AG503" i="20"/>
  <c r="AG371" i="20"/>
  <c r="AB509" i="20"/>
  <c r="AE566" i="20"/>
  <c r="AA131" i="20"/>
  <c r="AA105" i="20"/>
  <c r="AC107" i="20"/>
  <c r="AG221" i="20"/>
  <c r="AF187" i="20"/>
  <c r="Y195" i="20"/>
  <c r="AG193" i="20"/>
  <c r="AC194" i="20"/>
  <c r="AE260" i="20"/>
  <c r="AC285" i="20"/>
  <c r="Z240" i="20"/>
  <c r="AK245" i="20"/>
  <c r="AA259" i="20"/>
  <c r="AF236" i="20"/>
  <c r="Y237" i="20"/>
  <c r="AG208" i="20"/>
  <c r="Z209" i="20"/>
  <c r="Z290" i="20"/>
  <c r="AG275" i="20"/>
  <c r="Z286" i="20"/>
  <c r="Y252" i="20"/>
  <c r="AD292" i="20"/>
  <c r="AG525" i="20"/>
  <c r="AB303" i="20"/>
  <c r="D15" i="37" s="1"/>
  <c r="AA446" i="20"/>
  <c r="AF330" i="20"/>
  <c r="AA432" i="20"/>
  <c r="AF461" i="20"/>
  <c r="AB448" i="20"/>
  <c r="AG465" i="20"/>
  <c r="AC329" i="20"/>
  <c r="AK427" i="20"/>
  <c r="AB429" i="20"/>
  <c r="AE326" i="20"/>
  <c r="AD336" i="20"/>
  <c r="AE429" i="20"/>
  <c r="AD333" i="20"/>
  <c r="Y248" i="20"/>
  <c r="AC283" i="20"/>
  <c r="AG266" i="20"/>
  <c r="AD263" i="20"/>
  <c r="AE266" i="20"/>
  <c r="AK304" i="20"/>
  <c r="AF301" i="20"/>
  <c r="AD345" i="20"/>
  <c r="AE345" i="20"/>
  <c r="AB464" i="20"/>
  <c r="Z442" i="20"/>
  <c r="Z463" i="20"/>
  <c r="Y452" i="20"/>
  <c r="AK452" i="20"/>
  <c r="AG322" i="20"/>
  <c r="Y321" i="20"/>
  <c r="Y295" i="20"/>
  <c r="Z298" i="20"/>
  <c r="Y296" i="20"/>
  <c r="AC344" i="20"/>
  <c r="Z340" i="20"/>
  <c r="Y344" i="20"/>
  <c r="AD368" i="20"/>
  <c r="AF394" i="20"/>
  <c r="Z347" i="20"/>
  <c r="AD466" i="20"/>
  <c r="AG368" i="20"/>
  <c r="AF647" i="20"/>
  <c r="AK431" i="20"/>
  <c r="AA508" i="20"/>
  <c r="AB368" i="20"/>
  <c r="AE639" i="20"/>
  <c r="AA443" i="20"/>
  <c r="AF501" i="20"/>
  <c r="AE539" i="20"/>
  <c r="AA581" i="20"/>
  <c r="AD615" i="20"/>
  <c r="AG717" i="20"/>
  <c r="AF418" i="20"/>
  <c r="Y478" i="20"/>
  <c r="AE512" i="20"/>
  <c r="AC567" i="20"/>
  <c r="Z585" i="20"/>
  <c r="AA607" i="20"/>
  <c r="AG734" i="20"/>
  <c r="Z752" i="20"/>
  <c r="AD776" i="20"/>
  <c r="AD786" i="20"/>
  <c r="AD801" i="20"/>
  <c r="AD418" i="20"/>
  <c r="Z302" i="20"/>
  <c r="Y472" i="20"/>
  <c r="AE509" i="20"/>
  <c r="AB539" i="20"/>
  <c r="AC562" i="20"/>
  <c r="AA593" i="20"/>
  <c r="AF603" i="20"/>
  <c r="AK633" i="20"/>
  <c r="AA717" i="20"/>
  <c r="Z741" i="20"/>
  <c r="AC749" i="20"/>
  <c r="AD762" i="20"/>
  <c r="AC776" i="20"/>
  <c r="AK786" i="20"/>
  <c r="AA797" i="20"/>
  <c r="AE808" i="20"/>
  <c r="AB819" i="20"/>
  <c r="AB832" i="20"/>
  <c r="AG849" i="20"/>
  <c r="AF873" i="20"/>
  <c r="AC865" i="20"/>
  <c r="AG881" i="20"/>
  <c r="AC894" i="20"/>
  <c r="AE569" i="20"/>
  <c r="AF368" i="20"/>
  <c r="AE407" i="20"/>
  <c r="AG497" i="20"/>
  <c r="AE581" i="20"/>
  <c r="AC615" i="20"/>
  <c r="AD725" i="20"/>
  <c r="Y762" i="20"/>
  <c r="AE764" i="20"/>
  <c r="AG803" i="20"/>
  <c r="AK821" i="20"/>
  <c r="AD849" i="20"/>
  <c r="Y857" i="20"/>
  <c r="AB880" i="20"/>
  <c r="AC890" i="20"/>
  <c r="AF574" i="20"/>
  <c r="AC712" i="20"/>
  <c r="AF620" i="20"/>
  <c r="AE693" i="20"/>
  <c r="AK681" i="20"/>
  <c r="AA669" i="20"/>
  <c r="Y545" i="20"/>
  <c r="AK405" i="20"/>
  <c r="AG359" i="20"/>
  <c r="AC347" i="20"/>
  <c r="AD501" i="20"/>
  <c r="AB558" i="20"/>
  <c r="AD611" i="20"/>
  <c r="AB725" i="20"/>
  <c r="AB749" i="20"/>
  <c r="AG768" i="20"/>
  <c r="AA808" i="20"/>
  <c r="AF823" i="20"/>
  <c r="AA843" i="20"/>
  <c r="AK852" i="20"/>
  <c r="AD880" i="20"/>
  <c r="AK897" i="20"/>
  <c r="AF656" i="20"/>
  <c r="AD483" i="20"/>
  <c r="AC623" i="20"/>
  <c r="Y693" i="20"/>
  <c r="AD681" i="20"/>
  <c r="AK665" i="20"/>
  <c r="AF549" i="20"/>
  <c r="AE398" i="20"/>
  <c r="AB381" i="20"/>
  <c r="AB379" i="20"/>
  <c r="AC414" i="20"/>
  <c r="Z409" i="20"/>
  <c r="AE642" i="20"/>
  <c r="Z634" i="20"/>
  <c r="AC351" i="20"/>
  <c r="Z450" i="20"/>
  <c r="AE486" i="20"/>
  <c r="AE507" i="20"/>
  <c r="AF639" i="20"/>
  <c r="AA558" i="20"/>
  <c r="AE607" i="20"/>
  <c r="AK749" i="20"/>
  <c r="AC764" i="20"/>
  <c r="Y803" i="20"/>
  <c r="AK832" i="20"/>
  <c r="AG852" i="20"/>
  <c r="AA865" i="20"/>
  <c r="AA569" i="20"/>
  <c r="AC656" i="20"/>
  <c r="AB553" i="20"/>
  <c r="AK629" i="20"/>
  <c r="AG689" i="20"/>
  <c r="AD534" i="20"/>
  <c r="AA398" i="20"/>
  <c r="AD359" i="20"/>
  <c r="AB366" i="20"/>
  <c r="AB414" i="20"/>
  <c r="AB409" i="20"/>
  <c r="Z646" i="20"/>
  <c r="AG634" i="20"/>
  <c r="Z332" i="20"/>
  <c r="AC428" i="20"/>
  <c r="AB450" i="20"/>
  <c r="AC460" i="20"/>
  <c r="AK490" i="20"/>
  <c r="AA503" i="20"/>
  <c r="AE523" i="20"/>
  <c r="AB515" i="20"/>
  <c r="AC531" i="20"/>
  <c r="Y551" i="20"/>
  <c r="AF557" i="20"/>
  <c r="Y580" i="20"/>
  <c r="AC592" i="20"/>
  <c r="AC602" i="20"/>
  <c r="AF598" i="20"/>
  <c r="Z705" i="20"/>
  <c r="Y709" i="20"/>
  <c r="Z721" i="20"/>
  <c r="Z729" i="20"/>
  <c r="AC740" i="20"/>
  <c r="AC745" i="20"/>
  <c r="AK757" i="20"/>
  <c r="AE775" i="20"/>
  <c r="AD767" i="20"/>
  <c r="AB793" i="20"/>
  <c r="AG443" i="20"/>
  <c r="Z512" i="20"/>
  <c r="AB581" i="20"/>
  <c r="Y708" i="20"/>
  <c r="AE749" i="20"/>
  <c r="AD768" i="20"/>
  <c r="AF832" i="20"/>
  <c r="AB852" i="20"/>
  <c r="AG865" i="20"/>
  <c r="AC897" i="20"/>
  <c r="Z569" i="20"/>
  <c r="Y483" i="20"/>
  <c r="Z623" i="20"/>
  <c r="AC689" i="20"/>
  <c r="Z673" i="20"/>
  <c r="AA545" i="20"/>
  <c r="AD355" i="20"/>
  <c r="Y398" i="20"/>
  <c r="AF379" i="20"/>
  <c r="AK366" i="20"/>
  <c r="Z414" i="20"/>
  <c r="AE422" i="20"/>
  <c r="AF392" i="20"/>
  <c r="Y646" i="20"/>
  <c r="AE634" i="20"/>
  <c r="AB332" i="20"/>
  <c r="Y430" i="20"/>
  <c r="AE456" i="20"/>
  <c r="AF460" i="20"/>
  <c r="AB490" i="20"/>
  <c r="AB503" i="20"/>
  <c r="Y496" i="20"/>
  <c r="Y523" i="20"/>
  <c r="AE515" i="20"/>
  <c r="AG524" i="20"/>
  <c r="AG538" i="20"/>
  <c r="Y565" i="20"/>
  <c r="AB561" i="20"/>
  <c r="AE573" i="20"/>
  <c r="AG580" i="20"/>
  <c r="Z592" i="20"/>
  <c r="AB588" i="20"/>
  <c r="AE606" i="20"/>
  <c r="AG598" i="20"/>
  <c r="AG610" i="20"/>
  <c r="AG622" i="20"/>
  <c r="AK702" i="20"/>
  <c r="AK709" i="20"/>
  <c r="AC721" i="20"/>
  <c r="AA729" i="20"/>
  <c r="AB733" i="20"/>
  <c r="AD742" i="20"/>
  <c r="AG745" i="20"/>
  <c r="AC751" i="20"/>
  <c r="AG760" i="20"/>
  <c r="AA761" i="20"/>
  <c r="AK779" i="20"/>
  <c r="AE771" i="20"/>
  <c r="AB763" i="20"/>
  <c r="AA785" i="20"/>
  <c r="AF789" i="20"/>
  <c r="Y798" i="20"/>
  <c r="AA806" i="20"/>
  <c r="AK810" i="20"/>
  <c r="AD818" i="20"/>
  <c r="AA826" i="20"/>
  <c r="AB827" i="20"/>
  <c r="AE838" i="20"/>
  <c r="AC842" i="20"/>
  <c r="AE848" i="20"/>
  <c r="AK854" i="20"/>
  <c r="AC858" i="20"/>
  <c r="AK863" i="20"/>
  <c r="Z874" i="20"/>
  <c r="AB879" i="20"/>
  <c r="AE886" i="20"/>
  <c r="AC889" i="20"/>
  <c r="AK501" i="20"/>
  <c r="AE611" i="20"/>
  <c r="AE797" i="20"/>
  <c r="AK828" i="20"/>
  <c r="AD873" i="20"/>
  <c r="AA890" i="20"/>
  <c r="AB569" i="20"/>
  <c r="AF579" i="20"/>
  <c r="AA693" i="20"/>
  <c r="AG673" i="20"/>
  <c r="AF355" i="20"/>
  <c r="AA359" i="20"/>
  <c r="AD369" i="20"/>
  <c r="Z422" i="20"/>
  <c r="AE646" i="20"/>
  <c r="Z309" i="20"/>
  <c r="AD378" i="20"/>
  <c r="Y460" i="20"/>
  <c r="Y490" i="20"/>
  <c r="AB496" i="20"/>
  <c r="AF515" i="20"/>
  <c r="AD538" i="20"/>
  <c r="AF565" i="20"/>
  <c r="AF573" i="20"/>
  <c r="AK606" i="20"/>
  <c r="AF614" i="20"/>
  <c r="AC702" i="20"/>
  <c r="AB721" i="20"/>
  <c r="Z742" i="20"/>
  <c r="AD757" i="20"/>
  <c r="AC779" i="20"/>
  <c r="AD763" i="20"/>
  <c r="AG793" i="20"/>
  <c r="AG802" i="20"/>
  <c r="AF814" i="20"/>
  <c r="AG825" i="20"/>
  <c r="AA834" i="20"/>
  <c r="Y838" i="20"/>
  <c r="AF848" i="20"/>
  <c r="AC864" i="20"/>
  <c r="AD874" i="20"/>
  <c r="AK879" i="20"/>
  <c r="AF886" i="20"/>
  <c r="AA572" i="20"/>
  <c r="AF652" i="20"/>
  <c r="AG657" i="20"/>
  <c r="AK713" i="20"/>
  <c r="AD482" i="20"/>
  <c r="AD619" i="20"/>
  <c r="Z632" i="20"/>
  <c r="Z696" i="20"/>
  <c r="AA688" i="20"/>
  <c r="AK684" i="20"/>
  <c r="Y680" i="20"/>
  <c r="Z672" i="20"/>
  <c r="AG664" i="20"/>
  <c r="AE544" i="20"/>
  <c r="AA423" i="20"/>
  <c r="AE404" i="20"/>
  <c r="AG396" i="20"/>
  <c r="AC375" i="20"/>
  <c r="Z400" i="20"/>
  <c r="Y364" i="20"/>
  <c r="AG413" i="20"/>
  <c r="Y425" i="20"/>
  <c r="AA380" i="20"/>
  <c r="AF358" i="20"/>
  <c r="AD641" i="20"/>
  <c r="AC293" i="20"/>
  <c r="AD349" i="20"/>
  <c r="AC353" i="20"/>
  <c r="AF434" i="20"/>
  <c r="AE445" i="20"/>
  <c r="AK449" i="20"/>
  <c r="AG470" i="20"/>
  <c r="AE485" i="20"/>
  <c r="AF487" i="20"/>
  <c r="AK506" i="20"/>
  <c r="AG495" i="20"/>
  <c r="AG511" i="20"/>
  <c r="AB522" i="20"/>
  <c r="AB514" i="20"/>
  <c r="AE541" i="20"/>
  <c r="AC537" i="20"/>
  <c r="AF555" i="20"/>
  <c r="AD560" i="20"/>
  <c r="AA584" i="20"/>
  <c r="AE595" i="20"/>
  <c r="AD591" i="20"/>
  <c r="AB605" i="20"/>
  <c r="AA617" i="20"/>
  <c r="AF613" i="20"/>
  <c r="AB626" i="20"/>
  <c r="AK701" i="20"/>
  <c r="Z711" i="20"/>
  <c r="Z723" i="20"/>
  <c r="Y728" i="20"/>
  <c r="AK732" i="20"/>
  <c r="Y739" i="20"/>
  <c r="AG744" i="20"/>
  <c r="Z756" i="20"/>
  <c r="Z759" i="20"/>
  <c r="AB782" i="20"/>
  <c r="AF774" i="20"/>
  <c r="AK388" i="20"/>
  <c r="Y532" i="20"/>
  <c r="Z730" i="20"/>
  <c r="AD764" i="20"/>
  <c r="AE832" i="20"/>
  <c r="AB869" i="20"/>
  <c r="Z661" i="20"/>
  <c r="AG623" i="20"/>
  <c r="AC685" i="20"/>
  <c r="AA534" i="20"/>
  <c r="AC359" i="20"/>
  <c r="AD414" i="20"/>
  <c r="Z392" i="20"/>
  <c r="AK634" i="20"/>
  <c r="Z378" i="20"/>
  <c r="Z460" i="20"/>
  <c r="AE488" i="20"/>
  <c r="AC503" i="20"/>
  <c r="AC523" i="20"/>
  <c r="AC524" i="20"/>
  <c r="AF551" i="20"/>
  <c r="AA573" i="20"/>
  <c r="AD596" i="20"/>
  <c r="AF588" i="20"/>
  <c r="Z614" i="20"/>
  <c r="Z622" i="20"/>
  <c r="AG702" i="20"/>
  <c r="AK721" i="20"/>
  <c r="AD729" i="20"/>
  <c r="AE742" i="20"/>
  <c r="Z760" i="20"/>
  <c r="AD775" i="20"/>
  <c r="Y767" i="20"/>
  <c r="AC793" i="20"/>
  <c r="AB802" i="20"/>
  <c r="AK806" i="20"/>
  <c r="AD814" i="20"/>
  <c r="Y825" i="20"/>
  <c r="AF834" i="20"/>
  <c r="Z842" i="20"/>
  <c r="AE851" i="20"/>
  <c r="Y854" i="20"/>
  <c r="AA863" i="20"/>
  <c r="AC874" i="20"/>
  <c r="AE882" i="20"/>
  <c r="AC892" i="20"/>
  <c r="Z572" i="20"/>
  <c r="AD652" i="20"/>
  <c r="AA660" i="20"/>
  <c r="AB713" i="20"/>
  <c r="AD576" i="20"/>
  <c r="AC619" i="20"/>
  <c r="AC628" i="20"/>
  <c r="AK700" i="20"/>
  <c r="AG696" i="20"/>
  <c r="Z688" i="20"/>
  <c r="Z680" i="20"/>
  <c r="AB676" i="20"/>
  <c r="AA672" i="20"/>
  <c r="Y664" i="20"/>
  <c r="AF544" i="20"/>
  <c r="AK423" i="20"/>
  <c r="AC417" i="20"/>
  <c r="AE384" i="20"/>
  <c r="AB375" i="20"/>
  <c r="AB400" i="20"/>
  <c r="AG364" i="20"/>
  <c r="AB413" i="20"/>
  <c r="AA425" i="20"/>
  <c r="Y402" i="20"/>
  <c r="AE358" i="20"/>
  <c r="AG645" i="20"/>
  <c r="AF641" i="20"/>
  <c r="AD293" i="20"/>
  <c r="AG313" i="20"/>
  <c r="AB353" i="20"/>
  <c r="Z434" i="20"/>
  <c r="AA445" i="20"/>
  <c r="Y470" i="20"/>
  <c r="Y481" i="20"/>
  <c r="AK487" i="20"/>
  <c r="AG493" i="20"/>
  <c r="AB495" i="20"/>
  <c r="Y511" i="20"/>
  <c r="AD522" i="20"/>
  <c r="AE514" i="20"/>
  <c r="AC530" i="20"/>
  <c r="Z537" i="20"/>
  <c r="AA555" i="20"/>
  <c r="AF560" i="20"/>
  <c r="AK584" i="20"/>
  <c r="AB595" i="20"/>
  <c r="AG591" i="20"/>
  <c r="Z605" i="20"/>
  <c r="AE601" i="20"/>
  <c r="AA613" i="20"/>
  <c r="AA626" i="20"/>
  <c r="AC701" i="20"/>
  <c r="AA711" i="20"/>
  <c r="AB719" i="20"/>
  <c r="AC723" i="20"/>
  <c r="Z731" i="20"/>
  <c r="AF739" i="20"/>
  <c r="Y744" i="20"/>
  <c r="AG750" i="20"/>
  <c r="AK759" i="20"/>
  <c r="AG782" i="20"/>
  <c r="AC778" i="20"/>
  <c r="AK770" i="20"/>
  <c r="Y788" i="20"/>
  <c r="AK792" i="20"/>
  <c r="Y795" i="20"/>
  <c r="AG805" i="20"/>
  <c r="AE812" i="20"/>
  <c r="AF815" i="20"/>
  <c r="AK822" i="20"/>
  <c r="Z830" i="20"/>
  <c r="AF835" i="20"/>
  <c r="AB841" i="20"/>
  <c r="AF845" i="20"/>
  <c r="AK856" i="20"/>
  <c r="AG859" i="20"/>
  <c r="Y862" i="20"/>
  <c r="AA876" i="20"/>
  <c r="AB878" i="20"/>
  <c r="AD883" i="20"/>
  <c r="AF888" i="20"/>
  <c r="AG893" i="20"/>
  <c r="AE360" i="20"/>
  <c r="AC607" i="20"/>
  <c r="AA823" i="20"/>
  <c r="AA553" i="20"/>
  <c r="AB677" i="20"/>
  <c r="Y359" i="20"/>
  <c r="AD408" i="20"/>
  <c r="AD642" i="20"/>
  <c r="AD476" i="20"/>
  <c r="AA523" i="20"/>
  <c r="AD565" i="20"/>
  <c r="AF596" i="20"/>
  <c r="AC610" i="20"/>
  <c r="AF742" i="20"/>
  <c r="AF761" i="20"/>
  <c r="AF785" i="20"/>
  <c r="AA814" i="20"/>
  <c r="AB826" i="20"/>
  <c r="AG848" i="20"/>
  <c r="AD858" i="20"/>
  <c r="AB868" i="20"/>
  <c r="AK889" i="20"/>
  <c r="AC657" i="20"/>
  <c r="AE482" i="20"/>
  <c r="AB628" i="20"/>
  <c r="AB696" i="20"/>
  <c r="Z684" i="20"/>
  <c r="AB668" i="20"/>
  <c r="AE546" i="20"/>
  <c r="Y404" i="20"/>
  <c r="Y375" i="20"/>
  <c r="AF376" i="20"/>
  <c r="AD413" i="20"/>
  <c r="AG425" i="20"/>
  <c r="AB645" i="20"/>
  <c r="Y293" i="20"/>
  <c r="AD353" i="20"/>
  <c r="Y434" i="20"/>
  <c r="AK470" i="20"/>
  <c r="AK485" i="20"/>
  <c r="AB499" i="20"/>
  <c r="AF514" i="20"/>
  <c r="AK564" i="20"/>
  <c r="AE584" i="20"/>
  <c r="AA587" i="20"/>
  <c r="AC617" i="20"/>
  <c r="Z707" i="20"/>
  <c r="AD719" i="20"/>
  <c r="AG728" i="20"/>
  <c r="AK744" i="20"/>
  <c r="AB756" i="20"/>
  <c r="AK778" i="20"/>
  <c r="AK766" i="20"/>
  <c r="AK788" i="20"/>
  <c r="AC799" i="20"/>
  <c r="AK807" i="20"/>
  <c r="Z815" i="20"/>
  <c r="AF822" i="20"/>
  <c r="Y831" i="20"/>
  <c r="AC841" i="20"/>
  <c r="AG845" i="20"/>
  <c r="Y859" i="20"/>
  <c r="AK867" i="20"/>
  <c r="AF878" i="20"/>
  <c r="AF887" i="20"/>
  <c r="AC571" i="20"/>
  <c r="AD650" i="20"/>
  <c r="AB658" i="20"/>
  <c r="AA714" i="20"/>
  <c r="AA479" i="20"/>
  <c r="AE618" i="20"/>
  <c r="AG627" i="20"/>
  <c r="AF699" i="20"/>
  <c r="AA691" i="20"/>
  <c r="AK687" i="20"/>
  <c r="Y683" i="20"/>
  <c r="AF675" i="20"/>
  <c r="Y671" i="20"/>
  <c r="AD663" i="20"/>
  <c r="AG543" i="20"/>
  <c r="Z426" i="20"/>
  <c r="AG401" i="20"/>
  <c r="AD383" i="20"/>
  <c r="Z403" i="20"/>
  <c r="Z373" i="20"/>
  <c r="AF419" i="20"/>
  <c r="AF412" i="20"/>
  <c r="AE356" i="20"/>
  <c r="AK397" i="20"/>
  <c r="AF374" i="20"/>
  <c r="AE644" i="20"/>
  <c r="AF640" i="20"/>
  <c r="AD297" i="20"/>
  <c r="Z348" i="20"/>
  <c r="AA416" i="20"/>
  <c r="AD433" i="20"/>
  <c r="AA444" i="20"/>
  <c r="AG474" i="20"/>
  <c r="Z484" i="20"/>
  <c r="Y492" i="20"/>
  <c r="AF505" i="20"/>
  <c r="AB498" i="20"/>
  <c r="Y521" i="20"/>
  <c r="AC517" i="20"/>
  <c r="AF513" i="20"/>
  <c r="AK540" i="20"/>
  <c r="AC535" i="20"/>
  <c r="AG563" i="20"/>
  <c r="AF568" i="20"/>
  <c r="AC582" i="20"/>
  <c r="AE594" i="20"/>
  <c r="AG590" i="20"/>
  <c r="AK586" i="20"/>
  <c r="AD600" i="20"/>
  <c r="AB616" i="20"/>
  <c r="AG608" i="20"/>
  <c r="AE704" i="20"/>
  <c r="AA106" i="20"/>
  <c r="AF109" i="20"/>
  <c r="AC223" i="20"/>
  <c r="AG184" i="20"/>
  <c r="Y255" i="20"/>
  <c r="AG190" i="20"/>
  <c r="AC212" i="20"/>
  <c r="Y204" i="20"/>
  <c r="AF238" i="20"/>
  <c r="AE199" i="20"/>
  <c r="AB217" i="20"/>
  <c r="AK287" i="20"/>
  <c r="AD204" i="20"/>
  <c r="AG277" i="20"/>
  <c r="AK253" i="20"/>
  <c r="AA273" i="20"/>
  <c r="AF227" i="20"/>
  <c r="Y233" i="20"/>
  <c r="AF271" i="20"/>
  <c r="AC234" i="20"/>
  <c r="AD230" i="20"/>
  <c r="AC528" i="20"/>
  <c r="AA529" i="20"/>
  <c r="AE308" i="20"/>
  <c r="AB327" i="20"/>
  <c r="AG334" i="20"/>
  <c r="AB458" i="20"/>
  <c r="AG439" i="20"/>
  <c r="AC350" i="20"/>
  <c r="AK471" i="20"/>
  <c r="AD328" i="20"/>
  <c r="Z432" i="20"/>
  <c r="AC317" i="20"/>
  <c r="AK448" i="20"/>
  <c r="Y473" i="20"/>
  <c r="AG331" i="20"/>
  <c r="Y250" i="20"/>
  <c r="Y283" i="20"/>
  <c r="AD315" i="20"/>
  <c r="Z304" i="20"/>
  <c r="Z307" i="20"/>
  <c r="AA269" i="20"/>
  <c r="AF314" i="20"/>
  <c r="AK464" i="20"/>
  <c r="Y314" i="20"/>
  <c r="Z345" i="20"/>
  <c r="AC314" i="20"/>
  <c r="AC463" i="20"/>
  <c r="AB467" i="20"/>
  <c r="AA454" i="20"/>
  <c r="AA321" i="20"/>
  <c r="Y319" i="20"/>
  <c r="AE319" i="20"/>
  <c r="AK300" i="20"/>
  <c r="AD296" i="20"/>
  <c r="AD295" i="20"/>
  <c r="AG343" i="20"/>
  <c r="AD344" i="20"/>
  <c r="Y341" i="20"/>
  <c r="AB418" i="20"/>
  <c r="AB371" i="20"/>
  <c r="AB407" i="20"/>
  <c r="AD472" i="20"/>
  <c r="Y418" i="20"/>
  <c r="Z643" i="20"/>
  <c r="Z453" i="20"/>
  <c r="AE504" i="20"/>
  <c r="Z424" i="20"/>
  <c r="AK635" i="20"/>
  <c r="AF466" i="20"/>
  <c r="AB497" i="20"/>
  <c r="AF552" i="20"/>
  <c r="AA597" i="20"/>
  <c r="AG611" i="20"/>
  <c r="AK722" i="20"/>
  <c r="AA354" i="20"/>
  <c r="AC491" i="20"/>
  <c r="AG532" i="20"/>
  <c r="AK567" i="20"/>
  <c r="AA585" i="20"/>
  <c r="AA703" i="20"/>
  <c r="Y741" i="20"/>
  <c r="Z754" i="20"/>
  <c r="AF772" i="20"/>
  <c r="AE786" i="20"/>
  <c r="AB803" i="20"/>
  <c r="AC411" i="20"/>
  <c r="AG323" i="20"/>
  <c r="AA472" i="20"/>
  <c r="AC509" i="20"/>
  <c r="AG539" i="20"/>
  <c r="AF558" i="20"/>
  <c r="AD593" i="20"/>
  <c r="AG599" i="20"/>
  <c r="AD703" i="20"/>
  <c r="AF722" i="20"/>
  <c r="AC741" i="20"/>
  <c r="Y749" i="20"/>
  <c r="AA762" i="20"/>
  <c r="Z772" i="20"/>
  <c r="AB786" i="20"/>
  <c r="AF797" i="20"/>
  <c r="AK808" i="20"/>
  <c r="AB821" i="20"/>
  <c r="Y832" i="20"/>
  <c r="AA846" i="20"/>
  <c r="AG873" i="20"/>
  <c r="AD865" i="20"/>
  <c r="Y881" i="20"/>
  <c r="AG894" i="20"/>
  <c r="AK569" i="20"/>
  <c r="AD424" i="20"/>
  <c r="AK360" i="20"/>
  <c r="AB516" i="20"/>
  <c r="AD597" i="20"/>
  <c r="AB611" i="20"/>
  <c r="AF725" i="20"/>
  <c r="AB780" i="20"/>
  <c r="AG786" i="20"/>
  <c r="AF808" i="20"/>
  <c r="Y823" i="20"/>
  <c r="AF849" i="20"/>
  <c r="Y873" i="20"/>
  <c r="AC880" i="20"/>
  <c r="Y894" i="20"/>
  <c r="AA653" i="20"/>
  <c r="AG712" i="20"/>
  <c r="Y620" i="20"/>
  <c r="AB693" i="20"/>
  <c r="AA677" i="20"/>
  <c r="AC665" i="20"/>
  <c r="AC545" i="20"/>
  <c r="AB398" i="20"/>
  <c r="AC377" i="20"/>
  <c r="AK407" i="20"/>
  <c r="Y509" i="20"/>
  <c r="AF567" i="20"/>
  <c r="AC611" i="20"/>
  <c r="AF730" i="20"/>
  <c r="AD749" i="20"/>
  <c r="AK764" i="20"/>
  <c r="AC808" i="20"/>
  <c r="Z823" i="20"/>
  <c r="AD843" i="20"/>
  <c r="AG857" i="20"/>
  <c r="Z880" i="20"/>
  <c r="AG656" i="20"/>
  <c r="Z553" i="20"/>
  <c r="AD623" i="20"/>
  <c r="AC693" i="20"/>
  <c r="Z677" i="20"/>
  <c r="AB665" i="20"/>
  <c r="AG549" i="20"/>
  <c r="AK398" i="20"/>
  <c r="AF359" i="20"/>
  <c r="AB369" i="20"/>
  <c r="Y414" i="20"/>
  <c r="AA392" i="20"/>
  <c r="Z642" i="20"/>
  <c r="AA309" i="20"/>
  <c r="AB378" i="20"/>
  <c r="AF450" i="20"/>
  <c r="AC486" i="20"/>
  <c r="Z507" i="20"/>
  <c r="AC323" i="20"/>
  <c r="AK593" i="20"/>
  <c r="AE730" i="20"/>
  <c r="AC752" i="20"/>
  <c r="Z786" i="20"/>
  <c r="AG819" i="20"/>
  <c r="Y836" i="20"/>
  <c r="AB857" i="20"/>
  <c r="AD885" i="20"/>
  <c r="AG569" i="20"/>
  <c r="AE712" i="20"/>
  <c r="AG579" i="20"/>
  <c r="AB629" i="20"/>
  <c r="Y681" i="20"/>
  <c r="AK534" i="20"/>
  <c r="AC398" i="20"/>
  <c r="Z377" i="20"/>
  <c r="AG366" i="20"/>
  <c r="AK414" i="20"/>
  <c r="AG392" i="20"/>
  <c r="AC642" i="20"/>
  <c r="AC634" i="20"/>
  <c r="Y351" i="20"/>
  <c r="Z430" i="20"/>
  <c r="AD456" i="20"/>
  <c r="Z476" i="20"/>
  <c r="Y507" i="20"/>
  <c r="AG500" i="20"/>
  <c r="AA519" i="20"/>
  <c r="AD515" i="20"/>
  <c r="Y538" i="20"/>
  <c r="AE561" i="20"/>
  <c r="AB573" i="20"/>
  <c r="AE596" i="20"/>
  <c r="AK588" i="20"/>
  <c r="AD602" i="20"/>
  <c r="AB614" i="20"/>
  <c r="AG705" i="20"/>
  <c r="AC709" i="20"/>
  <c r="AF721" i="20"/>
  <c r="AE733" i="20"/>
  <c r="Y740" i="20"/>
  <c r="AE751" i="20"/>
  <c r="AB761" i="20"/>
  <c r="AG775" i="20"/>
  <c r="AC767" i="20"/>
  <c r="AE418" i="20"/>
  <c r="AF478" i="20"/>
  <c r="AC532" i="20"/>
  <c r="AD603" i="20"/>
  <c r="AA725" i="20"/>
  <c r="AF752" i="20"/>
  <c r="AD813" i="20"/>
  <c r="AE836" i="20"/>
  <c r="Z857" i="20"/>
  <c r="AD881" i="20"/>
  <c r="AK574" i="20"/>
  <c r="AC553" i="20"/>
  <c r="AB623" i="20"/>
  <c r="AK685" i="20"/>
  <c r="AF669" i="20"/>
  <c r="AG545" i="20"/>
  <c r="AE405" i="20"/>
  <c r="AK381" i="20"/>
  <c r="AA379" i="20"/>
  <c r="AB421" i="20"/>
  <c r="AG414" i="20"/>
  <c r="AD422" i="20"/>
  <c r="AA363" i="20"/>
  <c r="AA642" i="20"/>
  <c r="AB634" i="20"/>
  <c r="AG378" i="20"/>
  <c r="AA430" i="20"/>
  <c r="AK456" i="20"/>
  <c r="AF476" i="20"/>
  <c r="AG490" i="20"/>
  <c r="Y503" i="20"/>
  <c r="Z496" i="20"/>
  <c r="AK523" i="20"/>
  <c r="AK515" i="20"/>
  <c r="AB531" i="20"/>
  <c r="AA538" i="20"/>
  <c r="Z565" i="20"/>
  <c r="Y561" i="20"/>
  <c r="Z580" i="20"/>
  <c r="AB596" i="20"/>
  <c r="Y592" i="20"/>
  <c r="Y606" i="20"/>
  <c r="AK602" i="20"/>
  <c r="AD614" i="20"/>
  <c r="AK610" i="20"/>
  <c r="AF705" i="20"/>
  <c r="Z709" i="20"/>
  <c r="AK718" i="20"/>
  <c r="AG721" i="20"/>
  <c r="AF729" i="20"/>
  <c r="AD733" i="20"/>
  <c r="AK742" i="20"/>
  <c r="AK745" i="20"/>
  <c r="AF757" i="20"/>
  <c r="Y760" i="20"/>
  <c r="AC761" i="20"/>
  <c r="AF775" i="20"/>
  <c r="AA767" i="20"/>
  <c r="Y763" i="20"/>
  <c r="AE793" i="20"/>
  <c r="AG789" i="20"/>
  <c r="Z802" i="20"/>
  <c r="AA810" i="20"/>
  <c r="AB814" i="20"/>
  <c r="AC818" i="20"/>
  <c r="AF826" i="20"/>
  <c r="Y827" i="20"/>
  <c r="AK838" i="20"/>
  <c r="AD842" i="20"/>
  <c r="AD851" i="20"/>
  <c r="AA858" i="20"/>
  <c r="AA864" i="20"/>
  <c r="AC868" i="20"/>
  <c r="AE874" i="20"/>
  <c r="AG879" i="20"/>
  <c r="AK886" i="20"/>
  <c r="AD889" i="20"/>
  <c r="AE647" i="20"/>
  <c r="Z516" i="20"/>
  <c r="AC722" i="20"/>
  <c r="AE803" i="20"/>
  <c r="AG832" i="20"/>
  <c r="AC869" i="20"/>
  <c r="AK894" i="20"/>
  <c r="AG661" i="20"/>
  <c r="AG620" i="20"/>
  <c r="Z689" i="20"/>
  <c r="AD669" i="20"/>
  <c r="Y405" i="20"/>
  <c r="AD377" i="20"/>
  <c r="AC366" i="20"/>
  <c r="AF409" i="20"/>
  <c r="Y642" i="20"/>
  <c r="Y332" i="20"/>
  <c r="AF428" i="20"/>
  <c r="AB476" i="20"/>
  <c r="AG507" i="20"/>
  <c r="AD523" i="20"/>
  <c r="Y515" i="20"/>
  <c r="AA551" i="20"/>
  <c r="AD561" i="20"/>
  <c r="AC573" i="20"/>
  <c r="AC598" i="20"/>
  <c r="AA610" i="20"/>
  <c r="AA709" i="20"/>
  <c r="AE726" i="20"/>
  <c r="AC742" i="20"/>
  <c r="AB757" i="20"/>
  <c r="Y771" i="20"/>
  <c r="AC785" i="20"/>
  <c r="Z789" i="20"/>
  <c r="Y806" i="20"/>
  <c r="AE818" i="20"/>
  <c r="Y826" i="20"/>
  <c r="AC834" i="20"/>
  <c r="AB842" i="20"/>
  <c r="AF851" i="20"/>
  <c r="Z863" i="20"/>
  <c r="AF874" i="20"/>
  <c r="AD882" i="20"/>
  <c r="Z886" i="20"/>
  <c r="AE649" i="20"/>
  <c r="AG652" i="20"/>
  <c r="Z660" i="20"/>
  <c r="AA482" i="20"/>
  <c r="AA576" i="20"/>
  <c r="AD628" i="20"/>
  <c r="AA632" i="20"/>
  <c r="Y696" i="20"/>
  <c r="AF688" i="20"/>
  <c r="AE684" i="20"/>
  <c r="AE676" i="20"/>
  <c r="AB672" i="20"/>
  <c r="AF664" i="20"/>
  <c r="Y546" i="20"/>
  <c r="Y423" i="20"/>
  <c r="AK404" i="20"/>
  <c r="AC396" i="20"/>
  <c r="AE406" i="20"/>
  <c r="AF400" i="20"/>
  <c r="AE420" i="20"/>
  <c r="Y390" i="20"/>
  <c r="AE402" i="20"/>
  <c r="AG380" i="20"/>
  <c r="Z358" i="20"/>
  <c r="Y641" i="20"/>
  <c r="AG293" i="20"/>
  <c r="AK349" i="20"/>
  <c r="Y353" i="20"/>
  <c r="AC434" i="20"/>
  <c r="Z449" i="20"/>
  <c r="AK455" i="20"/>
  <c r="AE481" i="20"/>
  <c r="AC485" i="20"/>
  <c r="Z493" i="20"/>
  <c r="AF506" i="20"/>
  <c r="AC495" i="20"/>
  <c r="AE511" i="20"/>
  <c r="Y518" i="20"/>
  <c r="AG514" i="20"/>
  <c r="AK541" i="20"/>
  <c r="AG537" i="20"/>
  <c r="AG564" i="20"/>
  <c r="AE560" i="20"/>
  <c r="AF584" i="20"/>
  <c r="AA591" i="20"/>
  <c r="AB587" i="20"/>
  <c r="AC601" i="20"/>
  <c r="AG617" i="20"/>
  <c r="AG609" i="20"/>
  <c r="AA701" i="20"/>
  <c r="AB707" i="20"/>
  <c r="Y711" i="20"/>
  <c r="AE723" i="20"/>
  <c r="AG731" i="20"/>
  <c r="Z739" i="20"/>
  <c r="Z748" i="20"/>
  <c r="AA744" i="20"/>
  <c r="AE756" i="20"/>
  <c r="AG759" i="20"/>
  <c r="AE778" i="20"/>
  <c r="AB770" i="20"/>
  <c r="Z635" i="20"/>
  <c r="Y566" i="20"/>
  <c r="AE737" i="20"/>
  <c r="Z801" i="20"/>
  <c r="AA852" i="20"/>
  <c r="Y880" i="20"/>
  <c r="AB712" i="20"/>
  <c r="AD629" i="20"/>
  <c r="AF681" i="20"/>
  <c r="AD545" i="20"/>
  <c r="AE377" i="20"/>
  <c r="AB422" i="20"/>
  <c r="AF646" i="20"/>
  <c r="Y309" i="20"/>
  <c r="AK428" i="20"/>
  <c r="AE460" i="20"/>
  <c r="AE490" i="20"/>
  <c r="Z500" i="20"/>
  <c r="AA515" i="20"/>
  <c r="AD531" i="20"/>
  <c r="AC551" i="20"/>
  <c r="AG573" i="20"/>
  <c r="AE592" i="20"/>
  <c r="AF606" i="20"/>
  <c r="AC614" i="20"/>
  <c r="AD705" i="20"/>
  <c r="AG709" i="20"/>
  <c r="Z726" i="20"/>
  <c r="Z733" i="20"/>
  <c r="Y742" i="20"/>
  <c r="Y761" i="20"/>
  <c r="AC775" i="20"/>
  <c r="AC763" i="20"/>
  <c r="Y789" i="20"/>
  <c r="AC802" i="20"/>
  <c r="AB810" i="20"/>
  <c r="Z814" i="20"/>
  <c r="AC826" i="20"/>
  <c r="AB838" i="20"/>
  <c r="AG842" i="20"/>
  <c r="Y851" i="20"/>
  <c r="Y858" i="20"/>
  <c r="AG863" i="20"/>
  <c r="AE879" i="20"/>
  <c r="Y886" i="20"/>
  <c r="AB572" i="20"/>
  <c r="AC652" i="20"/>
  <c r="AF660" i="20"/>
  <c r="AG713" i="20"/>
  <c r="AK576" i="20"/>
  <c r="AG619" i="20"/>
  <c r="AG632" i="20"/>
  <c r="AA696" i="20"/>
  <c r="AB692" i="20"/>
  <c r="AC684" i="20"/>
  <c r="AE680" i="20"/>
  <c r="Y676" i="20"/>
  <c r="AC668" i="20"/>
  <c r="Z664" i="20"/>
  <c r="AG546" i="20"/>
  <c r="AA417" i="20"/>
  <c r="AB404" i="20"/>
  <c r="AK384" i="20"/>
  <c r="AB406" i="20"/>
  <c r="AE376" i="20"/>
  <c r="AK364" i="20"/>
  <c r="AK413" i="20"/>
  <c r="AK425" i="20"/>
  <c r="AG402" i="20"/>
  <c r="AD358" i="20"/>
  <c r="AF645" i="20"/>
  <c r="Z641" i="20"/>
  <c r="AA293" i="20"/>
  <c r="AK313" i="20"/>
  <c r="AF353" i="20"/>
  <c r="AE434" i="20"/>
  <c r="AF449" i="20"/>
  <c r="Z470" i="20"/>
  <c r="AB485" i="20"/>
  <c r="AA493" i="20"/>
  <c r="Y506" i="20"/>
  <c r="AD499" i="20"/>
  <c r="Z511" i="20"/>
  <c r="AC522" i="20"/>
  <c r="AK514" i="20"/>
  <c r="Y530" i="20"/>
  <c r="Y537" i="20"/>
  <c r="Y564" i="20"/>
  <c r="AG556" i="20"/>
  <c r="Z578" i="20"/>
  <c r="Y595" i="20"/>
  <c r="AE587" i="20"/>
  <c r="AF605" i="20"/>
  <c r="AB617" i="20"/>
  <c r="AE613" i="20"/>
  <c r="Y626" i="20"/>
  <c r="AD707" i="20"/>
  <c r="AF711" i="20"/>
  <c r="Y719" i="20"/>
  <c r="AE728" i="20"/>
  <c r="AB732" i="20"/>
  <c r="AE748" i="20"/>
  <c r="Z744" i="20"/>
  <c r="AC756" i="20"/>
  <c r="Y759" i="20"/>
  <c r="AC782" i="20"/>
  <c r="AG774" i="20"/>
  <c r="Y766" i="20"/>
  <c r="AG784" i="20"/>
  <c r="AA795" i="20"/>
  <c r="AB799" i="20"/>
  <c r="AE807" i="20"/>
  <c r="AC812" i="20"/>
  <c r="AA817" i="20"/>
  <c r="AA830" i="20"/>
  <c r="AB831" i="20"/>
  <c r="AC839" i="20"/>
  <c r="AA841" i="20"/>
  <c r="AD850" i="20"/>
  <c r="AA859" i="20"/>
  <c r="AB872" i="20"/>
  <c r="AC867" i="20"/>
  <c r="AF876" i="20"/>
  <c r="Y878" i="20"/>
  <c r="AE887" i="20"/>
  <c r="AC888" i="20"/>
  <c r="AF893" i="20"/>
  <c r="Y497" i="20"/>
  <c r="AK725" i="20"/>
  <c r="AF836" i="20"/>
  <c r="AE620" i="20"/>
  <c r="AE669" i="20"/>
  <c r="AG379" i="20"/>
  <c r="AA409" i="20"/>
  <c r="AK332" i="20"/>
  <c r="AD488" i="20"/>
  <c r="AB519" i="20"/>
  <c r="AG561" i="20"/>
  <c r="Y602" i="20"/>
  <c r="AD622" i="20"/>
  <c r="AA751" i="20"/>
  <c r="Z779" i="20"/>
  <c r="AE789" i="20"/>
  <c r="AK814" i="20"/>
  <c r="AE827" i="20"/>
  <c r="AA851" i="20"/>
  <c r="AE864" i="20"/>
  <c r="Y874" i="20"/>
  <c r="AB892" i="20"/>
  <c r="AF572" i="20"/>
  <c r="AB660" i="20"/>
  <c r="AK482" i="20"/>
  <c r="AD632" i="20"/>
  <c r="AD696" i="20"/>
  <c r="AC676" i="20"/>
  <c r="AK664" i="20"/>
  <c r="AE423" i="20"/>
  <c r="AA384" i="20"/>
  <c r="Z406" i="20"/>
  <c r="AG376" i="20"/>
  <c r="AA390" i="20"/>
  <c r="Z402" i="20"/>
  <c r="AG641" i="20"/>
  <c r="AA313" i="20"/>
  <c r="AK353" i="20"/>
  <c r="AG445" i="20"/>
  <c r="AE470" i="20"/>
  <c r="AE487" i="20"/>
  <c r="AK511" i="20"/>
  <c r="Y514" i="20"/>
  <c r="AB564" i="20"/>
  <c r="Y584" i="20"/>
  <c r="AC587" i="20"/>
  <c r="AB613" i="20"/>
  <c r="AK707" i="20"/>
  <c r="AD723" i="20"/>
  <c r="AB731" i="20"/>
  <c r="AB744" i="20"/>
  <c r="AF759" i="20"/>
  <c r="AD774" i="20"/>
  <c r="AE766" i="20"/>
  <c r="Z784" i="20"/>
  <c r="AA805" i="20"/>
  <c r="AD812" i="20"/>
  <c r="AE815" i="20"/>
  <c r="Y822" i="20"/>
  <c r="AK835" i="20"/>
  <c r="AG841" i="20"/>
  <c r="AF850" i="20"/>
  <c r="AC872" i="20"/>
  <c r="AA867" i="20"/>
  <c r="AC878" i="20"/>
  <c r="Z893" i="20"/>
  <c r="AA650" i="20"/>
  <c r="AA654" i="20"/>
  <c r="AF658" i="20"/>
  <c r="AF714" i="20"/>
  <c r="AG479" i="20"/>
  <c r="AK618" i="20"/>
  <c r="I129" i="86" s="1"/>
  <c r="L129" i="86" s="1"/>
  <c r="AK627" i="20"/>
  <c r="AK699" i="20"/>
  <c r="AF691" i="20"/>
  <c r="AB687" i="20"/>
  <c r="AD679" i="20"/>
  <c r="AC675" i="20"/>
  <c r="Z667" i="20"/>
  <c r="AA663" i="20"/>
  <c r="AB548" i="20"/>
  <c r="AD415" i="20"/>
  <c r="AK395" i="20"/>
  <c r="AD372" i="20"/>
  <c r="AB387" i="20"/>
  <c r="AE362" i="20"/>
  <c r="AG419" i="20"/>
  <c r="Z412" i="20"/>
  <c r="AD356" i="20"/>
  <c r="AF397" i="20"/>
  <c r="Z374" i="20"/>
  <c r="Z644" i="20"/>
  <c r="AD640" i="20"/>
  <c r="AC297" i="20"/>
  <c r="AE348" i="20"/>
  <c r="Y416" i="20"/>
  <c r="AC433" i="20"/>
  <c r="AK447" i="20"/>
  <c r="AA474" i="20"/>
  <c r="AF484" i="20"/>
  <c r="Z492" i="20"/>
  <c r="AA502" i="20"/>
  <c r="AG498" i="20"/>
  <c r="AE521" i="20"/>
  <c r="Y517" i="20"/>
  <c r="Z533" i="20"/>
  <c r="Z535" i="20"/>
  <c r="AK554" i="20"/>
  <c r="AE559" i="20"/>
  <c r="AC568" i="20"/>
  <c r="AA582" i="20"/>
  <c r="AK594" i="20"/>
  <c r="AK590" i="20"/>
  <c r="AG604" i="20"/>
  <c r="AB600" i="20"/>
  <c r="Y612" i="20"/>
  <c r="AE624" i="20"/>
  <c r="AG704" i="20"/>
  <c r="AD716" i="20"/>
  <c r="Z724" i="20"/>
  <c r="AB727" i="20"/>
  <c r="Y735" i="20"/>
  <c r="Z738" i="20"/>
  <c r="AA743" i="20"/>
  <c r="Z755" i="20"/>
  <c r="AE603" i="20"/>
  <c r="AK797" i="20"/>
  <c r="AE869" i="20"/>
  <c r="AG483" i="20"/>
  <c r="AA681" i="20"/>
  <c r="AF369" i="20"/>
  <c r="Y638" i="20"/>
  <c r="Z456" i="20"/>
  <c r="AB507" i="20"/>
  <c r="AE524" i="20"/>
  <c r="AA561" i="20"/>
  <c r="AG588" i="20"/>
  <c r="AF622" i="20"/>
  <c r="AA721" i="20"/>
  <c r="AG751" i="20"/>
  <c r="AJ574" i="20"/>
  <c r="AF78" i="20"/>
  <c r="AA109" i="20"/>
  <c r="AK225" i="20"/>
  <c r="AE222" i="20"/>
  <c r="AB184" i="20"/>
  <c r="AK267" i="20"/>
  <c r="AA195" i="20"/>
  <c r="AA274" i="20"/>
  <c r="AB277" i="20"/>
  <c r="Z276" i="20"/>
  <c r="AK218" i="20"/>
  <c r="AF217" i="20"/>
  <c r="AF277" i="20"/>
  <c r="AA232" i="20"/>
  <c r="AF280" i="20"/>
  <c r="AC201" i="20"/>
  <c r="AG219" i="20"/>
  <c r="AG245" i="20"/>
  <c r="AE288" i="20"/>
  <c r="Y242" i="20"/>
  <c r="AG237" i="20"/>
  <c r="Z200" i="20"/>
  <c r="AK528" i="20"/>
  <c r="AF303" i="20"/>
  <c r="H15" i="37" s="1"/>
  <c r="Y427" i="20"/>
  <c r="AD440" i="20"/>
  <c r="Z446" i="20"/>
  <c r="AE346" i="20"/>
  <c r="AA334" i="20"/>
  <c r="AF333" i="20"/>
  <c r="AA468" i="20"/>
  <c r="AF438" i="20"/>
  <c r="AE473" i="20"/>
  <c r="Z336" i="20"/>
  <c r="Z352" i="20"/>
  <c r="Y325" i="20"/>
  <c r="AG432" i="20"/>
  <c r="Y266" i="20"/>
  <c r="AG248" i="20"/>
  <c r="AD250" i="20"/>
  <c r="AC250" i="20"/>
  <c r="AB247" i="20"/>
  <c r="Y312" i="20"/>
  <c r="Y301" i="20"/>
  <c r="AK306" i="20"/>
  <c r="AA314" i="20"/>
  <c r="AG311" i="20"/>
  <c r="Y463" i="20"/>
  <c r="AF463" i="20"/>
  <c r="AG452" i="20"/>
  <c r="AE467" i="20"/>
  <c r="AG319" i="20"/>
  <c r="AC319" i="20"/>
  <c r="Z299" i="20"/>
  <c r="AF295" i="20"/>
  <c r="AG298" i="20"/>
  <c r="AA296" i="20"/>
  <c r="AA341" i="20"/>
  <c r="AE340" i="20"/>
  <c r="AE342" i="20"/>
  <c r="AE354" i="20"/>
  <c r="AC635" i="20"/>
  <c r="AF443" i="20"/>
  <c r="AK491" i="20"/>
  <c r="AB394" i="20"/>
  <c r="AB323" i="20"/>
  <c r="Y489" i="20"/>
  <c r="AF509" i="20"/>
  <c r="AF371" i="20"/>
  <c r="Z407" i="20"/>
  <c r="AF508" i="20"/>
  <c r="AK516" i="20"/>
  <c r="AC558" i="20"/>
  <c r="AG603" i="20"/>
  <c r="AC703" i="20"/>
  <c r="Y734" i="20"/>
  <c r="AC407" i="20"/>
  <c r="AC520" i="20"/>
  <c r="AF566" i="20"/>
  <c r="AG593" i="20"/>
  <c r="AF599" i="20"/>
  <c r="Y722" i="20"/>
  <c r="AB746" i="20"/>
  <c r="AB762" i="20"/>
  <c r="AK768" i="20"/>
  <c r="AE790" i="20"/>
  <c r="AD808" i="20"/>
  <c r="AD371" i="20"/>
  <c r="Y443" i="20"/>
  <c r="AB504" i="20"/>
  <c r="AA512" i="20"/>
  <c r="AG566" i="20"/>
  <c r="AF581" i="20"/>
  <c r="AC585" i="20"/>
  <c r="AA611" i="20"/>
  <c r="AA708" i="20"/>
  <c r="AB734" i="20"/>
  <c r="AC746" i="20"/>
  <c r="AB754" i="20"/>
  <c r="AG780" i="20"/>
  <c r="Y764" i="20"/>
  <c r="AF790" i="20"/>
  <c r="AE801" i="20"/>
  <c r="AC813" i="20"/>
  <c r="Y828" i="20"/>
  <c r="AK843" i="20"/>
  <c r="AD857" i="20"/>
  <c r="AD870" i="20"/>
  <c r="AG880" i="20"/>
  <c r="Z890" i="20"/>
  <c r="AB653" i="20"/>
  <c r="AB647" i="20"/>
  <c r="Z491" i="20"/>
  <c r="AA562" i="20"/>
  <c r="AK603" i="20"/>
  <c r="Y703" i="20"/>
  <c r="AA737" i="20"/>
  <c r="AK772" i="20"/>
  <c r="AB797" i="20"/>
  <c r="AF819" i="20"/>
  <c r="AK836" i="20"/>
  <c r="AE852" i="20"/>
  <c r="AK869" i="20"/>
  <c r="AF885" i="20"/>
  <c r="AF569" i="20"/>
  <c r="AC661" i="20"/>
  <c r="AE579" i="20"/>
  <c r="AE697" i="20"/>
  <c r="AG685" i="20"/>
  <c r="AK673" i="20"/>
  <c r="AC534" i="20"/>
  <c r="AA405" i="20"/>
  <c r="AD381" i="20"/>
  <c r="AK643" i="20"/>
  <c r="Z478" i="20"/>
  <c r="Z539" i="20"/>
  <c r="AF593" i="20"/>
  <c r="Y717" i="20"/>
  <c r="AB737" i="20"/>
  <c r="Z762" i="20"/>
  <c r="AA790" i="20"/>
  <c r="AC819" i="20"/>
  <c r="AD832" i="20"/>
  <c r="AB846" i="20"/>
  <c r="AD869" i="20"/>
  <c r="AF890" i="20"/>
  <c r="AA574" i="20"/>
  <c r="Z712" i="20"/>
  <c r="Y579" i="20"/>
  <c r="AB697" i="20"/>
  <c r="Z685" i="20"/>
  <c r="Y669" i="20"/>
  <c r="AE545" i="20"/>
  <c r="AC355" i="20"/>
  <c r="AD391" i="20"/>
  <c r="AG377" i="20"/>
  <c r="AK421" i="20"/>
  <c r="AF422" i="20"/>
  <c r="AG363" i="20"/>
  <c r="AD638" i="20"/>
  <c r="AA351" i="20"/>
  <c r="Y428" i="20"/>
  <c r="AE476" i="20"/>
  <c r="AB488" i="20"/>
  <c r="AK368" i="20"/>
  <c r="AE532" i="20"/>
  <c r="Z615" i="20"/>
  <c r="AD737" i="20"/>
  <c r="Y772" i="20"/>
  <c r="Y801" i="20"/>
  <c r="AC828" i="20"/>
  <c r="AG846" i="20"/>
  <c r="AK870" i="20"/>
  <c r="AB894" i="20"/>
  <c r="AB656" i="20"/>
  <c r="Z483" i="20"/>
  <c r="AA623" i="20"/>
  <c r="AF689" i="20"/>
  <c r="AA673" i="20"/>
  <c r="Z355" i="20"/>
  <c r="AF381" i="20"/>
  <c r="AA369" i="20"/>
  <c r="Z421" i="20"/>
  <c r="AG422" i="20"/>
  <c r="AA646" i="20"/>
  <c r="AG638" i="20"/>
  <c r="AD309" i="20"/>
  <c r="AC378" i="20"/>
  <c r="AA450" i="20"/>
  <c r="AG460" i="20"/>
  <c r="AG488" i="20"/>
  <c r="AF503" i="20"/>
  <c r="AG496" i="20"/>
  <c r="AC519" i="20"/>
  <c r="AE531" i="20"/>
  <c r="AB551" i="20"/>
  <c r="Y557" i="20"/>
  <c r="AB580" i="20"/>
  <c r="AF592" i="20"/>
  <c r="AE588" i="20"/>
  <c r="Z598" i="20"/>
  <c r="AK622" i="20"/>
  <c r="AA702" i="20"/>
  <c r="AF718" i="20"/>
  <c r="AG726" i="20"/>
  <c r="Z740" i="20"/>
  <c r="AF745" i="20"/>
  <c r="AG757" i="20"/>
  <c r="AE779" i="20"/>
  <c r="AA771" i="20"/>
  <c r="Z785" i="20"/>
  <c r="AB302" i="20"/>
  <c r="Z520" i="20"/>
  <c r="Z558" i="20"/>
  <c r="AF611" i="20"/>
  <c r="AG737" i="20"/>
  <c r="AB772" i="20"/>
  <c r="Y821" i="20"/>
  <c r="Y849" i="20"/>
  <c r="Z869" i="20"/>
  <c r="AD894" i="20"/>
  <c r="Y656" i="20"/>
  <c r="Z579" i="20"/>
  <c r="AA689" i="20"/>
  <c r="AK677" i="20"/>
  <c r="AE665" i="20"/>
  <c r="Z549" i="20"/>
  <c r="AF398" i="20"/>
  <c r="AK377" i="20"/>
  <c r="AA366" i="20"/>
  <c r="AE414" i="20"/>
  <c r="AC408" i="20"/>
  <c r="Y409" i="20"/>
  <c r="Y363" i="20"/>
  <c r="AC638" i="20"/>
  <c r="AG332" i="20"/>
  <c r="AD428" i="20"/>
  <c r="AC450" i="20"/>
  <c r="AA460" i="20"/>
  <c r="AK488" i="20"/>
  <c r="AK507" i="20"/>
  <c r="Y500" i="20"/>
  <c r="AB523" i="20"/>
  <c r="AD519" i="20"/>
  <c r="AF524" i="20"/>
  <c r="Z531" i="20"/>
  <c r="AK551" i="20"/>
  <c r="AB565" i="20"/>
  <c r="AG557" i="20"/>
  <c r="AC580" i="20"/>
  <c r="AC596" i="20"/>
  <c r="AD588" i="20"/>
  <c r="AB606" i="20"/>
  <c r="AE602" i="20"/>
  <c r="Z610" i="20"/>
  <c r="AB622" i="20"/>
  <c r="AD702" i="20"/>
  <c r="AB709" i="20"/>
  <c r="AE718" i="20"/>
  <c r="AK726" i="20"/>
  <c r="AG729" i="20"/>
  <c r="AG740" i="20"/>
  <c r="AE745" i="20"/>
  <c r="Y751" i="20"/>
  <c r="AA760" i="20"/>
  <c r="AE761" i="20"/>
  <c r="Y779" i="20"/>
  <c r="AD771" i="20"/>
  <c r="AG767" i="20"/>
  <c r="AG785" i="20"/>
  <c r="AA789" i="20"/>
  <c r="AB798" i="20"/>
  <c r="AD806" i="20"/>
  <c r="AG810" i="20"/>
  <c r="AC814" i="20"/>
  <c r="AK825" i="20"/>
  <c r="AK826" i="20"/>
  <c r="Y834" i="20"/>
  <c r="AF842" i="20"/>
  <c r="AA848" i="20"/>
  <c r="AD854" i="20"/>
  <c r="AG858" i="20"/>
  <c r="AF863" i="20"/>
  <c r="AF868" i="20"/>
  <c r="AB874" i="20"/>
  <c r="AK882" i="20"/>
  <c r="AF889" i="20"/>
  <c r="AF892" i="20"/>
  <c r="AK472" i="20"/>
  <c r="Y603" i="20"/>
  <c r="AK780" i="20"/>
  <c r="AC821" i="20"/>
  <c r="AC852" i="20"/>
  <c r="AK881" i="20"/>
  <c r="AD553" i="20"/>
  <c r="AA697" i="20"/>
  <c r="AG681" i="20"/>
  <c r="AE549" i="20"/>
  <c r="Z381" i="20"/>
  <c r="AE369" i="20"/>
  <c r="AA422" i="20"/>
  <c r="AK363" i="20"/>
  <c r="AD634" i="20"/>
  <c r="AK351" i="20"/>
  <c r="AC456" i="20"/>
  <c r="AF486" i="20"/>
  <c r="AK496" i="20"/>
  <c r="AK519" i="20"/>
  <c r="AK531" i="20"/>
  <c r="AK565" i="20"/>
  <c r="AB557" i="20"/>
  <c r="Y588" i="20"/>
  <c r="AG614" i="20"/>
  <c r="Z702" i="20"/>
  <c r="AD721" i="20"/>
  <c r="Y733" i="20"/>
  <c r="AD751" i="20"/>
  <c r="AF760" i="20"/>
  <c r="Z767" i="20"/>
  <c r="AF793" i="20"/>
  <c r="AA802" i="20"/>
  <c r="AD810" i="20"/>
  <c r="AF825" i="20"/>
  <c r="AG827" i="20"/>
  <c r="Z838" i="20"/>
  <c r="AC848" i="20"/>
  <c r="AK858" i="20"/>
  <c r="AK868" i="20"/>
  <c r="AF879" i="20"/>
  <c r="AC882" i="20"/>
  <c r="AG892" i="20"/>
  <c r="AG572" i="20"/>
  <c r="AA652" i="20"/>
  <c r="AA657" i="20"/>
  <c r="AE713" i="20"/>
  <c r="AC482" i="20"/>
  <c r="Z619" i="20"/>
  <c r="Y632" i="20"/>
  <c r="Y700" i="20"/>
  <c r="AK692" i="20"/>
  <c r="AK688" i="20"/>
  <c r="AB680" i="20"/>
  <c r="Y672" i="20"/>
  <c r="AF668" i="20"/>
  <c r="AD544" i="20"/>
  <c r="AB546" i="20"/>
  <c r="AK417" i="20"/>
  <c r="AF396" i="20"/>
  <c r="Y384" i="20"/>
  <c r="Y400" i="20"/>
  <c r="AD376" i="20"/>
  <c r="AA413" i="20"/>
  <c r="AK390" i="20"/>
  <c r="AF402" i="20"/>
  <c r="Y358" i="20"/>
  <c r="AE641" i="20"/>
  <c r="AK637" i="20"/>
  <c r="AD313" i="20"/>
  <c r="AE353" i="20"/>
  <c r="AG367" i="20"/>
  <c r="AD445" i="20"/>
  <c r="AG449" i="20"/>
  <c r="AA455" i="20"/>
  <c r="Z485" i="20"/>
  <c r="AA487" i="20"/>
  <c r="AE506" i="20"/>
  <c r="AE495" i="20"/>
  <c r="Y499" i="20"/>
  <c r="Z522" i="20"/>
  <c r="AB518" i="20"/>
  <c r="AD530" i="20"/>
  <c r="AF537" i="20"/>
  <c r="AB555" i="20"/>
  <c r="AC560" i="20"/>
  <c r="Z556" i="20"/>
  <c r="AB578" i="20"/>
  <c r="AC591" i="20"/>
  <c r="AG605" i="20"/>
  <c r="AF601" i="20"/>
  <c r="AG613" i="20"/>
  <c r="AD626" i="20"/>
  <c r="AG701" i="20"/>
  <c r="Y707" i="20"/>
  <c r="AC719" i="20"/>
  <c r="AB728" i="20"/>
  <c r="AE732" i="20"/>
  <c r="AC739" i="20"/>
  <c r="AD748" i="20"/>
  <c r="AK750" i="20"/>
  <c r="Y756" i="20"/>
  <c r="AF782" i="20"/>
  <c r="Z774" i="20"/>
  <c r="AG766" i="20"/>
  <c r="Z509" i="20"/>
  <c r="AK717" i="20"/>
  <c r="AB776" i="20"/>
  <c r="AD823" i="20"/>
  <c r="AG870" i="20"/>
  <c r="AK890" i="20"/>
  <c r="AC653" i="20"/>
  <c r="AD579" i="20"/>
  <c r="AF693" i="20"/>
  <c r="Y665" i="20"/>
  <c r="AG381" i="20"/>
  <c r="AF366" i="20"/>
  <c r="AE392" i="20"/>
  <c r="AA634" i="20"/>
  <c r="AE378" i="20"/>
  <c r="AK450" i="20"/>
  <c r="AB486" i="20"/>
  <c r="AC507" i="20"/>
  <c r="AF496" i="20"/>
  <c r="AB524" i="20"/>
  <c r="AE538" i="20"/>
  <c r="AD557" i="20"/>
  <c r="AF580" i="20"/>
  <c r="Z588" i="20"/>
  <c r="AD598" i="20"/>
  <c r="AE610" i="20"/>
  <c r="AE702" i="20"/>
  <c r="AA718" i="20"/>
  <c r="AB729" i="20"/>
  <c r="AK740" i="20"/>
  <c r="Z751" i="20"/>
  <c r="AD779" i="20"/>
  <c r="AF771" i="20"/>
  <c r="AA793" i="20"/>
  <c r="AG798" i="20"/>
  <c r="AB806" i="20"/>
  <c r="AE814" i="20"/>
  <c r="Z818" i="20"/>
  <c r="AG92" i="20"/>
  <c r="Z217" i="20"/>
  <c r="AD289" i="20"/>
  <c r="AK208" i="20"/>
  <c r="AB239" i="20"/>
  <c r="AD525" i="20"/>
  <c r="AD469" i="20"/>
  <c r="AE461" i="20"/>
  <c r="AG462" i="20"/>
  <c r="AB283" i="20"/>
  <c r="AA310" i="20"/>
  <c r="AF454" i="20"/>
  <c r="AC322" i="20"/>
  <c r="Z295" i="20"/>
  <c r="AD340" i="20"/>
  <c r="AB489" i="20"/>
  <c r="AA497" i="20"/>
  <c r="AA516" i="20"/>
  <c r="AB730" i="20"/>
  <c r="AK597" i="20"/>
  <c r="AK762" i="20"/>
  <c r="AE371" i="20"/>
  <c r="AC552" i="20"/>
  <c r="Z708" i="20"/>
  <c r="AC780" i="20"/>
  <c r="AG813" i="20"/>
  <c r="AE870" i="20"/>
  <c r="Y539" i="20"/>
  <c r="AE772" i="20"/>
  <c r="AK846" i="20"/>
  <c r="AD689" i="20"/>
  <c r="AG391" i="20"/>
  <c r="Y597" i="20"/>
  <c r="AK794" i="20"/>
  <c r="Y869" i="20"/>
  <c r="AK661" i="20"/>
  <c r="AD673" i="20"/>
  <c r="Y377" i="20"/>
  <c r="AF638" i="20"/>
  <c r="Y488" i="20"/>
  <c r="AK734" i="20"/>
  <c r="AF843" i="20"/>
  <c r="AD653" i="20"/>
  <c r="Y673" i="20"/>
  <c r="AA421" i="20"/>
  <c r="AG309" i="20"/>
  <c r="Y486" i="20"/>
  <c r="AD524" i="20"/>
  <c r="AA592" i="20"/>
  <c r="AK705" i="20"/>
  <c r="AA742" i="20"/>
  <c r="Y785" i="20"/>
  <c r="AE615" i="20"/>
  <c r="Z836" i="20"/>
  <c r="Z653" i="20"/>
  <c r="AG665" i="20"/>
  <c r="AC369" i="20"/>
  <c r="Z363" i="20"/>
  <c r="AD450" i="20"/>
  <c r="AE500" i="20"/>
  <c r="Y531" i="20"/>
  <c r="AE580" i="20"/>
  <c r="AB602" i="20"/>
  <c r="AE709" i="20"/>
  <c r="AB740" i="20"/>
  <c r="Z761" i="20"/>
  <c r="AK763" i="20"/>
  <c r="AF810" i="20"/>
  <c r="AB834" i="20"/>
  <c r="AF858" i="20"/>
  <c r="AF882" i="20"/>
  <c r="AE347" i="20"/>
  <c r="Y843" i="20"/>
  <c r="AE623" i="20"/>
  <c r="AC379" i="20"/>
  <c r="AF332" i="20"/>
  <c r="AE519" i="20"/>
  <c r="Z596" i="20"/>
  <c r="Y726" i="20"/>
  <c r="AE785" i="20"/>
  <c r="AA827" i="20"/>
  <c r="AB863" i="20"/>
  <c r="AK649" i="20"/>
  <c r="AF576" i="20"/>
  <c r="AG688" i="20"/>
  <c r="AC544" i="20"/>
  <c r="AB384" i="20"/>
  <c r="AB390" i="20"/>
  <c r="AA637" i="20"/>
  <c r="AC445" i="20"/>
  <c r="AG485" i="20"/>
  <c r="AE522" i="20"/>
  <c r="AK555" i="20"/>
  <c r="AF591" i="20"/>
  <c r="AE609" i="20"/>
  <c r="AG723" i="20"/>
  <c r="AE750" i="20"/>
  <c r="AD770" i="20"/>
  <c r="AG808" i="20"/>
  <c r="AE553" i="20"/>
  <c r="Z369" i="20"/>
  <c r="AC430" i="20"/>
  <c r="AC515" i="20"/>
  <c r="AK592" i="20"/>
  <c r="AG718" i="20"/>
  <c r="AG761" i="20"/>
  <c r="Z806" i="20"/>
  <c r="Z834" i="20"/>
  <c r="AB848" i="20"/>
  <c r="Y864" i="20"/>
  <c r="Y879" i="20"/>
  <c r="Y649" i="20"/>
  <c r="Y660" i="20"/>
  <c r="AF619" i="20"/>
  <c r="AE700" i="20"/>
  <c r="AD688" i="20"/>
  <c r="AG680" i="20"/>
  <c r="AA668" i="20"/>
  <c r="AD423" i="20"/>
  <c r="AD396" i="20"/>
  <c r="AG400" i="20"/>
  <c r="AD420" i="20"/>
  <c r="AD425" i="20"/>
  <c r="AA645" i="20"/>
  <c r="AG637" i="20"/>
  <c r="AF349" i="20"/>
  <c r="AK445" i="20"/>
  <c r="AB481" i="20"/>
  <c r="AC493" i="20"/>
  <c r="AG499" i="20"/>
  <c r="AF518" i="20"/>
  <c r="AG541" i="20"/>
  <c r="AK560" i="20"/>
  <c r="AG578" i="20"/>
  <c r="Y605" i="20"/>
  <c r="AD613" i="20"/>
  <c r="AD701" i="20"/>
  <c r="AD711" i="20"/>
  <c r="Y731" i="20"/>
  <c r="Y748" i="20"/>
  <c r="AE759" i="20"/>
  <c r="Y778" i="20"/>
  <c r="AA788" i="20"/>
  <c r="AC795" i="20"/>
  <c r="Z812" i="20"/>
  <c r="AE822" i="20"/>
  <c r="AG835" i="20"/>
  <c r="AA845" i="20"/>
  <c r="AC859" i="20"/>
  <c r="AB867" i="20"/>
  <c r="Z883" i="20"/>
  <c r="AA893" i="20"/>
  <c r="AB794" i="20"/>
  <c r="AB661" i="20"/>
  <c r="AE391" i="20"/>
  <c r="AG646" i="20"/>
  <c r="AC500" i="20"/>
  <c r="AD580" i="20"/>
  <c r="AF733" i="20"/>
  <c r="AG763" i="20"/>
  <c r="Z825" i="20"/>
  <c r="AC854" i="20"/>
  <c r="AA886" i="20"/>
  <c r="Z713" i="20"/>
  <c r="AC700" i="20"/>
  <c r="Y668" i="20"/>
  <c r="Y417" i="20"/>
  <c r="AE400" i="20"/>
  <c r="AC425" i="20"/>
  <c r="Z293" i="20"/>
  <c r="Y367" i="20"/>
  <c r="AD485" i="20"/>
  <c r="AC518" i="20"/>
  <c r="AE556" i="20"/>
  <c r="AE617" i="20"/>
  <c r="AG711" i="20"/>
  <c r="AA748" i="20"/>
  <c r="Y782" i="20"/>
  <c r="AF788" i="20"/>
  <c r="Y807" i="20"/>
  <c r="AF817" i="20"/>
  <c r="AF839" i="20"/>
  <c r="Y856" i="20"/>
  <c r="AD876" i="20"/>
  <c r="AE571" i="20"/>
  <c r="AK654" i="20"/>
  <c r="AG714" i="20"/>
  <c r="AF627" i="20"/>
  <c r="AK695" i="20"/>
  <c r="Z683" i="20"/>
  <c r="AB671" i="20"/>
  <c r="AF543" i="20"/>
  <c r="Z401" i="20"/>
  <c r="Y403" i="20"/>
  <c r="AA419" i="20"/>
  <c r="AK389" i="20"/>
  <c r="AC374" i="20"/>
  <c r="AK640" i="20"/>
  <c r="AK318" i="20"/>
  <c r="Y365" i="20"/>
  <c r="AA447" i="20"/>
  <c r="AB492" i="20"/>
  <c r="AC498" i="20"/>
  <c r="AF517" i="20"/>
  <c r="AE540" i="20"/>
  <c r="AA554" i="20"/>
  <c r="AB582" i="20"/>
  <c r="AF590" i="20"/>
  <c r="AC600" i="20"/>
  <c r="AB608" i="20"/>
  <c r="AK706" i="20"/>
  <c r="AC720" i="20"/>
  <c r="Y727" i="20"/>
  <c r="AK736" i="20"/>
  <c r="AG743" i="20"/>
  <c r="AG643" i="20"/>
  <c r="AG741" i="20"/>
  <c r="AA857" i="20"/>
  <c r="AC579" i="20"/>
  <c r="AE381" i="20"/>
  <c r="AG409" i="20"/>
  <c r="AK460" i="20"/>
  <c r="AG523" i="20"/>
  <c r="Z551" i="20"/>
  <c r="AD606" i="20"/>
  <c r="Y702" i="20"/>
  <c r="AG733" i="20"/>
  <c r="AB771" i="20"/>
  <c r="AD789" i="20"/>
  <c r="AF806" i="20"/>
  <c r="AD825" i="20"/>
  <c r="AD838" i="20"/>
  <c r="Z858" i="20"/>
  <c r="AA879" i="20"/>
  <c r="AB889" i="20"/>
  <c r="Z649" i="20"/>
  <c r="AD713" i="20"/>
  <c r="Y619" i="20"/>
  <c r="AF700" i="20"/>
  <c r="AA680" i="20"/>
  <c r="AE672" i="20"/>
  <c r="AG544" i="20"/>
  <c r="AC423" i="20"/>
  <c r="AE396" i="20"/>
  <c r="AE375" i="20"/>
  <c r="AC376" i="20"/>
  <c r="AE413" i="20"/>
  <c r="AB425" i="20"/>
  <c r="AK645" i="20"/>
  <c r="AB293" i="20"/>
  <c r="AC367" i="20"/>
  <c r="AC449" i="20"/>
  <c r="AC481" i="20"/>
  <c r="AD493" i="20"/>
  <c r="AF499" i="20"/>
  <c r="AK522" i="20"/>
  <c r="AB530" i="20"/>
  <c r="AK537" i="20"/>
  <c r="AA560" i="20"/>
  <c r="AA578" i="20"/>
  <c r="AK591" i="20"/>
  <c r="AG601" i="20"/>
  <c r="Y613" i="20"/>
  <c r="AE701" i="20"/>
  <c r="AK719" i="20"/>
  <c r="AF731" i="20"/>
  <c r="AF748" i="20"/>
  <c r="AA759" i="20"/>
  <c r="AE774" i="20"/>
  <c r="AE788" i="20"/>
  <c r="AF792" i="20"/>
  <c r="AB805" i="20"/>
  <c r="AA812" i="20"/>
  <c r="AB817" i="20"/>
  <c r="AD835" i="20"/>
  <c r="AD841" i="20"/>
  <c r="AE850" i="20"/>
  <c r="AF856" i="20"/>
  <c r="AC862" i="20"/>
  <c r="AE878" i="20"/>
  <c r="AK883" i="20"/>
  <c r="AB893" i="20"/>
  <c r="Z650" i="20"/>
  <c r="Z658" i="20"/>
  <c r="AB662" i="20"/>
  <c r="AD479" i="20"/>
  <c r="AG575" i="20"/>
  <c r="AD627" i="20"/>
  <c r="Z699" i="20"/>
  <c r="AA695" i="20"/>
  <c r="AC687" i="20"/>
  <c r="AC683" i="20"/>
  <c r="Z675" i="20"/>
  <c r="AA667" i="20"/>
  <c r="AK663" i="20"/>
  <c r="AK543" i="20"/>
  <c r="AB426" i="20"/>
  <c r="AA401" i="20"/>
  <c r="AD395" i="20"/>
  <c r="AG383" i="20"/>
  <c r="AC372" i="20"/>
  <c r="AK387" i="20"/>
  <c r="AC373" i="20"/>
  <c r="AK419" i="20"/>
  <c r="AA389" i="20"/>
  <c r="Z356" i="20"/>
  <c r="Y374" i="20"/>
  <c r="AB644" i="20"/>
  <c r="AB636" i="20"/>
  <c r="AG297" i="20"/>
  <c r="AF348" i="20"/>
  <c r="AB365" i="20"/>
  <c r="Y433" i="20"/>
  <c r="AC447" i="20"/>
  <c r="AB474" i="20"/>
  <c r="AC484" i="20"/>
  <c r="Z494" i="20"/>
  <c r="AB502" i="20"/>
  <c r="AA510" i="20"/>
  <c r="AG521" i="20"/>
  <c r="AC513" i="20"/>
  <c r="AF533" i="20"/>
  <c r="AD540" i="20"/>
  <c r="AD554" i="20"/>
  <c r="AE563" i="20"/>
  <c r="Z568" i="20"/>
  <c r="Y582" i="20"/>
  <c r="AK577" i="20"/>
  <c r="AC590" i="20"/>
  <c r="Z604" i="20"/>
  <c r="AG616" i="20"/>
  <c r="AA608" i="20"/>
  <c r="AF704" i="20"/>
  <c r="AE706" i="20"/>
  <c r="AK716" i="20"/>
  <c r="AF724" i="20"/>
  <c r="AA735" i="20"/>
  <c r="AB736" i="20"/>
  <c r="AE747" i="20"/>
  <c r="AF743" i="20"/>
  <c r="AA755" i="20"/>
  <c r="Z781" i="20"/>
  <c r="AB777" i="20"/>
  <c r="AD769" i="20"/>
  <c r="Z765" i="20"/>
  <c r="AF787" i="20"/>
  <c r="AA796" i="20"/>
  <c r="AB800" i="20"/>
  <c r="AE809" i="20"/>
  <c r="AG811" i="20"/>
  <c r="AK816" i="20"/>
  <c r="Y824" i="20"/>
  <c r="AG829" i="20"/>
  <c r="AD837" i="20"/>
  <c r="Z844" i="20"/>
  <c r="AB847" i="20"/>
  <c r="AD855" i="20"/>
  <c r="AE860" i="20"/>
  <c r="AF861" i="20"/>
  <c r="AA866" i="20"/>
  <c r="AA877" i="20"/>
  <c r="AC884" i="20"/>
  <c r="AE895" i="20"/>
  <c r="AF896" i="20"/>
  <c r="AF734" i="20"/>
  <c r="Z665" i="20"/>
  <c r="AE363" i="20"/>
  <c r="AF488" i="20"/>
  <c r="AG596" i="20"/>
  <c r="AB702" i="20"/>
  <c r="AA775" i="20"/>
  <c r="AA818" i="20"/>
  <c r="AB851" i="20"/>
  <c r="AE889" i="20"/>
  <c r="Y482" i="20"/>
  <c r="AD700" i="20"/>
  <c r="AG668" i="20"/>
  <c r="Y396" i="20"/>
  <c r="Z376" i="20"/>
  <c r="AB402" i="20"/>
  <c r="AF637" i="20"/>
  <c r="AB434" i="20"/>
  <c r="AG481" i="20"/>
  <c r="Y495" i="20"/>
  <c r="AK530" i="20"/>
  <c r="AB556" i="20"/>
  <c r="Y601" i="20"/>
  <c r="AG719" i="20"/>
  <c r="AA750" i="20"/>
  <c r="Z778" i="20"/>
  <c r="AG792" i="20"/>
  <c r="AD805" i="20"/>
  <c r="AA822" i="20"/>
  <c r="Z835" i="20"/>
  <c r="AA856" i="20"/>
  <c r="Z867" i="20"/>
  <c r="AB888" i="20"/>
  <c r="AG654" i="20"/>
  <c r="AE714" i="20"/>
  <c r="Y575" i="20"/>
  <c r="AA699" i="20"/>
  <c r="AK691" i="20"/>
  <c r="AA671" i="20"/>
  <c r="AE543" i="20"/>
  <c r="AC415" i="20"/>
  <c r="Z383" i="20"/>
  <c r="AF387" i="20"/>
  <c r="AA412" i="20"/>
  <c r="AE397" i="20"/>
  <c r="Z640" i="20"/>
  <c r="AB318" i="20"/>
  <c r="Z365" i="20"/>
  <c r="AD484" i="20"/>
  <c r="AK505" i="20"/>
  <c r="I52" i="86" s="1"/>
  <c r="L52" i="86" s="1"/>
  <c r="AB510" i="20"/>
  <c r="Z513" i="20"/>
  <c r="AK563" i="20"/>
  <c r="AK568" i="20"/>
  <c r="AD594" i="20"/>
  <c r="AF604" i="20"/>
  <c r="AF608" i="20"/>
  <c r="AF720" i="20"/>
  <c r="AD736" i="20"/>
  <c r="AK743" i="20"/>
  <c r="Y758" i="20"/>
  <c r="Z777" i="20"/>
  <c r="AA769" i="20"/>
  <c r="Y783" i="20"/>
  <c r="AE796" i="20"/>
  <c r="AK800" i="20"/>
  <c r="Y809" i="20"/>
  <c r="AA820" i="20"/>
  <c r="AA824" i="20"/>
  <c r="AD833" i="20"/>
  <c r="AG840" i="20"/>
  <c r="AA853" i="20"/>
  <c r="AF860" i="20"/>
  <c r="Z866" i="20"/>
  <c r="Y884" i="20"/>
  <c r="AA895" i="20"/>
  <c r="AG570" i="20"/>
  <c r="AC651" i="20"/>
  <c r="AK659" i="20"/>
  <c r="AB715" i="20"/>
  <c r="AF583" i="20"/>
  <c r="AC621" i="20"/>
  <c r="AC698" i="20"/>
  <c r="AG694" i="20"/>
  <c r="AG686" i="20"/>
  <c r="AA678" i="20"/>
  <c r="AK674" i="20"/>
  <c r="AA670" i="20"/>
  <c r="AE536" i="20"/>
  <c r="AG542" i="20"/>
  <c r="AC357" i="20"/>
  <c r="AB399" i="20"/>
  <c r="AE382" i="20"/>
  <c r="AF361" i="20"/>
  <c r="AK386" i="20"/>
  <c r="AF539" i="20"/>
  <c r="AB849" i="20"/>
  <c r="AA629" i="20"/>
  <c r="AF421" i="20"/>
  <c r="AK430" i="20"/>
  <c r="AF561" i="20"/>
  <c r="AC622" i="20"/>
  <c r="AB742" i="20"/>
  <c r="Y793" i="20"/>
  <c r="AK827" i="20"/>
  <c r="AB858" i="20"/>
  <c r="Z889" i="20"/>
  <c r="AK660" i="20"/>
  <c r="AA82" i="20"/>
  <c r="AE179" i="20"/>
  <c r="AA198" i="20"/>
  <c r="AD210" i="20"/>
  <c r="AE271" i="20"/>
  <c r="AB278" i="20"/>
  <c r="AC303" i="20"/>
  <c r="E15" i="37" s="1"/>
  <c r="Y439" i="20"/>
  <c r="AA336" i="20"/>
  <c r="Y326" i="20"/>
  <c r="AB249" i="20"/>
  <c r="AE311" i="20"/>
  <c r="AC467" i="20"/>
  <c r="Y322" i="20"/>
  <c r="AF300" i="20"/>
  <c r="AB411" i="20"/>
  <c r="AD388" i="20"/>
  <c r="AF354" i="20"/>
  <c r="AD562" i="20"/>
  <c r="AA323" i="20"/>
  <c r="Z599" i="20"/>
  <c r="Y768" i="20"/>
  <c r="AG360" i="20"/>
  <c r="Z581" i="20"/>
  <c r="Y730" i="20"/>
  <c r="Z768" i="20"/>
  <c r="AK823" i="20"/>
  <c r="AF880" i="20"/>
  <c r="AB574" i="20"/>
  <c r="AD585" i="20"/>
  <c r="AG790" i="20"/>
  <c r="Z870" i="20"/>
  <c r="AD661" i="20"/>
  <c r="AG677" i="20"/>
  <c r="AE394" i="20"/>
  <c r="AG708" i="20"/>
  <c r="AE819" i="20"/>
  <c r="AG885" i="20"/>
  <c r="AB579" i="20"/>
  <c r="AG534" i="20"/>
  <c r="AE421" i="20"/>
  <c r="AA332" i="20"/>
  <c r="AK503" i="20"/>
  <c r="AG762" i="20"/>
  <c r="AF870" i="20"/>
  <c r="AK712" i="20"/>
  <c r="AF545" i="20"/>
  <c r="AB408" i="20"/>
  <c r="AA378" i="20"/>
  <c r="AF507" i="20"/>
  <c r="AB538" i="20"/>
  <c r="AA588" i="20"/>
  <c r="AC718" i="20"/>
  <c r="AE757" i="20"/>
  <c r="AD647" i="20"/>
  <c r="AD730" i="20"/>
  <c r="Z873" i="20"/>
  <c r="AF553" i="20"/>
  <c r="AB549" i="20"/>
  <c r="AG421" i="20"/>
  <c r="AG642" i="20"/>
  <c r="AD460" i="20"/>
  <c r="AE496" i="20"/>
  <c r="AE551" i="20"/>
  <c r="Y596" i="20"/>
  <c r="AE614" i="20"/>
  <c r="AB718" i="20"/>
  <c r="Z745" i="20"/>
  <c r="AB779" i="20"/>
  <c r="AK793" i="20"/>
  <c r="Y814" i="20"/>
  <c r="AA842" i="20"/>
  <c r="AG864" i="20"/>
  <c r="AA889" i="20"/>
  <c r="AD558" i="20"/>
  <c r="AB865" i="20"/>
  <c r="AE685" i="20"/>
  <c r="Y421" i="20"/>
  <c r="AG450" i="20"/>
  <c r="Y524" i="20"/>
  <c r="AB598" i="20"/>
  <c r="AA745" i="20"/>
  <c r="AC798" i="20"/>
  <c r="AA838" i="20"/>
  <c r="AK874" i="20"/>
  <c r="Z652" i="20"/>
  <c r="AK628" i="20"/>
  <c r="AA684" i="20"/>
  <c r="Z546" i="20"/>
  <c r="AK406" i="20"/>
  <c r="AK402" i="20"/>
  <c r="AF293" i="20"/>
  <c r="AE449" i="20"/>
  <c r="Y493" i="20"/>
  <c r="Z518" i="20"/>
  <c r="AF564" i="20"/>
  <c r="AG587" i="20"/>
  <c r="AF701" i="20"/>
  <c r="AA731" i="20"/>
  <c r="AF756" i="20"/>
  <c r="Y491" i="20"/>
  <c r="AC857" i="20"/>
  <c r="AG697" i="20"/>
  <c r="AC409" i="20"/>
  <c r="AG476" i="20"/>
  <c r="AC538" i="20"/>
  <c r="AG602" i="20"/>
  <c r="AC726" i="20"/>
  <c r="Z771" i="20"/>
  <c r="Z810" i="20"/>
  <c r="AC838" i="20"/>
  <c r="AC851" i="20"/>
  <c r="Y868" i="20"/>
  <c r="AC886" i="20"/>
  <c r="AD657" i="20"/>
  <c r="Z482" i="20"/>
  <c r="AA628" i="20"/>
  <c r="AF696" i="20"/>
  <c r="AD684" i="20"/>
  <c r="AK676" i="20"/>
  <c r="AB664" i="20"/>
  <c r="AF417" i="20"/>
  <c r="Z375" i="20"/>
  <c r="AK376" i="20"/>
  <c r="AE390" i="20"/>
  <c r="AD380" i="20"/>
  <c r="AD645" i="20"/>
  <c r="AE293" i="20"/>
  <c r="AE367" i="20"/>
  <c r="AC455" i="20"/>
  <c r="Y485" i="20"/>
  <c r="AG506" i="20"/>
  <c r="AA511" i="20"/>
  <c r="AA530" i="20"/>
  <c r="AC555" i="20"/>
  <c r="AF556" i="20"/>
  <c r="AK595" i="20"/>
  <c r="AK601" i="20"/>
  <c r="Y609" i="20"/>
  <c r="AC707" i="20"/>
  <c r="Z719" i="20"/>
  <c r="Y732" i="20"/>
  <c r="AF744" i="20"/>
  <c r="Z782" i="20"/>
  <c r="AB774" i="20"/>
  <c r="AA784" i="20"/>
  <c r="AD799" i="20"/>
  <c r="Y812" i="20"/>
  <c r="AF830" i="20"/>
  <c r="AD839" i="20"/>
  <c r="Z850" i="20"/>
  <c r="Y872" i="20"/>
  <c r="AG876" i="20"/>
  <c r="AC887" i="20"/>
  <c r="Z566" i="20"/>
  <c r="AC846" i="20"/>
  <c r="AF697" i="20"/>
  <c r="AE366" i="20"/>
  <c r="Z351" i="20"/>
  <c r="Z515" i="20"/>
  <c r="AK598" i="20"/>
  <c r="AA757" i="20"/>
  <c r="AK798" i="20"/>
  <c r="AD827" i="20"/>
  <c r="AD863" i="20"/>
  <c r="AD649" i="20"/>
  <c r="AE576" i="20"/>
  <c r="Z692" i="20"/>
  <c r="AA664" i="20"/>
  <c r="AC384" i="20"/>
  <c r="Z364" i="20"/>
  <c r="AE380" i="20"/>
  <c r="AE313" i="20"/>
  <c r="AB445" i="20"/>
  <c r="AG487" i="20"/>
  <c r="Y541" i="20"/>
  <c r="Y578" i="20"/>
  <c r="AB609" i="20"/>
  <c r="AB723" i="20"/>
  <c r="Z750" i="20"/>
  <c r="AA770" i="20"/>
  <c r="Y792" i="20"/>
  <c r="AB812" i="20"/>
  <c r="Y830" i="20"/>
  <c r="AD845" i="20"/>
  <c r="Z862" i="20"/>
  <c r="AE883" i="20"/>
  <c r="AF650" i="20"/>
  <c r="AE662" i="20"/>
  <c r="AD575" i="20"/>
  <c r="AK631" i="20"/>
  <c r="AC691" i="20"/>
  <c r="AK679" i="20"/>
  <c r="AD667" i="20"/>
  <c r="AD548" i="20"/>
  <c r="AE395" i="20"/>
  <c r="Y387" i="20"/>
  <c r="AC419" i="20"/>
  <c r="Y356" i="20"/>
  <c r="AB648" i="20"/>
  <c r="AC636" i="20"/>
  <c r="AG348" i="20"/>
  <c r="Z444" i="20"/>
  <c r="AF480" i="20"/>
  <c r="AG494" i="20"/>
  <c r="Z510" i="20"/>
  <c r="AK513" i="20"/>
  <c r="AE535" i="20"/>
  <c r="AK559" i="20"/>
  <c r="AF577" i="20"/>
  <c r="AB586" i="20"/>
  <c r="Z616" i="20"/>
  <c r="AK624" i="20"/>
  <c r="AA706" i="20"/>
  <c r="AE724" i="20"/>
  <c r="AK727" i="20"/>
  <c r="Y738" i="20"/>
  <c r="AE753" i="20"/>
  <c r="AC478" i="20"/>
  <c r="AG754" i="20"/>
  <c r="Y897" i="20"/>
  <c r="AC629" i="20"/>
  <c r="AA377" i="20"/>
  <c r="AK309" i="20"/>
  <c r="AA486" i="20"/>
  <c r="AG519" i="20"/>
  <c r="AK557" i="20"/>
  <c r="AE598" i="20"/>
  <c r="Y718" i="20"/>
  <c r="AD761" i="20"/>
  <c r="AA763" i="20"/>
  <c r="AF798" i="20"/>
  <c r="Y810" i="20"/>
  <c r="Z826" i="20"/>
  <c r="Y842" i="20"/>
  <c r="AK864" i="20"/>
  <c r="AD879" i="20"/>
  <c r="AD892" i="20"/>
  <c r="AE652" i="20"/>
  <c r="Z576" i="20"/>
  <c r="AF628" i="20"/>
  <c r="AG700" i="20"/>
  <c r="AF680" i="20"/>
  <c r="Z668" i="20"/>
  <c r="AA544" i="20"/>
  <c r="AB417" i="20"/>
  <c r="AK396" i="20"/>
  <c r="AG406" i="20"/>
  <c r="AA364" i="20"/>
  <c r="AC413" i="20"/>
  <c r="AK380" i="20"/>
  <c r="AB641" i="20"/>
  <c r="Z313" i="20"/>
  <c r="AA434" i="20"/>
  <c r="Z455" i="20"/>
  <c r="Z487" i="20"/>
  <c r="Z506" i="20"/>
  <c r="AE499" i="20"/>
  <c r="AD518" i="20"/>
  <c r="AG530" i="20"/>
  <c r="Z555" i="20"/>
  <c r="AD556" i="20"/>
  <c r="AC578" i="20"/>
  <c r="AF587" i="20"/>
  <c r="AA601" i="20"/>
  <c r="AK609" i="20"/>
  <c r="Z701" i="20"/>
  <c r="AA728" i="20"/>
  <c r="Z732" i="20"/>
  <c r="AC748" i="20"/>
  <c r="AA782" i="20"/>
  <c r="AF770" i="20"/>
  <c r="AB788" i="20"/>
  <c r="Z792" i="20"/>
  <c r="AC805" i="20"/>
  <c r="AK812" i="20"/>
  <c r="AG822" i="20"/>
  <c r="AA835" i="20"/>
  <c r="AE841" i="20"/>
  <c r="Y850" i="20"/>
  <c r="AA872" i="20"/>
  <c r="Y867" i="20"/>
  <c r="AD878" i="20"/>
  <c r="Y887" i="20"/>
  <c r="AG650" i="20"/>
  <c r="AE658" i="20"/>
  <c r="AG662" i="20"/>
  <c r="AK479" i="20"/>
  <c r="AC575" i="20"/>
  <c r="AC627" i="20"/>
  <c r="AE699" i="20"/>
  <c r="AF695" i="20"/>
  <c r="AD687" i="20"/>
  <c r="AG683" i="20"/>
  <c r="Y675" i="20"/>
  <c r="AF667" i="20"/>
  <c r="AB663" i="20"/>
  <c r="AE548" i="20"/>
  <c r="AK426" i="20"/>
  <c r="AK401" i="20"/>
  <c r="AB395" i="20"/>
  <c r="AC383" i="20"/>
  <c r="AG403" i="20"/>
  <c r="AA373" i="20"/>
  <c r="AB362" i="20"/>
  <c r="AE412" i="20"/>
  <c r="AG389" i="20"/>
  <c r="Y397" i="20"/>
  <c r="AA648" i="20"/>
  <c r="AG644" i="20"/>
  <c r="AG636" i="20"/>
  <c r="AK297" i="20"/>
  <c r="AB348" i="20"/>
  <c r="AG365" i="20"/>
  <c r="AK433" i="20"/>
  <c r="AD447" i="20"/>
  <c r="Y480" i="20"/>
  <c r="AE492" i="20"/>
  <c r="AF494" i="20"/>
  <c r="AK502" i="20"/>
  <c r="AF510" i="20"/>
  <c r="AK521" i="20"/>
  <c r="AD513" i="20"/>
  <c r="AC533" i="20"/>
  <c r="AF535" i="20"/>
  <c r="AB554" i="20"/>
  <c r="AB559" i="20"/>
  <c r="AD568" i="20"/>
  <c r="Z577" i="20"/>
  <c r="AB594" i="20"/>
  <c r="AE586" i="20"/>
  <c r="AA604" i="20"/>
  <c r="AA616" i="20"/>
  <c r="AK608" i="20"/>
  <c r="I42" i="86" s="1"/>
  <c r="L42" i="86" s="1"/>
  <c r="AK704" i="20"/>
  <c r="AA716" i="20"/>
  <c r="AA720" i="20"/>
  <c r="AK724" i="20"/>
  <c r="AF735" i="20"/>
  <c r="Y736" i="20"/>
  <c r="AK747" i="20"/>
  <c r="AB753" i="20"/>
  <c r="AC758" i="20"/>
  <c r="AE781" i="20"/>
  <c r="Y777" i="20"/>
  <c r="AC769" i="20"/>
  <c r="AF765" i="20"/>
  <c r="AG783" i="20"/>
  <c r="AF796" i="20"/>
  <c r="Y800" i="20"/>
  <c r="AK809" i="20"/>
  <c r="AC811" i="20"/>
  <c r="AF820" i="20"/>
  <c r="Z824" i="20"/>
  <c r="AK829" i="20"/>
  <c r="AK837" i="20"/>
  <c r="AE844" i="20"/>
  <c r="Y847" i="20"/>
  <c r="AB855" i="20"/>
  <c r="AB871" i="20"/>
  <c r="AB861" i="20"/>
  <c r="Z875" i="20"/>
  <c r="Y877" i="20"/>
  <c r="AE891" i="20"/>
  <c r="AC895" i="20"/>
  <c r="AA894" i="20"/>
  <c r="AB405" i="20"/>
  <c r="Z638" i="20"/>
  <c r="AF523" i="20"/>
  <c r="AC606" i="20"/>
  <c r="AF740" i="20"/>
  <c r="AK767" i="20"/>
  <c r="AC825" i="20"/>
  <c r="AF854" i="20"/>
  <c r="AK892" i="20"/>
  <c r="AE572" i="20"/>
  <c r="AE619" i="20"/>
  <c r="AA692" i="20"/>
  <c r="AD664" i="20"/>
  <c r="AG384" i="20"/>
  <c r="AE364" i="20"/>
  <c r="Z380" i="20"/>
  <c r="Z349" i="20"/>
  <c r="AF445" i="20"/>
  <c r="AF485" i="20"/>
  <c r="AA522" i="20"/>
  <c r="AD541" i="20"/>
  <c r="AD578" i="20"/>
  <c r="Y617" i="20"/>
  <c r="AK723" i="20"/>
  <c r="AA756" i="20"/>
  <c r="AD766" i="20"/>
  <c r="Z795" i="20"/>
  <c r="AC807" i="20"/>
  <c r="AD822" i="20"/>
  <c r="AG839" i="20"/>
  <c r="AE859" i="20"/>
  <c r="AA878" i="20"/>
  <c r="AD893" i="20"/>
  <c r="AA658" i="20"/>
  <c r="AK714" i="20"/>
  <c r="AG618" i="20"/>
  <c r="AB699" i="20"/>
  <c r="Z687" i="20"/>
  <c r="AG671" i="20"/>
  <c r="AC543" i="20"/>
  <c r="AF401" i="20"/>
  <c r="AF372" i="20"/>
  <c r="AD387" i="20"/>
  <c r="Y389" i="20"/>
  <c r="AK374" i="20"/>
  <c r="AA636" i="20"/>
  <c r="AD348" i="20"/>
  <c r="Y447" i="20"/>
  <c r="AG484" i="20"/>
  <c r="AD502" i="20"/>
  <c r="AD510" i="20"/>
  <c r="AE513" i="20"/>
  <c r="AB563" i="20"/>
  <c r="AG582" i="20"/>
  <c r="AA586" i="20"/>
  <c r="AD616" i="20"/>
  <c r="Y624" i="20"/>
  <c r="AD724" i="20"/>
  <c r="AD738" i="20"/>
  <c r="AB743" i="20"/>
  <c r="AF758" i="20"/>
  <c r="AD777" i="20"/>
  <c r="AD765" i="20"/>
  <c r="AD783" i="20"/>
  <c r="AD796" i="20"/>
  <c r="AE804" i="20"/>
  <c r="Y811" i="20"/>
  <c r="AG820" i="20"/>
  <c r="AB829" i="20"/>
  <c r="AG833" i="20"/>
  <c r="AC840" i="20"/>
  <c r="AA855" i="20"/>
  <c r="AF871" i="20"/>
  <c r="Z877" i="20"/>
  <c r="AA891" i="20"/>
  <c r="AK895" i="20"/>
  <c r="Z570" i="20"/>
  <c r="AB655" i="20"/>
  <c r="AB710" i="20"/>
  <c r="Y715" i="20"/>
  <c r="AK583" i="20"/>
  <c r="AB625" i="20"/>
  <c r="AD698" i="20"/>
  <c r="AF694" i="20"/>
  <c r="AE686" i="20"/>
  <c r="AF678" i="20"/>
  <c r="AB674" i="20"/>
  <c r="AC666" i="20"/>
  <c r="AA536" i="20"/>
  <c r="AF547" i="20"/>
  <c r="Y410" i="20"/>
  <c r="AD399" i="20"/>
  <c r="AK382" i="20"/>
  <c r="AK385" i="20"/>
  <c r="AE370" i="20"/>
  <c r="AF615" i="20"/>
  <c r="Z865" i="20"/>
  <c r="AC681" i="20"/>
  <c r="Y422" i="20"/>
  <c r="AA476" i="20"/>
  <c r="AK573" i="20"/>
  <c r="AD709" i="20"/>
  <c r="AK751" i="20"/>
  <c r="Z798" i="20"/>
  <c r="AF838" i="20"/>
  <c r="AF864" i="20"/>
  <c r="AA649" i="20"/>
  <c r="Y713" i="20"/>
  <c r="Y688" i="20"/>
  <c r="AB544" i="20"/>
  <c r="AF406" i="20"/>
  <c r="Y413" i="20"/>
  <c r="AF313" i="20"/>
  <c r="AA449" i="20"/>
  <c r="AC511" i="20"/>
  <c r="AB537" i="20"/>
  <c r="Y591" i="20"/>
  <c r="Z626" i="20"/>
  <c r="AC732" i="20"/>
  <c r="AK756" i="20"/>
  <c r="AB766" i="20"/>
  <c r="AK795" i="20"/>
  <c r="AF812" i="20"/>
  <c r="AK830" i="20"/>
  <c r="Z845" i="20"/>
  <c r="AB859" i="20"/>
  <c r="Z225" i="20"/>
  <c r="AB190" i="20"/>
  <c r="AG204" i="20"/>
  <c r="AC204" i="20"/>
  <c r="Z208" i="20"/>
  <c r="Z526" i="20"/>
  <c r="Y334" i="20"/>
  <c r="Z471" i="20"/>
  <c r="AD330" i="20"/>
  <c r="AD247" i="20"/>
  <c r="AK312" i="20"/>
  <c r="AA306" i="20"/>
  <c r="AD452" i="20"/>
  <c r="AD299" i="20"/>
  <c r="AB343" i="20"/>
  <c r="AD431" i="20"/>
  <c r="Z472" i="20"/>
  <c r="AG489" i="20"/>
  <c r="AF633" i="20"/>
  <c r="AD566" i="20"/>
  <c r="AA746" i="20"/>
  <c r="AB808" i="20"/>
  <c r="AG512" i="20"/>
  <c r="AK615" i="20"/>
  <c r="I31" i="86" s="1"/>
  <c r="L31" i="86" s="1"/>
  <c r="AK752" i="20"/>
  <c r="AK801" i="20"/>
  <c r="Z852" i="20"/>
  <c r="Z489" i="20"/>
  <c r="AC737" i="20"/>
  <c r="AA836" i="20"/>
  <c r="AG629" i="20"/>
  <c r="AK355" i="20"/>
  <c r="AF532" i="20"/>
  <c r="AK754" i="20"/>
  <c r="AD846" i="20"/>
  <c r="AD574" i="20"/>
  <c r="Y685" i="20"/>
  <c r="AC391" i="20"/>
  <c r="AB363" i="20"/>
  <c r="Y456" i="20"/>
  <c r="AK599" i="20"/>
  <c r="AB823" i="20"/>
  <c r="AD693" i="20"/>
  <c r="Y379" i="20"/>
  <c r="AF642" i="20"/>
  <c r="AF456" i="20"/>
  <c r="AF519" i="20"/>
  <c r="Y573" i="20"/>
  <c r="AE622" i="20"/>
  <c r="AK733" i="20"/>
  <c r="AB775" i="20"/>
  <c r="AB562" i="20"/>
  <c r="Z821" i="20"/>
  <c r="AE677" i="20"/>
  <c r="AB377" i="20"/>
  <c r="AK409" i="20"/>
  <c r="AA428" i="20"/>
  <c r="AA507" i="20"/>
  <c r="AA524" i="20"/>
  <c r="AK561" i="20"/>
  <c r="Z606" i="20"/>
  <c r="AC705" i="20"/>
  <c r="AC729" i="20"/>
  <c r="AC757" i="20"/>
  <c r="AF767" i="20"/>
  <c r="AD802" i="20"/>
  <c r="AG826" i="20"/>
  <c r="AK851" i="20"/>
  <c r="AG874" i="20"/>
  <c r="Z819" i="20"/>
  <c r="AD712" i="20"/>
  <c r="AD398" i="20"/>
  <c r="AB638" i="20"/>
  <c r="AA500" i="20"/>
  <c r="AC557" i="20"/>
  <c r="AF709" i="20"/>
  <c r="AB767" i="20"/>
  <c r="Y818" i="20"/>
  <c r="AG854" i="20"/>
  <c r="Z892" i="20"/>
  <c r="AF482" i="20"/>
  <c r="AE692" i="20"/>
  <c r="AK668" i="20"/>
  <c r="AA396" i="20"/>
  <c r="AK420" i="20"/>
  <c r="Y645" i="20"/>
  <c r="AB367" i="20"/>
  <c r="Z481" i="20"/>
  <c r="AA499" i="20"/>
  <c r="AA537" i="20"/>
  <c r="AF578" i="20"/>
  <c r="AC613" i="20"/>
  <c r="AE719" i="20"/>
  <c r="AG748" i="20"/>
  <c r="Y774" i="20"/>
  <c r="AA752" i="20"/>
  <c r="AC574" i="20"/>
  <c r="AC549" i="20"/>
  <c r="AB351" i="20"/>
  <c r="AD500" i="20"/>
  <c r="AA580" i="20"/>
  <c r="AB705" i="20"/>
  <c r="Y745" i="20"/>
  <c r="AA798" i="20"/>
  <c r="AC827" i="20"/>
  <c r="Z848" i="20"/>
  <c r="Z864" i="20"/>
  <c r="Z879" i="20"/>
  <c r="AB649" i="20"/>
  <c r="AC660" i="20"/>
  <c r="AA619" i="20"/>
  <c r="AF632" i="20"/>
  <c r="AD692" i="20"/>
  <c r="AC680" i="20"/>
  <c r="AD668" i="20"/>
  <c r="AA546" i="20"/>
  <c r="AD404" i="20"/>
  <c r="Y406" i="20"/>
  <c r="AB420" i="20"/>
  <c r="AF425" i="20"/>
  <c r="AC358" i="20"/>
  <c r="AB637" i="20"/>
  <c r="AA349" i="20"/>
  <c r="AG434" i="20"/>
  <c r="AA470" i="20"/>
  <c r="AF493" i="20"/>
  <c r="AK499" i="20"/>
  <c r="AG518" i="20"/>
  <c r="AB541" i="20"/>
  <c r="Z564" i="20"/>
  <c r="AE578" i="20"/>
  <c r="AK587" i="20"/>
  <c r="AK617" i="20"/>
  <c r="AK626" i="20"/>
  <c r="AC711" i="20"/>
  <c r="AK728" i="20"/>
  <c r="AK748" i="20"/>
  <c r="AG756" i="20"/>
  <c r="AB778" i="20"/>
  <c r="Z766" i="20"/>
  <c r="AF795" i="20"/>
  <c r="AB807" i="20"/>
  <c r="AC817" i="20"/>
  <c r="AD831" i="20"/>
  <c r="AK841" i="20"/>
  <c r="AF859" i="20"/>
  <c r="AD867" i="20"/>
  <c r="Z878" i="20"/>
  <c r="AD888" i="20"/>
  <c r="AE776" i="20"/>
  <c r="AF653" i="20"/>
  <c r="AG355" i="20"/>
  <c r="Y392" i="20"/>
  <c r="AE503" i="20"/>
  <c r="AE557" i="20"/>
  <c r="AE729" i="20"/>
  <c r="AG771" i="20"/>
  <c r="AG818" i="20"/>
  <c r="Z851" i="20"/>
  <c r="AA882" i="20"/>
  <c r="AG660" i="20"/>
  <c r="AA700" i="20"/>
  <c r="AD672" i="20"/>
  <c r="AF423" i="20"/>
  <c r="AC400" i="20"/>
  <c r="AF390" i="20"/>
  <c r="AD637" i="20"/>
  <c r="AF367" i="20"/>
  <c r="AD481" i="20"/>
  <c r="AF522" i="20"/>
  <c r="AC556" i="20"/>
  <c r="AK605" i="20"/>
  <c r="AB711" i="20"/>
  <c r="AG732" i="20"/>
  <c r="AC759" i="20"/>
  <c r="AD788" i="20"/>
  <c r="Y805" i="20"/>
  <c r="AD817" i="20"/>
  <c r="AB839" i="20"/>
  <c r="AC850" i="20"/>
  <c r="AE876" i="20"/>
  <c r="AK893" i="20"/>
  <c r="Y654" i="20"/>
  <c r="AC714" i="20"/>
  <c r="AA627" i="20"/>
  <c r="AD695" i="20"/>
  <c r="AF687" i="20"/>
  <c r="AD675" i="20"/>
  <c r="AA543" i="20"/>
  <c r="AB415" i="20"/>
  <c r="AK372" i="20"/>
  <c r="AK362" i="20"/>
  <c r="AB389" i="20"/>
  <c r="AD397" i="20"/>
  <c r="AA640" i="20"/>
  <c r="AD318" i="20"/>
  <c r="AK416" i="20"/>
  <c r="AE447" i="20"/>
  <c r="AB484" i="20"/>
  <c r="AG502" i="20"/>
  <c r="AA517" i="20"/>
  <c r="AD533" i="20"/>
  <c r="AE554" i="20"/>
  <c r="Y568" i="20"/>
  <c r="AA590" i="20"/>
  <c r="AE604" i="20"/>
  <c r="AG612" i="20"/>
  <c r="AB704" i="20"/>
  <c r="AD720" i="20"/>
  <c r="AB724" i="20"/>
  <c r="AE736" i="20"/>
  <c r="Y747" i="20"/>
  <c r="Y755" i="20"/>
  <c r="AD708" i="20"/>
  <c r="Z843" i="20"/>
  <c r="Z656" i="20"/>
  <c r="AA665" i="20"/>
  <c r="AC422" i="20"/>
  <c r="AE430" i="20"/>
  <c r="AD496" i="20"/>
  <c r="AF538" i="20"/>
  <c r="AK580" i="20"/>
  <c r="Y705" i="20"/>
  <c r="AK729" i="20"/>
  <c r="Y775" i="20"/>
  <c r="Z793" i="20"/>
  <c r="Y802" i="20"/>
  <c r="AA825" i="20"/>
  <c r="AE834" i="20"/>
  <c r="AE858" i="20"/>
  <c r="Z868" i="20"/>
  <c r="AD886" i="20"/>
  <c r="AK572" i="20"/>
  <c r="Y657" i="20"/>
  <c r="AB619" i="20"/>
  <c r="AB632" i="20"/>
  <c r="Y684" i="20"/>
  <c r="AC672" i="20"/>
  <c r="AE664" i="20"/>
  <c r="Z423" i="20"/>
  <c r="Z404" i="20"/>
  <c r="AD384" i="20"/>
  <c r="AA376" i="20"/>
  <c r="Z420" i="20"/>
  <c r="AD390" i="20"/>
  <c r="AC645" i="20"/>
  <c r="Y637" i="20"/>
  <c r="AA367" i="20"/>
  <c r="AD449" i="20"/>
  <c r="AB470" i="20"/>
  <c r="AB493" i="20"/>
  <c r="AK495" i="20"/>
  <c r="Y522" i="20"/>
  <c r="AC514" i="20"/>
  <c r="AE537" i="20"/>
  <c r="AG560" i="20"/>
  <c r="AC584" i="20"/>
  <c r="AE591" i="20"/>
  <c r="AA605" i="20"/>
  <c r="Z613" i="20"/>
  <c r="AF626" i="20"/>
  <c r="AF707" i="20"/>
  <c r="AK731" i="20"/>
  <c r="AK739" i="20"/>
  <c r="AD750" i="20"/>
  <c r="AC774" i="20"/>
  <c r="AF766" i="20"/>
  <c r="AE784" i="20"/>
  <c r="Y799" i="20"/>
  <c r="Z807" i="20"/>
  <c r="AE817" i="20"/>
  <c r="Y835" i="20"/>
  <c r="AF841" i="20"/>
  <c r="AK845" i="20"/>
  <c r="AE856" i="20"/>
  <c r="AA862" i="20"/>
  <c r="Z876" i="20"/>
  <c r="AF883" i="20"/>
  <c r="Y888" i="20"/>
  <c r="Y571" i="20"/>
  <c r="AC654" i="20"/>
  <c r="Y658" i="20"/>
  <c r="AD714" i="20"/>
  <c r="AF575" i="20"/>
  <c r="Y618" i="20"/>
  <c r="AD631" i="20"/>
  <c r="AC699" i="20"/>
  <c r="Y691" i="20"/>
  <c r="AF683" i="20"/>
  <c r="Y679" i="20"/>
  <c r="Z671" i="20"/>
  <c r="Y667" i="20"/>
  <c r="AD543" i="20"/>
  <c r="AA426" i="20"/>
  <c r="Y415" i="20"/>
  <c r="AC395" i="20"/>
  <c r="AF383" i="20"/>
  <c r="Y372" i="20"/>
  <c r="AE387" i="20"/>
  <c r="AG373" i="20"/>
  <c r="AD419" i="20"/>
  <c r="AC412" i="20"/>
  <c r="AF356" i="20"/>
  <c r="AD374" i="20"/>
  <c r="AC644" i="20"/>
  <c r="AE636" i="20"/>
  <c r="AF297" i="20"/>
  <c r="Y318" i="20"/>
  <c r="AB416" i="20"/>
  <c r="AA433" i="20"/>
  <c r="AK444" i="20"/>
  <c r="Z474" i="20"/>
  <c r="AC480" i="20"/>
  <c r="Y494" i="20"/>
  <c r="AG505" i="20"/>
  <c r="Z498" i="20"/>
  <c r="AG510" i="20"/>
  <c r="AG517" i="20"/>
  <c r="AA533" i="20"/>
  <c r="AB540" i="20"/>
  <c r="AC554" i="20"/>
  <c r="Z563" i="20"/>
  <c r="Z559" i="20"/>
  <c r="AE582" i="20"/>
  <c r="AG577" i="20"/>
  <c r="AD590" i="20"/>
  <c r="Y604" i="20"/>
  <c r="AE600" i="20"/>
  <c r="AF612" i="20"/>
  <c r="AD624" i="20"/>
  <c r="AD706" i="20"/>
  <c r="AG716" i="20"/>
  <c r="AB720" i="20"/>
  <c r="AC727" i="20"/>
  <c r="AG735" i="20"/>
  <c r="AA738" i="20"/>
  <c r="Z743" i="20"/>
  <c r="AG755" i="20"/>
  <c r="AE758" i="20"/>
  <c r="AK781" i="20"/>
  <c r="AK773" i="20"/>
  <c r="I94" i="86" s="1"/>
  <c r="L94" i="86" s="1"/>
  <c r="Y765" i="20"/>
  <c r="AA787" i="20"/>
  <c r="AE791" i="20"/>
  <c r="AK796" i="20"/>
  <c r="AG804" i="20"/>
  <c r="AE811" i="20"/>
  <c r="AG816" i="20"/>
  <c r="AF824" i="20"/>
  <c r="AF829" i="20"/>
  <c r="AF833" i="20"/>
  <c r="AK840" i="20"/>
  <c r="AC844" i="20"/>
  <c r="AC853" i="20"/>
  <c r="Z860" i="20"/>
  <c r="AK871" i="20"/>
  <c r="AD866" i="20"/>
  <c r="AG875" i="20"/>
  <c r="AB884" i="20"/>
  <c r="Z895" i="20"/>
  <c r="AK896" i="20"/>
  <c r="AG585" i="20"/>
  <c r="AD685" i="20"/>
  <c r="AK408" i="20"/>
  <c r="AB460" i="20"/>
  <c r="AK538" i="20"/>
  <c r="AA622" i="20"/>
  <c r="AK760" i="20"/>
  <c r="AK802" i="20"/>
  <c r="AG834" i="20"/>
  <c r="AG868" i="20"/>
  <c r="AC713" i="20"/>
  <c r="AE632" i="20"/>
  <c r="AK680" i="20"/>
  <c r="AF404" i="20"/>
  <c r="AK400" i="20"/>
  <c r="Z425" i="20"/>
  <c r="AK641" i="20"/>
  <c r="Z367" i="20"/>
  <c r="AD470" i="20"/>
  <c r="AC506" i="20"/>
  <c r="Z514" i="20"/>
  <c r="AD564" i="20"/>
  <c r="AD587" i="20"/>
  <c r="AA609" i="20"/>
  <c r="AF732" i="20"/>
  <c r="AK782" i="20"/>
  <c r="AB784" i="20"/>
  <c r="AE805" i="20"/>
  <c r="Y817" i="20"/>
  <c r="Z831" i="20"/>
  <c r="AC845" i="20"/>
  <c r="AK872" i="20"/>
  <c r="AD887" i="20"/>
  <c r="Z654" i="20"/>
  <c r="Z662" i="20"/>
  <c r="AF479" i="20"/>
  <c r="AA631" i="20"/>
  <c r="AE691" i="20"/>
  <c r="AG679" i="20"/>
  <c r="AG667" i="20"/>
  <c r="AG548" i="20"/>
  <c r="AB383" i="20"/>
  <c r="AE403" i="20"/>
  <c r="Y362" i="20"/>
  <c r="AB356" i="20"/>
  <c r="Y644" i="20"/>
  <c r="AB297" i="20"/>
  <c r="AE416" i="20"/>
  <c r="Z480" i="20"/>
  <c r="AA494" i="20"/>
  <c r="AF498" i="20"/>
  <c r="AK517" i="20"/>
  <c r="Y554" i="20"/>
  <c r="AE568" i="20"/>
  <c r="Y577" i="20"/>
  <c r="AK604" i="20"/>
  <c r="AC612" i="20"/>
  <c r="AB716" i="20"/>
  <c r="Z727" i="20"/>
  <c r="AC747" i="20"/>
  <c r="AC755" i="20"/>
  <c r="AE777" i="20"/>
  <c r="Z773" i="20"/>
  <c r="AG787" i="20"/>
  <c r="AG791" i="20"/>
  <c r="AF800" i="20"/>
  <c r="AF809" i="20"/>
  <c r="AF816" i="20"/>
  <c r="AD824" i="20"/>
  <c r="AE833" i="20"/>
  <c r="Z837" i="20"/>
  <c r="AC847" i="20"/>
  <c r="AC860" i="20"/>
  <c r="Y861" i="20"/>
  <c r="AA884" i="20"/>
  <c r="AC891" i="20"/>
  <c r="AB896" i="20"/>
  <c r="AF570" i="20"/>
  <c r="Y651" i="20"/>
  <c r="AD659" i="20"/>
  <c r="AK710" i="20"/>
  <c r="AF477" i="20"/>
  <c r="AG621" i="20"/>
  <c r="AG630" i="20"/>
  <c r="AA694" i="20"/>
  <c r="AD690" i="20"/>
  <c r="AC682" i="20"/>
  <c r="AD678" i="20"/>
  <c r="AG670" i="20"/>
  <c r="Z536" i="20"/>
  <c r="AA542" i="20"/>
  <c r="AE357" i="20"/>
  <c r="AA410" i="20"/>
  <c r="AF393" i="20"/>
  <c r="AK361" i="20"/>
  <c r="AD386" i="20"/>
  <c r="Z323" i="20"/>
  <c r="AA821" i="20"/>
  <c r="AF483" i="20"/>
  <c r="AD379" i="20"/>
  <c r="AD351" i="20"/>
  <c r="AB500" i="20"/>
  <c r="AA606" i="20"/>
  <c r="AA733" i="20"/>
  <c r="AF763" i="20"/>
  <c r="AE826" i="20"/>
  <c r="AG851" i="20"/>
  <c r="AB882" i="20"/>
  <c r="AB657" i="20"/>
  <c r="AE696" i="20"/>
  <c r="AA676" i="20"/>
  <c r="Z396" i="20"/>
  <c r="Y376" i="20"/>
  <c r="Z645" i="20"/>
  <c r="AD367" i="20"/>
  <c r="AK481" i="20"/>
  <c r="AD514" i="20"/>
  <c r="AB560" i="20"/>
  <c r="Z601" i="20"/>
  <c r="AK711" i="20"/>
  <c r="AC744" i="20"/>
  <c r="AK774" i="20"/>
  <c r="AA792" i="20"/>
  <c r="AF805" i="20"/>
  <c r="AB822" i="20"/>
  <c r="AE835" i="20"/>
  <c r="AG850" i="20"/>
  <c r="AD872" i="20"/>
  <c r="AG883" i="20"/>
  <c r="AF571" i="20"/>
  <c r="AB714" i="20"/>
  <c r="AF618" i="20"/>
  <c r="AF631" i="20"/>
  <c r="AG691" i="20"/>
  <c r="AF679" i="20"/>
  <c r="Z543" i="20"/>
  <c r="AE415" i="20"/>
  <c r="AF395" i="20"/>
  <c r="AB403" i="20"/>
  <c r="AD362" i="20"/>
  <c r="AA356" i="20"/>
  <c r="AE648" i="20"/>
  <c r="AB640" i="20"/>
  <c r="AA348" i="20"/>
  <c r="AE433" i="20"/>
  <c r="AF447" i="20"/>
  <c r="AA484" i="20"/>
  <c r="AB494" i="20"/>
  <c r="Y498" i="20"/>
  <c r="AD517" i="20"/>
  <c r="AG540" i="20"/>
  <c r="AD563" i="20"/>
  <c r="AG568" i="20"/>
  <c r="AF594" i="20"/>
  <c r="Y600" i="20"/>
  <c r="AB612" i="20"/>
  <c r="AG624" i="20"/>
  <c r="Z720" i="20"/>
  <c r="AD727" i="20"/>
  <c r="AG736" i="20"/>
  <c r="AA753" i="20"/>
  <c r="AG758" i="20"/>
  <c r="AA773" i="20"/>
  <c r="AC765" i="20"/>
  <c r="AC783" i="20"/>
  <c r="AK791" i="20"/>
  <c r="AB804" i="20"/>
  <c r="AG809" i="20"/>
  <c r="Y816" i="20"/>
  <c r="AE824" i="20"/>
  <c r="Z840" i="20"/>
  <c r="AB844" i="20"/>
  <c r="Y853" i="20"/>
  <c r="AG860" i="20"/>
  <c r="AA861" i="20"/>
  <c r="AF875" i="20"/>
  <c r="Y891" i="20"/>
  <c r="AA896" i="20"/>
  <c r="AE570" i="20"/>
  <c r="AA655" i="20"/>
  <c r="AF710" i="20"/>
  <c r="AF715" i="20"/>
  <c r="Y477" i="20"/>
  <c r="AD621" i="20"/>
  <c r="AC625" i="20"/>
  <c r="AE630" i="20"/>
  <c r="Z694" i="20"/>
  <c r="Y690" i="20"/>
  <c r="AK682" i="20"/>
  <c r="Z674" i="20"/>
  <c r="AG666" i="20"/>
  <c r="Z542" i="20"/>
  <c r="AA547" i="20"/>
  <c r="AC410" i="20"/>
  <c r="AC399" i="20"/>
  <c r="Z382" i="20"/>
  <c r="AB361" i="20"/>
  <c r="AB386" i="20"/>
  <c r="Z370" i="20"/>
  <c r="AD790" i="20"/>
  <c r="AE656" i="20"/>
  <c r="AK391" i="20"/>
  <c r="AB309" i="20"/>
  <c r="AC496" i="20"/>
  <c r="AD592" i="20"/>
  <c r="AC733" i="20"/>
  <c r="Z763" i="20"/>
  <c r="AK818" i="20"/>
  <c r="AD848" i="20"/>
  <c r="AC879" i="20"/>
  <c r="AF649" i="20"/>
  <c r="AB482" i="20"/>
  <c r="AC688" i="20"/>
  <c r="Y544" i="20"/>
  <c r="AK375" i="20"/>
  <c r="AF413" i="20"/>
  <c r="AB358" i="20"/>
  <c r="AD434" i="20"/>
  <c r="AA481" i="20"/>
  <c r="AD506" i="20"/>
  <c r="AF541" i="20"/>
  <c r="AB584" i="20"/>
  <c r="Z617" i="20"/>
  <c r="AA719" i="20"/>
  <c r="AD732" i="20"/>
  <c r="AF778" i="20"/>
  <c r="AG788" i="20"/>
  <c r="AG795" i="20"/>
  <c r="AA815" i="20"/>
  <c r="AE831" i="20"/>
  <c r="Y841" i="20"/>
  <c r="AF872" i="20"/>
  <c r="Y876" i="20"/>
  <c r="AK888" i="20"/>
  <c r="AD571" i="20"/>
  <c r="AB654" i="20"/>
  <c r="AB575" i="20"/>
  <c r="Z627" i="20"/>
  <c r="Y695" i="20"/>
  <c r="AB679" i="20"/>
  <c r="AK671" i="20"/>
  <c r="AC548" i="20"/>
  <c r="AD401" i="20"/>
  <c r="AD403" i="20"/>
  <c r="AK373" i="20"/>
  <c r="AF389" i="20"/>
  <c r="Y648" i="20"/>
  <c r="Y297" i="20"/>
  <c r="AA365" i="20"/>
  <c r="AF444" i="20"/>
  <c r="AG480" i="20"/>
  <c r="AK494" i="20"/>
  <c r="AC502" i="20"/>
  <c r="Y513" i="20"/>
  <c r="AD535" i="20"/>
  <c r="Z582" i="20"/>
  <c r="Z590" i="20"/>
  <c r="AG600" i="20"/>
  <c r="AA612" i="20"/>
  <c r="AD704" i="20"/>
  <c r="AA727" i="20"/>
  <c r="Z736" i="20"/>
  <c r="AD747" i="20"/>
  <c r="AF755" i="20"/>
  <c r="AF781" i="20"/>
  <c r="Y773" i="20"/>
  <c r="AE765" i="20"/>
  <c r="AA783" i="20"/>
  <c r="AB796" i="20"/>
  <c r="AD800" i="20"/>
  <c r="AB811" i="20"/>
  <c r="AG824" i="20"/>
  <c r="AK833" i="20"/>
  <c r="AD840" i="20"/>
  <c r="AB853" i="20"/>
  <c r="AK860" i="20"/>
  <c r="Z871" i="20"/>
  <c r="AF866" i="20"/>
  <c r="AG877" i="20"/>
  <c r="AB891" i="20"/>
  <c r="AF895" i="20"/>
  <c r="AD570" i="20"/>
  <c r="Z655" i="20"/>
  <c r="AA659" i="20"/>
  <c r="AE715" i="20"/>
  <c r="AK477" i="20"/>
  <c r="AA621" i="20"/>
  <c r="Y630" i="20"/>
  <c r="AD457" i="20"/>
  <c r="AE457" i="20"/>
  <c r="AA457" i="20"/>
  <c r="AK550" i="20"/>
  <c r="AC550" i="20"/>
  <c r="AC339" i="20"/>
  <c r="AG339" i="20"/>
  <c r="AE339" i="20"/>
  <c r="AA370" i="20"/>
  <c r="AE361" i="20"/>
  <c r="AF382" i="20"/>
  <c r="AC393" i="20"/>
  <c r="AB410" i="20"/>
  <c r="AF357" i="20"/>
  <c r="AB542" i="20"/>
  <c r="Z666" i="20"/>
  <c r="AC670" i="20"/>
  <c r="Z682" i="20"/>
  <c r="AD686" i="20"/>
  <c r="AD694" i="20"/>
  <c r="Z698" i="20"/>
  <c r="AC630" i="20"/>
  <c r="Y621" i="20"/>
  <c r="AB583" i="20"/>
  <c r="AD715" i="20"/>
  <c r="AC659" i="20"/>
  <c r="AD655" i="20"/>
  <c r="Y570" i="20"/>
  <c r="Y896" i="20"/>
  <c r="AK877" i="20"/>
  <c r="AD875" i="20"/>
  <c r="Z861" i="20"/>
  <c r="Y855" i="20"/>
  <c r="Z847" i="20"/>
  <c r="AB840" i="20"/>
  <c r="Y833" i="20"/>
  <c r="AK820" i="20"/>
  <c r="AF811" i="20"/>
  <c r="AD804" i="20"/>
  <c r="Y791" i="20"/>
  <c r="AK765" i="20"/>
  <c r="AB773" i="20"/>
  <c r="AA758" i="20"/>
  <c r="AF753" i="20"/>
  <c r="AK738" i="20"/>
  <c r="AK720" i="20"/>
  <c r="AC704" i="20"/>
  <c r="AD608" i="20"/>
  <c r="AC604" i="20"/>
  <c r="AA594" i="20"/>
  <c r="AC563" i="20"/>
  <c r="AG513" i="20"/>
  <c r="AE510" i="20"/>
  <c r="AA505" i="20"/>
  <c r="AE484" i="20"/>
  <c r="AG444" i="20"/>
  <c r="AC365" i="20"/>
  <c r="AE318" i="20"/>
  <c r="AG640" i="20"/>
  <c r="AD648" i="20"/>
  <c r="AC389" i="20"/>
  <c r="AB419" i="20"/>
  <c r="AA403" i="20"/>
  <c r="AC401" i="20"/>
  <c r="Y426" i="20"/>
  <c r="AK667" i="20"/>
  <c r="AB675" i="20"/>
  <c r="AG687" i="20"/>
  <c r="AB627" i="20"/>
  <c r="Y662" i="20"/>
  <c r="AF654" i="20"/>
  <c r="AA571" i="20"/>
  <c r="AG878" i="20"/>
  <c r="Z872" i="20"/>
  <c r="AB850" i="20"/>
  <c r="AD830" i="20"/>
  <c r="AG815" i="20"/>
  <c r="AE799" i="20"/>
  <c r="AC788" i="20"/>
  <c r="Y750" i="20"/>
  <c r="AD728" i="20"/>
  <c r="AG626" i="20"/>
  <c r="AB591" i="20"/>
  <c r="Z560" i="20"/>
  <c r="AG522" i="20"/>
  <c r="Y487" i="20"/>
  <c r="AG349" i="20"/>
  <c r="AA641" i="20"/>
  <c r="AE425" i="20"/>
  <c r="AD406" i="20"/>
  <c r="AA404" i="20"/>
  <c r="AC664" i="20"/>
  <c r="AK696" i="20"/>
  <c r="Y576" i="20"/>
  <c r="AC649" i="20"/>
  <c r="Z882" i="20"/>
  <c r="AG814" i="20"/>
  <c r="AB785" i="20"/>
  <c r="AB745" i="20"/>
  <c r="Y610" i="20"/>
  <c r="AC565" i="20"/>
  <c r="AK486" i="20"/>
  <c r="AC392" i="20"/>
  <c r="AA355" i="20"/>
  <c r="AB801" i="20"/>
  <c r="AC370" i="20"/>
  <c r="AG386" i="20"/>
  <c r="AD385" i="20"/>
  <c r="Y382" i="20"/>
  <c r="Y393" i="20"/>
  <c r="AG410" i="20"/>
  <c r="AC547" i="20"/>
  <c r="AK542" i="20"/>
  <c r="AF666" i="20"/>
  <c r="Z670" i="20"/>
  <c r="AC674" i="20"/>
  <c r="AB682" i="20"/>
  <c r="Y686" i="20"/>
  <c r="AE698" i="20"/>
  <c r="Z630" i="20"/>
  <c r="AC583" i="20"/>
  <c r="AE477" i="20"/>
  <c r="AF659" i="20"/>
  <c r="AK651" i="20"/>
  <c r="AD895" i="20"/>
  <c r="Z884" i="20"/>
  <c r="AG866" i="20"/>
  <c r="AE871" i="20"/>
  <c r="AG853" i="20"/>
  <c r="AE840" i="20"/>
  <c r="AD829" i="20"/>
  <c r="AB816" i="20"/>
  <c r="Z800" i="20"/>
  <c r="AD791" i="20"/>
  <c r="Y787" i="20"/>
  <c r="AE773" i="20"/>
  <c r="AD781" i="20"/>
  <c r="AE743" i="20"/>
  <c r="AD735" i="20"/>
  <c r="AF706" i="20"/>
  <c r="AC608" i="20"/>
  <c r="AB604" i="20"/>
  <c r="Z594" i="20"/>
  <c r="AK535" i="20"/>
  <c r="AF521" i="20"/>
  <c r="AB505" i="20"/>
  <c r="AK484" i="20"/>
  <c r="AD444" i="20"/>
  <c r="Z416" i="20"/>
  <c r="Z648" i="20"/>
  <c r="AG412" i="20"/>
  <c r="AC387" i="20"/>
  <c r="Z395" i="20"/>
  <c r="AA548" i="20"/>
  <c r="AK675" i="20"/>
  <c r="Y687" i="20"/>
  <c r="AE627" i="20"/>
  <c r="Z479" i="20"/>
  <c r="AE650" i="20"/>
  <c r="AA887" i="20"/>
  <c r="AD862" i="20"/>
  <c r="AA839" i="20"/>
  <c r="Z822" i="20"/>
  <c r="AK799" i="20"/>
  <c r="AA766" i="20"/>
  <c r="AC750" i="20"/>
  <c r="AA723" i="20"/>
  <c r="AD605" i="20"/>
  <c r="Y560" i="20"/>
  <c r="AD511" i="20"/>
  <c r="AF455" i="20"/>
  <c r="AC349" i="20"/>
  <c r="AC390" i="20"/>
  <c r="AG404" i="20"/>
  <c r="AF676" i="20"/>
  <c r="AB576" i="20"/>
  <c r="AC572" i="20"/>
  <c r="Y889" i="20"/>
  <c r="Z854" i="20"/>
  <c r="AG806" i="20"/>
  <c r="Y757" i="20"/>
  <c r="Z602" i="20"/>
  <c r="AK476" i="20"/>
  <c r="AD409" i="20"/>
  <c r="AA579" i="20"/>
  <c r="AG752" i="20"/>
  <c r="Z386" i="20"/>
  <c r="Y385" i="20"/>
  <c r="AE393" i="20"/>
  <c r="AA399" i="20"/>
  <c r="Y547" i="20"/>
  <c r="AF536" i="20"/>
  <c r="AK670" i="20"/>
  <c r="AE678" i="20"/>
  <c r="AC690" i="20"/>
  <c r="AE694" i="20"/>
  <c r="AG625" i="20"/>
  <c r="Y583" i="20"/>
  <c r="AK715" i="20"/>
  <c r="Y710" i="20"/>
  <c r="AG651" i="20"/>
  <c r="AG895" i="20"/>
  <c r="AD877" i="20"/>
  <c r="AC871" i="20"/>
  <c r="AE855" i="20"/>
  <c r="AF847" i="20"/>
  <c r="AC837" i="20"/>
  <c r="AE820" i="20"/>
  <c r="AA811" i="20"/>
  <c r="AG800" i="20"/>
  <c r="AB783" i="20"/>
  <c r="AB765" i="20"/>
  <c r="AC777" i="20"/>
  <c r="AK755" i="20"/>
  <c r="AB738" i="20"/>
  <c r="AC724" i="20"/>
  <c r="AG706" i="20"/>
  <c r="AE608" i="20"/>
  <c r="AD604" i="20"/>
  <c r="AD577" i="20"/>
  <c r="AA559" i="20"/>
  <c r="AF540" i="20"/>
  <c r="AB521" i="20"/>
  <c r="AE505" i="20"/>
  <c r="AK480" i="20"/>
  <c r="AC444" i="20"/>
  <c r="AF416" i="20"/>
  <c r="AD644" i="20"/>
  <c r="AG397" i="20"/>
  <c r="Y419" i="20"/>
  <c r="AK403" i="20"/>
  <c r="Y401" i="20"/>
  <c r="Z548" i="20"/>
  <c r="AE679" i="20"/>
  <c r="AC695" i="20"/>
  <c r="AD618" i="20"/>
  <c r="AC662" i="20"/>
  <c r="AA883" i="20"/>
  <c r="AB856" i="20"/>
  <c r="AE830" i="20"/>
  <c r="AC792" i="20"/>
  <c r="AF750" i="20"/>
  <c r="AF617" i="20"/>
  <c r="AA541" i="20"/>
  <c r="Y445" i="20"/>
  <c r="AA420" i="20"/>
  <c r="AK672" i="20"/>
  <c r="AB652" i="20"/>
  <c r="AC810" i="20"/>
  <c r="AF490" i="20"/>
  <c r="Y786" i="20"/>
  <c r="AG393" i="20"/>
  <c r="AD666" i="20"/>
  <c r="AB690" i="20"/>
  <c r="AC715" i="20"/>
  <c r="AA570" i="20"/>
  <c r="AC896" i="20"/>
  <c r="AG855" i="20"/>
  <c r="AB824" i="20"/>
  <c r="AB791" i="20"/>
  <c r="Z753" i="20"/>
  <c r="AE612" i="20"/>
  <c r="Y540" i="20"/>
  <c r="AK474" i="20"/>
  <c r="Z389" i="20"/>
  <c r="AF548" i="20"/>
  <c r="Y631" i="20"/>
  <c r="Z841" i="20"/>
  <c r="Y784" i="20"/>
  <c r="AF595" i="20"/>
  <c r="AG455" i="20"/>
  <c r="AA406" i="20"/>
  <c r="AG649" i="20"/>
  <c r="AE798" i="20"/>
  <c r="AG428" i="20"/>
  <c r="Y895" i="20"/>
  <c r="AC866" i="20"/>
  <c r="AG844" i="20"/>
  <c r="AC820" i="20"/>
  <c r="AG796" i="20"/>
  <c r="AD773" i="20"/>
  <c r="Y743" i="20"/>
  <c r="Y720" i="20"/>
  <c r="AD612" i="20"/>
  <c r="AE577" i="20"/>
  <c r="AB535" i="20"/>
  <c r="AC510" i="20"/>
  <c r="AE480" i="20"/>
  <c r="AD416" i="20"/>
  <c r="AG648" i="20"/>
  <c r="AG362" i="20"/>
  <c r="AA383" i="20"/>
  <c r="AF663" i="20"/>
  <c r="AA683" i="20"/>
  <c r="AB618" i="20"/>
  <c r="AD654" i="20"/>
  <c r="AG872" i="20"/>
  <c r="AC831" i="20"/>
  <c r="AC784" i="20"/>
  <c r="AD739" i="20"/>
  <c r="AD617" i="20"/>
  <c r="F24" i="37" s="1"/>
  <c r="AA564" i="20"/>
  <c r="AD495" i="20"/>
  <c r="Y349" i="20"/>
  <c r="AD364" i="20"/>
  <c r="AD546" i="20"/>
  <c r="AC632" i="20"/>
  <c r="Y892" i="20"/>
  <c r="Z827" i="20"/>
  <c r="AF779" i="20"/>
  <c r="AF531" i="20"/>
  <c r="AG693" i="20"/>
  <c r="AK753" i="20"/>
  <c r="AC716" i="20"/>
  <c r="AC577" i="20"/>
  <c r="Y510" i="20"/>
  <c r="AC348" i="20"/>
  <c r="Y412" i="20"/>
  <c r="AC663" i="20"/>
  <c r="AK575" i="20"/>
  <c r="AA831" i="20"/>
  <c r="AD756" i="20"/>
  <c r="Y555" i="20"/>
  <c r="AG358" i="20"/>
  <c r="AE688" i="20"/>
  <c r="AC863" i="20"/>
  <c r="AA614" i="20"/>
  <c r="Y689" i="20"/>
  <c r="AA888" i="20"/>
  <c r="Z839" i="20"/>
  <c r="AE792" i="20"/>
  <c r="AB739" i="20"/>
  <c r="AB601" i="20"/>
  <c r="AF530" i="20"/>
  <c r="AD455" i="20"/>
  <c r="AC380" i="20"/>
  <c r="AG417" i="20"/>
  <c r="AC696" i="20"/>
  <c r="Y572" i="20"/>
  <c r="AE854" i="20"/>
  <c r="AD740" i="20"/>
  <c r="AK642" i="20"/>
  <c r="AD759" i="20"/>
  <c r="Y556" i="20"/>
  <c r="Z353" i="20"/>
  <c r="Z676" i="20"/>
  <c r="Y882" i="20"/>
  <c r="Y622" i="20"/>
  <c r="Y534" i="20"/>
  <c r="AD868" i="20"/>
  <c r="AC771" i="20"/>
  <c r="AC588" i="20"/>
  <c r="AE309" i="20"/>
  <c r="AB890" i="20"/>
  <c r="AA726" i="20"/>
  <c r="AB430" i="20"/>
  <c r="AG890" i="20"/>
  <c r="Z408" i="20"/>
  <c r="AA832" i="20"/>
  <c r="AK553" i="20"/>
  <c r="AG394" i="20"/>
  <c r="AD746" i="20"/>
  <c r="Z717" i="20"/>
  <c r="AF302" i="20"/>
  <c r="Y454" i="20"/>
  <c r="AE437" i="20"/>
  <c r="Y203" i="20"/>
  <c r="AD99" i="20"/>
  <c r="AC457" i="20"/>
  <c r="Z457" i="20"/>
  <c r="Y457" i="20"/>
  <c r="AG550" i="20"/>
  <c r="AA550" i="20"/>
  <c r="Z339" i="20"/>
  <c r="AK339" i="20"/>
  <c r="AB339" i="20"/>
  <c r="AE386" i="20"/>
  <c r="AD361" i="20"/>
  <c r="AA382" i="20"/>
  <c r="AG399" i="20"/>
  <c r="AK410" i="20"/>
  <c r="AA357" i="20"/>
  <c r="AB536" i="20"/>
  <c r="Y666" i="20"/>
  <c r="AG674" i="20"/>
  <c r="AG682" i="20"/>
  <c r="AC686" i="20"/>
  <c r="Y694" i="20"/>
  <c r="Y698" i="20"/>
  <c r="Y625" i="20"/>
  <c r="AE621" i="20"/>
  <c r="AC477" i="20"/>
  <c r="AG710" i="20"/>
  <c r="AE659" i="20"/>
  <c r="Z651" i="20"/>
  <c r="AB570" i="20"/>
  <c r="AF891" i="20"/>
  <c r="AE877" i="20"/>
  <c r="AB866" i="20"/>
  <c r="AG871" i="20"/>
  <c r="Z853" i="20"/>
  <c r="AE847" i="20"/>
  <c r="AG837" i="20"/>
  <c r="AA833" i="20"/>
  <c r="Y820" i="20"/>
  <c r="AD811" i="20"/>
  <c r="AA804" i="20"/>
  <c r="Z783" i="20"/>
  <c r="AF769" i="20"/>
  <c r="AG777" i="20"/>
  <c r="Z758" i="20"/>
  <c r="AC743" i="20"/>
  <c r="AC736" i="20"/>
  <c r="AE720" i="20"/>
  <c r="AA704" i="20"/>
  <c r="AK612" i="20"/>
  <c r="AD586" i="20"/>
  <c r="AC559" i="20"/>
  <c r="AA535" i="20"/>
  <c r="AC521" i="20"/>
  <c r="AD498" i="20"/>
  <c r="Z505" i="20"/>
  <c r="AD480" i="20"/>
  <c r="Y444" i="20"/>
  <c r="AC416" i="20"/>
  <c r="Z297" i="20"/>
  <c r="AC640" i="20"/>
  <c r="AG374" i="20"/>
  <c r="AE389" i="20"/>
  <c r="AC362" i="20"/>
  <c r="AE372" i="20"/>
  <c r="AE401" i="20"/>
  <c r="Y548" i="20"/>
  <c r="AE667" i="20"/>
  <c r="AC679" i="20"/>
  <c r="AG695" i="20"/>
  <c r="AC618" i="20"/>
  <c r="AF662" i="20"/>
  <c r="Y650" i="20"/>
  <c r="AG888" i="20"/>
  <c r="AC876" i="20"/>
  <c r="AK859" i="20"/>
  <c r="AE839" i="20"/>
  <c r="AC822" i="20"/>
  <c r="AF807" i="20"/>
  <c r="AB795" i="20"/>
  <c r="Z788" i="20"/>
  <c r="AB748" i="20"/>
  <c r="Y723" i="20"/>
  <c r="AD609" i="20"/>
  <c r="AA595" i="20"/>
  <c r="AC564" i="20"/>
  <c r="AC499" i="20"/>
  <c r="AF481" i="20"/>
  <c r="Y313" i="20"/>
  <c r="AK358" i="20"/>
  <c r="Z413" i="20"/>
  <c r="AG375" i="20"/>
  <c r="AG423" i="20"/>
  <c r="AG676" i="20"/>
  <c r="Z700" i="20"/>
  <c r="AF713" i="20"/>
  <c r="AD572" i="20"/>
  <c r="AD864" i="20"/>
  <c r="AC806" i="20"/>
  <c r="AE767" i="20"/>
  <c r="AA740" i="20"/>
  <c r="AA602" i="20"/>
  <c r="AG531" i="20"/>
  <c r="AE428" i="20"/>
  <c r="AA408" i="20"/>
  <c r="AC669" i="20"/>
  <c r="AC885" i="20"/>
  <c r="AE780" i="20"/>
  <c r="Y370" i="20"/>
  <c r="AF386" i="20"/>
  <c r="AC385" i="20"/>
  <c r="AB382" i="20"/>
  <c r="AK399" i="20"/>
  <c r="AK357" i="20"/>
  <c r="AG547" i="20"/>
  <c r="AD542" i="20"/>
  <c r="AB666" i="20"/>
  <c r="Y670" i="20"/>
  <c r="AG678" i="20"/>
  <c r="AB686" i="20"/>
  <c r="AK690" i="20"/>
  <c r="AA698" i="20"/>
  <c r="AK625" i="20"/>
  <c r="AG583" i="20"/>
  <c r="Z477" i="20"/>
  <c r="Y655" i="20"/>
  <c r="AE651" i="20"/>
  <c r="AG891" i="20"/>
  <c r="AK875" i="20"/>
  <c r="AK861" i="20"/>
  <c r="AB860" i="20"/>
  <c r="AD847" i="20"/>
  <c r="Y837" i="20"/>
  <c r="AE829" i="20"/>
  <c r="AD809" i="20"/>
  <c r="AE800" i="20"/>
  <c r="AA791" i="20"/>
  <c r="AG765" i="20"/>
  <c r="AK777" i="20"/>
  <c r="AK758" i="20"/>
  <c r="AF747" i="20"/>
  <c r="AB735" i="20"/>
  <c r="Z706" i="20"/>
  <c r="Z612" i="20"/>
  <c r="Z586" i="20"/>
  <c r="AA577" i="20"/>
  <c r="Z540" i="20"/>
  <c r="AD521" i="20"/>
  <c r="AE494" i="20"/>
  <c r="AF474" i="20"/>
  <c r="AF433" i="20"/>
  <c r="AG318" i="20"/>
  <c r="AA374" i="20"/>
  <c r="AE419" i="20"/>
  <c r="AA387" i="20"/>
  <c r="AF415" i="20"/>
  <c r="AE663" i="20"/>
  <c r="AE675" i="20"/>
  <c r="Y699" i="20"/>
  <c r="Z618" i="20"/>
  <c r="AD662" i="20"/>
  <c r="AB883" i="20"/>
  <c r="Z859" i="20"/>
  <c r="AB835" i="20"/>
  <c r="AK817" i="20"/>
  <c r="AE795" i="20"/>
  <c r="Y770" i="20"/>
  <c r="AD744" i="20"/>
  <c r="Y701" i="20"/>
  <c r="AC595" i="20"/>
  <c r="AE555" i="20"/>
  <c r="AK493" i="20"/>
  <c r="Y449" i="20"/>
  <c r="AC313" i="20"/>
  <c r="AF420" i="20"/>
  <c r="AB423" i="20"/>
  <c r="AD680" i="20"/>
  <c r="AA713" i="20"/>
  <c r="AB886" i="20"/>
  <c r="AG838" i="20"/>
  <c r="AD798" i="20"/>
  <c r="AD745" i="20"/>
  <c r="AC561" i="20"/>
  <c r="Y450" i="20"/>
  <c r="AK379" i="20"/>
  <c r="AB633" i="20"/>
  <c r="Y386" i="20"/>
  <c r="AA361" i="20"/>
  <c r="AK393" i="20"/>
  <c r="AD410" i="20"/>
  <c r="Y542" i="20"/>
  <c r="AD536" i="20"/>
  <c r="AA674" i="20"/>
  <c r="AD682" i="20"/>
  <c r="AF690" i="20"/>
  <c r="AG698" i="20"/>
  <c r="AF625" i="20"/>
  <c r="AA583" i="20"/>
  <c r="AG715" i="20"/>
  <c r="Y659" i="20"/>
  <c r="AF651" i="20"/>
  <c r="AK891" i="20"/>
  <c r="AC875" i="20"/>
  <c r="AA871" i="20"/>
  <c r="AK853" i="20"/>
  <c r="AF844" i="20"/>
  <c r="AA837" i="20"/>
  <c r="AC816" i="20"/>
  <c r="Z809" i="20"/>
  <c r="AA800" i="20"/>
  <c r="AF783" i="20"/>
  <c r="AK769" i="20"/>
  <c r="AC781" i="20"/>
  <c r="AC753" i="20"/>
  <c r="AF736" i="20"/>
  <c r="AA724" i="20"/>
  <c r="Y704" i="20"/>
  <c r="AK616" i="20"/>
  <c r="I45" i="86" s="1"/>
  <c r="L45" i="86" s="1"/>
  <c r="Y590" i="20"/>
  <c r="AF582" i="20"/>
  <c r="AF554" i="20"/>
  <c r="AK533" i="20"/>
  <c r="AA521" i="20"/>
  <c r="AC494" i="20"/>
  <c r="AB480" i="20"/>
  <c r="AB433" i="20"/>
  <c r="AC318" i="20"/>
  <c r="AK644" i="20"/>
  <c r="AC397" i="20"/>
  <c r="AF362" i="20"/>
  <c r="AG372" i="20"/>
  <c r="AK415" i="20"/>
  <c r="AB543" i="20"/>
  <c r="AK683" i="20"/>
  <c r="Z695" i="20"/>
  <c r="AE575" i="20"/>
  <c r="AA662" i="20"/>
  <c r="AE893" i="20"/>
  <c r="AE867" i="20"/>
  <c r="Y845" i="20"/>
  <c r="AB815" i="20"/>
  <c r="AK784" i="20"/>
  <c r="AG739" i="20"/>
  <c r="AC605" i="20"/>
  <c r="AE518" i="20"/>
  <c r="AE349" i="20"/>
  <c r="AA400" i="20"/>
  <c r="AF684" i="20"/>
  <c r="AK775" i="20"/>
  <c r="AD363" i="20"/>
  <c r="AK370" i="20"/>
  <c r="Z410" i="20"/>
  <c r="AE674" i="20"/>
  <c r="AB698" i="20"/>
  <c r="AA710" i="20"/>
  <c r="AD891" i="20"/>
  <c r="AK844" i="20"/>
  <c r="Z816" i="20"/>
  <c r="AA765" i="20"/>
  <c r="AA747" i="20"/>
  <c r="AG586" i="20"/>
  <c r="AE517" i="20"/>
  <c r="AK348" i="20"/>
  <c r="Y373" i="20"/>
  <c r="AB667" i="20"/>
  <c r="AE479" i="20"/>
  <c r="AC893" i="20"/>
  <c r="AC830" i="20"/>
  <c r="AB759" i="20"/>
  <c r="AG555" i="20"/>
  <c r="AA353" i="20"/>
  <c r="AE417" i="20"/>
  <c r="AF751" i="20"/>
  <c r="Y366" i="20"/>
  <c r="Z891" i="20"/>
  <c r="Y871" i="20"/>
  <c r="AF840" i="20"/>
  <c r="AA816" i="20"/>
  <c r="AE783" i="20"/>
  <c r="AB781" i="20"/>
  <c r="AG738" i="20"/>
  <c r="AF716" i="20"/>
  <c r="AK600" i="20"/>
  <c r="AD582" i="20"/>
  <c r="AG533" i="20"/>
  <c r="AE498" i="20"/>
  <c r="Y474" i="20"/>
  <c r="AA318" i="20"/>
  <c r="AE374" i="20"/>
  <c r="AF373" i="20"/>
  <c r="AB401" i="20"/>
  <c r="AC667" i="20"/>
  <c r="Z691" i="20"/>
  <c r="AA575" i="20"/>
  <c r="AB571" i="20"/>
  <c r="AK887" i="20"/>
  <c r="AK850" i="20"/>
  <c r="AC815" i="20"/>
  <c r="AG770" i="20"/>
  <c r="AC728" i="20"/>
  <c r="Y587" i="20"/>
  <c r="Z541" i="20"/>
  <c r="AC487" i="20"/>
  <c r="AE637" i="20"/>
  <c r="AD400" i="20"/>
  <c r="AE668" i="20"/>
  <c r="AC576" i="20"/>
  <c r="AG882" i="20"/>
  <c r="AB818" i="20"/>
  <c r="AB726" i="20"/>
  <c r="AC488" i="20"/>
  <c r="AC569" i="20"/>
  <c r="AB747" i="20"/>
  <c r="Z704" i="20"/>
  <c r="AA568" i="20"/>
  <c r="AD505" i="20"/>
  <c r="AD636" i="20"/>
  <c r="AD373" i="20"/>
  <c r="AA675" i="20"/>
  <c r="AK662" i="20"/>
  <c r="Y883" i="20"/>
  <c r="AG812" i="20"/>
  <c r="AF728" i="20"/>
  <c r="Z499" i="20"/>
  <c r="Y420" i="20"/>
  <c r="AG576" i="20"/>
  <c r="AK834" i="20"/>
  <c r="AK524" i="20"/>
  <c r="AD890" i="20"/>
  <c r="AK876" i="20"/>
  <c r="AG830" i="20"/>
  <c r="AE770" i="20"/>
  <c r="AF723" i="20"/>
  <c r="Z591" i="20"/>
  <c r="AB511" i="20"/>
  <c r="AK367" i="20"/>
  <c r="Z390" i="20"/>
  <c r="AK544" i="20"/>
  <c r="Y628" i="20"/>
  <c r="AE842" i="20"/>
  <c r="AB610" i="20"/>
  <c r="AF673" i="20"/>
  <c r="AE739" i="20"/>
  <c r="Z530" i="20"/>
  <c r="AF380" i="20"/>
  <c r="AB700" i="20"/>
  <c r="AK842" i="20"/>
  <c r="AG551" i="20"/>
  <c r="AK848" i="20"/>
  <c r="AB751" i="20"/>
  <c r="AA565" i="20"/>
  <c r="AG408" i="20"/>
  <c r="Z776" i="20"/>
  <c r="AF602" i="20"/>
  <c r="AF363" i="20"/>
  <c r="AK790" i="20"/>
  <c r="Y355" i="20"/>
  <c r="AB741" i="20"/>
  <c r="AC881" i="20"/>
  <c r="AE890" i="20"/>
  <c r="AK589" i="20"/>
  <c r="AA520" i="20"/>
  <c r="Y643" i="20"/>
  <c r="AF306" i="20"/>
  <c r="AE330" i="20"/>
  <c r="AK203" i="20"/>
  <c r="N14" i="43"/>
  <c r="R14" i="43" s="1"/>
  <c r="E18" i="43"/>
  <c r="I18" i="43" s="1"/>
  <c r="E17" i="43"/>
  <c r="I17" i="43" s="1"/>
  <c r="M23" i="36"/>
  <c r="AR659" i="20"/>
  <c r="AR423" i="20"/>
  <c r="AR406" i="20"/>
  <c r="AR673" i="20"/>
  <c r="O26" i="36"/>
  <c r="N11" i="36"/>
  <c r="N15" i="43"/>
  <c r="AC22" i="43" s="1"/>
  <c r="N26" i="36"/>
  <c r="C29" i="37"/>
  <c r="AP26" i="40"/>
  <c r="AN29" i="40" s="1"/>
  <c r="G39" i="37"/>
  <c r="O12" i="36"/>
  <c r="O24" i="36"/>
  <c r="AR373" i="20"/>
  <c r="AH298" i="20"/>
  <c r="AB81" i="20"/>
  <c r="AK81" i="20"/>
  <c r="AB80" i="20"/>
  <c r="AH80" i="20"/>
  <c r="AD84" i="20"/>
  <c r="AI84" i="20"/>
  <c r="Y83" i="20"/>
  <c r="AE83" i="20"/>
  <c r="AJ83" i="20"/>
  <c r="AH81" i="20"/>
  <c r="AJ81" i="20"/>
  <c r="AB84" i="20"/>
  <c r="AH84" i="20"/>
  <c r="AC83" i="20"/>
  <c r="AI83" i="20"/>
  <c r="AF81" i="20"/>
  <c r="AL81" i="20"/>
  <c r="AD80" i="20"/>
  <c r="AI80" i="20"/>
  <c r="Z84" i="20"/>
  <c r="AE84" i="20"/>
  <c r="AJ84" i="20"/>
  <c r="AA83" i="20"/>
  <c r="AF83" i="20"/>
  <c r="AK83" i="20"/>
  <c r="Z80" i="20"/>
  <c r="AE80" i="20"/>
  <c r="AJ80" i="20"/>
  <c r="AA84" i="20"/>
  <c r="AF84" i="20"/>
  <c r="AL84" i="20"/>
  <c r="AB83" i="20"/>
  <c r="AG83" i="20"/>
  <c r="AA80" i="20"/>
  <c r="AF80" i="20"/>
  <c r="AL80" i="20"/>
  <c r="AI81" i="20"/>
  <c r="Z81" i="20"/>
  <c r="AC80" i="20"/>
  <c r="AC84" i="20"/>
  <c r="AH83" i="20"/>
  <c r="AH319" i="20"/>
  <c r="AH320" i="20"/>
  <c r="AH280" i="20"/>
  <c r="AH243" i="20"/>
  <c r="AH259" i="20"/>
  <c r="AH282" i="20"/>
  <c r="AH289" i="20"/>
  <c r="AH229" i="20"/>
  <c r="AH285" i="20"/>
  <c r="AH216" i="20"/>
  <c r="AH286" i="20"/>
  <c r="AH288" i="20"/>
  <c r="AH235" i="20"/>
  <c r="AH241" i="20"/>
  <c r="AH194" i="20"/>
  <c r="AH200" i="20"/>
  <c r="AH274" i="20"/>
  <c r="AH202" i="20"/>
  <c r="AH239" i="20"/>
  <c r="AH208" i="20"/>
  <c r="AH210" i="20"/>
  <c r="AH219" i="20"/>
  <c r="AH256" i="20"/>
  <c r="AH198" i="20"/>
  <c r="AH205" i="20"/>
  <c r="AH217" i="20"/>
  <c r="AH231" i="20"/>
  <c r="AH242" i="20"/>
  <c r="AH236" i="20"/>
  <c r="AH213" i="20"/>
  <c r="AH226" i="20"/>
  <c r="AH279" i="20"/>
  <c r="AH278" i="20"/>
  <c r="AH292" i="20"/>
  <c r="AH291" i="20"/>
  <c r="AH543" i="20"/>
  <c r="AH544" i="20"/>
  <c r="AH550" i="20"/>
  <c r="AH548" i="20"/>
  <c r="AH546" i="20"/>
  <c r="AH688" i="20"/>
  <c r="AH674" i="20"/>
  <c r="AH668" i="20"/>
  <c r="AH670" i="20"/>
  <c r="AH685" i="20"/>
  <c r="AH666" i="20"/>
  <c r="AH672" i="20"/>
  <c r="AH467" i="20"/>
  <c r="AH700" i="20"/>
  <c r="AH675" i="20"/>
  <c r="AH699" i="20"/>
  <c r="AH464" i="20"/>
  <c r="AH693" i="20"/>
  <c r="AH307" i="20"/>
  <c r="AH312" i="20"/>
  <c r="AH442" i="20"/>
  <c r="AH697" i="20"/>
  <c r="AH686" i="20"/>
  <c r="AH680" i="20"/>
  <c r="AH315" i="20"/>
  <c r="AH690" i="20"/>
  <c r="AH310" i="20"/>
  <c r="AH691" i="20"/>
  <c r="AH696" i="20"/>
  <c r="AH682" i="20"/>
  <c r="Y80" i="20"/>
  <c r="AE81" i="20"/>
  <c r="AG81" i="20"/>
  <c r="AD83" i="20"/>
  <c r="AA81" i="20"/>
  <c r="AK80" i="20"/>
  <c r="AG84" i="20"/>
  <c r="AH322" i="20"/>
  <c r="AH271" i="20"/>
  <c r="AH218" i="20"/>
  <c r="AH273" i="20"/>
  <c r="AH206" i="20"/>
  <c r="AH230" i="20"/>
  <c r="AH227" i="20"/>
  <c r="AH214" i="20"/>
  <c r="AH290" i="20"/>
  <c r="AH536" i="20"/>
  <c r="AH664" i="20"/>
  <c r="AH687" i="20"/>
  <c r="AH451" i="20"/>
  <c r="AH311" i="20"/>
  <c r="AH679" i="20"/>
  <c r="AH671" i="20"/>
  <c r="Y84" i="20"/>
  <c r="AD81" i="20"/>
  <c r="AG80" i="20"/>
  <c r="AH321" i="20"/>
  <c r="AH287" i="20"/>
  <c r="AH284" i="20"/>
  <c r="AH245" i="20"/>
  <c r="AH275" i="20"/>
  <c r="AH211" i="20"/>
  <c r="AH203" i="20"/>
  <c r="AH201" i="20"/>
  <c r="AH281" i="20"/>
  <c r="AH534" i="20"/>
  <c r="AH676" i="20"/>
  <c r="AH663" i="20"/>
  <c r="AH673" i="20"/>
  <c r="AH306" i="20"/>
  <c r="AH301" i="20"/>
  <c r="AH304" i="20"/>
  <c r="AH667" i="20"/>
  <c r="AH677" i="20"/>
  <c r="AH698" i="20"/>
  <c r="AH374" i="20"/>
  <c r="AH409" i="20"/>
  <c r="AH422" i="20"/>
  <c r="AH392" i="20"/>
  <c r="AH358" i="20"/>
  <c r="AH363" i="20"/>
  <c r="AH356" i="20"/>
  <c r="AH303" i="20"/>
  <c r="J15" i="37" s="1"/>
  <c r="AH308" i="20"/>
  <c r="AH625" i="20"/>
  <c r="AH630" i="20"/>
  <c r="AH632" i="20"/>
  <c r="AH583" i="20"/>
  <c r="AH627" i="20"/>
  <c r="AH477" i="20"/>
  <c r="AH628" i="20"/>
  <c r="AH620" i="20"/>
  <c r="AH575" i="20"/>
  <c r="AH553" i="20"/>
  <c r="AH296" i="20"/>
  <c r="AH300" i="20"/>
  <c r="AH299" i="20"/>
  <c r="AH344" i="20"/>
  <c r="AH341" i="20"/>
  <c r="AH340" i="20"/>
  <c r="AH396" i="20"/>
  <c r="AH327" i="20"/>
  <c r="AH375" i="20"/>
  <c r="AH461" i="20"/>
  <c r="AH473" i="20"/>
  <c r="AH405" i="20"/>
  <c r="AH385" i="20"/>
  <c r="AH569" i="20"/>
  <c r="AH330" i="20"/>
  <c r="AH373" i="20"/>
  <c r="AH333" i="20"/>
  <c r="AH426" i="20"/>
  <c r="AH475" i="20"/>
  <c r="AH384" i="20"/>
  <c r="AH403" i="20"/>
  <c r="AH469" i="20"/>
  <c r="AH329" i="20"/>
  <c r="AH393" i="20"/>
  <c r="AH436" i="20"/>
  <c r="AH468" i="20"/>
  <c r="AH328" i="20"/>
  <c r="AH372" i="20"/>
  <c r="AH427" i="20"/>
  <c r="AH337" i="20"/>
  <c r="AH352" i="20"/>
  <c r="AH359" i="20"/>
  <c r="AH383" i="20"/>
  <c r="AH362" i="20"/>
  <c r="AH411" i="20"/>
  <c r="AH438" i="20"/>
  <c r="AH572" i="20"/>
  <c r="Z83" i="20"/>
  <c r="Y81" i="20"/>
  <c r="AL83" i="20"/>
  <c r="AH276" i="20"/>
  <c r="AH233" i="20"/>
  <c r="AH209" i="20"/>
  <c r="AH252" i="20"/>
  <c r="AH549" i="20"/>
  <c r="AH665" i="20"/>
  <c r="AH692" i="20"/>
  <c r="AH695" i="20"/>
  <c r="AH684" i="20"/>
  <c r="AH371" i="20"/>
  <c r="AH305" i="20"/>
  <c r="AH629" i="20"/>
  <c r="AH576" i="20"/>
  <c r="AH295" i="20"/>
  <c r="AH339" i="20"/>
  <c r="AH432" i="20"/>
  <c r="AH458" i="20"/>
  <c r="AH386" i="20"/>
  <c r="AH459" i="20"/>
  <c r="AH437" i="20"/>
  <c r="AH658" i="20"/>
  <c r="AH424" i="20"/>
  <c r="AH655" i="20"/>
  <c r="AH660" i="20"/>
  <c r="AH377" i="20"/>
  <c r="AH462" i="20"/>
  <c r="AH710" i="20"/>
  <c r="AH471" i="20"/>
  <c r="AH399" i="20"/>
  <c r="AH653" i="20"/>
  <c r="AH415" i="20"/>
  <c r="AH357" i="20"/>
  <c r="AH435" i="20"/>
  <c r="AH649" i="20"/>
  <c r="AH654" i="20"/>
  <c r="AH334" i="20"/>
  <c r="AH412" i="20"/>
  <c r="AH413" i="20"/>
  <c r="AH398" i="20"/>
  <c r="AH376" i="20"/>
  <c r="AH370" i="20"/>
  <c r="AH656" i="20"/>
  <c r="AH713" i="20"/>
  <c r="AH715" i="20"/>
  <c r="AH324" i="20"/>
  <c r="AH336" i="20"/>
  <c r="AH418" i="20"/>
  <c r="AH400" i="20"/>
  <c r="AH440" i="20"/>
  <c r="AH570" i="20"/>
  <c r="AH457" i="20"/>
  <c r="AH834" i="20"/>
  <c r="AH845" i="20"/>
  <c r="AH856" i="20"/>
  <c r="AH862" i="20"/>
  <c r="AH864" i="20"/>
  <c r="AH503" i="20"/>
  <c r="AH265" i="20"/>
  <c r="AH466" i="20"/>
  <c r="AH749" i="20"/>
  <c r="AH97" i="20"/>
  <c r="AH558" i="20"/>
  <c r="AH593" i="20"/>
  <c r="AH510" i="20"/>
  <c r="AH551" i="20"/>
  <c r="AH624" i="20"/>
  <c r="AH515" i="20"/>
  <c r="AH823" i="20"/>
  <c r="AH883" i="20"/>
  <c r="AH93" i="20"/>
  <c r="AH98" i="20"/>
  <c r="AH92" i="20"/>
  <c r="AH108" i="20"/>
  <c r="AH110" i="20"/>
  <c r="AH106" i="20"/>
  <c r="AH455" i="20"/>
  <c r="AH489" i="20"/>
  <c r="AH500" i="20"/>
  <c r="AH554" i="20"/>
  <c r="AH560" i="20"/>
  <c r="AH564" i="20"/>
  <c r="AH588" i="20"/>
  <c r="AH603" i="20"/>
  <c r="AH605" i="20"/>
  <c r="AH865" i="20"/>
  <c r="AH867" i="20"/>
  <c r="AH220" i="20"/>
  <c r="AH518" i="20"/>
  <c r="AH577" i="20"/>
  <c r="AH633" i="20"/>
  <c r="AH726" i="20"/>
  <c r="AH244" i="20"/>
  <c r="AH434" i="20"/>
  <c r="AH706" i="20"/>
  <c r="AH718" i="20"/>
  <c r="AH105" i="20"/>
  <c r="AH99" i="20"/>
  <c r="AH539" i="20"/>
  <c r="AH562" i="20"/>
  <c r="AH596" i="20"/>
  <c r="AH719" i="20"/>
  <c r="AH736" i="20"/>
  <c r="AH843" i="20"/>
  <c r="AH611" i="20"/>
  <c r="AH491" i="20"/>
  <c r="AH803" i="20"/>
  <c r="AH889" i="20"/>
  <c r="AH246" i="20"/>
  <c r="AH509" i="20"/>
  <c r="AH724" i="20"/>
  <c r="AH750" i="20"/>
  <c r="AH798" i="20"/>
  <c r="AH171" i="20"/>
  <c r="AH180" i="20"/>
  <c r="AH302" i="20"/>
  <c r="AH470" i="20"/>
  <c r="AH494" i="20"/>
  <c r="AH522" i="20"/>
  <c r="AH530" i="20"/>
  <c r="AH610" i="20"/>
  <c r="AH734" i="20"/>
  <c r="AH748" i="20"/>
  <c r="AH759" i="20"/>
  <c r="AH779" i="20"/>
  <c r="AH801" i="20"/>
  <c r="AH833" i="20"/>
  <c r="AH854" i="20"/>
  <c r="AH753" i="20"/>
  <c r="AH224" i="20"/>
  <c r="AH520" i="20"/>
  <c r="AH609" i="20"/>
  <c r="AH774" i="20"/>
  <c r="AH806" i="20"/>
  <c r="AH831" i="20"/>
  <c r="AH859" i="20"/>
  <c r="AH711" i="20"/>
  <c r="AH756" i="20"/>
  <c r="AH781" i="20"/>
  <c r="AH783" i="20"/>
  <c r="AH79" i="20"/>
  <c r="AH488" i="20"/>
  <c r="AH505" i="20"/>
  <c r="AH616" i="20"/>
  <c r="AH870" i="20"/>
  <c r="AH82" i="20"/>
  <c r="AH248" i="20"/>
  <c r="AH263" i="20"/>
  <c r="AH323" i="20"/>
  <c r="AH453" i="20"/>
  <c r="AH523" i="20"/>
  <c r="AH552" i="20"/>
  <c r="AH733" i="20"/>
  <c r="AH794" i="20"/>
  <c r="AH802" i="20"/>
  <c r="AH807" i="20"/>
  <c r="AH821" i="20"/>
  <c r="AH835" i="20"/>
  <c r="AH847" i="20"/>
  <c r="AH850" i="20"/>
  <c r="AH891" i="20"/>
  <c r="AH309" i="20"/>
  <c r="AH378" i="20"/>
  <c r="AK84" i="20"/>
  <c r="AH240" i="20"/>
  <c r="AH228" i="20"/>
  <c r="AH260" i="20"/>
  <c r="AH237" i="20"/>
  <c r="AH542" i="20"/>
  <c r="AH669" i="20"/>
  <c r="AH694" i="20"/>
  <c r="AH314" i="20"/>
  <c r="AH681" i="20"/>
  <c r="AH425" i="20"/>
  <c r="AH380" i="20"/>
  <c r="AH631" i="20"/>
  <c r="AH621" i="20"/>
  <c r="AH619" i="20"/>
  <c r="AH343" i="20"/>
  <c r="AH388" i="20"/>
  <c r="AH417" i="20"/>
  <c r="AH712" i="20"/>
  <c r="AH406" i="20"/>
  <c r="AH379" i="20"/>
  <c r="AH369" i="20"/>
  <c r="AH401" i="20"/>
  <c r="AH465" i="20"/>
  <c r="AC81" i="20"/>
  <c r="AH238" i="20"/>
  <c r="AH253" i="20"/>
  <c r="AH545" i="20"/>
  <c r="AH345" i="20"/>
  <c r="AH402" i="20"/>
  <c r="AH482" i="20"/>
  <c r="AH623" i="20"/>
  <c r="AH338" i="20"/>
  <c r="AH661" i="20"/>
  <c r="AH571" i="20"/>
  <c r="AH350" i="20"/>
  <c r="AH651" i="20"/>
  <c r="AH325" i="20"/>
  <c r="AH650" i="20"/>
  <c r="AH381" i="20"/>
  <c r="AH659" i="20"/>
  <c r="AH419" i="20"/>
  <c r="AH183" i="20"/>
  <c r="AH861" i="20"/>
  <c r="AH613" i="20"/>
  <c r="AH517" i="20"/>
  <c r="AH573" i="20"/>
  <c r="AH508" i="20"/>
  <c r="AH101" i="20"/>
  <c r="AH474" i="20"/>
  <c r="AH563" i="20"/>
  <c r="AH868" i="20"/>
  <c r="AH535" i="20"/>
  <c r="AH283" i="20"/>
  <c r="AH111" i="20"/>
  <c r="AH705" i="20"/>
  <c r="AH761" i="20"/>
  <c r="AH129" i="20"/>
  <c r="AH752" i="20"/>
  <c r="AH407" i="20"/>
  <c r="AH533" i="20"/>
  <c r="AH770" i="20"/>
  <c r="AH721" i="20"/>
  <c r="AH516" i="20"/>
  <c r="AH818" i="20"/>
  <c r="AH614" i="20"/>
  <c r="AH249" i="20"/>
  <c r="AH532" i="20"/>
  <c r="AH805" i="20"/>
  <c r="AH848" i="20"/>
  <c r="AH365" i="20"/>
  <c r="AH478" i="20"/>
  <c r="AH731" i="20"/>
  <c r="AH740" i="20"/>
  <c r="AH746" i="20"/>
  <c r="AH776" i="20"/>
  <c r="AH812" i="20"/>
  <c r="AH839" i="20"/>
  <c r="AH841" i="20"/>
  <c r="AH430" i="20"/>
  <c r="AH460" i="20"/>
  <c r="AH501" i="20"/>
  <c r="AH612" i="20"/>
  <c r="AH297" i="20"/>
  <c r="AH511" i="20"/>
  <c r="AH728" i="20"/>
  <c r="AH744" i="20"/>
  <c r="AH767" i="20"/>
  <c r="AH800" i="20"/>
  <c r="AH832" i="20"/>
  <c r="AH851" i="20"/>
  <c r="AH894" i="20"/>
  <c r="AH182" i="20"/>
  <c r="AH348" i="20"/>
  <c r="AH353" i="20"/>
  <c r="AH449" i="20"/>
  <c r="AH486" i="20"/>
  <c r="AH568" i="20"/>
  <c r="AH703" i="20"/>
  <c r="AH701" i="20"/>
  <c r="AH709" i="20"/>
  <c r="AH737" i="20"/>
  <c r="AH743" i="20"/>
  <c r="AH782" i="20"/>
  <c r="AH791" i="20"/>
  <c r="AH232" i="20"/>
  <c r="AH234" i="20"/>
  <c r="AH547" i="20"/>
  <c r="AH354" i="20"/>
  <c r="AH618" i="20"/>
  <c r="AH579" i="20"/>
  <c r="AH652" i="20"/>
  <c r="AH574" i="20"/>
  <c r="AH420" i="20"/>
  <c r="AH657" i="20"/>
  <c r="AH446" i="20"/>
  <c r="AH335" i="20"/>
  <c r="AH421" i="20"/>
  <c r="AH439" i="20"/>
  <c r="AH844" i="20"/>
  <c r="AH863" i="20"/>
  <c r="AH514" i="20"/>
  <c r="AH729" i="20"/>
  <c r="AH102" i="20"/>
  <c r="AH555" i="20"/>
  <c r="AH585" i="20"/>
  <c r="AH866" i="20"/>
  <c r="AH869" i="20"/>
  <c r="AH541" i="20"/>
  <c r="AH735" i="20"/>
  <c r="AH727" i="20"/>
  <c r="AH172" i="20"/>
  <c r="AH481" i="20"/>
  <c r="AH842" i="20"/>
  <c r="AH267" i="20"/>
  <c r="AH792" i="20"/>
  <c r="AH504" i="20"/>
  <c r="AH881" i="20"/>
  <c r="AH268" i="20"/>
  <c r="AH846" i="20"/>
  <c r="AH223" i="20"/>
  <c r="AH745" i="20"/>
  <c r="AH840" i="20"/>
  <c r="AH484" i="20"/>
  <c r="AH521" i="20"/>
  <c r="AH810" i="20"/>
  <c r="AH416" i="20"/>
  <c r="AH704" i="20"/>
  <c r="AH754" i="20"/>
  <c r="AH813" i="20"/>
  <c r="AH817" i="20"/>
  <c r="AH825" i="20"/>
  <c r="AH837" i="20"/>
  <c r="AH852" i="20"/>
  <c r="AH875" i="20"/>
  <c r="AH884" i="20"/>
  <c r="AH893" i="20"/>
  <c r="AH91" i="20"/>
  <c r="AH189" i="20"/>
  <c r="AH191" i="20"/>
  <c r="AH250" i="20"/>
  <c r="AH269" i="20"/>
  <c r="AH351" i="20"/>
  <c r="AH492" i="20"/>
  <c r="AH493" i="20"/>
  <c r="AH519" i="20"/>
  <c r="AH765" i="20"/>
  <c r="AH764" i="20"/>
  <c r="AH788" i="20"/>
  <c r="AH789" i="20"/>
  <c r="AH799" i="20"/>
  <c r="AH814" i="20"/>
  <c r="AH829" i="20"/>
  <c r="AH886" i="20"/>
  <c r="AH888" i="20"/>
  <c r="AH784" i="20"/>
  <c r="AH896" i="20"/>
  <c r="AH78" i="20"/>
  <c r="AH130" i="20"/>
  <c r="AH186" i="20"/>
  <c r="AH193" i="20"/>
  <c r="AH196" i="20"/>
  <c r="AH207" i="20"/>
  <c r="AH225" i="20"/>
  <c r="AH264" i="20"/>
  <c r="AH332" i="20"/>
  <c r="AH444" i="20"/>
  <c r="AH450" i="20"/>
  <c r="AH496" i="20"/>
  <c r="AH507" i="20"/>
  <c r="AH526" i="20"/>
  <c r="AH528" i="20"/>
  <c r="AH531" i="20"/>
  <c r="AH561" i="20"/>
  <c r="AH557" i="20"/>
  <c r="AH566" i="20"/>
  <c r="AH581" i="20"/>
  <c r="AH595" i="20"/>
  <c r="AH587" i="20"/>
  <c r="AH590" i="20"/>
  <c r="AH597" i="20"/>
  <c r="AH598" i="20"/>
  <c r="AH601" i="20"/>
  <c r="AH604" i="20"/>
  <c r="AH720" i="20"/>
  <c r="AH725" i="20"/>
  <c r="AH751" i="20"/>
  <c r="AH762" i="20"/>
  <c r="AH772" i="20"/>
  <c r="AH793" i="20"/>
  <c r="AH815" i="20"/>
  <c r="AH872" i="20"/>
  <c r="AH874" i="20"/>
  <c r="AH879" i="20"/>
  <c r="AH638" i="20"/>
  <c r="AH636" i="20"/>
  <c r="AH640" i="20"/>
  <c r="AH647" i="20"/>
  <c r="AH642" i="20"/>
  <c r="AH643" i="20"/>
  <c r="AH645" i="20"/>
  <c r="AG258" i="20"/>
  <c r="AE262" i="20"/>
  <c r="AD255" i="20"/>
  <c r="AC258" i="20"/>
  <c r="AL287" i="20"/>
  <c r="AL542" i="20"/>
  <c r="AL855" i="20"/>
  <c r="AL863" i="20"/>
  <c r="AL262" i="20"/>
  <c r="AL613" i="20"/>
  <c r="AL396" i="20"/>
  <c r="AL482" i="20"/>
  <c r="AL107" i="20"/>
  <c r="AL543" i="20"/>
  <c r="AL688" i="20"/>
  <c r="AL388" i="20"/>
  <c r="AL573" i="20"/>
  <c r="AL827" i="20"/>
  <c r="AL625" i="20"/>
  <c r="AL876" i="20"/>
  <c r="AL402" i="20"/>
  <c r="AL98" i="20"/>
  <c r="AL108" i="20"/>
  <c r="AL106" i="20"/>
  <c r="AL397" i="20"/>
  <c r="AL474" i="20"/>
  <c r="AL500" i="20"/>
  <c r="AL555" i="20"/>
  <c r="AL556" i="20"/>
  <c r="AL599" i="20"/>
  <c r="AL632" i="20"/>
  <c r="AL668" i="20"/>
  <c r="AL685" i="20"/>
  <c r="AL868" i="20"/>
  <c r="AL534" i="20"/>
  <c r="AL608" i="20"/>
  <c r="AL86" i="20"/>
  <c r="AL434" i="20"/>
  <c r="AL717" i="20"/>
  <c r="AL111" i="20"/>
  <c r="AL289" i="20"/>
  <c r="AL405" i="20"/>
  <c r="AH262" i="20"/>
  <c r="AH272" i="20"/>
  <c r="AH689" i="20"/>
  <c r="AH678" i="20"/>
  <c r="AH394" i="20"/>
  <c r="AH479" i="20"/>
  <c r="AH414" i="20"/>
  <c r="AH395" i="20"/>
  <c r="AH331" i="20"/>
  <c r="AH387" i="20"/>
  <c r="AH714" i="20"/>
  <c r="AH258" i="20"/>
  <c r="AH476" i="20"/>
  <c r="AH592" i="20"/>
  <c r="AH445" i="20"/>
  <c r="AH538" i="20"/>
  <c r="AH599" i="20"/>
  <c r="AH132" i="20"/>
  <c r="AH771" i="20"/>
  <c r="AH187" i="20"/>
  <c r="AH524" i="20"/>
  <c r="AH741" i="20"/>
  <c r="AH780" i="20"/>
  <c r="AH778" i="20"/>
  <c r="AH485" i="20"/>
  <c r="AH184" i="20"/>
  <c r="AH880" i="20"/>
  <c r="AH626" i="20"/>
  <c r="AH775" i="20"/>
  <c r="AH367" i="20"/>
  <c r="AH755" i="20"/>
  <c r="AH838" i="20"/>
  <c r="AH622" i="20"/>
  <c r="AH716" i="20"/>
  <c r="AH769" i="20"/>
  <c r="AH836" i="20"/>
  <c r="AH887" i="20"/>
  <c r="AH190" i="20"/>
  <c r="AH433" i="20"/>
  <c r="AH766" i="20"/>
  <c r="AH808" i="20"/>
  <c r="AH785" i="20"/>
  <c r="AH192" i="20"/>
  <c r="AH247" i="20"/>
  <c r="AH472" i="20"/>
  <c r="AH529" i="20"/>
  <c r="AH584" i="20"/>
  <c r="AH589" i="20"/>
  <c r="AH617" i="20"/>
  <c r="AH777" i="20"/>
  <c r="AH871" i="20"/>
  <c r="AH639" i="20"/>
  <c r="AH635" i="20"/>
  <c r="AF262" i="20"/>
  <c r="AE258" i="20"/>
  <c r="AC255" i="20"/>
  <c r="AL183" i="20"/>
  <c r="AL844" i="20"/>
  <c r="AL862" i="20"/>
  <c r="AL255" i="20"/>
  <c r="AL280" i="20"/>
  <c r="AL476" i="20"/>
  <c r="AL97" i="20"/>
  <c r="AL592" i="20"/>
  <c r="AL327" i="20"/>
  <c r="AL624" i="20"/>
  <c r="AL515" i="20"/>
  <c r="AL823" i="20"/>
  <c r="AL432" i="20"/>
  <c r="AL93" i="20"/>
  <c r="AL101" i="20"/>
  <c r="AL276" i="20"/>
  <c r="AL455" i="20"/>
  <c r="AL497" i="20"/>
  <c r="AL560" i="20"/>
  <c r="AL585" i="20"/>
  <c r="AL631" i="20"/>
  <c r="AL669" i="20"/>
  <c r="AL666" i="20"/>
  <c r="AL867" i="20"/>
  <c r="AL535" i="20"/>
  <c r="AL708" i="20"/>
  <c r="AL283" i="20"/>
  <c r="AL718" i="20"/>
  <c r="AL132" i="20"/>
  <c r="AL423" i="20"/>
  <c r="AL458" i="20"/>
  <c r="AL562" i="20"/>
  <c r="AL661" i="20"/>
  <c r="AL705" i="20"/>
  <c r="AL771" i="20"/>
  <c r="AL761" i="20"/>
  <c r="AL330" i="20"/>
  <c r="AL567" i="20"/>
  <c r="AL803" i="20"/>
  <c r="AL229" i="20"/>
  <c r="AL285" i="20"/>
  <c r="AL333" i="20"/>
  <c r="AL391" i="20"/>
  <c r="AL636" i="20"/>
  <c r="AL727" i="20"/>
  <c r="AL131" i="20"/>
  <c r="AL185" i="20"/>
  <c r="AL344" i="20"/>
  <c r="AL407" i="20"/>
  <c r="AL469" i="20"/>
  <c r="AL499" i="20"/>
  <c r="AL533" i="20"/>
  <c r="AL694" i="20"/>
  <c r="AL748" i="20"/>
  <c r="AL779" i="20"/>
  <c r="AL833" i="20"/>
  <c r="AL286" i="20"/>
  <c r="AL753" i="20"/>
  <c r="AL267" i="20"/>
  <c r="AL392" i="20"/>
  <c r="AL437" i="20"/>
  <c r="AL536" i="20"/>
  <c r="AL627" i="20"/>
  <c r="AL774" i="20"/>
  <c r="AL831" i="20"/>
  <c r="AL235" i="20"/>
  <c r="AL693" i="20"/>
  <c r="AL758" i="20"/>
  <c r="AL818" i="20"/>
  <c r="AL241" i="20"/>
  <c r="AL390" i="20"/>
  <c r="AL427" i="20"/>
  <c r="AL504" i="20"/>
  <c r="AL640" i="20"/>
  <c r="AL881" i="20"/>
  <c r="AL248" i="20"/>
  <c r="AL300" i="20"/>
  <c r="AL312" i="20"/>
  <c r="AL350" i="20"/>
  <c r="AL359" i="20"/>
  <c r="AL424" i="20"/>
  <c r="AL411" i="20"/>
  <c r="AL452" i="20"/>
  <c r="AL487" i="20"/>
  <c r="AL546" i="20"/>
  <c r="AL647" i="20"/>
  <c r="AL697" i="20"/>
  <c r="AL794" i="20"/>
  <c r="AL807" i="20"/>
  <c r="AL835" i="20"/>
  <c r="AL850" i="20"/>
  <c r="AL200" i="20"/>
  <c r="AL275" i="20"/>
  <c r="AL341" i="20"/>
  <c r="AL377" i="20"/>
  <c r="AL365" i="20"/>
  <c r="AL626" i="20"/>
  <c r="AL680" i="20"/>
  <c r="AL740" i="20"/>
  <c r="AL776" i="20"/>
  <c r="AL839" i="20"/>
  <c r="AL443" i="20"/>
  <c r="AL501" i="20"/>
  <c r="AL202" i="20"/>
  <c r="AL297" i="20"/>
  <c r="AL399" i="20"/>
  <c r="AL521" i="20"/>
  <c r="AL695" i="20"/>
  <c r="AL755" i="20"/>
  <c r="AL810" i="20"/>
  <c r="AL882" i="20"/>
  <c r="AH683" i="20"/>
  <c r="AH463" i="20"/>
  <c r="AH397" i="20"/>
  <c r="AH423" i="20"/>
  <c r="AH391" i="20"/>
  <c r="AH390" i="20"/>
  <c r="AH366" i="20"/>
  <c r="AH408" i="20"/>
  <c r="AH368" i="20"/>
  <c r="AH495" i="20"/>
  <c r="AH892" i="20"/>
  <c r="AH428" i="20"/>
  <c r="AH94" i="20"/>
  <c r="AH95" i="20"/>
  <c r="AH497" i="20"/>
  <c r="AH86" i="20"/>
  <c r="AH717" i="20"/>
  <c r="AH594" i="20"/>
  <c r="AH131" i="20"/>
  <c r="AH499" i="20"/>
  <c r="AH722" i="20"/>
  <c r="AH858" i="20"/>
  <c r="AH758" i="20"/>
  <c r="AH797" i="20"/>
  <c r="AH826" i="20"/>
  <c r="AH313" i="20"/>
  <c r="AH480" i="20"/>
  <c r="AH443" i="20"/>
  <c r="AH615" i="20"/>
  <c r="AH738" i="20"/>
  <c r="AH349" i="20"/>
  <c r="AH540" i="20"/>
  <c r="AH707" i="20"/>
  <c r="AH822" i="20"/>
  <c r="AH877" i="20"/>
  <c r="AH188" i="20"/>
  <c r="AH270" i="20"/>
  <c r="AH702" i="20"/>
  <c r="AH795" i="20"/>
  <c r="AH890" i="20"/>
  <c r="AH512" i="20"/>
  <c r="AH179" i="20"/>
  <c r="AH212" i="20"/>
  <c r="AH447" i="20"/>
  <c r="AH527" i="20"/>
  <c r="AH565" i="20"/>
  <c r="AH586" i="20"/>
  <c r="AH606" i="20"/>
  <c r="AH757" i="20"/>
  <c r="AH853" i="20"/>
  <c r="AH637" i="20"/>
  <c r="AH641" i="20"/>
  <c r="AH204" i="20"/>
  <c r="AH454" i="20"/>
  <c r="AH452" i="20"/>
  <c r="AH342" i="20"/>
  <c r="AH410" i="20"/>
  <c r="AH389" i="20"/>
  <c r="AH364" i="20"/>
  <c r="AH346" i="20"/>
  <c r="AH355" i="20"/>
  <c r="AH326" i="20"/>
  <c r="AH441" i="20"/>
  <c r="AH855" i="20"/>
  <c r="AH827" i="20"/>
  <c r="AH96" i="20"/>
  <c r="AH109" i="20"/>
  <c r="AH498" i="20"/>
  <c r="AH708" i="20"/>
  <c r="AH607" i="20"/>
  <c r="AH824" i="20"/>
  <c r="AH580" i="20"/>
  <c r="AH185" i="20"/>
  <c r="AH181" i="20"/>
  <c r="AH830" i="20"/>
  <c r="AH747" i="20"/>
  <c r="AH487" i="20"/>
  <c r="AH763" i="20"/>
  <c r="AH820" i="20"/>
  <c r="AH828" i="20"/>
  <c r="AH347" i="20"/>
  <c r="AH502" i="20"/>
  <c r="AH318" i="20"/>
  <c r="AH456" i="20"/>
  <c r="AH816" i="20"/>
  <c r="AH860" i="20"/>
  <c r="AH266" i="20"/>
  <c r="AH513" i="20"/>
  <c r="AH786" i="20"/>
  <c r="AH885" i="20"/>
  <c r="AH100" i="20"/>
  <c r="AH197" i="20"/>
  <c r="AH431" i="20"/>
  <c r="AH525" i="20"/>
  <c r="AH559" i="20"/>
  <c r="AH591" i="20"/>
  <c r="AH600" i="20"/>
  <c r="AH732" i="20"/>
  <c r="AH804" i="20"/>
  <c r="AH895" i="20"/>
  <c r="AH648" i="20"/>
  <c r="AH634" i="20"/>
  <c r="AH277" i="20"/>
  <c r="AH483" i="20"/>
  <c r="AH876" i="20"/>
  <c r="AH873" i="20"/>
  <c r="AH730" i="20"/>
  <c r="AH739" i="20"/>
  <c r="AH819" i="20"/>
  <c r="AH293" i="20"/>
  <c r="AH602" i="20"/>
  <c r="AH644" i="20"/>
  <c r="AH199" i="20"/>
  <c r="AH382" i="20"/>
  <c r="AH222" i="20"/>
  <c r="AH556" i="20"/>
  <c r="AH582" i="20"/>
  <c r="AH360" i="20"/>
  <c r="AH85" i="20"/>
  <c r="AH796" i="20"/>
  <c r="AH221" i="20"/>
  <c r="AH506" i="20"/>
  <c r="AH723" i="20"/>
  <c r="AH646" i="20"/>
  <c r="AF255" i="20"/>
  <c r="AD258" i="20"/>
  <c r="AB258" i="20"/>
  <c r="AL220" i="20"/>
  <c r="AL845" i="20"/>
  <c r="AL892" i="20"/>
  <c r="AL265" i="20"/>
  <c r="AL662" i="20"/>
  <c r="AL517" i="20"/>
  <c r="AL240" i="20"/>
  <c r="AL637" i="20"/>
  <c r="AL638" i="20"/>
  <c r="AL375" i="20"/>
  <c r="AL96" i="20"/>
  <c r="AL110" i="20"/>
  <c r="AL445" i="20"/>
  <c r="AL538" i="20"/>
  <c r="AL564" i="20"/>
  <c r="AL630" i="20"/>
  <c r="AL670" i="20"/>
  <c r="AL865" i="20"/>
  <c r="AL518" i="20"/>
  <c r="AL726" i="20"/>
  <c r="AL672" i="20"/>
  <c r="AL99" i="20"/>
  <c r="AL417" i="20"/>
  <c r="AL539" i="20"/>
  <c r="AL596" i="20"/>
  <c r="AL719" i="20"/>
  <c r="AL873" i="20"/>
  <c r="AL238" i="20"/>
  <c r="AL583" i="20"/>
  <c r="AL889" i="20"/>
  <c r="AL272" i="20"/>
  <c r="AL386" i="20"/>
  <c r="AL509" i="20"/>
  <c r="AL724" i="20"/>
  <c r="AL171" i="20"/>
  <c r="AL218" i="20"/>
  <c r="AL406" i="20"/>
  <c r="AL470" i="20"/>
  <c r="AL524" i="20"/>
  <c r="AL699" i="20"/>
  <c r="AL760" i="20"/>
  <c r="AL801" i="20"/>
  <c r="AL181" i="20"/>
  <c r="AL329" i="20"/>
  <c r="AL436" i="20"/>
  <c r="AL574" i="20"/>
  <c r="AL692" i="20"/>
  <c r="AL830" i="20"/>
  <c r="AL245" i="20"/>
  <c r="AL747" i="20"/>
  <c r="AL783" i="20"/>
  <c r="AL273" i="20"/>
  <c r="AL372" i="20"/>
  <c r="AL488" i="20"/>
  <c r="AL658" i="20"/>
  <c r="AL184" i="20"/>
  <c r="AL268" i="20"/>
  <c r="AL323" i="20"/>
  <c r="AL420" i="20"/>
  <c r="AL383" i="20"/>
  <c r="AL429" i="20"/>
  <c r="AL465" i="20"/>
  <c r="AL545" i="20"/>
  <c r="AL655" i="20"/>
  <c r="AL733" i="20"/>
  <c r="AL805" i="20"/>
  <c r="AL846" i="20"/>
  <c r="AL891" i="20"/>
  <c r="AL274" i="20"/>
  <c r="AL339" i="20"/>
  <c r="AL363" i="20"/>
  <c r="AL478" i="20"/>
  <c r="AL710" i="20"/>
  <c r="AL746" i="20"/>
  <c r="AL828" i="20"/>
  <c r="AL347" i="20"/>
  <c r="AL471" i="20"/>
  <c r="AL615" i="20"/>
  <c r="AL314" i="20"/>
  <c r="AL367" i="20"/>
  <c r="AL653" i="20"/>
  <c r="AL767" i="20"/>
  <c r="AL838" i="20"/>
  <c r="AL182" i="20"/>
  <c r="AL211" i="20"/>
  <c r="AL253" i="20"/>
  <c r="AL348" i="20"/>
  <c r="AL416" i="20"/>
  <c r="AL357" i="20"/>
  <c r="AL449" i="20"/>
  <c r="AL547" i="20"/>
  <c r="AL622" i="20"/>
  <c r="AL650" i="20"/>
  <c r="AL704" i="20"/>
  <c r="AL716" i="20"/>
  <c r="AL754" i="20"/>
  <c r="AL796" i="20"/>
  <c r="AL822" i="20"/>
  <c r="AL849" i="20"/>
  <c r="AL877" i="20"/>
  <c r="AL897" i="20"/>
  <c r="AL188" i="20"/>
  <c r="AL198" i="20"/>
  <c r="AL217" i="20"/>
  <c r="AL237" i="20"/>
  <c r="AL266" i="20"/>
  <c r="AL310" i="20"/>
  <c r="AL351" i="20"/>
  <c r="AL380" i="20"/>
  <c r="AL376" i="20"/>
  <c r="AL448" i="20"/>
  <c r="AL513" i="20"/>
  <c r="AL642" i="20"/>
  <c r="AL659" i="20"/>
  <c r="AL713" i="20"/>
  <c r="AL766" i="20"/>
  <c r="AL786" i="20"/>
  <c r="AL808" i="20"/>
  <c r="AL885" i="20"/>
  <c r="AL784" i="20"/>
  <c r="AL78" i="20"/>
  <c r="AL186" i="20"/>
  <c r="AL196" i="20"/>
  <c r="AL212" i="20"/>
  <c r="AL226" i="20"/>
  <c r="AL279" i="20"/>
  <c r="AL292" i="20"/>
  <c r="AL299" i="20"/>
  <c r="AL324" i="20"/>
  <c r="AL419" i="20"/>
  <c r="AL431" i="20"/>
  <c r="AL444" i="20"/>
  <c r="AL472" i="20"/>
  <c r="AL525" i="20"/>
  <c r="AL529" i="20"/>
  <c r="AL561" i="20"/>
  <c r="AL566" i="20"/>
  <c r="AL578" i="20"/>
  <c r="AL586" i="20"/>
  <c r="AL602" i="20"/>
  <c r="AL606" i="20"/>
  <c r="AL646" i="20"/>
  <c r="AL689" i="20"/>
  <c r="AL677" i="20"/>
  <c r="AL720" i="20"/>
  <c r="AL751" i="20"/>
  <c r="AL772" i="20"/>
  <c r="AL815" i="20"/>
  <c r="AL874" i="20"/>
  <c r="AJ535" i="20"/>
  <c r="AJ542" i="20"/>
  <c r="AJ855" i="20"/>
  <c r="AJ863" i="20"/>
  <c r="AJ262" i="20"/>
  <c r="H123" i="86" s="1"/>
  <c r="K123" i="86" s="1"/>
  <c r="AJ613" i="20"/>
  <c r="AJ396" i="20"/>
  <c r="AJ482" i="20"/>
  <c r="AJ107" i="20"/>
  <c r="AJ543" i="20"/>
  <c r="AJ688" i="20"/>
  <c r="AJ388" i="20"/>
  <c r="AJ573" i="20"/>
  <c r="AJ827" i="20"/>
  <c r="AJ625" i="20"/>
  <c r="AJ876" i="20"/>
  <c r="AJ402" i="20"/>
  <c r="AJ98" i="20"/>
  <c r="AJ108" i="20"/>
  <c r="AJ106" i="20"/>
  <c r="AJ397" i="20"/>
  <c r="AJ474" i="20"/>
  <c r="AJ500" i="20"/>
  <c r="AJ555" i="20"/>
  <c r="AJ556" i="20"/>
  <c r="AJ599" i="20"/>
  <c r="AJ632" i="20"/>
  <c r="AJ668" i="20"/>
  <c r="AJ685" i="20"/>
  <c r="AJ868" i="20"/>
  <c r="AJ550" i="20"/>
  <c r="AJ708" i="20"/>
  <c r="AJ282" i="20"/>
  <c r="AJ672" i="20"/>
  <c r="AJ869" i="20"/>
  <c r="AJ132" i="20"/>
  <c r="AJ422" i="20"/>
  <c r="AJ385" i="20"/>
  <c r="AJ539" i="20"/>
  <c r="AJ594" i="20"/>
  <c r="AJ700" i="20"/>
  <c r="AJ735" i="20"/>
  <c r="AJ873" i="20"/>
  <c r="AJ187" i="20"/>
  <c r="AJ373" i="20"/>
  <c r="AJ639" i="20"/>
  <c r="AJ889" i="20"/>
  <c r="AJ251" i="20"/>
  <c r="AJ296" i="20"/>
  <c r="AJ425" i="20"/>
  <c r="AJ509" i="20"/>
  <c r="AJ675" i="20"/>
  <c r="AJ752" i="20"/>
  <c r="AJ172" i="20"/>
  <c r="AJ218" i="20"/>
  <c r="AJ384" i="20"/>
  <c r="AJ451" i="20"/>
  <c r="AJ481" i="20"/>
  <c r="AJ524" i="20"/>
  <c r="AJ610" i="20"/>
  <c r="AJ734" i="20"/>
  <c r="AJ759" i="20"/>
  <c r="AJ801" i="20"/>
  <c r="AJ854" i="20"/>
  <c r="AJ320" i="20"/>
  <c r="AJ224" i="20"/>
  <c r="AJ329" i="20"/>
  <c r="AJ379" i="20"/>
  <c r="AJ468" i="20"/>
  <c r="AJ582" i="20"/>
  <c r="AJ692" i="20"/>
  <c r="AJ806" i="20"/>
  <c r="AJ859" i="20"/>
  <c r="AJ516" i="20"/>
  <c r="AJ747" i="20"/>
  <c r="AJ778" i="20"/>
  <c r="AJ295" i="20"/>
  <c r="AJ372" i="20"/>
  <c r="AJ485" i="20"/>
  <c r="AJ614" i="20"/>
  <c r="AJ790" i="20"/>
  <c r="AJ184" i="20"/>
  <c r="AJ263" i="20"/>
  <c r="AJ307" i="20"/>
  <c r="AJ337" i="20"/>
  <c r="AJ420" i="20"/>
  <c r="AJ401" i="20"/>
  <c r="AJ394" i="20"/>
  <c r="AJ438" i="20"/>
  <c r="AJ465" i="20"/>
  <c r="AJ532" i="20"/>
  <c r="AJ572" i="20"/>
  <c r="AJ657" i="20"/>
  <c r="AJ733" i="20"/>
  <c r="AJ802" i="20"/>
  <c r="AJ821" i="20"/>
  <c r="AJ847" i="20"/>
  <c r="AJ891" i="20"/>
  <c r="AJ232" i="20"/>
  <c r="AJ309" i="20"/>
  <c r="AJ340" i="20"/>
  <c r="AJ363" i="20"/>
  <c r="AJ480" i="20"/>
  <c r="AJ686" i="20"/>
  <c r="AJ731" i="20"/>
  <c r="AJ746" i="20"/>
  <c r="AJ812" i="20"/>
  <c r="AJ841" i="20"/>
  <c r="AJ361" i="20"/>
  <c r="AJ471" i="20"/>
  <c r="AJ612" i="20"/>
  <c r="AJ239" i="20"/>
  <c r="AJ315" i="20"/>
  <c r="AJ367" i="20"/>
  <c r="AJ628" i="20"/>
  <c r="AJ738" i="20"/>
  <c r="AJ787" i="20"/>
  <c r="AJ838" i="20"/>
  <c r="AJ85" i="20"/>
  <c r="AJ210" i="20"/>
  <c r="AJ256" i="20"/>
  <c r="AJ325" i="20"/>
  <c r="AJ415" i="20"/>
  <c r="AJ356" i="20"/>
  <c r="AJ446" i="20"/>
  <c r="AJ540" i="20"/>
  <c r="AJ620" i="20"/>
  <c r="AJ649" i="20"/>
  <c r="AJ703" i="20"/>
  <c r="AJ709" i="20"/>
  <c r="AJ743" i="20"/>
  <c r="AJ791" i="20"/>
  <c r="AJ817" i="20"/>
  <c r="AJ837" i="20"/>
  <c r="AJ875" i="20"/>
  <c r="AJ893" i="20"/>
  <c r="AJ91" i="20"/>
  <c r="AJ191" i="20"/>
  <c r="AJ203" i="20"/>
  <c r="AJ231" i="20"/>
  <c r="AJ252" i="20"/>
  <c r="AJ304" i="20"/>
  <c r="AJ335" i="20"/>
  <c r="AJ413" i="20"/>
  <c r="AJ421" i="20"/>
  <c r="AJ433" i="20"/>
  <c r="AJ493" i="20"/>
  <c r="AJ579" i="20"/>
  <c r="AJ656" i="20"/>
  <c r="AJ702" i="20"/>
  <c r="AJ765" i="20"/>
  <c r="AJ788" i="20"/>
  <c r="AJ799" i="20"/>
  <c r="AJ829" i="20"/>
  <c r="AJ888" i="20"/>
  <c r="AJ512" i="20"/>
  <c r="AJ179" i="20"/>
  <c r="AJ195" i="20"/>
  <c r="AJ207" i="20"/>
  <c r="AJ225" i="20"/>
  <c r="AJ264" i="20"/>
  <c r="H19" i="86" s="1"/>
  <c r="K19" i="86" s="1"/>
  <c r="AH255" i="20"/>
  <c r="AH662" i="20"/>
  <c r="AH361" i="20"/>
  <c r="AH317" i="20"/>
  <c r="AH107" i="20"/>
  <c r="AH251" i="20"/>
  <c r="AH809" i="20"/>
  <c r="AH790" i="20"/>
  <c r="AH857" i="20"/>
  <c r="AH882" i="20"/>
  <c r="AH742" i="20"/>
  <c r="AH849" i="20"/>
  <c r="AH490" i="20"/>
  <c r="AH537" i="20"/>
  <c r="AH773" i="20"/>
  <c r="AH760" i="20"/>
  <c r="AH897" i="20"/>
  <c r="AH878" i="20"/>
  <c r="AF258" i="20"/>
  <c r="AB262" i="20"/>
  <c r="AL856" i="20"/>
  <c r="AL258" i="20"/>
  <c r="AL466" i="20"/>
  <c r="AL558" i="20"/>
  <c r="AL514" i="20"/>
  <c r="AL549" i="20"/>
  <c r="AL461" i="20"/>
  <c r="AL92" i="20"/>
  <c r="AL410" i="20"/>
  <c r="AL544" i="20"/>
  <c r="AL603" i="20"/>
  <c r="AL664" i="20"/>
  <c r="AL866" i="20"/>
  <c r="AL577" i="20"/>
  <c r="AL607" i="20"/>
  <c r="AL271" i="20"/>
  <c r="AL454" i="20"/>
  <c r="AL594" i="20"/>
  <c r="AL735" i="20"/>
  <c r="AL491" i="20"/>
  <c r="AL129" i="20"/>
  <c r="AL296" i="20"/>
  <c r="AL475" i="20"/>
  <c r="AL750" i="20"/>
  <c r="AL180" i="20"/>
  <c r="AL384" i="20"/>
  <c r="AL481" i="20"/>
  <c r="AL571" i="20"/>
  <c r="AL741" i="20"/>
  <c r="AL809" i="20"/>
  <c r="AL320" i="20"/>
  <c r="AL288" i="20"/>
  <c r="AL464" i="20"/>
  <c r="AL609" i="20"/>
  <c r="AL806" i="20"/>
  <c r="AL516" i="20"/>
  <c r="AL781" i="20"/>
  <c r="AL79" i="20"/>
  <c r="AL369" i="20"/>
  <c r="AL614" i="20"/>
  <c r="AL82" i="20"/>
  <c r="AL306" i="20"/>
  <c r="AL345" i="20"/>
  <c r="AL401" i="20"/>
  <c r="AL438" i="20"/>
  <c r="AL523" i="20"/>
  <c r="AL648" i="20"/>
  <c r="AL763" i="20"/>
  <c r="AL821" i="20"/>
  <c r="AL880" i="20"/>
  <c r="AL301" i="20"/>
  <c r="AL404" i="20"/>
  <c r="AL480" i="20"/>
  <c r="AL731" i="20"/>
  <c r="AL811" i="20"/>
  <c r="AL857" i="20"/>
  <c r="AL484" i="20"/>
  <c r="AL239" i="20"/>
  <c r="AL366" i="20"/>
  <c r="AL728" i="20"/>
  <c r="AL800" i="20"/>
  <c r="AL208" i="20"/>
  <c r="AL230" i="20"/>
  <c r="AL325" i="20"/>
  <c r="AL354" i="20"/>
  <c r="AL435" i="20"/>
  <c r="AL540" i="20"/>
  <c r="AL623" i="20"/>
  <c r="AL690" i="20"/>
  <c r="AL709" i="20"/>
  <c r="AL782" i="20"/>
  <c r="AL816" i="20"/>
  <c r="AL837" i="20"/>
  <c r="AL884" i="20"/>
  <c r="AL189" i="20"/>
  <c r="AL205" i="20"/>
  <c r="AL231" i="20"/>
  <c r="AL269" i="20"/>
  <c r="AL334" i="20"/>
  <c r="AL413" i="20"/>
  <c r="AL387" i="20"/>
  <c r="AL490" i="20"/>
  <c r="AL579" i="20"/>
  <c r="AL671" i="20"/>
  <c r="AL715" i="20"/>
  <c r="AL788" i="20"/>
  <c r="AL814" i="20"/>
  <c r="AL890" i="20"/>
  <c r="AL785" i="20"/>
  <c r="AL130" i="20"/>
  <c r="AL195" i="20"/>
  <c r="AL213" i="20"/>
  <c r="AL247" i="20"/>
  <c r="AL281" i="20"/>
  <c r="AL308" i="20"/>
  <c r="AL332" i="20"/>
  <c r="AL400" i="20"/>
  <c r="AL447" i="20"/>
  <c r="AL506" i="20"/>
  <c r="AL528" i="20"/>
  <c r="AL559" i="20"/>
  <c r="AL584" i="20"/>
  <c r="AL587" i="20"/>
  <c r="AL598" i="20"/>
  <c r="AL617" i="20"/>
  <c r="AL696" i="20"/>
  <c r="AL681" i="20"/>
  <c r="AL725" i="20"/>
  <c r="AL777" i="20"/>
  <c r="AL853" i="20"/>
  <c r="AL879" i="20"/>
  <c r="AJ534" i="20"/>
  <c r="AJ834" i="20"/>
  <c r="AJ861" i="20"/>
  <c r="AJ265" i="20"/>
  <c r="AJ466" i="20"/>
  <c r="AJ303" i="20"/>
  <c r="L15" i="37" s="1"/>
  <c r="AJ558" i="20"/>
  <c r="AJ240" i="20"/>
  <c r="AJ551" i="20"/>
  <c r="AJ243" i="20"/>
  <c r="AJ729" i="20"/>
  <c r="AJ375" i="20"/>
  <c r="AJ102" i="20"/>
  <c r="AJ92" i="20"/>
  <c r="AJ95" i="20"/>
  <c r="AJ445" i="20"/>
  <c r="AJ489" i="20"/>
  <c r="AJ554" i="20"/>
  <c r="AJ588" i="20"/>
  <c r="AJ630" i="20"/>
  <c r="AJ664" i="20"/>
  <c r="AJ663" i="20"/>
  <c r="AJ866" i="20"/>
  <c r="AJ518" i="20"/>
  <c r="AJ726" i="20"/>
  <c r="AJ434" i="20"/>
  <c r="AJ718" i="20"/>
  <c r="AJ271" i="20"/>
  <c r="AJ405" i="20"/>
  <c r="AJ467" i="20"/>
  <c r="AJ596" i="20"/>
  <c r="AJ705" i="20"/>
  <c r="AJ843" i="20"/>
  <c r="AJ238" i="20"/>
  <c r="AJ567" i="20"/>
  <c r="AJ824" i="20"/>
  <c r="AJ272" i="20"/>
  <c r="AJ333" i="20"/>
  <c r="AJ475" i="20"/>
  <c r="AJ724" i="20"/>
  <c r="AJ131" i="20"/>
  <c r="AJ216" i="20"/>
  <c r="AJ406" i="20"/>
  <c r="AJ469" i="20"/>
  <c r="AJ522" i="20"/>
  <c r="AJ699" i="20"/>
  <c r="AJ748" i="20"/>
  <c r="AJ780" i="20"/>
  <c r="AJ753" i="20"/>
  <c r="AJ288" i="20"/>
  <c r="AJ436" i="20"/>
  <c r="AJ536" i="20"/>
  <c r="AJ644" i="20"/>
  <c r="AJ830" i="20"/>
  <c r="AJ235" i="20"/>
  <c r="AJ711" i="20"/>
  <c r="AJ783" i="20"/>
  <c r="AJ241" i="20"/>
  <c r="AJ371" i="20"/>
  <c r="AJ488" i="20"/>
  <c r="AJ640" i="20"/>
  <c r="AJ82" i="20"/>
  <c r="AJ268" i="20"/>
  <c r="AJ312" i="20"/>
  <c r="AJ352" i="20"/>
  <c r="AJ383" i="20"/>
  <c r="AJ411" i="20"/>
  <c r="AJ453" i="20"/>
  <c r="AJ545" i="20"/>
  <c r="AJ647" i="20"/>
  <c r="AJ730" i="20"/>
  <c r="AJ805" i="20"/>
  <c r="AJ835" i="20"/>
  <c r="AJ880" i="20"/>
  <c r="AJ274" i="20"/>
  <c r="H110" i="86" s="1"/>
  <c r="K110" i="86" s="1"/>
  <c r="AJ341" i="20"/>
  <c r="AJ378" i="20"/>
  <c r="AJ478" i="20"/>
  <c r="AJ680" i="20"/>
  <c r="AJ745" i="20"/>
  <c r="AJ828" i="20"/>
  <c r="AJ460" i="20"/>
  <c r="AJ615" i="20"/>
  <c r="H31" i="86" s="1"/>
  <c r="K31" i="86" s="1"/>
  <c r="AJ297" i="20"/>
  <c r="AJ366" i="20"/>
  <c r="AJ653" i="20"/>
  <c r="AJ755" i="20"/>
  <c r="AJ832" i="20"/>
  <c r="AJ208" i="20"/>
  <c r="AJ230" i="20"/>
  <c r="AJ348" i="20"/>
  <c r="AJ354" i="20"/>
  <c r="AJ435" i="20"/>
  <c r="AJ547" i="20"/>
  <c r="AJ623" i="20"/>
  <c r="AJ690" i="20"/>
  <c r="AJ716" i="20"/>
  <c r="AJ782" i="20"/>
  <c r="AJ816" i="20"/>
  <c r="AJ849" i="20"/>
  <c r="AJ884" i="20"/>
  <c r="AJ189" i="20"/>
  <c r="AJ205" i="20"/>
  <c r="AJ237" i="20"/>
  <c r="AJ269" i="20"/>
  <c r="AJ334" i="20"/>
  <c r="AJ380" i="20"/>
  <c r="AJ387" i="20"/>
  <c r="AJ490" i="20"/>
  <c r="AJ642" i="20"/>
  <c r="AJ671" i="20"/>
  <c r="AJ715" i="20"/>
  <c r="AJ786" i="20"/>
  <c r="AJ814" i="20"/>
  <c r="AJ890" i="20"/>
  <c r="AJ785" i="20"/>
  <c r="AJ130" i="20"/>
  <c r="AJ196" i="20"/>
  <c r="AJ213" i="20"/>
  <c r="H133" i="86" s="1"/>
  <c r="K133" i="86" s="1"/>
  <c r="AJ247" i="20"/>
  <c r="AJ281" i="20"/>
  <c r="AJ293" i="20"/>
  <c r="AJ322" i="20"/>
  <c r="AJ336" i="20"/>
  <c r="AJ400" i="20"/>
  <c r="AJ439" i="20"/>
  <c r="AJ463" i="20"/>
  <c r="AJ507" i="20"/>
  <c r="AJ528" i="20"/>
  <c r="AJ553" i="20"/>
  <c r="AJ565" i="20"/>
  <c r="AJ581" i="20"/>
  <c r="AJ587" i="20"/>
  <c r="AJ597" i="20"/>
  <c r="AJ601" i="20"/>
  <c r="AJ619" i="20"/>
  <c r="AJ696" i="20"/>
  <c r="AJ678" i="20"/>
  <c r="AJ684" i="20"/>
  <c r="AJ732" i="20"/>
  <c r="AJ777" i="20"/>
  <c r="AJ804" i="20"/>
  <c r="AJ871" i="20"/>
  <c r="AJ895" i="20"/>
  <c r="AI534" i="20"/>
  <c r="AI495" i="20"/>
  <c r="AI845" i="20"/>
  <c r="AI862" i="20"/>
  <c r="AI503" i="20"/>
  <c r="AI338" i="20"/>
  <c r="AI476" i="20"/>
  <c r="AI303" i="20"/>
  <c r="K15" i="37" s="1"/>
  <c r="AI517" i="20"/>
  <c r="AI593" i="20"/>
  <c r="AI327" i="20"/>
  <c r="AI551" i="20"/>
  <c r="AI676" i="20"/>
  <c r="AI549" i="20"/>
  <c r="AI823" i="20"/>
  <c r="AI375" i="20"/>
  <c r="AI508" i="20"/>
  <c r="AI96" i="20"/>
  <c r="AI101" i="20"/>
  <c r="AI95" i="20"/>
  <c r="AI410" i="20"/>
  <c r="AI473" i="20"/>
  <c r="AI497" i="20"/>
  <c r="G41" i="86" s="1"/>
  <c r="J41" i="86" s="1"/>
  <c r="AI554" i="20"/>
  <c r="AI564" i="20"/>
  <c r="AI603" i="20"/>
  <c r="AI631" i="20"/>
  <c r="AI664" i="20"/>
  <c r="AI665" i="20"/>
  <c r="AI687" i="20"/>
  <c r="AI867" i="20"/>
  <c r="AI518" i="20"/>
  <c r="AI633" i="20"/>
  <c r="AI244" i="20"/>
  <c r="AI607" i="20"/>
  <c r="AI718" i="20"/>
  <c r="AI99" i="20"/>
  <c r="AI342" i="20"/>
  <c r="AI417" i="20"/>
  <c r="AI467" i="20"/>
  <c r="AI569" i="20"/>
  <c r="AI683" i="20"/>
  <c r="AI719" i="20"/>
  <c r="AI843" i="20"/>
  <c r="AI389" i="20"/>
  <c r="AI583" i="20"/>
  <c r="AI824" i="20"/>
  <c r="AI246" i="20"/>
  <c r="AI284" i="20"/>
  <c r="AI386" i="20"/>
  <c r="AI475" i="20"/>
  <c r="AI652" i="20"/>
  <c r="AI750" i="20"/>
  <c r="AI171" i="20"/>
  <c r="AI216" i="20"/>
  <c r="AI343" i="20"/>
  <c r="AI403" i="20"/>
  <c r="AI470" i="20"/>
  <c r="AI522" i="20"/>
  <c r="AI571" i="20"/>
  <c r="AI722" i="20"/>
  <c r="AI760" i="20"/>
  <c r="AI780" i="20"/>
  <c r="AI842" i="20"/>
  <c r="AI321" i="20"/>
  <c r="AI181" i="20"/>
  <c r="AI288" i="20"/>
  <c r="AH448" i="20"/>
  <c r="AH567" i="20"/>
  <c r="AH787" i="20"/>
  <c r="AH768" i="20"/>
  <c r="AH429" i="20"/>
  <c r="AH404" i="20"/>
  <c r="AH608" i="20"/>
  <c r="AH811" i="20"/>
  <c r="AH195" i="20"/>
  <c r="AH578" i="20"/>
  <c r="AE255" i="20"/>
  <c r="AL495" i="20"/>
  <c r="AL749" i="20"/>
  <c r="AL222" i="20"/>
  <c r="AL243" i="20"/>
  <c r="AL508" i="20"/>
  <c r="AL95" i="20"/>
  <c r="AL489" i="20"/>
  <c r="AL605" i="20"/>
  <c r="AL663" i="20"/>
  <c r="AL550" i="20"/>
  <c r="AL706" i="20"/>
  <c r="AL422" i="20"/>
  <c r="AL569" i="20"/>
  <c r="AL736" i="20"/>
  <c r="AL389" i="20"/>
  <c r="AL824" i="20"/>
  <c r="AL319" i="20"/>
  <c r="AL652" i="20"/>
  <c r="AL172" i="20"/>
  <c r="AL403" i="20"/>
  <c r="AL522" i="20"/>
  <c r="AL734" i="20"/>
  <c r="AL842" i="20"/>
  <c r="AL224" i="20"/>
  <c r="AL379" i="20"/>
  <c r="AL644" i="20"/>
  <c r="AL859" i="20"/>
  <c r="AL756" i="20"/>
  <c r="AL295" i="20"/>
  <c r="AL485" i="20"/>
  <c r="AL870" i="20"/>
  <c r="AL307" i="20"/>
  <c r="AL358" i="20"/>
  <c r="AL395" i="20"/>
  <c r="AL532" i="20"/>
  <c r="AL660" i="20"/>
  <c r="AL820" i="20"/>
  <c r="AL199" i="20"/>
  <c r="AL313" i="20"/>
  <c r="AL462" i="20"/>
  <c r="AL739" i="20"/>
  <c r="AL840" i="20"/>
  <c r="AL460" i="20"/>
  <c r="AL260" i="20"/>
  <c r="AL621" i="20"/>
  <c r="AL787" i="20"/>
  <c r="AL210" i="20"/>
  <c r="AL318" i="20"/>
  <c r="AL355" i="20"/>
  <c r="AL456" i="20"/>
  <c r="AL620" i="20"/>
  <c r="AL703" i="20"/>
  <c r="AL742" i="20"/>
  <c r="AL813" i="20"/>
  <c r="AL852" i="20"/>
  <c r="AL893" i="20"/>
  <c r="AL190" i="20"/>
  <c r="AL221" i="20"/>
  <c r="AL252" i="20"/>
  <c r="AL335" i="20"/>
  <c r="AL398" i="20"/>
  <c r="AL492" i="20"/>
  <c r="AL635" i="20"/>
  <c r="AL702" i="20"/>
  <c r="AL768" i="20"/>
  <c r="AL819" i="20"/>
  <c r="AL512" i="20"/>
  <c r="AL179" i="20"/>
  <c r="AL201" i="20"/>
  <c r="AL234" i="20"/>
  <c r="AL290" i="20"/>
  <c r="AL322" i="20"/>
  <c r="AL382" i="20"/>
  <c r="AL450" i="20"/>
  <c r="AL526" i="20"/>
  <c r="AL553" i="20"/>
  <c r="AL581" i="20"/>
  <c r="AL589" i="20"/>
  <c r="AL604" i="20"/>
  <c r="AL682" i="20"/>
  <c r="AL684" i="20"/>
  <c r="AL762" i="20"/>
  <c r="AL872" i="20"/>
  <c r="AJ220" i="20"/>
  <c r="AJ495" i="20"/>
  <c r="AJ862" i="20"/>
  <c r="AJ258" i="20"/>
  <c r="H118" i="86" s="1"/>
  <c r="K118" i="86" s="1"/>
  <c r="AJ428" i="20"/>
  <c r="AJ97" i="20"/>
  <c r="AJ593" i="20"/>
  <c r="AJ514" i="20"/>
  <c r="AJ515" i="20"/>
  <c r="AJ883" i="20"/>
  <c r="AJ508" i="20"/>
  <c r="AJ101" i="20"/>
  <c r="AJ409" i="20"/>
  <c r="AJ483" i="20"/>
  <c r="AJ560" i="20"/>
  <c r="AJ603" i="20"/>
  <c r="AJ674" i="20"/>
  <c r="AJ666" i="20"/>
  <c r="AJ259" i="20"/>
  <c r="AJ633" i="20"/>
  <c r="AJ607" i="20"/>
  <c r="AJ111" i="20"/>
  <c r="AJ423" i="20"/>
  <c r="AJ541" i="20"/>
  <c r="AJ683" i="20"/>
  <c r="AJ771" i="20"/>
  <c r="AJ330" i="20"/>
  <c r="AJ712" i="20"/>
  <c r="AJ246" i="20"/>
  <c r="AJ386" i="20"/>
  <c r="AJ636" i="20"/>
  <c r="AJ798" i="20"/>
  <c r="AJ302" i="20"/>
  <c r="AJ403" i="20"/>
  <c r="AJ499" i="20"/>
  <c r="AJ694" i="20"/>
  <c r="AJ770" i="20"/>
  <c r="AJ842" i="20"/>
  <c r="AJ181" i="20"/>
  <c r="AJ392" i="20"/>
  <c r="AJ520" i="20"/>
  <c r="AJ721" i="20"/>
  <c r="AJ858" i="20"/>
  <c r="AJ693" i="20"/>
  <c r="AJ818" i="20"/>
  <c r="AJ328" i="20"/>
  <c r="AJ479" i="20"/>
  <c r="AJ658" i="20"/>
  <c r="AJ248" i="20"/>
  <c r="AJ311" i="20"/>
  <c r="AJ358" i="20"/>
  <c r="AJ362" i="20"/>
  <c r="AJ452" i="20"/>
  <c r="AJ546" i="20"/>
  <c r="AJ660" i="20"/>
  <c r="AJ797" i="20"/>
  <c r="AJ846" i="20"/>
  <c r="AJ200" i="20"/>
  <c r="AJ313" i="20"/>
  <c r="AJ364" i="20"/>
  <c r="AJ651" i="20"/>
  <c r="AJ740" i="20"/>
  <c r="AJ839" i="20"/>
  <c r="AJ430" i="20"/>
  <c r="AJ502" i="20"/>
  <c r="AJ314" i="20"/>
  <c r="AJ521" i="20"/>
  <c r="AJ744" i="20"/>
  <c r="AJ851" i="20"/>
  <c r="AJ219" i="20"/>
  <c r="AJ349" i="20"/>
  <c r="AJ357" i="20"/>
  <c r="AJ486" i="20"/>
  <c r="AJ641" i="20"/>
  <c r="AJ701" i="20"/>
  <c r="AJ754" i="20"/>
  <c r="AJ822" i="20"/>
  <c r="AJ860" i="20"/>
  <c r="AJ198" i="20"/>
  <c r="AJ227" i="20"/>
  <c r="AJ270" i="20"/>
  <c r="AJ412" i="20"/>
  <c r="AJ376" i="20"/>
  <c r="AJ513" i="20"/>
  <c r="AJ643" i="20"/>
  <c r="AJ714" i="20"/>
  <c r="AJ789" i="20"/>
  <c r="AJ885" i="20"/>
  <c r="AJ896" i="20"/>
  <c r="AJ192" i="20"/>
  <c r="AJ212" i="20"/>
  <c r="AJ279" i="20"/>
  <c r="AJ290" i="20"/>
  <c r="AJ317" i="20"/>
  <c r="AJ419" i="20"/>
  <c r="AJ441" i="20"/>
  <c r="AJ450" i="20"/>
  <c r="AJ525" i="20"/>
  <c r="AJ531" i="20"/>
  <c r="AJ557" i="20"/>
  <c r="AJ578" i="20"/>
  <c r="AJ590" i="20"/>
  <c r="AJ600" i="20"/>
  <c r="AJ646" i="20"/>
  <c r="AJ682" i="20"/>
  <c r="AJ698" i="20"/>
  <c r="AJ751" i="20"/>
  <c r="AJ773" i="20"/>
  <c r="AJ872" i="20"/>
  <c r="AI183" i="20"/>
  <c r="AI844" i="20"/>
  <c r="AI863" i="20"/>
  <c r="AI255" i="20"/>
  <c r="G119" i="86" s="1"/>
  <c r="J119" i="86" s="1"/>
  <c r="AI280" i="20"/>
  <c r="AI482" i="20"/>
  <c r="AI97" i="20"/>
  <c r="AI592" i="20"/>
  <c r="AI388" i="20"/>
  <c r="AI624" i="20"/>
  <c r="AI515" i="20"/>
  <c r="AI876" i="20"/>
  <c r="AI432" i="20"/>
  <c r="AI93" i="20"/>
  <c r="AI108" i="20"/>
  <c r="AI276" i="20"/>
  <c r="AI455" i="20"/>
  <c r="AI500" i="20"/>
  <c r="AI560" i="20"/>
  <c r="AI585" i="20"/>
  <c r="AI632" i="20"/>
  <c r="AI669" i="20"/>
  <c r="AI666" i="20"/>
  <c r="AI577" i="20"/>
  <c r="AI86" i="20"/>
  <c r="AI672" i="20"/>
  <c r="AI105" i="20"/>
  <c r="AI289" i="20"/>
  <c r="AI385" i="20"/>
  <c r="AI541" i="20"/>
  <c r="AI661" i="20"/>
  <c r="AI735" i="20"/>
  <c r="AI611" i="20"/>
  <c r="AI330" i="20"/>
  <c r="AI639" i="20"/>
  <c r="AI129" i="20"/>
  <c r="AI285" i="20"/>
  <c r="AI425" i="20"/>
  <c r="AI580" i="20"/>
  <c r="AI727" i="20"/>
  <c r="AI172" i="20"/>
  <c r="AI302" i="20"/>
  <c r="AI407" i="20"/>
  <c r="AI481" i="20"/>
  <c r="AI530" i="20"/>
  <c r="AI694" i="20"/>
  <c r="AI759" i="20"/>
  <c r="AI809" i="20"/>
  <c r="AI286" i="20"/>
  <c r="AI224" i="20"/>
  <c r="AI414" i="20"/>
  <c r="AI436" i="20"/>
  <c r="AI520" i="20"/>
  <c r="AI609" i="20"/>
  <c r="AI721" i="20"/>
  <c r="AI830" i="20"/>
  <c r="AI233" i="20"/>
  <c r="AI548" i="20"/>
  <c r="AI756" i="20"/>
  <c r="AI783" i="20"/>
  <c r="AI79" i="20"/>
  <c r="AI328" i="20"/>
  <c r="AI369" i="20"/>
  <c r="AI488" i="20"/>
  <c r="AI616" i="20"/>
  <c r="G45" i="86" s="1"/>
  <c r="J45" i="86" s="1"/>
  <c r="AI870" i="20"/>
  <c r="AI194" i="20"/>
  <c r="AI268" i="20"/>
  <c r="AI311" i="20"/>
  <c r="AI345" i="20"/>
  <c r="AI358" i="20"/>
  <c r="AI383" i="20"/>
  <c r="AI395" i="20"/>
  <c r="AI442" i="20"/>
  <c r="AI477" i="20"/>
  <c r="AI545" i="20"/>
  <c r="AI648" i="20"/>
  <c r="AI660" i="20"/>
  <c r="AI763" i="20"/>
  <c r="AI805" i="20"/>
  <c r="AI826" i="20"/>
  <c r="AI848" i="20"/>
  <c r="AI199" i="20"/>
  <c r="AI274" i="20"/>
  <c r="G110" i="86" s="1"/>
  <c r="J110" i="86" s="1"/>
  <c r="AI313" i="20"/>
  <c r="AI404" i="20"/>
  <c r="AI364" i="20"/>
  <c r="AI478" i="20"/>
  <c r="AI679" i="20"/>
  <c r="AI739" i="20"/>
  <c r="AI775" i="20"/>
  <c r="AI828" i="20"/>
  <c r="AI857" i="20"/>
  <c r="AI430" i="20"/>
  <c r="AI484" i="20"/>
  <c r="AI615" i="20"/>
  <c r="G31" i="86" s="1"/>
  <c r="AI260" i="20"/>
  <c r="AI346" i="20"/>
  <c r="AI511" i="20"/>
  <c r="AI653" i="20"/>
  <c r="AI744" i="20"/>
  <c r="AI800" i="20"/>
  <c r="AI851" i="20"/>
  <c r="AI182" i="20"/>
  <c r="AI211" i="20"/>
  <c r="AI253" i="20"/>
  <c r="AI348" i="20"/>
  <c r="AI416" i="20"/>
  <c r="AI357" i="20"/>
  <c r="AI449" i="20"/>
  <c r="AI547" i="20"/>
  <c r="AI622" i="20"/>
  <c r="AI650" i="20"/>
  <c r="AI704" i="20"/>
  <c r="AI716" i="20"/>
  <c r="AI754" i="20"/>
  <c r="AI796" i="20"/>
  <c r="AI822" i="20"/>
  <c r="AI849" i="20"/>
  <c r="AI877" i="20"/>
  <c r="AI897" i="20"/>
  <c r="AI188" i="20"/>
  <c r="AI198" i="20"/>
  <c r="AI217" i="20"/>
  <c r="AI237" i="20"/>
  <c r="AI266" i="20"/>
  <c r="AI310" i="20"/>
  <c r="AI351" i="20"/>
  <c r="AI380" i="20"/>
  <c r="AI376" i="20"/>
  <c r="AI448" i="20"/>
  <c r="AI513" i="20"/>
  <c r="AI642" i="20"/>
  <c r="AI659" i="20"/>
  <c r="AI713" i="20"/>
  <c r="AI766" i="20"/>
  <c r="AI786" i="20"/>
  <c r="AI808" i="20"/>
  <c r="AI885" i="20"/>
  <c r="AI784" i="20"/>
  <c r="AI78" i="20"/>
  <c r="AI186" i="20"/>
  <c r="AI196" i="20"/>
  <c r="AI212" i="20"/>
  <c r="AI226" i="20"/>
  <c r="G132" i="86" s="1"/>
  <c r="AI279" i="20"/>
  <c r="AI292" i="20"/>
  <c r="AI299" i="20"/>
  <c r="AI324" i="20"/>
  <c r="G26" i="86" s="1"/>
  <c r="J26" i="86" s="1"/>
  <c r="AI419" i="20"/>
  <c r="AI431" i="20"/>
  <c r="AI444" i="20"/>
  <c r="AI472" i="20"/>
  <c r="AI525" i="20"/>
  <c r="AI529" i="20"/>
  <c r="AI561" i="20"/>
  <c r="AI566" i="20"/>
  <c r="AI578" i="20"/>
  <c r="AI586" i="20"/>
  <c r="AI602" i="20"/>
  <c r="AI606" i="20"/>
  <c r="AI646" i="20"/>
  <c r="AI689" i="20"/>
  <c r="AI677" i="20"/>
  <c r="AI720" i="20"/>
  <c r="AI751" i="20"/>
  <c r="AI772" i="20"/>
  <c r="AI815" i="20"/>
  <c r="AI874" i="20"/>
  <c r="AG262" i="20"/>
  <c r="AC262" i="20"/>
  <c r="AL861" i="20"/>
  <c r="AL338" i="20"/>
  <c r="AL305" i="20"/>
  <c r="AL551" i="20"/>
  <c r="AL883" i="20"/>
  <c r="AL94" i="20"/>
  <c r="AL473" i="20"/>
  <c r="AL563" i="20"/>
  <c r="AL674" i="20"/>
  <c r="AL259" i="20"/>
  <c r="AL244" i="20"/>
  <c r="AL105" i="20"/>
  <c r="AL467" i="20"/>
  <c r="AL700" i="20"/>
  <c r="AL611" i="20"/>
  <c r="AL639" i="20"/>
  <c r="AL251" i="20"/>
  <c r="AL426" i="20"/>
  <c r="AL752" i="20"/>
  <c r="AL302" i="20"/>
  <c r="AL459" i="20"/>
  <c r="AL610" i="20"/>
  <c r="AL770" i="20"/>
  <c r="AL321" i="20"/>
  <c r="AL414" i="20"/>
  <c r="AL520" i="20"/>
  <c r="AL792" i="20"/>
  <c r="AL548" i="20"/>
  <c r="AL371" i="20"/>
  <c r="AL616" i="20"/>
  <c r="AL249" i="20"/>
  <c r="AL337" i="20"/>
  <c r="AL362" i="20"/>
  <c r="AL453" i="20"/>
  <c r="AL572" i="20"/>
  <c r="AL797" i="20"/>
  <c r="AL847" i="20"/>
  <c r="AL232" i="20"/>
  <c r="AL378" i="20"/>
  <c r="AL686" i="20"/>
  <c r="AL775" i="20"/>
  <c r="AL361" i="20"/>
  <c r="AL612" i="20"/>
  <c r="AL346" i="20"/>
  <c r="AL738" i="20"/>
  <c r="AL851" i="20"/>
  <c r="AL85" i="20"/>
  <c r="AL256" i="20"/>
  <c r="AL353" i="20"/>
  <c r="AL408" i="20"/>
  <c r="AL568" i="20"/>
  <c r="AL649" i="20"/>
  <c r="AL707" i="20"/>
  <c r="AL769" i="20"/>
  <c r="AL825" i="20"/>
  <c r="AL875" i="20"/>
  <c r="AL204" i="20"/>
  <c r="AL242" i="20"/>
  <c r="AL304" i="20"/>
  <c r="AL368" i="20"/>
  <c r="AL370" i="20"/>
  <c r="AL519" i="20"/>
  <c r="AL656" i="20"/>
  <c r="AL765" i="20"/>
  <c r="AL795" i="20"/>
  <c r="AL886" i="20"/>
  <c r="AL193" i="20"/>
  <c r="AL214" i="20"/>
  <c r="AL277" i="20"/>
  <c r="AL293" i="20"/>
  <c r="AL336" i="20"/>
  <c r="AL440" i="20"/>
  <c r="AL496" i="20"/>
  <c r="AL531" i="20"/>
  <c r="AL565" i="20"/>
  <c r="AL591" i="20"/>
  <c r="AL600" i="20"/>
  <c r="AL645" i="20"/>
  <c r="AI871" i="20"/>
  <c r="AI793" i="20"/>
  <c r="AI757" i="20"/>
  <c r="AI684" i="20"/>
  <c r="AI667" i="20"/>
  <c r="AI645" i="20"/>
  <c r="AI601" i="20"/>
  <c r="AI589" i="20"/>
  <c r="AI595" i="20"/>
  <c r="AI565" i="20"/>
  <c r="AI537" i="20"/>
  <c r="AI526" i="20"/>
  <c r="AI463" i="20"/>
  <c r="AI440" i="20"/>
  <c r="AI418" i="20"/>
  <c r="AI322" i="20"/>
  <c r="AI291" i="20"/>
  <c r="G7" i="86" s="1"/>
  <c r="J7" i="86" s="1"/>
  <c r="AI277" i="20"/>
  <c r="AI225" i="20"/>
  <c r="AI201" i="20"/>
  <c r="AI192" i="20"/>
  <c r="AI236" i="20"/>
  <c r="AI829" i="20"/>
  <c r="AI795" i="20"/>
  <c r="AI764" i="20"/>
  <c r="AI702" i="20"/>
  <c r="AI643" i="20"/>
  <c r="AI519" i="20"/>
  <c r="AI433" i="20"/>
  <c r="AI398" i="20"/>
  <c r="AI412" i="20"/>
  <c r="AI304" i="20"/>
  <c r="AI250" i="20"/>
  <c r="AI221" i="20"/>
  <c r="AI191" i="20"/>
  <c r="AI893" i="20"/>
  <c r="AI860" i="20"/>
  <c r="AI825" i="20"/>
  <c r="AI791" i="20"/>
  <c r="AI742" i="20"/>
  <c r="AI701" i="20"/>
  <c r="AI649" i="20"/>
  <c r="AI576" i="20"/>
  <c r="AI456" i="20"/>
  <c r="AI356" i="20"/>
  <c r="AI353" i="20"/>
  <c r="AI298" i="20"/>
  <c r="AI210" i="20"/>
  <c r="AI882" i="20"/>
  <c r="AI787" i="20"/>
  <c r="AI728" i="20"/>
  <c r="AI521" i="20"/>
  <c r="AI315" i="20"/>
  <c r="AI206" i="20"/>
  <c r="AI501" i="20"/>
  <c r="AI361" i="20"/>
  <c r="AI840" i="20"/>
  <c r="AI776" i="20"/>
  <c r="AI731" i="20"/>
  <c r="AI651" i="20"/>
  <c r="AI365" i="20"/>
  <c r="AI340" i="20"/>
  <c r="AI301" i="20"/>
  <c r="AI200" i="20"/>
  <c r="AI847" i="20"/>
  <c r="AI820" i="20"/>
  <c r="AI794" i="20"/>
  <c r="AI657" i="20"/>
  <c r="AI552" i="20"/>
  <c r="AI487" i="20"/>
  <c r="AI438" i="20"/>
  <c r="AI362" i="20"/>
  <c r="AI359" i="20"/>
  <c r="AI337" i="20"/>
  <c r="AI306" i="20"/>
  <c r="AI248" i="20"/>
  <c r="AI790" i="20"/>
  <c r="AI505" i="20"/>
  <c r="G52" i="86" s="1"/>
  <c r="AI427" i="20"/>
  <c r="AI295" i="20"/>
  <c r="AI758" i="20"/>
  <c r="AI516" i="20"/>
  <c r="AI858" i="20"/>
  <c r="AI774" i="20"/>
  <c r="AI582" i="20"/>
  <c r="AI464" i="20"/>
  <c r="AI392" i="20"/>
  <c r="AI753" i="20"/>
  <c r="AI854" i="20"/>
  <c r="AI770" i="20"/>
  <c r="AI699" i="20"/>
  <c r="AI499" i="20"/>
  <c r="AI451" i="20"/>
  <c r="AI218" i="20"/>
  <c r="AI798" i="20"/>
  <c r="AI636" i="20"/>
  <c r="AI333" i="20"/>
  <c r="AI251" i="20"/>
  <c r="AI712" i="20"/>
  <c r="AI238" i="20"/>
  <c r="AI771" i="20"/>
  <c r="AI700" i="20"/>
  <c r="AI539" i="20"/>
  <c r="AI423" i="20"/>
  <c r="AI111" i="20"/>
  <c r="AI434" i="20"/>
  <c r="AI708" i="20"/>
  <c r="AI259" i="20"/>
  <c r="AI663" i="20"/>
  <c r="AI674" i="20"/>
  <c r="AI599" i="20"/>
  <c r="AI555" i="20"/>
  <c r="AI483" i="20"/>
  <c r="AI409" i="20"/>
  <c r="AI92" i="20"/>
  <c r="AI883" i="20"/>
  <c r="AI243" i="20"/>
  <c r="AI514" i="20"/>
  <c r="AI688" i="20"/>
  <c r="AI107" i="20"/>
  <c r="AI428" i="20"/>
  <c r="AI258" i="20"/>
  <c r="G118" i="86" s="1"/>
  <c r="J118" i="86" s="1"/>
  <c r="AI861" i="20"/>
  <c r="AI542" i="20"/>
  <c r="AI220" i="20"/>
  <c r="AJ853" i="20"/>
  <c r="AJ762" i="20"/>
  <c r="AJ720" i="20"/>
  <c r="AJ689" i="20"/>
  <c r="AJ604" i="20"/>
  <c r="AJ589" i="20"/>
  <c r="AJ584" i="20"/>
  <c r="AJ561" i="20"/>
  <c r="AJ526" i="20"/>
  <c r="AJ447" i="20"/>
  <c r="AJ382" i="20"/>
  <c r="AJ324" i="20"/>
  <c r="H26" i="86" s="1"/>
  <c r="K26" i="86" s="1"/>
  <c r="AJ292" i="20"/>
  <c r="AJ226" i="20"/>
  <c r="H132" i="86" s="1"/>
  <c r="K132" i="86" s="1"/>
  <c r="AJ193" i="20"/>
  <c r="AJ784" i="20"/>
  <c r="AJ795" i="20"/>
  <c r="AJ713" i="20"/>
  <c r="AJ575" i="20"/>
  <c r="AJ370" i="20"/>
  <c r="AJ351" i="20"/>
  <c r="AJ250" i="20"/>
  <c r="AJ204" i="20"/>
  <c r="AJ887" i="20"/>
  <c r="AJ825" i="20"/>
  <c r="AJ742" i="20"/>
  <c r="AJ654" i="20"/>
  <c r="AJ568" i="20"/>
  <c r="AJ355" i="20"/>
  <c r="AJ298" i="20"/>
  <c r="AJ182" i="20"/>
  <c r="AJ810" i="20"/>
  <c r="AJ695" i="20"/>
  <c r="AJ346" i="20"/>
  <c r="AJ501" i="20"/>
  <c r="AJ857" i="20"/>
  <c r="AJ775" i="20"/>
  <c r="AJ626" i="20"/>
  <c r="AJ404" i="20"/>
  <c r="AJ223" i="20"/>
  <c r="AJ826" i="20"/>
  <c r="AJ763" i="20"/>
  <c r="AJ552" i="20"/>
  <c r="AJ442" i="20"/>
  <c r="AJ360" i="20"/>
  <c r="AJ323" i="20"/>
  <c r="AJ194" i="20"/>
  <c r="AJ505" i="20"/>
  <c r="H52" i="86" s="1"/>
  <c r="K52" i="86" s="1"/>
  <c r="AJ390" i="20"/>
  <c r="AJ781" i="20"/>
  <c r="AJ245" i="20"/>
  <c r="AJ774" i="20"/>
  <c r="AJ464" i="20"/>
  <c r="AJ267" i="20"/>
  <c r="AJ286" i="20"/>
  <c r="AJ760" i="20"/>
  <c r="AJ533" i="20"/>
  <c r="AJ459" i="20"/>
  <c r="AJ185" i="20"/>
  <c r="AJ727" i="20"/>
  <c r="AJ426" i="20"/>
  <c r="AJ229" i="20"/>
  <c r="AJ491" i="20"/>
  <c r="AJ611" i="20"/>
  <c r="AJ661" i="20"/>
  <c r="AJ454" i="20"/>
  <c r="AJ99" i="20"/>
  <c r="AJ283" i="20"/>
  <c r="AJ577" i="20"/>
  <c r="AJ687" i="20"/>
  <c r="AJ629" i="20"/>
  <c r="AJ564" i="20"/>
  <c r="AJ497" i="20"/>
  <c r="H41" i="86" s="1"/>
  <c r="K41" i="86" s="1"/>
  <c r="AJ276" i="20"/>
  <c r="AJ96" i="20"/>
  <c r="AJ374" i="20"/>
  <c r="AJ676" i="20"/>
  <c r="AJ327" i="20"/>
  <c r="AJ305" i="20"/>
  <c r="AJ338" i="20"/>
  <c r="AJ892" i="20"/>
  <c r="AJ844" i="20"/>
  <c r="AL895" i="20"/>
  <c r="AL793" i="20"/>
  <c r="AL723" i="20"/>
  <c r="AL634" i="20"/>
  <c r="AL590" i="20"/>
  <c r="AL537" i="20"/>
  <c r="AL439" i="20"/>
  <c r="AL317" i="20"/>
  <c r="AL225" i="20"/>
  <c r="AL100" i="20"/>
  <c r="AL888" i="20"/>
  <c r="AL764" i="20"/>
  <c r="AL575" i="20"/>
  <c r="AL381" i="20"/>
  <c r="AL250" i="20"/>
  <c r="AL91" i="20"/>
  <c r="AL887" i="20"/>
  <c r="AL791" i="20"/>
  <c r="AL654" i="20"/>
  <c r="AL446" i="20"/>
  <c r="AL298" i="20"/>
  <c r="AL894" i="20"/>
  <c r="AL511" i="20"/>
  <c r="AL430" i="20"/>
  <c r="AL679" i="20"/>
  <c r="AL309" i="20"/>
  <c r="AL802" i="20"/>
  <c r="AL477" i="20"/>
  <c r="AL352" i="20"/>
  <c r="AL790" i="20"/>
  <c r="AL858" i="20"/>
  <c r="AL393" i="20"/>
  <c r="AL780" i="20"/>
  <c r="AL494" i="20"/>
  <c r="AL798" i="20"/>
  <c r="AL284" i="20"/>
  <c r="AL187" i="20"/>
  <c r="AL541" i="20"/>
  <c r="AL282" i="20"/>
  <c r="AL665" i="20"/>
  <c r="AL483" i="20"/>
  <c r="AL374" i="20"/>
  <c r="AL593" i="20"/>
  <c r="AL864" i="20"/>
  <c r="AG255" i="20"/>
  <c r="N12" i="36"/>
  <c r="C54" i="37"/>
  <c r="O14" i="36"/>
  <c r="C28" i="36"/>
  <c r="AQ35" i="40"/>
  <c r="B28" i="36"/>
  <c r="B29" i="37"/>
  <c r="O10" i="36"/>
  <c r="B54" i="37"/>
  <c r="K39" i="37"/>
  <c r="X24" i="66"/>
  <c r="Y24" i="66"/>
  <c r="AA24" i="66" s="1"/>
  <c r="K38" i="37"/>
  <c r="G38" i="37"/>
  <c r="M24" i="36"/>
  <c r="O39" i="37"/>
  <c r="AG21" i="66"/>
  <c r="Z21" i="66" s="1"/>
  <c r="N14" i="36"/>
  <c r="R13" i="43"/>
  <c r="O38" i="37"/>
  <c r="AR380" i="20"/>
  <c r="Z8" i="66"/>
  <c r="H28" i="36"/>
  <c r="G28" i="36"/>
  <c r="D28" i="36"/>
  <c r="N22" i="36"/>
  <c r="N27" i="36"/>
  <c r="M15" i="36"/>
  <c r="M14" i="36"/>
  <c r="I28" i="36"/>
  <c r="N21" i="36"/>
  <c r="M18" i="36"/>
  <c r="J28" i="36"/>
  <c r="F28" i="36"/>
  <c r="AR278" i="20"/>
  <c r="AR678" i="20"/>
  <c r="AR619" i="20"/>
  <c r="AR403" i="20"/>
  <c r="AR655" i="20"/>
  <c r="AR371" i="20"/>
  <c r="AR391" i="20"/>
  <c r="AR230" i="20"/>
  <c r="AR273" i="20"/>
  <c r="AR651" i="20"/>
  <c r="AR644" i="20"/>
  <c r="AR379" i="20"/>
  <c r="AR296" i="20"/>
  <c r="AR422" i="20"/>
  <c r="AR672" i="20"/>
  <c r="AR308" i="20"/>
  <c r="AR234" i="20"/>
  <c r="AR691" i="20"/>
  <c r="AR334" i="20"/>
  <c r="AR366" i="20"/>
  <c r="AR429" i="20"/>
  <c r="AR658" i="20"/>
  <c r="AR288" i="20"/>
  <c r="AR284" i="20"/>
  <c r="AR639" i="20"/>
  <c r="AR327" i="20"/>
  <c r="AR667" i="20"/>
  <c r="AR317" i="20"/>
  <c r="AR681" i="20"/>
  <c r="AR214" i="20"/>
  <c r="AR435" i="20"/>
  <c r="AR206" i="20"/>
  <c r="AR301" i="20"/>
  <c r="AR479" i="20"/>
  <c r="AR320" i="20"/>
  <c r="AR216" i="20"/>
  <c r="AR475" i="20"/>
  <c r="AR700" i="20"/>
  <c r="AR385" i="20"/>
  <c r="AR409" i="20"/>
  <c r="AR698" i="20"/>
  <c r="AR634" i="20"/>
  <c r="AR440" i="20"/>
  <c r="AR201" i="20"/>
  <c r="AR329" i="20"/>
  <c r="AR699" i="20"/>
  <c r="AR382" i="20"/>
  <c r="AR656" i="20"/>
  <c r="AR620" i="20"/>
  <c r="AR454" i="20"/>
  <c r="AR271" i="20"/>
  <c r="AR663" i="20"/>
  <c r="H104" i="86"/>
  <c r="K104" i="86" s="1"/>
  <c r="AR291" i="20"/>
  <c r="AR579" i="20"/>
  <c r="AR468" i="20"/>
  <c r="AR669" i="20"/>
  <c r="AR412" i="20"/>
  <c r="AR389" i="20"/>
  <c r="AR549" i="20"/>
  <c r="AR338" i="20"/>
  <c r="AR623" i="20"/>
  <c r="AR343" i="20"/>
  <c r="AR652" i="20"/>
  <c r="AR386" i="20"/>
  <c r="AR583" i="20"/>
  <c r="AR631" i="20"/>
  <c r="AR473" i="20"/>
  <c r="AR676" i="20"/>
  <c r="AR387" i="20"/>
  <c r="AR627" i="20"/>
  <c r="AR410" i="20"/>
  <c r="AR375" i="20"/>
  <c r="AR303" i="20"/>
  <c r="AR684" i="20"/>
  <c r="AR463" i="20"/>
  <c r="AR400" i="20"/>
  <c r="AR322" i="20"/>
  <c r="AR713" i="20"/>
  <c r="AR448" i="20"/>
  <c r="AR198" i="20"/>
  <c r="AR442" i="20"/>
  <c r="AR311" i="20"/>
  <c r="AR259" i="20"/>
  <c r="AR666" i="20"/>
  <c r="AR674" i="20"/>
  <c r="AR461" i="20"/>
  <c r="AR637" i="20"/>
  <c r="AR240" i="20"/>
  <c r="AR305" i="20"/>
  <c r="AR696" i="20"/>
  <c r="AR553" i="20"/>
  <c r="AR281" i="20"/>
  <c r="AR642" i="20"/>
  <c r="AR544" i="20"/>
  <c r="AR439" i="20"/>
  <c r="AR336" i="20"/>
  <c r="AR376" i="20"/>
  <c r="AR648" i="20"/>
  <c r="AR328" i="20"/>
  <c r="AR548" i="20"/>
  <c r="AR534" i="20"/>
  <c r="AR670" i="20"/>
  <c r="AR630" i="20"/>
  <c r="AR374" i="20"/>
  <c r="AR280" i="20"/>
  <c r="G161" i="86"/>
  <c r="J161" i="86" s="1"/>
  <c r="AR242" i="20"/>
  <c r="AR233" i="20"/>
  <c r="AR618" i="20"/>
  <c r="AR467" i="20"/>
  <c r="AR381" i="20"/>
  <c r="AR649" i="20"/>
  <c r="AR569" i="20"/>
  <c r="AR331" i="20"/>
  <c r="AR204" i="20"/>
  <c r="AR446" i="20"/>
  <c r="AR436" i="20"/>
  <c r="AR344" i="20"/>
  <c r="AR683" i="20"/>
  <c r="AR213" i="20"/>
  <c r="AR547" i="20"/>
  <c r="AR211" i="20"/>
  <c r="AR346" i="20"/>
  <c r="AR477" i="20"/>
  <c r="AR194" i="20"/>
  <c r="AR536" i="20"/>
  <c r="AR625" i="20"/>
  <c r="AR388" i="20"/>
  <c r="AR459" i="20"/>
  <c r="AR333" i="20"/>
  <c r="AR285" i="20"/>
  <c r="AR417" i="20"/>
  <c r="AR342" i="20"/>
  <c r="AR282" i="20"/>
  <c r="AR550" i="20"/>
  <c r="AR685" i="20"/>
  <c r="AR668" i="20"/>
  <c r="AR421" i="20"/>
  <c r="AR335" i="20"/>
  <c r="AR654" i="20"/>
  <c r="AR245" i="20"/>
  <c r="AR451" i="20"/>
  <c r="AR218" i="20"/>
  <c r="AR287" i="20"/>
  <c r="AR665" i="20"/>
  <c r="AR397" i="20"/>
  <c r="AR543" i="20"/>
  <c r="AR632" i="20"/>
  <c r="AR482" i="20"/>
  <c r="AR682" i="20"/>
  <c r="AR645" i="20"/>
  <c r="AR441" i="20"/>
  <c r="AR418" i="20"/>
  <c r="AR290" i="20"/>
  <c r="AR277" i="20"/>
  <c r="AR236" i="20"/>
  <c r="AR643" i="20"/>
  <c r="AR575" i="20"/>
  <c r="AR227" i="20"/>
  <c r="AR205" i="20"/>
  <c r="AR650" i="20"/>
  <c r="AR357" i="20"/>
  <c r="AR253" i="20"/>
  <c r="AR653" i="20"/>
  <c r="AR260" i="20"/>
  <c r="AR679" i="20"/>
  <c r="AR404" i="20"/>
  <c r="AR274" i="20"/>
  <c r="AR199" i="20"/>
  <c r="AR660" i="20"/>
  <c r="AR545" i="20"/>
  <c r="AR395" i="20"/>
  <c r="AR358" i="20"/>
  <c r="AR345" i="20"/>
  <c r="AR369" i="20"/>
  <c r="AR437" i="20"/>
  <c r="AR571" i="20"/>
  <c r="AR304" i="20"/>
  <c r="I105" i="86"/>
  <c r="L105" i="86" s="1"/>
  <c r="I49" i="86"/>
  <c r="L49" i="86" s="1"/>
  <c r="AR574" i="20"/>
  <c r="AR464" i="20"/>
  <c r="AR393" i="20"/>
  <c r="AR321" i="20"/>
  <c r="AR384" i="20"/>
  <c r="AR272" i="20"/>
  <c r="AR238" i="20"/>
  <c r="AR661" i="20"/>
  <c r="AR687" i="20"/>
  <c r="AR664" i="20"/>
  <c r="AR396" i="20"/>
  <c r="AR712" i="20"/>
  <c r="AR570" i="20"/>
  <c r="AR326" i="20"/>
  <c r="AR715" i="20"/>
  <c r="AR203" i="20"/>
  <c r="AR364" i="20"/>
  <c r="AR383" i="20"/>
  <c r="AR286" i="20"/>
  <c r="AR688" i="20"/>
  <c r="AR542" i="20"/>
  <c r="AF68" i="14"/>
  <c r="AR402" i="20"/>
  <c r="AR368" i="20"/>
  <c r="AR231" i="20"/>
  <c r="AR362" i="20"/>
  <c r="AR352" i="20"/>
  <c r="AR306" i="20"/>
  <c r="AR252" i="20"/>
  <c r="AR355" i="20"/>
  <c r="AR209" i="20"/>
  <c r="AR621" i="20"/>
  <c r="AR314" i="20"/>
  <c r="AR710" i="20"/>
  <c r="AR462" i="20"/>
  <c r="AR339" i="20"/>
  <c r="AR692" i="20"/>
  <c r="AR425" i="20"/>
  <c r="AR310" i="20"/>
  <c r="AR237" i="20"/>
  <c r="AR217" i="20"/>
  <c r="AR356" i="20"/>
  <c r="AR415" i="20"/>
  <c r="AR325" i="20"/>
  <c r="AR256" i="20"/>
  <c r="AR210" i="20"/>
  <c r="AR628" i="20"/>
  <c r="AR315" i="20"/>
  <c r="AR239" i="20"/>
  <c r="AR361" i="20"/>
  <c r="AR686" i="20"/>
  <c r="AR363" i="20"/>
  <c r="AR340" i="20"/>
  <c r="AR232" i="20"/>
  <c r="AR657" i="20"/>
  <c r="AR572" i="20"/>
  <c r="AR465" i="20"/>
  <c r="AR438" i="20"/>
  <c r="AR394" i="20"/>
  <c r="AR401" i="20"/>
  <c r="AR420" i="20"/>
  <c r="AR337" i="20"/>
  <c r="AR307" i="20"/>
  <c r="AR295" i="20"/>
  <c r="H122" i="86"/>
  <c r="K122" i="86" s="1"/>
  <c r="I75" i="86"/>
  <c r="L75" i="86" s="1"/>
  <c r="H73" i="86"/>
  <c r="K73" i="86" s="1"/>
  <c r="I84" i="86"/>
  <c r="L84" i="86" s="1"/>
  <c r="H86" i="86"/>
  <c r="K86" i="86" s="1"/>
  <c r="I108" i="86"/>
  <c r="L108" i="86" s="1"/>
  <c r="I122" i="86"/>
  <c r="L122" i="86" s="1"/>
  <c r="H81" i="86"/>
  <c r="K81" i="86" s="1"/>
  <c r="G61" i="86"/>
  <c r="H105" i="86"/>
  <c r="K105" i="86" s="1"/>
  <c r="H46" i="86"/>
  <c r="K46" i="86" s="1"/>
  <c r="G48" i="86"/>
  <c r="J48" i="86" s="1"/>
  <c r="H53" i="86"/>
  <c r="K53" i="86" s="1"/>
  <c r="I46" i="86"/>
  <c r="L46" i="86" s="1"/>
  <c r="H16" i="86"/>
  <c r="K16" i="86" s="1"/>
  <c r="H138" i="86"/>
  <c r="K138" i="86" s="1"/>
  <c r="H75" i="86"/>
  <c r="K75" i="86" s="1"/>
  <c r="H61" i="86"/>
  <c r="K61" i="86" s="1"/>
  <c r="I76" i="86"/>
  <c r="L76" i="86" s="1"/>
  <c r="G104" i="86"/>
  <c r="G105" i="86"/>
  <c r="I125" i="86"/>
  <c r="L125" i="86" s="1"/>
  <c r="G81" i="86"/>
  <c r="J81" i="86" s="1"/>
  <c r="H108" i="86"/>
  <c r="K108" i="86" s="1"/>
  <c r="I38" i="86"/>
  <c r="L38" i="86" s="1"/>
  <c r="H48" i="86"/>
  <c r="K48" i="86" s="1"/>
  <c r="I48" i="86"/>
  <c r="L48" i="86" s="1"/>
  <c r="G16" i="86"/>
  <c r="J16" i="86" s="1"/>
  <c r="H38" i="86"/>
  <c r="K38" i="86" s="1"/>
  <c r="H161" i="86"/>
  <c r="K161" i="86" s="1"/>
  <c r="H84" i="86"/>
  <c r="K84" i="86" s="1"/>
  <c r="I104" i="86"/>
  <c r="L104" i="86" s="1"/>
  <c r="G125" i="86"/>
  <c r="I74" i="86"/>
  <c r="L74" i="86" s="1"/>
  <c r="I73" i="86"/>
  <c r="L73" i="86" s="1"/>
  <c r="I86" i="86"/>
  <c r="L86" i="86" s="1"/>
  <c r="H109" i="86"/>
  <c r="K109" i="86" s="1"/>
  <c r="G108" i="86"/>
  <c r="J108" i="86" s="1"/>
  <c r="G75" i="86"/>
  <c r="G73" i="86"/>
  <c r="G49" i="86"/>
  <c r="J49" i="86" s="1"/>
  <c r="I47" i="86"/>
  <c r="L47" i="86" s="1"/>
  <c r="G46" i="86"/>
  <c r="J46" i="86" s="1"/>
  <c r="G38" i="86"/>
  <c r="J38" i="86" s="1"/>
  <c r="H74" i="86"/>
  <c r="K74" i="86" s="1"/>
  <c r="H154" i="86"/>
  <c r="K154" i="86" s="1"/>
  <c r="G138" i="86"/>
  <c r="I138" i="86"/>
  <c r="L138" i="86" s="1"/>
  <c r="I61" i="86"/>
  <c r="L61" i="86" s="1"/>
  <c r="H47" i="86"/>
  <c r="K47" i="86" s="1"/>
  <c r="H49" i="86"/>
  <c r="K49" i="86" s="1"/>
  <c r="G109" i="86"/>
  <c r="I81" i="86"/>
  <c r="L81" i="86" s="1"/>
  <c r="G74" i="86"/>
  <c r="J74" i="86" s="1"/>
  <c r="G86" i="86"/>
  <c r="H76" i="86"/>
  <c r="K76" i="86" s="1"/>
  <c r="G122" i="86"/>
  <c r="I161" i="86"/>
  <c r="L161" i="86" s="1"/>
  <c r="I154" i="86"/>
  <c r="L154" i="86" s="1"/>
  <c r="G53" i="86"/>
  <c r="J53" i="86" s="1"/>
  <c r="G47" i="86"/>
  <c r="J47" i="86" s="1"/>
  <c r="G76" i="86"/>
  <c r="G84" i="86"/>
  <c r="I53" i="86"/>
  <c r="L53" i="86" s="1"/>
  <c r="AR392" i="20"/>
  <c r="AR426" i="20"/>
  <c r="AR319" i="20"/>
  <c r="AR229" i="20"/>
  <c r="AR330" i="20"/>
  <c r="AR629" i="20"/>
  <c r="AR483" i="20"/>
  <c r="AR276" i="20"/>
  <c r="AR432" i="20"/>
  <c r="AR638" i="20"/>
  <c r="AR243" i="20"/>
  <c r="AR662" i="20"/>
  <c r="I16" i="86"/>
  <c r="L16" i="86" s="1"/>
  <c r="H125" i="86"/>
  <c r="K125" i="86" s="1"/>
  <c r="AR372" i="20"/>
  <c r="G154" i="86"/>
  <c r="I109" i="86"/>
  <c r="L109" i="86" s="1"/>
  <c r="AF203" i="14"/>
  <c r="AF55" i="14"/>
  <c r="AF19" i="14"/>
  <c r="AF201" i="14"/>
  <c r="AF225" i="14"/>
  <c r="AF41" i="14"/>
  <c r="AR413" i="20"/>
  <c r="AR471" i="20"/>
  <c r="AR677" i="20"/>
  <c r="AR646" i="20"/>
  <c r="AR299" i="20"/>
  <c r="AR226" i="20"/>
  <c r="AR714" i="20"/>
  <c r="AR671" i="20"/>
  <c r="AR635" i="20"/>
  <c r="AR398" i="20"/>
  <c r="AR690" i="20"/>
  <c r="AR414" i="20"/>
  <c r="AR405" i="20"/>
  <c r="AF59" i="14"/>
  <c r="AF136" i="14"/>
  <c r="AF80" i="14"/>
  <c r="AR689" i="20"/>
  <c r="AR419" i="20"/>
  <c r="AR324" i="20"/>
  <c r="AR292" i="20"/>
  <c r="AR279" i="20"/>
  <c r="AR370" i="20"/>
  <c r="AR641" i="20"/>
  <c r="AR576" i="20"/>
  <c r="AR228" i="20"/>
  <c r="AR675" i="20"/>
  <c r="AR458" i="20"/>
  <c r="AR289" i="20"/>
  <c r="AF83" i="14"/>
  <c r="AF238" i="14"/>
  <c r="AF37" i="14"/>
  <c r="AF227" i="14"/>
  <c r="AF189" i="14"/>
  <c r="AF226" i="14"/>
  <c r="AF174" i="14"/>
  <c r="AF25" i="14"/>
  <c r="AF81" i="14"/>
  <c r="AF163" i="14"/>
  <c r="AF30" i="14"/>
  <c r="AF140" i="14"/>
  <c r="AF222" i="14"/>
  <c r="AF98" i="14"/>
  <c r="AF230" i="14"/>
  <c r="AF138" i="14"/>
  <c r="AF202" i="14"/>
  <c r="AR408" i="20"/>
  <c r="AR354" i="20"/>
  <c r="AR298" i="20"/>
  <c r="AR219" i="20"/>
  <c r="AR208" i="20"/>
  <c r="AR695" i="20"/>
  <c r="AR399" i="20"/>
  <c r="AR202" i="20"/>
  <c r="AR680" i="20"/>
  <c r="AR377" i="20"/>
  <c r="AR341" i="20"/>
  <c r="AR275" i="20"/>
  <c r="AR200" i="20"/>
  <c r="AR697" i="20"/>
  <c r="AR647" i="20"/>
  <c r="AR546" i="20"/>
  <c r="AR452" i="20"/>
  <c r="AR411" i="20"/>
  <c r="AR424" i="20"/>
  <c r="AR359" i="20"/>
  <c r="AR350" i="20"/>
  <c r="AR312" i="20"/>
  <c r="AR300" i="20"/>
  <c r="AR640" i="20"/>
  <c r="AR427" i="20"/>
  <c r="AR390" i="20"/>
  <c r="AR241" i="20"/>
  <c r="AR469" i="20"/>
  <c r="AR693" i="20"/>
  <c r="AR235" i="20"/>
  <c r="AR694" i="20"/>
  <c r="AR636" i="20"/>
  <c r="E28" i="36"/>
  <c r="M19" i="36"/>
  <c r="O11" i="36"/>
  <c r="N10" i="36"/>
  <c r="AF167" i="14"/>
  <c r="AF43" i="14"/>
  <c r="AF66" i="14"/>
  <c r="AF243" i="14"/>
  <c r="AF108" i="14"/>
  <c r="AF97" i="14"/>
  <c r="AF177" i="14"/>
  <c r="AF86" i="14"/>
  <c r="AF33" i="14"/>
  <c r="AF184" i="14"/>
  <c r="AF228" i="14"/>
  <c r="AF164" i="14"/>
  <c r="AF244" i="14"/>
  <c r="AF205" i="14"/>
  <c r="AF212" i="14"/>
  <c r="AF242" i="14"/>
  <c r="AF91" i="14"/>
  <c r="AF241" i="14"/>
  <c r="AF204" i="14"/>
  <c r="AF9" i="14"/>
  <c r="AF215" i="14"/>
  <c r="AF103" i="14"/>
  <c r="AF214" i="14"/>
  <c r="AF187" i="14"/>
  <c r="AF92" i="14"/>
  <c r="AF139" i="14"/>
  <c r="AF245" i="14"/>
  <c r="AF180" i="14"/>
  <c r="AF84" i="14"/>
  <c r="AF27" i="14"/>
  <c r="AF117" i="14"/>
  <c r="AF40" i="14"/>
  <c r="AF32" i="14"/>
  <c r="AF7" i="14"/>
  <c r="AF131" i="14"/>
  <c r="AF181" i="14"/>
  <c r="AF78" i="14"/>
  <c r="AF155" i="14"/>
  <c r="AF115" i="14"/>
  <c r="AF211" i="14"/>
  <c r="AF18" i="14"/>
  <c r="AF87" i="14"/>
  <c r="AF192" i="14"/>
  <c r="AF79" i="14"/>
  <c r="AF218" i="14"/>
  <c r="AF124" i="14"/>
  <c r="AF127" i="14"/>
  <c r="AF151" i="14"/>
  <c r="N24" i="36"/>
  <c r="AF118" i="14"/>
  <c r="AF23" i="14"/>
  <c r="AF99" i="14"/>
  <c r="AF65" i="14"/>
  <c r="AF70" i="14"/>
  <c r="AF44" i="14"/>
  <c r="AF179" i="14"/>
  <c r="AF42" i="14"/>
  <c r="AF11" i="14"/>
  <c r="AF207" i="14"/>
  <c r="AF10" i="14"/>
  <c r="AF134" i="14"/>
  <c r="AF159" i="14"/>
  <c r="AF21" i="14"/>
  <c r="AF113" i="14"/>
  <c r="AF114" i="14"/>
  <c r="AF229" i="14"/>
  <c r="AF156" i="14"/>
  <c r="AF69" i="14"/>
  <c r="AF119" i="14"/>
  <c r="AF198" i="14"/>
  <c r="AF195" i="14"/>
  <c r="AF31" i="14"/>
  <c r="AH6" i="14"/>
  <c r="AF144" i="14"/>
  <c r="AF199" i="14"/>
  <c r="AF101" i="14"/>
  <c r="AF128" i="14"/>
  <c r="AF126" i="14"/>
  <c r="AF185" i="14"/>
  <c r="AF82" i="14"/>
  <c r="AF165" i="14"/>
  <c r="AF105" i="14"/>
  <c r="AF15" i="14"/>
  <c r="AF246" i="14"/>
  <c r="AF175" i="14"/>
  <c r="AF149" i="14"/>
  <c r="AF39" i="14"/>
  <c r="AF71" i="14"/>
  <c r="AF232" i="14"/>
  <c r="AF247" i="14"/>
  <c r="AF62" i="14"/>
  <c r="AF233" i="14"/>
  <c r="AF221" i="14"/>
  <c r="AF64" i="14"/>
  <c r="AF109" i="14"/>
  <c r="AF231" i="14"/>
  <c r="AF213" i="14"/>
  <c r="AF53" i="14"/>
  <c r="AF223" i="14"/>
  <c r="AF38" i="14"/>
  <c r="AF100" i="14"/>
  <c r="AF220" i="14"/>
  <c r="AF194" i="14"/>
  <c r="AF17" i="14"/>
  <c r="AF14" i="14"/>
  <c r="AF145" i="14"/>
  <c r="AF240" i="14"/>
  <c r="AF161" i="14"/>
  <c r="E40" i="40"/>
  <c r="F38" i="40"/>
  <c r="F39" i="40"/>
  <c r="F37" i="40"/>
  <c r="D40" i="40"/>
  <c r="AF235" i="14"/>
  <c r="AF217" i="14"/>
  <c r="AF133" i="14"/>
  <c r="AF20" i="14"/>
  <c r="AF123" i="14"/>
  <c r="AF35" i="14"/>
  <c r="AF132" i="14"/>
  <c r="AF90" i="14"/>
  <c r="AF154" i="14"/>
  <c r="AF171" i="14"/>
  <c r="AF52" i="14"/>
  <c r="AF5" i="14"/>
  <c r="AF72" i="14"/>
  <c r="AF147" i="14"/>
  <c r="AF121" i="14"/>
  <c r="AF237" i="14"/>
  <c r="AF157" i="14"/>
  <c r="AF129" i="14"/>
  <c r="AF148" i="14"/>
  <c r="AF77" i="14"/>
  <c r="AF12" i="14"/>
  <c r="AF13" i="14"/>
  <c r="AF135" i="14"/>
  <c r="AF26" i="14"/>
  <c r="AF24" i="14"/>
  <c r="AF200" i="14"/>
  <c r="AF169" i="14"/>
  <c r="AF188" i="14"/>
  <c r="AF178" i="14"/>
  <c r="AF36" i="14"/>
  <c r="AF166" i="14"/>
  <c r="AF141" i="14"/>
  <c r="AF104" i="14"/>
  <c r="AF122" i="14"/>
  <c r="AF143" i="14"/>
  <c r="AF152" i="14"/>
  <c r="AF120" i="14"/>
  <c r="AF125" i="14"/>
  <c r="AF160" i="14"/>
  <c r="AF130" i="14"/>
  <c r="AC13" i="43"/>
  <c r="I19" i="43"/>
  <c r="AC16" i="43"/>
  <c r="AC15" i="43"/>
  <c r="I15" i="43"/>
  <c r="AC14" i="43"/>
  <c r="I14" i="43"/>
  <c r="I16" i="43"/>
  <c r="AC19" i="43"/>
  <c r="D22" i="37" l="1"/>
  <c r="D24" i="37"/>
  <c r="D23" i="37"/>
  <c r="D21" i="37"/>
  <c r="F27" i="37"/>
  <c r="I24" i="37"/>
  <c r="G83" i="86"/>
  <c r="J83" i="86" s="1"/>
  <c r="G44" i="86"/>
  <c r="J44" i="86" s="1"/>
  <c r="G164" i="86"/>
  <c r="J164" i="86" s="1"/>
  <c r="AH130" i="14"/>
  <c r="AH141" i="14"/>
  <c r="AH26" i="14"/>
  <c r="AH77" i="14"/>
  <c r="AH237" i="14"/>
  <c r="AH5" i="14"/>
  <c r="AH90" i="14"/>
  <c r="AH20" i="14"/>
  <c r="AH14" i="14"/>
  <c r="AH100" i="14"/>
  <c r="AH213" i="14"/>
  <c r="AH221" i="14"/>
  <c r="AH232" i="14"/>
  <c r="AH175" i="14"/>
  <c r="AH165" i="14"/>
  <c r="AH128" i="14"/>
  <c r="AH119" i="14"/>
  <c r="AH114" i="14"/>
  <c r="AH134" i="14"/>
  <c r="AH42" i="14"/>
  <c r="AH65" i="14"/>
  <c r="AH218" i="14"/>
  <c r="AH18" i="14"/>
  <c r="AH78" i="14"/>
  <c r="AH32" i="14"/>
  <c r="AH84" i="14"/>
  <c r="AH92" i="14"/>
  <c r="AH215" i="14"/>
  <c r="AH91" i="14"/>
  <c r="AH244" i="14"/>
  <c r="AH33" i="14"/>
  <c r="AH108" i="14"/>
  <c r="AH167" i="14"/>
  <c r="AH138" i="14"/>
  <c r="AH140" i="14"/>
  <c r="AH25" i="14"/>
  <c r="AH227" i="14"/>
  <c r="AH238" i="14"/>
  <c r="AH59" i="14"/>
  <c r="AH225" i="14"/>
  <c r="AH203" i="14"/>
  <c r="AH160" i="14"/>
  <c r="AH143" i="14"/>
  <c r="AH166" i="14"/>
  <c r="AH169" i="14"/>
  <c r="AH135" i="14"/>
  <c r="AH148" i="14"/>
  <c r="AH121" i="14"/>
  <c r="AH52" i="14"/>
  <c r="AH132" i="14"/>
  <c r="AH133" i="14"/>
  <c r="AH161" i="14"/>
  <c r="AH17" i="14"/>
  <c r="AH38" i="14"/>
  <c r="AH231" i="14"/>
  <c r="AH233" i="14"/>
  <c r="AH71" i="14"/>
  <c r="AH246" i="14"/>
  <c r="AH82" i="14"/>
  <c r="AH101" i="14"/>
  <c r="AH31" i="14"/>
  <c r="AH69" i="14"/>
  <c r="AH113" i="14"/>
  <c r="AH10" i="14"/>
  <c r="AH179" i="14"/>
  <c r="AH99" i="14"/>
  <c r="AH151" i="14"/>
  <c r="AH79" i="14"/>
  <c r="AH211" i="14"/>
  <c r="AH181" i="14"/>
  <c r="AH40" i="14"/>
  <c r="AH180" i="14"/>
  <c r="AH187" i="14"/>
  <c r="AH9" i="14"/>
  <c r="AH242" i="14"/>
  <c r="AH164" i="14"/>
  <c r="AH86" i="14"/>
  <c r="AH243" i="14"/>
  <c r="AH230" i="14"/>
  <c r="AH30" i="14"/>
  <c r="AH174" i="14"/>
  <c r="AH37" i="14"/>
  <c r="AH83" i="14"/>
  <c r="AH201" i="14"/>
  <c r="AH152" i="14"/>
  <c r="AH188" i="14"/>
  <c r="AH125" i="14"/>
  <c r="AH122" i="14"/>
  <c r="AH36" i="14"/>
  <c r="AH200" i="14"/>
  <c r="AH13" i="14"/>
  <c r="AH129" i="14"/>
  <c r="AH147" i="14"/>
  <c r="AH171" i="14"/>
  <c r="AH35" i="14"/>
  <c r="AH217" i="14"/>
  <c r="AH240" i="14"/>
  <c r="AH194" i="14"/>
  <c r="AH223" i="14"/>
  <c r="AH109" i="14"/>
  <c r="AH62" i="14"/>
  <c r="AH39" i="14"/>
  <c r="AH15" i="14"/>
  <c r="AH185" i="14"/>
  <c r="AH199" i="14"/>
  <c r="AH195" i="14"/>
  <c r="AH156" i="14"/>
  <c r="AH21" i="14"/>
  <c r="AH207" i="14"/>
  <c r="AH44" i="14"/>
  <c r="AH23" i="14"/>
  <c r="AH127" i="14"/>
  <c r="AH192" i="14"/>
  <c r="AH115" i="14"/>
  <c r="AH131" i="14"/>
  <c r="AH117" i="14"/>
  <c r="AH245" i="14"/>
  <c r="AH214" i="14"/>
  <c r="AH204" i="14"/>
  <c r="AH212" i="14"/>
  <c r="AH228" i="14"/>
  <c r="AH177" i="14"/>
  <c r="AH66" i="14"/>
  <c r="AH98" i="14"/>
  <c r="AH163" i="14"/>
  <c r="AH226" i="14"/>
  <c r="AH80" i="14"/>
  <c r="AH19" i="14"/>
  <c r="AH120" i="14"/>
  <c r="AH104" i="14"/>
  <c r="AH178" i="14"/>
  <c r="AH24" i="14"/>
  <c r="AH12" i="14"/>
  <c r="AH157" i="14"/>
  <c r="AH72" i="14"/>
  <c r="AH154" i="14"/>
  <c r="AH123" i="14"/>
  <c r="AH235" i="14"/>
  <c r="AH145" i="14"/>
  <c r="AH220" i="14"/>
  <c r="AH53" i="14"/>
  <c r="AH64" i="14"/>
  <c r="AH247" i="14"/>
  <c r="AH149" i="14"/>
  <c r="AH105" i="14"/>
  <c r="AH126" i="14"/>
  <c r="AH144" i="14"/>
  <c r="AH198" i="14"/>
  <c r="AH229" i="14"/>
  <c r="AH159" i="14"/>
  <c r="AH11" i="14"/>
  <c r="AH70" i="14"/>
  <c r="AH118" i="14"/>
  <c r="AH124" i="14"/>
  <c r="AH87" i="14"/>
  <c r="AH155" i="14"/>
  <c r="AH7" i="14"/>
  <c r="AH27" i="14"/>
  <c r="AH139" i="14"/>
  <c r="AH103" i="14"/>
  <c r="AH241" i="14"/>
  <c r="AH205" i="14"/>
  <c r="AH184" i="14"/>
  <c r="AH97" i="14"/>
  <c r="AH43" i="14"/>
  <c r="AH202" i="14"/>
  <c r="AH222" i="14"/>
  <c r="AH81" i="14"/>
  <c r="AH189" i="14"/>
  <c r="AH136" i="14"/>
  <c r="AH41" i="14"/>
  <c r="AH55" i="14"/>
  <c r="AH68" i="14"/>
  <c r="H27" i="37"/>
  <c r="I71" i="86"/>
  <c r="L71" i="86" s="1"/>
  <c r="I58" i="86"/>
  <c r="L58" i="86" s="1"/>
  <c r="D52" i="37"/>
  <c r="G52" i="37" s="1"/>
  <c r="H3" i="86"/>
  <c r="K3" i="86" s="1"/>
  <c r="H40" i="86"/>
  <c r="K40" i="86" s="1"/>
  <c r="F15" i="43"/>
  <c r="G15" i="43" s="1"/>
  <c r="J15" i="43" s="1"/>
  <c r="F13" i="43"/>
  <c r="G13" i="43" s="1"/>
  <c r="J13" i="43" s="1"/>
  <c r="F14" i="43"/>
  <c r="G14" i="43" s="1"/>
  <c r="J14" i="43" s="1"/>
  <c r="D49" i="37"/>
  <c r="G49" i="37" s="1"/>
  <c r="I5" i="86"/>
  <c r="L5" i="86" s="1"/>
  <c r="G58" i="86"/>
  <c r="J58" i="86" s="1"/>
  <c r="H52" i="37"/>
  <c r="K52" i="37" s="1"/>
  <c r="I80" i="86"/>
  <c r="L80" i="86" s="1"/>
  <c r="E27" i="37"/>
  <c r="E11" i="37"/>
  <c r="O13" i="43"/>
  <c r="AD20" i="43" s="1"/>
  <c r="AE20" i="43" s="1"/>
  <c r="I50" i="86"/>
  <c r="L50" i="86" s="1"/>
  <c r="E14" i="37"/>
  <c r="E22" i="37"/>
  <c r="E16" i="37"/>
  <c r="E24" i="37"/>
  <c r="E26" i="37"/>
  <c r="E25" i="37"/>
  <c r="E9" i="37"/>
  <c r="E23" i="37"/>
  <c r="E20" i="37"/>
  <c r="E18" i="37"/>
  <c r="E21" i="37"/>
  <c r="E17" i="37"/>
  <c r="E19" i="37"/>
  <c r="E28" i="37"/>
  <c r="E10" i="37"/>
  <c r="I143" i="86"/>
  <c r="L143" i="86" s="1"/>
  <c r="H111" i="86"/>
  <c r="K111" i="86" s="1"/>
  <c r="G27" i="37"/>
  <c r="I44" i="86"/>
  <c r="L44" i="86" s="1"/>
  <c r="N24" i="37"/>
  <c r="I127" i="86"/>
  <c r="L127" i="86" s="1"/>
  <c r="J27" i="37"/>
  <c r="H63" i="86"/>
  <c r="K63" i="86" s="1"/>
  <c r="M27" i="37"/>
  <c r="I51" i="86"/>
  <c r="L51" i="86" s="1"/>
  <c r="G71" i="86"/>
  <c r="J71" i="86" s="1"/>
  <c r="G50" i="86"/>
  <c r="J50" i="86" s="1"/>
  <c r="H51" i="86"/>
  <c r="K51" i="86" s="1"/>
  <c r="H164" i="86"/>
  <c r="K164" i="86" s="1"/>
  <c r="G8" i="86"/>
  <c r="J8" i="86" s="1"/>
  <c r="H115" i="86"/>
  <c r="K115" i="86" s="1"/>
  <c r="L24" i="37"/>
  <c r="I40" i="86"/>
  <c r="L40" i="86" s="1"/>
  <c r="I3" i="86"/>
  <c r="L3" i="86" s="1"/>
  <c r="H58" i="86"/>
  <c r="K58" i="86" s="1"/>
  <c r="H94" i="86"/>
  <c r="K94" i="86" s="1"/>
  <c r="H87" i="86"/>
  <c r="K87" i="86" s="1"/>
  <c r="G124" i="86"/>
  <c r="J124" i="86" s="1"/>
  <c r="D42" i="37"/>
  <c r="G42" i="37" s="1"/>
  <c r="I158" i="86"/>
  <c r="L158" i="86" s="1"/>
  <c r="I121" i="86"/>
  <c r="L121" i="86" s="1"/>
  <c r="L46" i="37"/>
  <c r="O46" i="37" s="1"/>
  <c r="I100" i="86"/>
  <c r="L100" i="86" s="1"/>
  <c r="I64" i="86"/>
  <c r="L64" i="86" s="1"/>
  <c r="I19" i="86"/>
  <c r="L19" i="86" s="1"/>
  <c r="K24" i="37"/>
  <c r="G19" i="86"/>
  <c r="J19" i="86" s="1"/>
  <c r="O23" i="36"/>
  <c r="O21" i="36"/>
  <c r="K28" i="36"/>
  <c r="N28" i="36" s="1"/>
  <c r="O22" i="36"/>
  <c r="O17" i="36"/>
  <c r="O19" i="36"/>
  <c r="AC18" i="43"/>
  <c r="N23" i="36"/>
  <c r="O13" i="36"/>
  <c r="G51" i="86"/>
  <c r="J51" i="86" s="1"/>
  <c r="G5" i="86"/>
  <c r="J5" i="86" s="1"/>
  <c r="AD24" i="66"/>
  <c r="I4" i="86"/>
  <c r="L4" i="86" s="1"/>
  <c r="I147" i="86"/>
  <c r="L147" i="86" s="1"/>
  <c r="H11" i="37"/>
  <c r="I164" i="86"/>
  <c r="L164" i="86" s="1"/>
  <c r="D11" i="37"/>
  <c r="I63" i="86"/>
  <c r="L63" i="86" s="1"/>
  <c r="K17" i="37"/>
  <c r="G63" i="86"/>
  <c r="J63" i="86" s="1"/>
  <c r="H46" i="37"/>
  <c r="K46" i="37" s="1"/>
  <c r="H50" i="86"/>
  <c r="K50" i="86" s="1"/>
  <c r="H19" i="37"/>
  <c r="I160" i="86"/>
  <c r="L160" i="86" s="1"/>
  <c r="I6" i="86"/>
  <c r="L6" i="86" s="1"/>
  <c r="H40" i="37"/>
  <c r="K40" i="37" s="1"/>
  <c r="I142" i="86"/>
  <c r="L142" i="86" s="1"/>
  <c r="L48" i="37"/>
  <c r="O48" i="37" s="1"/>
  <c r="I27" i="86"/>
  <c r="L27" i="86" s="1"/>
  <c r="I112" i="86"/>
  <c r="L112" i="86" s="1"/>
  <c r="I2" i="86"/>
  <c r="L2" i="86" s="1"/>
  <c r="I128" i="86"/>
  <c r="L128" i="86" s="1"/>
  <c r="D19" i="37"/>
  <c r="I103" i="86"/>
  <c r="L103" i="86" s="1"/>
  <c r="I29" i="86"/>
  <c r="L29" i="86" s="1"/>
  <c r="M19" i="37"/>
  <c r="F26" i="37"/>
  <c r="I149" i="86"/>
  <c r="L149" i="86" s="1"/>
  <c r="I78" i="86"/>
  <c r="L78" i="86" s="1"/>
  <c r="I114" i="86"/>
  <c r="L114" i="86" s="1"/>
  <c r="I146" i="86"/>
  <c r="L146" i="86" s="1"/>
  <c r="D48" i="37"/>
  <c r="G48" i="37" s="1"/>
  <c r="F23" i="37"/>
  <c r="M17" i="37"/>
  <c r="I99" i="86"/>
  <c r="L99" i="86" s="1"/>
  <c r="I90" i="86"/>
  <c r="L90" i="86" s="1"/>
  <c r="I124" i="86"/>
  <c r="L124" i="86" s="1"/>
  <c r="G19" i="37"/>
  <c r="G24" i="37"/>
  <c r="H66" i="86"/>
  <c r="K66" i="86" s="1"/>
  <c r="L49" i="37"/>
  <c r="O49" i="37" s="1"/>
  <c r="AC17" i="43"/>
  <c r="H42" i="37"/>
  <c r="K42" i="37" s="1"/>
  <c r="I87" i="86"/>
  <c r="L87" i="86" s="1"/>
  <c r="I83" i="86"/>
  <c r="L83" i="86" s="1"/>
  <c r="G3" i="86"/>
  <c r="J3" i="86" s="1"/>
  <c r="H24" i="37"/>
  <c r="H49" i="37"/>
  <c r="K49" i="37" s="1"/>
  <c r="I152" i="86"/>
  <c r="L152" i="86" s="1"/>
  <c r="G93" i="86"/>
  <c r="J93" i="86" s="1"/>
  <c r="G20" i="37"/>
  <c r="H35" i="86"/>
  <c r="K35" i="86" s="1"/>
  <c r="H21" i="37"/>
  <c r="G14" i="37"/>
  <c r="I139" i="86"/>
  <c r="L139" i="86" s="1"/>
  <c r="I14" i="37"/>
  <c r="H14" i="37"/>
  <c r="L40" i="37"/>
  <c r="O40" i="37" s="1"/>
  <c r="I163" i="86"/>
  <c r="L163" i="86" s="1"/>
  <c r="I19" i="37"/>
  <c r="I98" i="86"/>
  <c r="L98" i="86" s="1"/>
  <c r="G151" i="86"/>
  <c r="J151" i="86" s="1"/>
  <c r="H151" i="86"/>
  <c r="K151" i="86" s="1"/>
  <c r="H44" i="86"/>
  <c r="K44" i="86" s="1"/>
  <c r="I159" i="86"/>
  <c r="L159" i="86" s="1"/>
  <c r="I144" i="86"/>
  <c r="L144" i="86" s="1"/>
  <c r="G64" i="86"/>
  <c r="J64" i="86" s="1"/>
  <c r="L37" i="37"/>
  <c r="O37" i="37" s="1"/>
  <c r="G143" i="86"/>
  <c r="J143" i="86" s="1"/>
  <c r="G115" i="86"/>
  <c r="J115" i="86" s="1"/>
  <c r="H8" i="86"/>
  <c r="K8" i="86" s="1"/>
  <c r="H13" i="86"/>
  <c r="K13" i="86" s="1"/>
  <c r="I26" i="37"/>
  <c r="G23" i="37"/>
  <c r="H51" i="37"/>
  <c r="K51" i="37" s="1"/>
  <c r="I126" i="86"/>
  <c r="L126" i="86" s="1"/>
  <c r="M11" i="37"/>
  <c r="I33" i="86"/>
  <c r="L33" i="86" s="1"/>
  <c r="M24" i="37"/>
  <c r="H48" i="37"/>
  <c r="K48" i="37" s="1"/>
  <c r="I134" i="86"/>
  <c r="L134" i="86" s="1"/>
  <c r="L34" i="37"/>
  <c r="O34" i="37" s="1"/>
  <c r="I37" i="86"/>
  <c r="L37" i="86" s="1"/>
  <c r="H37" i="86"/>
  <c r="K37" i="86" s="1"/>
  <c r="I97" i="86"/>
  <c r="L97" i="86" s="1"/>
  <c r="I65" i="86"/>
  <c r="L65" i="86" s="1"/>
  <c r="F17" i="37"/>
  <c r="D26" i="37"/>
  <c r="I72" i="86"/>
  <c r="L72" i="86" s="1"/>
  <c r="G54" i="86"/>
  <c r="J54" i="86" s="1"/>
  <c r="I67" i="86"/>
  <c r="L67" i="86" s="1"/>
  <c r="G17" i="37"/>
  <c r="F19" i="37"/>
  <c r="I88" i="86"/>
  <c r="L88" i="86" s="1"/>
  <c r="D17" i="37"/>
  <c r="I15" i="86"/>
  <c r="L15" i="86" s="1"/>
  <c r="I131" i="86"/>
  <c r="L131" i="86" s="1"/>
  <c r="I111" i="86"/>
  <c r="L111" i="86" s="1"/>
  <c r="I8" i="86"/>
  <c r="L8" i="86" s="1"/>
  <c r="I85" i="86"/>
  <c r="L85" i="86" s="1"/>
  <c r="I27" i="37"/>
  <c r="H5" i="86"/>
  <c r="K5" i="86" s="1"/>
  <c r="H155" i="86"/>
  <c r="K155" i="86" s="1"/>
  <c r="G129" i="86"/>
  <c r="J129" i="86" s="1"/>
  <c r="I35" i="86"/>
  <c r="L35" i="86" s="1"/>
  <c r="L44" i="37"/>
  <c r="O44" i="37" s="1"/>
  <c r="I120" i="86"/>
  <c r="L120" i="86" s="1"/>
  <c r="H17" i="37"/>
  <c r="I95" i="86"/>
  <c r="L95" i="86" s="1"/>
  <c r="AC21" i="43"/>
  <c r="AC20" i="43"/>
  <c r="M21" i="37"/>
  <c r="G98" i="86"/>
  <c r="J98" i="86" s="1"/>
  <c r="G8" i="37"/>
  <c r="M9" i="37"/>
  <c r="I166" i="86"/>
  <c r="L166" i="86" s="1"/>
  <c r="H117" i="86"/>
  <c r="K117" i="86" s="1"/>
  <c r="G23" i="86"/>
  <c r="J23" i="86" s="1"/>
  <c r="G146" i="86"/>
  <c r="G87" i="86"/>
  <c r="J87" i="86" s="1"/>
  <c r="G130" i="86"/>
  <c r="J130" i="86" s="1"/>
  <c r="H82" i="86"/>
  <c r="K82" i="86" s="1"/>
  <c r="H4" i="86"/>
  <c r="K4" i="86" s="1"/>
  <c r="I9" i="86"/>
  <c r="L9" i="86" s="1"/>
  <c r="I66" i="86"/>
  <c r="L66" i="86" s="1"/>
  <c r="F11" i="37"/>
  <c r="I18" i="37"/>
  <c r="G26" i="37"/>
  <c r="I150" i="86"/>
  <c r="L150" i="86" s="1"/>
  <c r="I89" i="86"/>
  <c r="L89" i="86" s="1"/>
  <c r="G11" i="37"/>
  <c r="I30" i="86"/>
  <c r="L30" i="86" s="1"/>
  <c r="L52" i="37"/>
  <c r="O52" i="37" s="1"/>
  <c r="H23" i="37"/>
  <c r="I17" i="37"/>
  <c r="D27" i="37"/>
  <c r="I116" i="86"/>
  <c r="L116" i="86" s="1"/>
  <c r="I21" i="86"/>
  <c r="L21" i="86" s="1"/>
  <c r="I155" i="86"/>
  <c r="L155" i="86" s="1"/>
  <c r="I36" i="86"/>
  <c r="L36" i="86" s="1"/>
  <c r="I157" i="86"/>
  <c r="L157" i="86" s="1"/>
  <c r="M18" i="37"/>
  <c r="I91" i="86"/>
  <c r="L91" i="86" s="1"/>
  <c r="I62" i="86"/>
  <c r="L62" i="86" s="1"/>
  <c r="G127" i="86"/>
  <c r="J127" i="86" s="1"/>
  <c r="G135" i="86"/>
  <c r="J135" i="86" s="1"/>
  <c r="I113" i="86"/>
  <c r="L113" i="86" s="1"/>
  <c r="M23" i="37"/>
  <c r="G66" i="86"/>
  <c r="J66" i="86" s="1"/>
  <c r="I12" i="86"/>
  <c r="L12" i="86" s="1"/>
  <c r="H16" i="37"/>
  <c r="L35" i="37"/>
  <c r="O35" i="37" s="1"/>
  <c r="I69" i="86"/>
  <c r="L69" i="86" s="1"/>
  <c r="F10" i="37"/>
  <c r="I18" i="86"/>
  <c r="L18" i="86" s="1"/>
  <c r="H47" i="37"/>
  <c r="K47" i="37" s="1"/>
  <c r="M16" i="37"/>
  <c r="I20" i="86"/>
  <c r="L20" i="86" s="1"/>
  <c r="L51" i="37"/>
  <c r="O51" i="37" s="1"/>
  <c r="I96" i="86"/>
  <c r="L96" i="86" s="1"/>
  <c r="D16" i="37"/>
  <c r="H22" i="37"/>
  <c r="F20" i="37"/>
  <c r="H156" i="86"/>
  <c r="K156" i="86" s="1"/>
  <c r="I22" i="86"/>
  <c r="L22" i="86" s="1"/>
  <c r="D45" i="37"/>
  <c r="G45" i="37" s="1"/>
  <c r="I23" i="37"/>
  <c r="D36" i="37"/>
  <c r="G36" i="37" s="1"/>
  <c r="I10" i="86"/>
  <c r="L10" i="86" s="1"/>
  <c r="H18" i="37"/>
  <c r="D9" i="37"/>
  <c r="H9" i="86"/>
  <c r="K9" i="86" s="1"/>
  <c r="I117" i="86"/>
  <c r="L117" i="86" s="1"/>
  <c r="H34" i="37"/>
  <c r="K34" i="37" s="1"/>
  <c r="E8" i="37"/>
  <c r="I9" i="37"/>
  <c r="D20" i="37"/>
  <c r="I16" i="37"/>
  <c r="H44" i="37"/>
  <c r="K44" i="37" s="1"/>
  <c r="H41" i="37"/>
  <c r="K41" i="37" s="1"/>
  <c r="H26" i="37"/>
  <c r="F9" i="37"/>
  <c r="D34" i="37"/>
  <c r="G34" i="37" s="1"/>
  <c r="L47" i="37"/>
  <c r="O47" i="37" s="1"/>
  <c r="D8" i="37"/>
  <c r="I101" i="86"/>
  <c r="L101" i="86" s="1"/>
  <c r="M26" i="37"/>
  <c r="I156" i="86"/>
  <c r="L156" i="86" s="1"/>
  <c r="H35" i="37"/>
  <c r="K35" i="37" s="1"/>
  <c r="D40" i="37"/>
  <c r="G40" i="37" s="1"/>
  <c r="I79" i="86"/>
  <c r="L79" i="86" s="1"/>
  <c r="I141" i="86"/>
  <c r="L141" i="86" s="1"/>
  <c r="L41" i="37"/>
  <c r="O41" i="37" s="1"/>
  <c r="I92" i="86"/>
  <c r="L92" i="86" s="1"/>
  <c r="F8" i="37"/>
  <c r="F16" i="37"/>
  <c r="H9" i="37"/>
  <c r="I60" i="86"/>
  <c r="L60" i="86" s="1"/>
  <c r="D14" i="37"/>
  <c r="I82" i="86"/>
  <c r="L82" i="86" s="1"/>
  <c r="I14" i="86"/>
  <c r="L14" i="86" s="1"/>
  <c r="H20" i="37"/>
  <c r="D51" i="37"/>
  <c r="G51" i="37" s="1"/>
  <c r="I11" i="37"/>
  <c r="I68" i="86"/>
  <c r="L68" i="86" s="1"/>
  <c r="G16" i="37"/>
  <c r="F14" i="37"/>
  <c r="M8" i="37"/>
  <c r="I8" i="37"/>
  <c r="F22" i="37"/>
  <c r="I20" i="37"/>
  <c r="I70" i="86"/>
  <c r="L70" i="86" s="1"/>
  <c r="I107" i="86"/>
  <c r="L107" i="86" s="1"/>
  <c r="I168" i="86"/>
  <c r="L168" i="86" s="1"/>
  <c r="F18" i="37"/>
  <c r="I13" i="86"/>
  <c r="L13" i="86" s="1"/>
  <c r="I162" i="86"/>
  <c r="L162" i="86" s="1"/>
  <c r="H8" i="37"/>
  <c r="D18" i="37"/>
  <c r="I153" i="86"/>
  <c r="L153" i="86" s="1"/>
  <c r="D37" i="37"/>
  <c r="G37" i="37" s="1"/>
  <c r="H43" i="37"/>
  <c r="K43" i="37" s="1"/>
  <c r="I32" i="86"/>
  <c r="L32" i="86" s="1"/>
  <c r="I106" i="86"/>
  <c r="L106" i="86" s="1"/>
  <c r="I137" i="86"/>
  <c r="L137" i="86" s="1"/>
  <c r="I59" i="86"/>
  <c r="L59" i="86" s="1"/>
  <c r="I24" i="86"/>
  <c r="L24" i="86" s="1"/>
  <c r="L43" i="37"/>
  <c r="O43" i="37" s="1"/>
  <c r="I167" i="86"/>
  <c r="L167" i="86" s="1"/>
  <c r="I135" i="86"/>
  <c r="L135" i="86" s="1"/>
  <c r="I140" i="86"/>
  <c r="L140" i="86" s="1"/>
  <c r="D44" i="37"/>
  <c r="G44" i="37" s="1"/>
  <c r="I25" i="86"/>
  <c r="L25" i="86" s="1"/>
  <c r="D43" i="37"/>
  <c r="G43" i="37" s="1"/>
  <c r="I115" i="86"/>
  <c r="L115" i="86" s="1"/>
  <c r="G67" i="86"/>
  <c r="J67" i="86" s="1"/>
  <c r="G25" i="86"/>
  <c r="J25" i="86" s="1"/>
  <c r="D46" i="37"/>
  <c r="G46" i="37" s="1"/>
  <c r="G18" i="37"/>
  <c r="I102" i="86"/>
  <c r="L102" i="86" s="1"/>
  <c r="G36" i="86"/>
  <c r="J36" i="86" s="1"/>
  <c r="G158" i="86"/>
  <c r="J158" i="86" s="1"/>
  <c r="H80" i="86"/>
  <c r="K80" i="86" s="1"/>
  <c r="H83" i="86"/>
  <c r="K83" i="86" s="1"/>
  <c r="H37" i="37"/>
  <c r="K37" i="37" s="1"/>
  <c r="D41" i="37"/>
  <c r="G41" i="37" s="1"/>
  <c r="I34" i="86"/>
  <c r="L34" i="86" s="1"/>
  <c r="I93" i="86"/>
  <c r="L93" i="86" s="1"/>
  <c r="M14" i="37"/>
  <c r="L42" i="37"/>
  <c r="O42" i="37" s="1"/>
  <c r="I55" i="86"/>
  <c r="L55" i="86" s="1"/>
  <c r="I43" i="86"/>
  <c r="L43" i="86" s="1"/>
  <c r="I148" i="86"/>
  <c r="L148" i="86" s="1"/>
  <c r="H71" i="86"/>
  <c r="K71" i="86" s="1"/>
  <c r="H131" i="86"/>
  <c r="K131" i="86" s="1"/>
  <c r="H134" i="86"/>
  <c r="K134" i="86" s="1"/>
  <c r="G94" i="86"/>
  <c r="J94" i="86" s="1"/>
  <c r="G72" i="86"/>
  <c r="J72" i="86" s="1"/>
  <c r="G78" i="86"/>
  <c r="J78" i="86" s="1"/>
  <c r="G90" i="86"/>
  <c r="H127" i="86"/>
  <c r="K127" i="86" s="1"/>
  <c r="G40" i="86"/>
  <c r="J40" i="86" s="1"/>
  <c r="G150" i="86"/>
  <c r="J150" i="86" s="1"/>
  <c r="I54" i="86"/>
  <c r="L54" i="86" s="1"/>
  <c r="I151" i="86"/>
  <c r="L151" i="86" s="1"/>
  <c r="I130" i="86"/>
  <c r="L130" i="86" s="1"/>
  <c r="I57" i="86"/>
  <c r="L57" i="86" s="1"/>
  <c r="G160" i="86"/>
  <c r="J160" i="86" s="1"/>
  <c r="K19" i="37"/>
  <c r="G62" i="86"/>
  <c r="J62" i="86" s="1"/>
  <c r="H90" i="86"/>
  <c r="K90" i="86" s="1"/>
  <c r="D35" i="37"/>
  <c r="G35" i="37" s="1"/>
  <c r="H85" i="86"/>
  <c r="K85" i="86" s="1"/>
  <c r="H120" i="86"/>
  <c r="K120" i="86" s="1"/>
  <c r="L21" i="37"/>
  <c r="H102" i="86"/>
  <c r="K102" i="86" s="1"/>
  <c r="H29" i="86"/>
  <c r="K29" i="86" s="1"/>
  <c r="H72" i="86"/>
  <c r="K72" i="86" s="1"/>
  <c r="G114" i="86"/>
  <c r="J114" i="86" s="1"/>
  <c r="G134" i="86"/>
  <c r="J134" i="86" s="1"/>
  <c r="G60" i="86"/>
  <c r="J60" i="86" s="1"/>
  <c r="G148" i="86"/>
  <c r="G32" i="86"/>
  <c r="J32" i="86" s="1"/>
  <c r="I23" i="86"/>
  <c r="L23" i="86" s="1"/>
  <c r="H45" i="37"/>
  <c r="K45" i="37" s="1"/>
  <c r="G22" i="86"/>
  <c r="J22" i="86" s="1"/>
  <c r="G27" i="86"/>
  <c r="J27" i="86" s="1"/>
  <c r="G101" i="86"/>
  <c r="J101" i="86" s="1"/>
  <c r="G20" i="86"/>
  <c r="J20" i="86" s="1"/>
  <c r="G147" i="86"/>
  <c r="G111" i="86"/>
  <c r="J111" i="86" s="1"/>
  <c r="G65" i="86"/>
  <c r="J65" i="86" s="1"/>
  <c r="H89" i="86"/>
  <c r="K89" i="86" s="1"/>
  <c r="H158" i="86"/>
  <c r="K158" i="86" s="1"/>
  <c r="G14" i="86"/>
  <c r="J14" i="86" s="1"/>
  <c r="H68" i="86"/>
  <c r="K68" i="86" s="1"/>
  <c r="H60" i="86"/>
  <c r="K60" i="86" s="1"/>
  <c r="H129" i="86"/>
  <c r="K129" i="86" s="1"/>
  <c r="J24" i="37"/>
  <c r="D47" i="37"/>
  <c r="G47" i="37" s="1"/>
  <c r="M22" i="37"/>
  <c r="I28" i="86"/>
  <c r="L28" i="86" s="1"/>
  <c r="G22" i="37"/>
  <c r="H36" i="37"/>
  <c r="K36" i="37" s="1"/>
  <c r="D10" i="37"/>
  <c r="L36" i="37"/>
  <c r="O36" i="37" s="1"/>
  <c r="L50" i="37"/>
  <c r="O50" i="37" s="1"/>
  <c r="G30" i="86"/>
  <c r="J30" i="86" s="1"/>
  <c r="H22" i="86"/>
  <c r="K22" i="86" s="1"/>
  <c r="G120" i="86"/>
  <c r="J120" i="86" s="1"/>
  <c r="G126" i="86"/>
  <c r="J126" i="86" s="1"/>
  <c r="G11" i="86"/>
  <c r="J11" i="86" s="1"/>
  <c r="G15" i="86"/>
  <c r="J15" i="86" s="1"/>
  <c r="G103" i="86"/>
  <c r="J103" i="86" s="1"/>
  <c r="G69" i="86"/>
  <c r="J69" i="86" s="1"/>
  <c r="L45" i="37"/>
  <c r="O45" i="37" s="1"/>
  <c r="G152" i="86"/>
  <c r="J152" i="86" s="1"/>
  <c r="G89" i="86"/>
  <c r="J89" i="86" s="1"/>
  <c r="G33" i="86"/>
  <c r="J33" i="86" s="1"/>
  <c r="H159" i="86"/>
  <c r="K159" i="86" s="1"/>
  <c r="G56" i="86"/>
  <c r="J56" i="86" s="1"/>
  <c r="H141" i="86"/>
  <c r="K141" i="86" s="1"/>
  <c r="I11" i="86"/>
  <c r="L11" i="86" s="1"/>
  <c r="M10" i="37"/>
  <c r="H10" i="37"/>
  <c r="G9" i="37"/>
  <c r="I22" i="37"/>
  <c r="G28" i="86"/>
  <c r="J28" i="86" s="1"/>
  <c r="H25" i="37"/>
  <c r="H70" i="86"/>
  <c r="K70" i="86" s="1"/>
  <c r="H64" i="86"/>
  <c r="K64" i="86" s="1"/>
  <c r="H126" i="86"/>
  <c r="K126" i="86" s="1"/>
  <c r="G21" i="37"/>
  <c r="G4" i="86"/>
  <c r="J4" i="86" s="1"/>
  <c r="G153" i="86"/>
  <c r="J153" i="86" s="1"/>
  <c r="K21" i="37"/>
  <c r="G102" i="86"/>
  <c r="J102" i="86" s="1"/>
  <c r="H152" i="86"/>
  <c r="K152" i="86" s="1"/>
  <c r="H56" i="86"/>
  <c r="K56" i="86" s="1"/>
  <c r="H165" i="86"/>
  <c r="K165" i="86" s="1"/>
  <c r="H107" i="86"/>
  <c r="K107" i="86" s="1"/>
  <c r="J11" i="37"/>
  <c r="J8" i="37"/>
  <c r="G17" i="86"/>
  <c r="J17" i="86" s="1"/>
  <c r="L25" i="37"/>
  <c r="H11" i="86"/>
  <c r="K11" i="86" s="1"/>
  <c r="G25" i="37"/>
  <c r="I56" i="86"/>
  <c r="L56" i="86" s="1"/>
  <c r="H146" i="86"/>
  <c r="K146" i="86" s="1"/>
  <c r="D25" i="37"/>
  <c r="H113" i="86"/>
  <c r="K113" i="86" s="1"/>
  <c r="G141" i="86"/>
  <c r="N17" i="37"/>
  <c r="K26" i="37"/>
  <c r="K18" i="37"/>
  <c r="K11" i="37"/>
  <c r="H79" i="86"/>
  <c r="K79" i="86" s="1"/>
  <c r="H167" i="86"/>
  <c r="K167" i="86" s="1"/>
  <c r="N22" i="37"/>
  <c r="H18" i="86"/>
  <c r="K18" i="86" s="1"/>
  <c r="J25" i="37"/>
  <c r="H162" i="86"/>
  <c r="K162" i="86" s="1"/>
  <c r="H62" i="86"/>
  <c r="K62" i="86" s="1"/>
  <c r="G28" i="37"/>
  <c r="H39" i="86"/>
  <c r="K39" i="86" s="1"/>
  <c r="L18" i="37"/>
  <c r="H65" i="86"/>
  <c r="K65" i="86" s="1"/>
  <c r="M20" i="37"/>
  <c r="L27" i="37"/>
  <c r="H100" i="86"/>
  <c r="K100" i="86" s="1"/>
  <c r="H101" i="86"/>
  <c r="K101" i="86" s="1"/>
  <c r="L9" i="37"/>
  <c r="G163" i="86"/>
  <c r="J163" i="86" s="1"/>
  <c r="D28" i="37"/>
  <c r="G165" i="86"/>
  <c r="J165" i="86" s="1"/>
  <c r="G144" i="86"/>
  <c r="J144" i="86" s="1"/>
  <c r="G106" i="86"/>
  <c r="J106" i="86" s="1"/>
  <c r="G24" i="86"/>
  <c r="J24" i="86" s="1"/>
  <c r="L11" i="37"/>
  <c r="G85" i="86"/>
  <c r="J85" i="86" s="1"/>
  <c r="H92" i="86"/>
  <c r="K92" i="86" s="1"/>
  <c r="L10" i="37"/>
  <c r="J17" i="37"/>
  <c r="M25" i="37"/>
  <c r="L19" i="37"/>
  <c r="L20" i="37"/>
  <c r="H124" i="86"/>
  <c r="K124" i="86" s="1"/>
  <c r="H36" i="86"/>
  <c r="K36" i="86" s="1"/>
  <c r="H14" i="86"/>
  <c r="K14" i="86" s="1"/>
  <c r="H106" i="86"/>
  <c r="K106" i="86" s="1"/>
  <c r="H147" i="86"/>
  <c r="K147" i="86" s="1"/>
  <c r="H57" i="86"/>
  <c r="K57" i="86" s="1"/>
  <c r="H12" i="86"/>
  <c r="K12" i="86" s="1"/>
  <c r="H114" i="86"/>
  <c r="K114" i="86" s="1"/>
  <c r="H10" i="86"/>
  <c r="K10" i="86" s="1"/>
  <c r="H88" i="86"/>
  <c r="K88" i="86" s="1"/>
  <c r="G2" i="86"/>
  <c r="J2" i="86" s="1"/>
  <c r="G112" i="86"/>
  <c r="G55" i="86"/>
  <c r="J55" i="86" s="1"/>
  <c r="G21" i="86"/>
  <c r="J21" i="86" s="1"/>
  <c r="G57" i="86"/>
  <c r="J57" i="86" s="1"/>
  <c r="G10" i="86"/>
  <c r="G88" i="86"/>
  <c r="J88" i="86" s="1"/>
  <c r="G13" i="86"/>
  <c r="J13" i="86" s="1"/>
  <c r="F28" i="37"/>
  <c r="G116" i="86"/>
  <c r="J116" i="86" s="1"/>
  <c r="G113" i="86"/>
  <c r="G156" i="86"/>
  <c r="J156" i="86" s="1"/>
  <c r="H112" i="86"/>
  <c r="K112" i="86" s="1"/>
  <c r="N27" i="37"/>
  <c r="H116" i="86"/>
  <c r="K116" i="86" s="1"/>
  <c r="F21" i="37"/>
  <c r="H50" i="37"/>
  <c r="K50" i="37" s="1"/>
  <c r="I10" i="37"/>
  <c r="G10" i="37"/>
  <c r="D50" i="37"/>
  <c r="G50" i="37" s="1"/>
  <c r="L53" i="37"/>
  <c r="O53" i="37" s="1"/>
  <c r="I25" i="37"/>
  <c r="M28" i="37"/>
  <c r="H28" i="37"/>
  <c r="G99" i="86"/>
  <c r="J99" i="86" s="1"/>
  <c r="G100" i="86"/>
  <c r="J100" i="86" s="1"/>
  <c r="G140" i="86"/>
  <c r="J140" i="86" s="1"/>
  <c r="G121" i="86"/>
  <c r="J121" i="86" s="1"/>
  <c r="G12" i="86"/>
  <c r="J12" i="86" s="1"/>
  <c r="G142" i="86"/>
  <c r="J142" i="86" s="1"/>
  <c r="H59" i="86"/>
  <c r="K59" i="86" s="1"/>
  <c r="N11" i="37"/>
  <c r="H160" i="86"/>
  <c r="K160" i="86" s="1"/>
  <c r="K25" i="37"/>
  <c r="I136" i="86"/>
  <c r="L136" i="86" s="1"/>
  <c r="H17" i="86"/>
  <c r="K17" i="86" s="1"/>
  <c r="G96" i="86"/>
  <c r="J96" i="86" s="1"/>
  <c r="G167" i="86"/>
  <c r="J167" i="86" s="1"/>
  <c r="G131" i="86"/>
  <c r="J131" i="86" s="1"/>
  <c r="K16" i="37"/>
  <c r="G149" i="86"/>
  <c r="J149" i="86" s="1"/>
  <c r="G29" i="86"/>
  <c r="J29" i="86" s="1"/>
  <c r="N21" i="37"/>
  <c r="R15" i="43"/>
  <c r="G59" i="86"/>
  <c r="J59" i="86" s="1"/>
  <c r="K28" i="37"/>
  <c r="G128" i="86"/>
  <c r="J128" i="86" s="1"/>
  <c r="H27" i="86"/>
  <c r="K27" i="86" s="1"/>
  <c r="H148" i="86"/>
  <c r="K148" i="86" s="1"/>
  <c r="H98" i="86"/>
  <c r="K98" i="86" s="1"/>
  <c r="H24" i="86"/>
  <c r="K24" i="86" s="1"/>
  <c r="H96" i="86"/>
  <c r="K96" i="86" s="1"/>
  <c r="G97" i="86"/>
  <c r="J97" i="86" s="1"/>
  <c r="G136" i="86"/>
  <c r="J136" i="86" s="1"/>
  <c r="G95" i="86"/>
  <c r="J95" i="86" s="1"/>
  <c r="H32" i="86"/>
  <c r="K32" i="86" s="1"/>
  <c r="H140" i="86"/>
  <c r="K140" i="86" s="1"/>
  <c r="H157" i="86"/>
  <c r="K157" i="86" s="1"/>
  <c r="H121" i="86"/>
  <c r="K121" i="86" s="1"/>
  <c r="H28" i="86"/>
  <c r="K28" i="86" s="1"/>
  <c r="H142" i="86"/>
  <c r="K142" i="86" s="1"/>
  <c r="H153" i="86"/>
  <c r="K153" i="86" s="1"/>
  <c r="H97" i="86"/>
  <c r="K97" i="86" s="1"/>
  <c r="H91" i="86"/>
  <c r="K91" i="86" s="1"/>
  <c r="N23" i="37"/>
  <c r="J21" i="37"/>
  <c r="H103" i="86"/>
  <c r="K103" i="86" s="1"/>
  <c r="H54" i="86"/>
  <c r="K54" i="86" s="1"/>
  <c r="N25" i="37"/>
  <c r="H53" i="37"/>
  <c r="K53" i="37" s="1"/>
  <c r="J19" i="37"/>
  <c r="F25" i="37"/>
  <c r="N10" i="37"/>
  <c r="I165" i="86"/>
  <c r="L165" i="86" s="1"/>
  <c r="G91" i="86"/>
  <c r="J91" i="86" s="1"/>
  <c r="G9" i="86"/>
  <c r="G155" i="86"/>
  <c r="M17" i="36"/>
  <c r="N15" i="36"/>
  <c r="AL29" i="40"/>
  <c r="AM29" i="40"/>
  <c r="O25" i="36"/>
  <c r="O20" i="36"/>
  <c r="AO29" i="40"/>
  <c r="L22" i="37"/>
  <c r="L26" i="37"/>
  <c r="N20" i="37"/>
  <c r="N18" i="37"/>
  <c r="J26" i="37"/>
  <c r="J28" i="37"/>
  <c r="J10" i="37"/>
  <c r="J20" i="37"/>
  <c r="J14" i="37"/>
  <c r="J16" i="37"/>
  <c r="J23" i="37"/>
  <c r="J9" i="37"/>
  <c r="G137" i="86"/>
  <c r="J137" i="86" s="1"/>
  <c r="G168" i="86"/>
  <c r="J168" i="86" s="1"/>
  <c r="G34" i="86"/>
  <c r="J34" i="86" s="1"/>
  <c r="G107" i="86"/>
  <c r="J107" i="86" s="1"/>
  <c r="G117" i="86"/>
  <c r="G79" i="86"/>
  <c r="J79" i="86" s="1"/>
  <c r="G92" i="86"/>
  <c r="G159" i="86"/>
  <c r="J159" i="86" s="1"/>
  <c r="H130" i="86"/>
  <c r="K130" i="86" s="1"/>
  <c r="H95" i="86"/>
  <c r="K95" i="86" s="1"/>
  <c r="H128" i="86"/>
  <c r="K128" i="86" s="1"/>
  <c r="H2" i="86"/>
  <c r="K2" i="86" s="1"/>
  <c r="N8" i="37"/>
  <c r="N28" i="37"/>
  <c r="J22" i="37"/>
  <c r="N16" i="37"/>
  <c r="N14" i="37"/>
  <c r="K22" i="37"/>
  <c r="K8" i="37"/>
  <c r="G139" i="86"/>
  <c r="J139" i="86" s="1"/>
  <c r="G80" i="86"/>
  <c r="J80" i="86" s="1"/>
  <c r="G157" i="86"/>
  <c r="J157" i="86" s="1"/>
  <c r="K23" i="37"/>
  <c r="G18" i="86"/>
  <c r="J18" i="86" s="1"/>
  <c r="G162" i="86"/>
  <c r="J162" i="86" s="1"/>
  <c r="G82" i="86"/>
  <c r="K9" i="37"/>
  <c r="H69" i="86"/>
  <c r="K69" i="86" s="1"/>
  <c r="L16" i="37"/>
  <c r="H137" i="86"/>
  <c r="K137" i="86" s="1"/>
  <c r="G6" i="86"/>
  <c r="G166" i="86"/>
  <c r="J166" i="86" s="1"/>
  <c r="G35" i="86"/>
  <c r="J35" i="86" s="1"/>
  <c r="K10" i="37"/>
  <c r="H99" i="86"/>
  <c r="K99" i="86" s="1"/>
  <c r="L8" i="37"/>
  <c r="H139" i="86"/>
  <c r="K139" i="86" s="1"/>
  <c r="H25" i="86"/>
  <c r="K25" i="86" s="1"/>
  <c r="H168" i="86"/>
  <c r="K168" i="86" s="1"/>
  <c r="H55" i="86"/>
  <c r="K55" i="86" s="1"/>
  <c r="N26" i="37"/>
  <c r="N9" i="37"/>
  <c r="N19" i="37"/>
  <c r="H67" i="86"/>
  <c r="K67" i="86" s="1"/>
  <c r="H135" i="86"/>
  <c r="K135" i="86" s="1"/>
  <c r="H149" i="86"/>
  <c r="K149" i="86" s="1"/>
  <c r="H150" i="86"/>
  <c r="K150" i="86" s="1"/>
  <c r="L14" i="37"/>
  <c r="H20" i="86"/>
  <c r="K20" i="86" s="1"/>
  <c r="H163" i="86"/>
  <c r="K163" i="86" s="1"/>
  <c r="H33" i="86"/>
  <c r="K33" i="86" s="1"/>
  <c r="H78" i="86"/>
  <c r="K78" i="86" s="1"/>
  <c r="H6" i="86"/>
  <c r="K6" i="86" s="1"/>
  <c r="H166" i="86"/>
  <c r="K166" i="86" s="1"/>
  <c r="L17" i="37"/>
  <c r="H34" i="86"/>
  <c r="K34" i="86" s="1"/>
  <c r="H93" i="86"/>
  <c r="K93" i="86" s="1"/>
  <c r="H23" i="86"/>
  <c r="K23" i="86" s="1"/>
  <c r="H136" i="86"/>
  <c r="K136" i="86" s="1"/>
  <c r="H143" i="86"/>
  <c r="K143" i="86" s="1"/>
  <c r="J18" i="37"/>
  <c r="I28" i="37"/>
  <c r="D53" i="37"/>
  <c r="G53" i="37" s="1"/>
  <c r="G70" i="86"/>
  <c r="G68" i="86"/>
  <c r="J68" i="86" s="1"/>
  <c r="H144" i="86"/>
  <c r="K144" i="86" s="1"/>
  <c r="K14" i="37"/>
  <c r="K27" i="37"/>
  <c r="I21" i="37"/>
  <c r="L28" i="37"/>
  <c r="K20" i="37"/>
  <c r="H21" i="86"/>
  <c r="K21" i="86" s="1"/>
  <c r="G37" i="86"/>
  <c r="J37" i="86" s="1"/>
  <c r="L23" i="37"/>
  <c r="H15" i="86"/>
  <c r="K15" i="86" s="1"/>
  <c r="H30" i="86"/>
  <c r="K30" i="86" s="1"/>
  <c r="O9" i="36"/>
  <c r="AC24" i="66"/>
  <c r="AG24" i="66"/>
  <c r="Z24" i="66" s="1"/>
  <c r="AB24" i="66"/>
  <c r="M21" i="36"/>
  <c r="O15" i="36"/>
  <c r="M22" i="36"/>
  <c r="M27" i="36"/>
  <c r="O27" i="36"/>
  <c r="O18" i="36"/>
  <c r="N9" i="36"/>
  <c r="O16" i="36"/>
  <c r="N20" i="36"/>
  <c r="M20" i="36"/>
  <c r="N8" i="36"/>
  <c r="O8" i="36"/>
  <c r="N25" i="36"/>
  <c r="M25" i="36"/>
  <c r="M16" i="86"/>
  <c r="M53" i="86"/>
  <c r="M26" i="86"/>
  <c r="M47" i="86"/>
  <c r="M108" i="86"/>
  <c r="M45" i="86"/>
  <c r="M38" i="86"/>
  <c r="M77" i="86"/>
  <c r="M41" i="86"/>
  <c r="M110" i="86"/>
  <c r="M119" i="86"/>
  <c r="F19" i="43"/>
  <c r="G19" i="43" s="1"/>
  <c r="O15" i="43"/>
  <c r="P15" i="43" s="1"/>
  <c r="O14" i="43"/>
  <c r="AD21" i="43" s="1"/>
  <c r="AE21" i="43" s="1"/>
  <c r="F18" i="43"/>
  <c r="G18" i="43" s="1"/>
  <c r="J18" i="43" s="1"/>
  <c r="J138" i="86"/>
  <c r="M138" i="86"/>
  <c r="F16" i="43"/>
  <c r="J42" i="86"/>
  <c r="M42" i="86"/>
  <c r="M122" i="86"/>
  <c r="M109" i="86"/>
  <c r="J109" i="86"/>
  <c r="M52" i="86"/>
  <c r="J52" i="86"/>
  <c r="J105" i="86"/>
  <c r="M105" i="86"/>
  <c r="M123" i="86"/>
  <c r="J123" i="86"/>
  <c r="J43" i="86"/>
  <c r="J31" i="86"/>
  <c r="M31" i="86"/>
  <c r="M7" i="86"/>
  <c r="M125" i="86"/>
  <c r="J125" i="86"/>
  <c r="J104" i="86"/>
  <c r="M104" i="86"/>
  <c r="M61" i="86"/>
  <c r="J61" i="86"/>
  <c r="J84" i="86"/>
  <c r="M84" i="86"/>
  <c r="J133" i="86"/>
  <c r="M133" i="86"/>
  <c r="J75" i="86"/>
  <c r="M75" i="86"/>
  <c r="J76" i="86"/>
  <c r="M76" i="86"/>
  <c r="F17" i="43"/>
  <c r="G17" i="43" s="1"/>
  <c r="J17" i="43" s="1"/>
  <c r="M118" i="86"/>
  <c r="M49" i="86"/>
  <c r="M132" i="86"/>
  <c r="J132" i="86"/>
  <c r="M46" i="86"/>
  <c r="M48" i="86"/>
  <c r="M145" i="86"/>
  <c r="J122" i="86"/>
  <c r="J154" i="86"/>
  <c r="M154" i="86"/>
  <c r="J86" i="86"/>
  <c r="M86" i="86"/>
  <c r="M74" i="86"/>
  <c r="J39" i="86"/>
  <c r="J73" i="86"/>
  <c r="M73" i="86"/>
  <c r="M81" i="86"/>
  <c r="M161" i="86"/>
  <c r="N19" i="36"/>
  <c r="F40" i="40"/>
  <c r="J35" i="40" l="1"/>
  <c r="I36" i="40"/>
  <c r="I33" i="40"/>
  <c r="J33" i="40"/>
  <c r="J38" i="40"/>
  <c r="J39" i="40"/>
  <c r="J36" i="40"/>
  <c r="I37" i="40"/>
  <c r="I38" i="40"/>
  <c r="J37" i="40"/>
  <c r="J34" i="40"/>
  <c r="I35" i="40"/>
  <c r="I34" i="40"/>
  <c r="I39" i="40"/>
  <c r="S15" i="43"/>
  <c r="M28" i="36"/>
  <c r="M58" i="86"/>
  <c r="M19" i="86"/>
  <c r="M71" i="86"/>
  <c r="M51" i="86"/>
  <c r="M50" i="86"/>
  <c r="M164" i="86"/>
  <c r="M63" i="86"/>
  <c r="M151" i="86"/>
  <c r="M9" i="86"/>
  <c r="M113" i="86"/>
  <c r="M87" i="86"/>
  <c r="M115" i="86"/>
  <c r="M3" i="86"/>
  <c r="Z19" i="43"/>
  <c r="AA19" i="43" s="1"/>
  <c r="J19" i="43"/>
  <c r="M60" i="86"/>
  <c r="M40" i="86"/>
  <c r="M44" i="86"/>
  <c r="M62" i="86"/>
  <c r="M146" i="86"/>
  <c r="M5" i="86"/>
  <c r="M111" i="86"/>
  <c r="M94" i="86"/>
  <c r="M8" i="86"/>
  <c r="M101" i="86"/>
  <c r="M155" i="86"/>
  <c r="M120" i="86"/>
  <c r="M147" i="86"/>
  <c r="M90" i="86"/>
  <c r="M127" i="86"/>
  <c r="M66" i="86"/>
  <c r="J146" i="86"/>
  <c r="J113" i="86"/>
  <c r="J90" i="86"/>
  <c r="M32" i="86"/>
  <c r="M158" i="86"/>
  <c r="M129" i="86"/>
  <c r="M148" i="86"/>
  <c r="M64" i="86"/>
  <c r="M82" i="86"/>
  <c r="D29" i="37"/>
  <c r="G29" i="37"/>
  <c r="J147" i="86"/>
  <c r="M89" i="86"/>
  <c r="M131" i="86"/>
  <c r="M134" i="86"/>
  <c r="M117" i="86"/>
  <c r="M65" i="86"/>
  <c r="M22" i="86"/>
  <c r="M83" i="86"/>
  <c r="M43" i="86"/>
  <c r="J148" i="86"/>
  <c r="M124" i="86"/>
  <c r="H29" i="37"/>
  <c r="M156" i="86"/>
  <c r="M141" i="86"/>
  <c r="M11" i="86"/>
  <c r="M167" i="86"/>
  <c r="M152" i="86"/>
  <c r="M4" i="86"/>
  <c r="M70" i="86"/>
  <c r="M72" i="86"/>
  <c r="O54" i="37"/>
  <c r="E29" i="37"/>
  <c r="J141" i="86"/>
  <c r="M85" i="86"/>
  <c r="M29" i="37"/>
  <c r="M17" i="86"/>
  <c r="M88" i="86"/>
  <c r="M126" i="86"/>
  <c r="M54" i="86"/>
  <c r="M36" i="86"/>
  <c r="M56" i="86"/>
  <c r="M13" i="86"/>
  <c r="M59" i="86"/>
  <c r="F29" i="37"/>
  <c r="M12" i="86"/>
  <c r="M160" i="86"/>
  <c r="J117" i="86"/>
  <c r="M102" i="86"/>
  <c r="M14" i="86"/>
  <c r="M39" i="86"/>
  <c r="J155" i="86"/>
  <c r="M140" i="86"/>
  <c r="M57" i="86"/>
  <c r="L54" i="37"/>
  <c r="I29" i="37"/>
  <c r="M10" i="86"/>
  <c r="M112" i="86"/>
  <c r="M80" i="86"/>
  <c r="M92" i="86"/>
  <c r="M29" i="86"/>
  <c r="J29" i="37"/>
  <c r="J112" i="86"/>
  <c r="K54" i="37"/>
  <c r="M142" i="86"/>
  <c r="M2" i="86"/>
  <c r="M116" i="86"/>
  <c r="J10" i="86"/>
  <c r="M153" i="86"/>
  <c r="M100" i="86"/>
  <c r="M55" i="86"/>
  <c r="M106" i="86"/>
  <c r="H54" i="37"/>
  <c r="K29" i="37"/>
  <c r="N29" i="37"/>
  <c r="M114" i="86"/>
  <c r="M69" i="86"/>
  <c r="M98" i="86"/>
  <c r="M165" i="86"/>
  <c r="M103" i="86"/>
  <c r="M97" i="86"/>
  <c r="M107" i="86"/>
  <c r="M91" i="86"/>
  <c r="J9" i="86"/>
  <c r="M121" i="86"/>
  <c r="M67" i="86"/>
  <c r="M159" i="86"/>
  <c r="M18" i="86"/>
  <c r="M28" i="86"/>
  <c r="M143" i="86"/>
  <c r="M27" i="86"/>
  <c r="M96" i="86"/>
  <c r="L29" i="37"/>
  <c r="M24" i="86"/>
  <c r="D54" i="37"/>
  <c r="M37" i="86"/>
  <c r="M139" i="86"/>
  <c r="M157" i="86"/>
  <c r="M79" i="86"/>
  <c r="M93" i="86"/>
  <c r="M33" i="86"/>
  <c r="M130" i="86"/>
  <c r="M162" i="86"/>
  <c r="M35" i="86"/>
  <c r="M135" i="86"/>
  <c r="M136" i="86"/>
  <c r="M20" i="86"/>
  <c r="M21" i="86"/>
  <c r="M68" i="86"/>
  <c r="M144" i="86"/>
  <c r="J70" i="86"/>
  <c r="M6" i="86"/>
  <c r="J82" i="86"/>
  <c r="M166" i="86"/>
  <c r="J6" i="86"/>
  <c r="J92" i="86"/>
  <c r="G54" i="37"/>
  <c r="M34" i="86"/>
  <c r="M168" i="86"/>
  <c r="M149" i="86"/>
  <c r="M150" i="86"/>
  <c r="M99" i="86"/>
  <c r="M128" i="86"/>
  <c r="M163" i="86"/>
  <c r="M95" i="86"/>
  <c r="M15" i="86"/>
  <c r="M23" i="86"/>
  <c r="M137" i="86"/>
  <c r="M25" i="86"/>
  <c r="M78" i="86"/>
  <c r="M30" i="86"/>
  <c r="O28" i="36"/>
  <c r="Z22" i="43"/>
  <c r="AA22" i="43" s="1"/>
  <c r="AD22" i="43"/>
  <c r="AE22" i="43" s="1"/>
  <c r="AD15" i="43"/>
  <c r="AE15" i="43" s="1"/>
  <c r="Z15" i="43"/>
  <c r="AA15" i="43" s="1"/>
  <c r="Z17" i="43"/>
  <c r="AA17" i="43" s="1"/>
  <c r="AD19" i="43"/>
  <c r="AE19" i="43" s="1"/>
  <c r="AD17" i="43"/>
  <c r="AE17" i="43" s="1"/>
  <c r="AD14" i="43"/>
  <c r="AE14" i="43" s="1"/>
  <c r="P14" i="43"/>
  <c r="S14" i="43" s="1"/>
  <c r="P13" i="43"/>
  <c r="AD18" i="43"/>
  <c r="AE18" i="43" s="1"/>
  <c r="Z18" i="43"/>
  <c r="AA18" i="43" s="1"/>
  <c r="AD13" i="43"/>
  <c r="AE13" i="43" s="1"/>
  <c r="G16" i="43"/>
  <c r="AD16" i="43"/>
  <c r="AE16" i="43" s="1"/>
  <c r="Z13" i="43"/>
  <c r="AA13" i="43" s="1"/>
  <c r="Z14" i="43"/>
  <c r="AA14" i="43" s="1"/>
  <c r="I40" i="40" l="1"/>
  <c r="J40" i="40"/>
  <c r="Z20" i="43"/>
  <c r="AA20" i="43" s="1"/>
  <c r="S13" i="43"/>
  <c r="Z21" i="43"/>
  <c r="AA21" i="43" s="1"/>
  <c r="Z16" i="43"/>
  <c r="AA16" i="43" s="1"/>
  <c r="J16" i="43"/>
</calcChain>
</file>

<file path=xl/sharedStrings.xml><?xml version="1.0" encoding="utf-8"?>
<sst xmlns="http://schemas.openxmlformats.org/spreadsheetml/2006/main" count="18016" uniqueCount="1492">
  <si>
    <t>Township</t>
  </si>
  <si>
    <t>Longitude</t>
  </si>
  <si>
    <t>HH</t>
  </si>
  <si>
    <t>Total</t>
  </si>
  <si>
    <t>MMR001CMP050</t>
  </si>
  <si>
    <t>Bhamo</t>
  </si>
  <si>
    <t>AD-2000 Tharthana Compound</t>
  </si>
  <si>
    <t>MMR001CMP051</t>
  </si>
  <si>
    <t>Mu-yin Baptist Church</t>
  </si>
  <si>
    <t>MMR001CMP153</t>
  </si>
  <si>
    <t>Daw Hpum Yang Ninghtawn</t>
  </si>
  <si>
    <t>MMR001CMP163</t>
  </si>
  <si>
    <t>Host Families</t>
  </si>
  <si>
    <t>MMR001CMP052</t>
  </si>
  <si>
    <t>Htoi San Church</t>
  </si>
  <si>
    <t>MMR001CMP048</t>
  </si>
  <si>
    <t>Kannar Yeik Thar</t>
  </si>
  <si>
    <t>MMR001CMP049</t>
  </si>
  <si>
    <t>Lisu Boarding-House</t>
  </si>
  <si>
    <t>MMR001CMP054</t>
  </si>
  <si>
    <t>Nant Hlaing Church</t>
  </si>
  <si>
    <t>MMR001CMP047</t>
  </si>
  <si>
    <t>Robert Church</t>
  </si>
  <si>
    <t>MMR001CMP055</t>
  </si>
  <si>
    <t>Ta Gun Taing Monastery (Shwe Kyi Na)</t>
  </si>
  <si>
    <t>MMR001CMP053</t>
  </si>
  <si>
    <t>Yoe Kyi Monastery</t>
  </si>
  <si>
    <t>Chipwi</t>
  </si>
  <si>
    <t>Chipwi KBC camp</t>
  </si>
  <si>
    <t>MMR001CMP043</t>
  </si>
  <si>
    <t>MMR001CMP042</t>
  </si>
  <si>
    <t>MMR001CMP046</t>
  </si>
  <si>
    <t>Gant Gwin</t>
  </si>
  <si>
    <t>MMR001CMP045</t>
  </si>
  <si>
    <t xml:space="preserve">Lan Jaw </t>
  </si>
  <si>
    <t>Lawk Hkawng Ginwang</t>
  </si>
  <si>
    <t>MMR001CMP044</t>
  </si>
  <si>
    <t>Women's Affairs Association Building</t>
  </si>
  <si>
    <t>MMR001CMP173</t>
  </si>
  <si>
    <t>Anglican Church, Hmaw Si Sar</t>
  </si>
  <si>
    <t>MMR001CMP176</t>
  </si>
  <si>
    <t>AG Church, Hmaw Si Sa</t>
  </si>
  <si>
    <t>MMR001CMP190</t>
  </si>
  <si>
    <t>AG Church, Maw Wan</t>
  </si>
  <si>
    <t>Hmaw Wan, Anglican</t>
  </si>
  <si>
    <t>MMR001CMP191</t>
  </si>
  <si>
    <t>MMR001CMP192</t>
  </si>
  <si>
    <t>MMR001CMP170</t>
  </si>
  <si>
    <t>Away Yar Rama Monastery, Ka Day village</t>
  </si>
  <si>
    <t>MMR001CMP092</t>
  </si>
  <si>
    <t xml:space="preserve">Aye Mya Tharyar Church of Christ </t>
  </si>
  <si>
    <t>MMR001CMP169</t>
  </si>
  <si>
    <t>Baptist Church, Hmaw Si Sar(Lon Khin)</t>
  </si>
  <si>
    <t>MMR001CMP094</t>
  </si>
  <si>
    <t>Mashi Kahtawng Baptist  Church</t>
  </si>
  <si>
    <t>MMR001CMP189</t>
  </si>
  <si>
    <t>Hmaw Wan, Baptist Christian Church</t>
  </si>
  <si>
    <t>MMR001CMP188</t>
  </si>
  <si>
    <t>Baptist Church, Naung Hmee VT</t>
  </si>
  <si>
    <t>MMR001CMP172</t>
  </si>
  <si>
    <t>Baptist Church, Sai Ra village</t>
  </si>
  <si>
    <t>MMR001CMP179</t>
  </si>
  <si>
    <t>5 Ward Baptist Church(lon Khin)</t>
  </si>
  <si>
    <t>MMR001CMP185</t>
  </si>
  <si>
    <t>Ward 2 Cahotlic Church, Seik Mu</t>
  </si>
  <si>
    <t>MMR001CMP093</t>
  </si>
  <si>
    <t>Mashi Kahtawng Catholic Church</t>
  </si>
  <si>
    <t>MMR001CMP090</t>
  </si>
  <si>
    <t>Maw Wan, Catholic Church</t>
  </si>
  <si>
    <t>MMR001CMP086</t>
  </si>
  <si>
    <t>Chin(Zomi) Baptist Church</t>
  </si>
  <si>
    <t>MMR001CMP109</t>
  </si>
  <si>
    <t>Chin Church, Seik Mu</t>
  </si>
  <si>
    <t>MMR001CMP175</t>
  </si>
  <si>
    <t>Wrad(5) Christian Association</t>
  </si>
  <si>
    <t>MMR001CMP174</t>
  </si>
  <si>
    <t>Dhama Rakhita, Nyein Chan Tar Yar Ward(Lon Khin)</t>
  </si>
  <si>
    <t>MMR001CMP180</t>
  </si>
  <si>
    <t>Ei Wan Gali Asso., Ward 1, Seik Mu</t>
  </si>
  <si>
    <t>MMR001CMP096</t>
  </si>
  <si>
    <t>Mashi Kahtawng Evangelical Church</t>
  </si>
  <si>
    <t>MMR001CMP186</t>
  </si>
  <si>
    <t>Free Christian Asso., Ward 1, Seik Mu</t>
  </si>
  <si>
    <t>MMR001CMP085</t>
  </si>
  <si>
    <t>Maw Wan, Kachin Baptist Church</t>
  </si>
  <si>
    <t>MMR001CMP084</t>
  </si>
  <si>
    <t>Maw Wan, Kyauk Hlaing Gu Pagoda Compound</t>
  </si>
  <si>
    <t>MMR001CMP148</t>
  </si>
  <si>
    <t>Hlaing Naung Baptist</t>
  </si>
  <si>
    <t>MMR001CMP181</t>
  </si>
  <si>
    <t>Lisu Baptist Church, Maw Shan Vil,. Seik Mu</t>
  </si>
  <si>
    <t>MMR001CMP167</t>
  </si>
  <si>
    <t>Lisu Baptist Church, Maw Wan Ward</t>
  </si>
  <si>
    <t>MMR001CMP107</t>
  </si>
  <si>
    <t>Ma Mon Buddhist Monastery</t>
  </si>
  <si>
    <t>MMR001CMP104</t>
  </si>
  <si>
    <t>San Kyel, Masoe Yein Monestry</t>
  </si>
  <si>
    <t>MMR001CMP178</t>
  </si>
  <si>
    <t>May Di Ka Rama Monastery(Lon Khin)</t>
  </si>
  <si>
    <t>MMR001CMP091</t>
  </si>
  <si>
    <t>Maw Wan, Mu-yin Baptist Church</t>
  </si>
  <si>
    <t>MMR001CMP098</t>
  </si>
  <si>
    <t>Mashi Kahtawng Municipal Dammar Yone</t>
  </si>
  <si>
    <t>MMR001CMP088</t>
  </si>
  <si>
    <t>Maw Wan, Myo Oo Pagoda</t>
  </si>
  <si>
    <t>MMR001CMP099</t>
  </si>
  <si>
    <t>Mashi Kahtawng Myo Oo Taw Ya Monestry</t>
  </si>
  <si>
    <t>MMR001CMP103</t>
  </si>
  <si>
    <t>Nant Ma Hpit Catholic Church</t>
  </si>
  <si>
    <t>MMR001CMP082</t>
  </si>
  <si>
    <t xml:space="preserve">Nga Pyaw Taw Baptist Nursery School </t>
  </si>
  <si>
    <t>MMR001CMP083</t>
  </si>
  <si>
    <t>Nga Pyaw Taw Roman Catholic Church</t>
  </si>
  <si>
    <t>MMR001CMP102</t>
  </si>
  <si>
    <t>Parami, Charity Office, MyoMa Quarter</t>
  </si>
  <si>
    <t>MMR001CMP095</t>
  </si>
  <si>
    <t>Mashi Kahtawng Rakhine traditional group</t>
  </si>
  <si>
    <t>MMR001CMP182</t>
  </si>
  <si>
    <t>Rawan Baptist Church, Maw Shan Vil., Seik Mu</t>
  </si>
  <si>
    <t>MMR001CMP168</t>
  </si>
  <si>
    <t>5 Ward RC Church(lon Khin)</t>
  </si>
  <si>
    <t>MMR001CMP108</t>
  </si>
  <si>
    <t>Sa Baw Sarsana Parla Monastery</t>
  </si>
  <si>
    <t>MMR001CMP183</t>
  </si>
  <si>
    <t>Sai Nai Baptish Church, Maw Shan Vil., Seki Mu</t>
  </si>
  <si>
    <t>MMR001CMP184</t>
  </si>
  <si>
    <t xml:space="preserve">Ward 2 Sai Taung Baptist Church, Seik Mu </t>
  </si>
  <si>
    <t>MMR001CMP171</t>
  </si>
  <si>
    <t>1 Ward, Sein Yadanar Company(Lon Khin)</t>
  </si>
  <si>
    <t>MMR001CMP100</t>
  </si>
  <si>
    <t>Mashi Kahtawng Shan Traditional Monestry</t>
  </si>
  <si>
    <t>MMR001CMP110</t>
  </si>
  <si>
    <t>Tar Ma Hkan Buddhist Monastery, Haung Par</t>
  </si>
  <si>
    <t>MMR001CMP101</t>
  </si>
  <si>
    <t>Thiri Mingalar Manizay Yone, Myoma Quarter</t>
  </si>
  <si>
    <t>MMR001CMP106</t>
  </si>
  <si>
    <t>Maw Si Zar, Thiriyardanar Sein, Damma Compound, Lone Khin</t>
  </si>
  <si>
    <t>MMR001CMP097</t>
  </si>
  <si>
    <t>Mashi Kahtawng Yaung Chi Oo Thi la shin Monestry</t>
  </si>
  <si>
    <t>MMR001CMP105</t>
  </si>
  <si>
    <t>Yumar Baptist Church</t>
  </si>
  <si>
    <t>MMR001CMP177</t>
  </si>
  <si>
    <t>Muring Baptist Church, Awng Ra, Wa Ra Zut VT</t>
  </si>
  <si>
    <t>MMR001CMP074</t>
  </si>
  <si>
    <t>Khaunglanhpu</t>
  </si>
  <si>
    <t>La Ja</t>
  </si>
  <si>
    <t>Kutkai</t>
  </si>
  <si>
    <t>MMR015CMP006</t>
  </si>
  <si>
    <t>MMR015CMP007</t>
  </si>
  <si>
    <t xml:space="preserve">Nam Hpak Ka Mare </t>
  </si>
  <si>
    <t>MMR001CMP066</t>
  </si>
  <si>
    <t>Mansi</t>
  </si>
  <si>
    <t>Mansi Baptist Church</t>
  </si>
  <si>
    <t>MMR001CMP132</t>
  </si>
  <si>
    <t>Man Wing Catholic Church</t>
  </si>
  <si>
    <t>MMR001CMP134</t>
  </si>
  <si>
    <t>Man Wing Host Families</t>
  </si>
  <si>
    <t>MMR001CMP135</t>
  </si>
  <si>
    <t>Lung Kawk  ( Hka Hkye Zup)</t>
  </si>
  <si>
    <t>MMR001CMP133</t>
  </si>
  <si>
    <t>Man Wing Baptist Church</t>
  </si>
  <si>
    <t>MMR001CMP136</t>
  </si>
  <si>
    <t>Nam Hka Mare (west of Man Wing)</t>
  </si>
  <si>
    <t>MMR001CMP137</t>
  </si>
  <si>
    <t>Nam Lim Pa - Scattered IDPs in forest</t>
  </si>
  <si>
    <t>MMR015CMP009</t>
  </si>
  <si>
    <t>Manton</t>
  </si>
  <si>
    <t>Mandung - Jinghpaw</t>
  </si>
  <si>
    <t>MMR015CMP010</t>
  </si>
  <si>
    <t>Howa</t>
  </si>
  <si>
    <t>MMR015CMP011</t>
  </si>
  <si>
    <t>Nam Hkyet</t>
  </si>
  <si>
    <t>MMR001CMP078</t>
  </si>
  <si>
    <t>Mogaung</t>
  </si>
  <si>
    <t xml:space="preserve">Kyun Taw Baptist Church </t>
  </si>
  <si>
    <t>MMR001CMP077</t>
  </si>
  <si>
    <t>Mang Hawng Baptist Church</t>
  </si>
  <si>
    <t>MMR001CMP079</t>
  </si>
  <si>
    <t xml:space="preserve">Nat Gyi Kone Baptist Church </t>
  </si>
  <si>
    <t>MMR001CMP080</t>
  </si>
  <si>
    <t>Mohnyin</t>
  </si>
  <si>
    <t xml:space="preserve">St. Patrick Catholic Church </t>
  </si>
  <si>
    <t>MMR001CMP081</t>
  </si>
  <si>
    <t>Nant Mun</t>
  </si>
  <si>
    <t>MMR001CMP071</t>
  </si>
  <si>
    <t>Momauk</t>
  </si>
  <si>
    <t>Loi Je Baptist Church</t>
  </si>
  <si>
    <t>MMR001CMP129</t>
  </si>
  <si>
    <t xml:space="preserve">Bum Tsit Pa </t>
  </si>
  <si>
    <t>MMR001CMP070</t>
  </si>
  <si>
    <t>Loi Je Lisu Camp</t>
  </si>
  <si>
    <t>MMR001CMP123</t>
  </si>
  <si>
    <t xml:space="preserve">Dum Bung </t>
  </si>
  <si>
    <t>MMR001CMP122</t>
  </si>
  <si>
    <t xml:space="preserve">Hpun Lum Yang </t>
  </si>
  <si>
    <t>MMR001CMP121</t>
  </si>
  <si>
    <t xml:space="preserve">Je Yang Hka </t>
  </si>
  <si>
    <t>MMR001CMP128</t>
  </si>
  <si>
    <t xml:space="preserve">Lana Zup Ja </t>
  </si>
  <si>
    <t>MMR001CMP064</t>
  </si>
  <si>
    <t xml:space="preserve">Mai Khat </t>
  </si>
  <si>
    <t>MMR001CMP062</t>
  </si>
  <si>
    <t>Man Bung Catholic compound</t>
  </si>
  <si>
    <t>MMR001CMP063</t>
  </si>
  <si>
    <t xml:space="preserve">Man Nawng </t>
  </si>
  <si>
    <t>Man Ting</t>
  </si>
  <si>
    <t>MMR001CMP058</t>
  </si>
  <si>
    <t>Mandalay Monestry</t>
  </si>
  <si>
    <t>MMR001CMP056</t>
  </si>
  <si>
    <t>Momauk Baptist Church</t>
  </si>
  <si>
    <t>MMR001CMP057</t>
  </si>
  <si>
    <t>Momauk Catholic Church (St. Patrick)</t>
  </si>
  <si>
    <t>MMR001CMP061</t>
  </si>
  <si>
    <t xml:space="preserve">Myo Thit </t>
  </si>
  <si>
    <t>MMR001CMP131</t>
  </si>
  <si>
    <t xml:space="preserve">Nhkawng Pa </t>
  </si>
  <si>
    <t>MMR001CMP059</t>
  </si>
  <si>
    <t>Ni Thaw Ka Monestry</t>
  </si>
  <si>
    <t>MMR001CMP126</t>
  </si>
  <si>
    <t xml:space="preserve">Pa Kahtawng </t>
  </si>
  <si>
    <t>MMR001CMP065</t>
  </si>
  <si>
    <t xml:space="preserve">Phar Kay/Nant Waing </t>
  </si>
  <si>
    <t>MMR001CMP069</t>
  </si>
  <si>
    <t>Loi Je Catholic Church</t>
  </si>
  <si>
    <t>MMR001CMP073</t>
  </si>
  <si>
    <t xml:space="preserve">Seng Ja </t>
  </si>
  <si>
    <t>MMR001CMP060</t>
  </si>
  <si>
    <t xml:space="preserve">Tarli </t>
  </si>
  <si>
    <t>MMR001CMP072</t>
  </si>
  <si>
    <t xml:space="preserve">Nyaung Na Pin </t>
  </si>
  <si>
    <t>Muse</t>
  </si>
  <si>
    <t>Hpai Kawng Mare</t>
  </si>
  <si>
    <t>MMR015CMP012</t>
  </si>
  <si>
    <t xml:space="preserve">Munekoe Pa (Giwang) - Hka San (Mung  Go  Pa ) </t>
  </si>
  <si>
    <t>MMR015CMP005</t>
  </si>
  <si>
    <t xml:space="preserve">Mung Baw </t>
  </si>
  <si>
    <t>MMR001CMP001</t>
  </si>
  <si>
    <t>Myitkyina</t>
  </si>
  <si>
    <t>Tat Kone Baptist Church</t>
  </si>
  <si>
    <t>MMR001CMP015</t>
  </si>
  <si>
    <t>Le Kone Bethlehem Church</t>
  </si>
  <si>
    <t>MMR001CMP023</t>
  </si>
  <si>
    <t>MMR001CMP012</t>
  </si>
  <si>
    <t>Du Kahtawng Qtr. 14</t>
  </si>
  <si>
    <t>MMR001CMP010</t>
  </si>
  <si>
    <t>Du Kahtawng Qtr. 4</t>
  </si>
  <si>
    <t>MMR001CMP011</t>
  </si>
  <si>
    <t>Du Kahtawng Qtr. 5</t>
  </si>
  <si>
    <t>MMR001CMP004</t>
  </si>
  <si>
    <t>Tat Kone Emanuel Church</t>
  </si>
  <si>
    <t>MMR001CMP003</t>
  </si>
  <si>
    <t>Tat Kone Galile Baptist Church</t>
  </si>
  <si>
    <t>MMR001CMP018</t>
  </si>
  <si>
    <t>Jan Mai Kawng Baptist Church</t>
  </si>
  <si>
    <t>MMR001CMP019</t>
  </si>
  <si>
    <t>Jan Mai Kawng Catholic Church</t>
  </si>
  <si>
    <t>MMR001CMP013</t>
  </si>
  <si>
    <t>Kyun Pin Thar Baptist Church</t>
  </si>
  <si>
    <t>MMR001CMP016</t>
  </si>
  <si>
    <t>Maliyang Baptist Church</t>
  </si>
  <si>
    <t>MMR001CMP008</t>
  </si>
  <si>
    <t>Man Hkring Baptist Church</t>
  </si>
  <si>
    <t>MMR001CMP020</t>
  </si>
  <si>
    <t>Maw Hpawng Hka Nan Baptist Church</t>
  </si>
  <si>
    <t>MMR001CMP021</t>
  </si>
  <si>
    <t>Maw Hpawng Lhaovo Baptist Church</t>
  </si>
  <si>
    <t>MMR001CMP017</t>
  </si>
  <si>
    <t>Myay Myint Baptist Church</t>
  </si>
  <si>
    <t>MMR001CMP002</t>
  </si>
  <si>
    <t xml:space="preserve">Njang Dung Baptist Church </t>
  </si>
  <si>
    <t>MMR001CMP024</t>
  </si>
  <si>
    <t>Nan Kway St. John Catholic Church</t>
  </si>
  <si>
    <t>MMR001CMP162</t>
  </si>
  <si>
    <t>Pa Dauk Myaing(Pa La Na)</t>
  </si>
  <si>
    <t>MMR001CMP005</t>
  </si>
  <si>
    <t>Tat Kone San Pya Baptist Church</t>
  </si>
  <si>
    <t>MMR001CMP006</t>
  </si>
  <si>
    <t>Shatapru Sut Ngai Tawng</t>
  </si>
  <si>
    <t>MMR001CMP007</t>
  </si>
  <si>
    <t>Shatapru Thida Aye Baptist Church</t>
  </si>
  <si>
    <t>MMR001CMP009</t>
  </si>
  <si>
    <t>Shwe Zet Baptist Church</t>
  </si>
  <si>
    <t>MMR001CMP022</t>
  </si>
  <si>
    <t>Wun Tho Buddhist Monastery</t>
  </si>
  <si>
    <t>MMR001CMP014</t>
  </si>
  <si>
    <t xml:space="preserve">Le Kone Ziun Baptist Church </t>
  </si>
  <si>
    <t>MMR001CMP152</t>
  </si>
  <si>
    <t xml:space="preserve">Nawng Ing (Indawgyi) Baptist Church  </t>
  </si>
  <si>
    <t>MMR015CMP001</t>
  </si>
  <si>
    <t>Namhkan</t>
  </si>
  <si>
    <t>Nam Hkam (KBC Jaw Wang)</t>
  </si>
  <si>
    <t>MMR015CMP004</t>
  </si>
  <si>
    <t>Nam Hkam - Nay Win Ni (Palawng)</t>
  </si>
  <si>
    <t>MMR015CMP002</t>
  </si>
  <si>
    <t xml:space="preserve">Nam Hkam Malut Jak </t>
  </si>
  <si>
    <t>MMR015CMP003</t>
  </si>
  <si>
    <t xml:space="preserve">Mung Ding Pa </t>
  </si>
  <si>
    <t>MMR015CMP014</t>
  </si>
  <si>
    <t>Namtu</t>
  </si>
  <si>
    <t>MMR001CMP075</t>
  </si>
  <si>
    <t>Puta-O</t>
  </si>
  <si>
    <t>Tote Tan Ward</t>
  </si>
  <si>
    <t>Shwegu</t>
  </si>
  <si>
    <t>MMR001CMP147</t>
  </si>
  <si>
    <t>Lawk Awng Mare D. (Sinbo Area)</t>
  </si>
  <si>
    <t>MMR001CMP067</t>
  </si>
  <si>
    <t>Shwe Gu Baptist Church</t>
  </si>
  <si>
    <t>MMR001CMP068</t>
  </si>
  <si>
    <t>Shwe Gu Catholic Church</t>
  </si>
  <si>
    <t>MMR001CMP036</t>
  </si>
  <si>
    <t>Waingmaw</t>
  </si>
  <si>
    <t>Waingmaw Baptist Zonal Office</t>
  </si>
  <si>
    <t>MMR001CMP028</t>
  </si>
  <si>
    <t xml:space="preserve">Hkat Cho </t>
  </si>
  <si>
    <t>MMR001CMP117</t>
  </si>
  <si>
    <t>MMR001CMP038</t>
  </si>
  <si>
    <t>Waingmaw AG Church</t>
  </si>
  <si>
    <t>MMR001CMP032</t>
  </si>
  <si>
    <t>Qtr. 2 Lhaovo Baptist Church</t>
  </si>
  <si>
    <t>MMR001CMP027</t>
  </si>
  <si>
    <t>Mading Baptist Church</t>
  </si>
  <si>
    <t>MMR001CMP119</t>
  </si>
  <si>
    <t xml:space="preserve">Maga Yang </t>
  </si>
  <si>
    <t>MMR001CMP040</t>
  </si>
  <si>
    <t>Maina KBC (Bawng Ring)</t>
  </si>
  <si>
    <t>MMR001CMP039</t>
  </si>
  <si>
    <t>Maina Lawang Baptist Church</t>
  </si>
  <si>
    <t>MMR001CMP031</t>
  </si>
  <si>
    <t>Maina AG Church</t>
  </si>
  <si>
    <t>MMR001CMP029</t>
  </si>
  <si>
    <t>Maina Catholic Church (St. Joseph)</t>
  </si>
  <si>
    <t>MMR001CMP118</t>
  </si>
  <si>
    <t>Manau Compound</t>
  </si>
  <si>
    <t>MMR001CMP113</t>
  </si>
  <si>
    <t>Border Post 8</t>
  </si>
  <si>
    <t>MMR001CMP115</t>
  </si>
  <si>
    <t>Hkau Shau (BP 12)</t>
  </si>
  <si>
    <t>MMR001CMP030</t>
  </si>
  <si>
    <t>Qtr. 3 Mu-yin  Baptist Church</t>
  </si>
  <si>
    <t>MMR001CMP149</t>
  </si>
  <si>
    <t>Laiza Muklum Hpyen  Yen Mungshawa ni</t>
  </si>
  <si>
    <t>MMR001CMP025</t>
  </si>
  <si>
    <t>Qtr. 2 Myoma Baptist Church</t>
  </si>
  <si>
    <t>MMR001CMP033</t>
  </si>
  <si>
    <t>Nawng Hee Village</t>
  </si>
  <si>
    <t>MMR001CMP120</t>
  </si>
  <si>
    <t>MMR001CMP041</t>
  </si>
  <si>
    <t>Shing Jai</t>
  </si>
  <si>
    <t>MMR001CMP037</t>
  </si>
  <si>
    <t>Thargaya Lisu Baptist Church</t>
  </si>
  <si>
    <t>MMR001CMP026</t>
  </si>
  <si>
    <t>Qtr. 4 Monestry (Thargaya Thayett Taw)</t>
  </si>
  <si>
    <t>MMR001CMP116</t>
  </si>
  <si>
    <t xml:space="preserve">Woi Chyai </t>
  </si>
  <si>
    <t>MMR001CMP160</t>
  </si>
  <si>
    <t>Post 6 Camp</t>
  </si>
  <si>
    <t>MMR001CMP111</t>
  </si>
  <si>
    <t>MMR001CMP114</t>
  </si>
  <si>
    <t>Border Post 10</t>
  </si>
  <si>
    <t>MMR001CMP035</t>
  </si>
  <si>
    <t>MMR001CMP034</t>
  </si>
  <si>
    <t>Nam Hkawng</t>
  </si>
  <si>
    <t>MMR001CMP146</t>
  </si>
  <si>
    <t>Injangyang</t>
  </si>
  <si>
    <t>Hpare Hkyer - BP6</t>
  </si>
  <si>
    <t>Lhaovao Baptist Church (LBC)</t>
  </si>
  <si>
    <t>Phan Khar Kone</t>
  </si>
  <si>
    <t xml:space="preserve">Mungji Pa Dabang (RC Church)         </t>
  </si>
  <si>
    <t>Mine Yu Lay village</t>
  </si>
  <si>
    <t>Kutkai downtown (KBC Church)</t>
  </si>
  <si>
    <t>Kutkai downtown (RC Church)</t>
  </si>
  <si>
    <t xml:space="preserve">Mungji Pa Dabang (Baptist Church)         </t>
  </si>
  <si>
    <t>Kone Khem Camp</t>
  </si>
  <si>
    <t>Zup Aung Camp</t>
  </si>
  <si>
    <t>Nam Hkam Catholic Church ( St. Thomas I)</t>
  </si>
  <si>
    <t>Nam Hkam Catholic Church ( St. Thomas II)</t>
  </si>
  <si>
    <t>MMR001CMP193</t>
  </si>
  <si>
    <t>MMR001CMP194</t>
  </si>
  <si>
    <t>MMR001CMP195</t>
  </si>
  <si>
    <t>Mong Kar</t>
  </si>
  <si>
    <t>Kachin</t>
  </si>
  <si>
    <t>Rakhine</t>
  </si>
  <si>
    <t>MMR015CMP015</t>
  </si>
  <si>
    <t>MMR015CMP016</t>
  </si>
  <si>
    <t>MMR015CMP017</t>
  </si>
  <si>
    <t>MMR015CMP018</t>
  </si>
  <si>
    <t>MMR015CMP019</t>
  </si>
  <si>
    <t>MMR015CMP020</t>
  </si>
  <si>
    <t>MMR015CMP022</t>
  </si>
  <si>
    <t>MMR015CMP023</t>
  </si>
  <si>
    <t>MMR015CMP024</t>
  </si>
  <si>
    <t>MMR001CMP196</t>
  </si>
  <si>
    <t>MMR001CMP197</t>
  </si>
  <si>
    <t>MMR001CMP198</t>
  </si>
  <si>
    <t>MMR001CMP199</t>
  </si>
  <si>
    <t>Camp Name</t>
  </si>
  <si>
    <t>State</t>
  </si>
  <si>
    <t>Collective Center</t>
  </si>
  <si>
    <t>Individual (non hosted)</t>
  </si>
  <si>
    <t>Planned Camp</t>
  </si>
  <si>
    <t>Privately Hosted</t>
  </si>
  <si>
    <t>Self Settled Camp</t>
  </si>
  <si>
    <t>Type of Accomodation</t>
  </si>
  <si>
    <t>Organization</t>
  </si>
  <si>
    <t>Hygiene Family Kit</t>
  </si>
  <si>
    <t>NFI Core Kit</t>
  </si>
  <si>
    <t>Women's Sanitary Kit</t>
  </si>
  <si>
    <t>Mosquito Nets</t>
  </si>
  <si>
    <t>Tarpaulins</t>
  </si>
  <si>
    <t>Stock in Balance</t>
  </si>
  <si>
    <t>Date Updated</t>
  </si>
  <si>
    <t>Pipeline</t>
  </si>
  <si>
    <t>ETA</t>
  </si>
  <si>
    <t>Distribution Date</t>
  </si>
  <si>
    <t>Implementing Partner</t>
  </si>
  <si>
    <t>Row Labels</t>
  </si>
  <si>
    <t>Grand Total</t>
  </si>
  <si>
    <t>Population</t>
  </si>
  <si>
    <t>Households</t>
  </si>
  <si>
    <t>CAMPS SUMMARY</t>
  </si>
  <si>
    <t>DETAILED CAMP LIST</t>
  </si>
  <si>
    <t>CLUSTER REPORT</t>
  </si>
  <si>
    <t>(Select State)</t>
  </si>
  <si>
    <t>Temporary Shelter Planned</t>
  </si>
  <si>
    <t>Temporary Shelter Built</t>
  </si>
  <si>
    <t>Temporary Shelter Under Construction</t>
  </si>
  <si>
    <t>SHELTER PROGRESS</t>
  </si>
  <si>
    <t>Total # of HH</t>
  </si>
  <si>
    <t>Total # of Population</t>
  </si>
  <si>
    <t xml:space="preserve"> Coverage (in Pop)</t>
  </si>
  <si>
    <t>Tents Distributed</t>
  </si>
  <si>
    <t>Permanent Shelter Built</t>
  </si>
  <si>
    <t>Permament Shelter Under Construction</t>
  </si>
  <si>
    <t>Permanent Shelter Planned</t>
  </si>
  <si>
    <t>Coverage (HH)</t>
  </si>
  <si>
    <t>NFI TRACKING SHEET</t>
  </si>
  <si>
    <t>Blanket</t>
  </si>
  <si>
    <t>Kitchen Set</t>
  </si>
  <si>
    <t>Dist.</t>
  </si>
  <si>
    <t>Gap (HH)</t>
  </si>
  <si>
    <t>Months</t>
  </si>
  <si>
    <t>Instock</t>
  </si>
  <si>
    <t>Coverage</t>
  </si>
  <si>
    <t># of IDP</t>
  </si>
  <si>
    <t># of camps by Size of Population</t>
  </si>
  <si>
    <t>% of IDP</t>
  </si>
  <si>
    <t>Dashboards</t>
  </si>
  <si>
    <t>Myanmar</t>
  </si>
  <si>
    <t>CCCM</t>
  </si>
  <si>
    <t>Shelter</t>
  </si>
  <si>
    <t>NFI</t>
  </si>
  <si>
    <t>3W</t>
  </si>
  <si>
    <t>Contact List</t>
  </si>
  <si>
    <t>Report &amp; Analysis</t>
  </si>
  <si>
    <t>UNHCR</t>
  </si>
  <si>
    <t>DRC</t>
  </si>
  <si>
    <t>Quantity/HH</t>
  </si>
  <si>
    <t>Hygiene Kit</t>
  </si>
  <si>
    <t>Sanitary Kit</t>
  </si>
  <si>
    <t>Tarpaulin</t>
  </si>
  <si>
    <t>NFI DISTRIBUTION BY TOWNSHIP</t>
  </si>
  <si>
    <t>KBSS</t>
  </si>
  <si>
    <t>KBC</t>
  </si>
  <si>
    <t>SHELTER SUMMARY BY AGENCY</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</si>
  <si>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</si>
  <si>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</si>
  <si>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</si>
  <si>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</si>
  <si>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</si>
  <si>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</si>
  <si>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</si>
  <si>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</si>
  <si>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</si>
  <si>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</si>
  <si>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</si>
  <si>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</si>
  <si>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</si>
  <si>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</si>
  <si>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</si>
  <si>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</si>
  <si>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</si>
  <si>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</si>
  <si>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</si>
  <si>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</si>
  <si>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</si>
  <si>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Mosquito Net</t>
  </si>
  <si>
    <t>Complemantary Kit</t>
  </si>
  <si>
    <t>Label</t>
  </si>
  <si>
    <t>Stock</t>
  </si>
  <si>
    <t>Distribution</t>
  </si>
  <si>
    <t>NB</t>
  </si>
  <si>
    <t>Expiration (month)</t>
  </si>
  <si>
    <t>Avg</t>
  </si>
  <si>
    <t>Source</t>
  </si>
  <si>
    <t>Method</t>
  </si>
  <si>
    <t>Not Accessible</t>
  </si>
  <si>
    <t>Accessible by All</t>
  </si>
  <si>
    <t>Accessibility Restricted</t>
  </si>
  <si>
    <t>Comment</t>
  </si>
  <si>
    <t>Accessibility</t>
  </si>
  <si>
    <t>Status</t>
  </si>
  <si>
    <t>Camp_Acessibility</t>
  </si>
  <si>
    <t>Open</t>
  </si>
  <si>
    <t>Update Date</t>
  </si>
  <si>
    <t>Covered</t>
  </si>
  <si>
    <t>Gap - HH</t>
  </si>
  <si>
    <t>Ind. Not covered</t>
  </si>
  <si>
    <t>Shalom</t>
  </si>
  <si>
    <t>KMSS</t>
  </si>
  <si>
    <t xml:space="preserve">    </t>
  </si>
  <si>
    <t xml:space="preserve">  </t>
  </si>
  <si>
    <t>Pipeline Stock Tracking</t>
  </si>
  <si>
    <t>CampName</t>
  </si>
  <si>
    <t>GCA</t>
  </si>
  <si>
    <t>Aung Thar Church</t>
  </si>
  <si>
    <t>NGCA</t>
  </si>
  <si>
    <t>Zomee Baptist Church camp, Hmaw Wan</t>
  </si>
  <si>
    <t>MMR001CMP201</t>
  </si>
  <si>
    <t xml:space="preserve">Lagatyan </t>
  </si>
  <si>
    <t>MMR001CMP202</t>
  </si>
  <si>
    <t>Mung Ding Pa  (Boarder)</t>
  </si>
  <si>
    <t>MMR001CMP203</t>
  </si>
  <si>
    <t>MMR001CMP204</t>
  </si>
  <si>
    <t>Khun Sint Village</t>
  </si>
  <si>
    <t>MMR001CMP200</t>
  </si>
  <si>
    <t>VillageWard_Name</t>
  </si>
  <si>
    <t>District</t>
  </si>
  <si>
    <t>MMR001</t>
  </si>
  <si>
    <t>MMR001D002</t>
  </si>
  <si>
    <t>Hpakant</t>
  </si>
  <si>
    <t>MMR001009</t>
  </si>
  <si>
    <t>MMR001D003</t>
  </si>
  <si>
    <t>MMR001010</t>
  </si>
  <si>
    <t>MMR001D001</t>
  </si>
  <si>
    <t>MMR001002</t>
  </si>
  <si>
    <t>MMR001012</t>
  </si>
  <si>
    <t>MMR001005</t>
  </si>
  <si>
    <t>MMR001001</t>
  </si>
  <si>
    <t>MMR015</t>
  </si>
  <si>
    <t>MMR015D002</t>
  </si>
  <si>
    <t>MMR015009</t>
  </si>
  <si>
    <t>MMR001013</t>
  </si>
  <si>
    <t>MMR001011</t>
  </si>
  <si>
    <t>Kyaukme</t>
  </si>
  <si>
    <t>MMR015D003</t>
  </si>
  <si>
    <t>MMR015019</t>
  </si>
  <si>
    <t>MMR015011</t>
  </si>
  <si>
    <t>MMR001008</t>
  </si>
  <si>
    <t>MMR001D004</t>
  </si>
  <si>
    <t>MMR001018</t>
  </si>
  <si>
    <t>MMR001003</t>
  </si>
  <si>
    <t>MMR015010</t>
  </si>
  <si>
    <t>MMR015015</t>
  </si>
  <si>
    <t>MMR001007</t>
  </si>
  <si>
    <t>MMR001014</t>
  </si>
  <si>
    <t>Shan_North</t>
  </si>
  <si>
    <t>Camp</t>
  </si>
  <si>
    <t>Hygiene</t>
  </si>
  <si>
    <t>Core</t>
  </si>
  <si>
    <t>Sanitary</t>
  </si>
  <si>
    <t>Pcode</t>
  </si>
  <si>
    <t>Lat.</t>
  </si>
  <si>
    <t>Long.</t>
  </si>
  <si>
    <t>Y</t>
  </si>
  <si>
    <t>X</t>
  </si>
  <si>
    <t>HS</t>
  </si>
  <si>
    <t>Pop</t>
  </si>
  <si>
    <t>Column1</t>
  </si>
  <si>
    <t>Kachin/Shan</t>
  </si>
  <si>
    <t>27.00</t>
  </si>
  <si>
    <t>96.00</t>
  </si>
  <si>
    <t>World Vision</t>
  </si>
  <si>
    <t>Oxfam</t>
  </si>
  <si>
    <t># of HH</t>
  </si>
  <si>
    <t>IRRC</t>
  </si>
  <si>
    <t xml:space="preserve">UNHCR </t>
  </si>
  <si>
    <t>Dum Bung</t>
  </si>
  <si>
    <t>N_cps</t>
  </si>
  <si>
    <t># of IDPs</t>
  </si>
  <si>
    <t>Plastic Bucket</t>
  </si>
  <si>
    <t>Plastic Mat</t>
  </si>
  <si>
    <t>NFI_Plastic_Bucket_Track</t>
  </si>
  <si>
    <t>NFI_Plastic_Mat_Track</t>
  </si>
  <si>
    <t>NFI_Plastic_Bucket_Stock</t>
  </si>
  <si>
    <t>NFI_Plastic_Mat_Stock</t>
  </si>
  <si>
    <t>NFI_Plastic_Bucket_Pipeline</t>
  </si>
  <si>
    <t>NFI_Plastic_Mat_Pipeline</t>
  </si>
  <si>
    <t>Items (Direct and through Kits)</t>
  </si>
  <si>
    <t>Kachin &amp; Northern Shan CCCM Dashboard</t>
  </si>
  <si>
    <t>1k - 5k</t>
  </si>
  <si>
    <t>5k-10k</t>
  </si>
  <si>
    <t>1k-5k</t>
  </si>
  <si>
    <t>Kachin &amp; Northern Shan Shelter Coverage &amp; Gaps</t>
  </si>
  <si>
    <t>Kachin NFI Coverage &amp; Gaps</t>
  </si>
  <si>
    <t>Caritas</t>
  </si>
  <si>
    <t>Nam Tu RC</t>
  </si>
  <si>
    <t>Narte</t>
  </si>
  <si>
    <t>Mosquito net</t>
  </si>
  <si>
    <t>(All)</t>
  </si>
  <si>
    <t>Unknown</t>
  </si>
  <si>
    <t>Seik Mu</t>
  </si>
  <si>
    <t>MMR001009003</t>
  </si>
  <si>
    <t>Maw Shan</t>
  </si>
  <si>
    <t xml:space="preserve"> </t>
  </si>
  <si>
    <t>Sai Taung (Ywar Haung)</t>
  </si>
  <si>
    <t>Hpakan Town</t>
  </si>
  <si>
    <t>MMR001009701</t>
  </si>
  <si>
    <t>Hnget Pyaw Taw Ward</t>
  </si>
  <si>
    <t>MMR001009701502</t>
  </si>
  <si>
    <t>Maw Wam Ward</t>
  </si>
  <si>
    <t>MMR001009701501</t>
  </si>
  <si>
    <t>Nam Ma Hpyit</t>
  </si>
  <si>
    <t>MMR001009002</t>
  </si>
  <si>
    <t>Nam Ma Phyit, COC</t>
  </si>
  <si>
    <t>Lone Khin</t>
  </si>
  <si>
    <t>MMR001009001</t>
  </si>
  <si>
    <t>Hmaw Si Zar</t>
  </si>
  <si>
    <t>Ma Sut Yang</t>
  </si>
  <si>
    <t>Nam Mun</t>
  </si>
  <si>
    <t>MMR001007016</t>
  </si>
  <si>
    <t>Nawng Mi</t>
  </si>
  <si>
    <t>MMR001009008</t>
  </si>
  <si>
    <t>Nawng Myi</t>
  </si>
  <si>
    <t>Shwegu Town</t>
  </si>
  <si>
    <t>MMR001011701</t>
  </si>
  <si>
    <t>MMR001011701504</t>
  </si>
  <si>
    <t>Hkat Shu</t>
  </si>
  <si>
    <t>MMR001002003</t>
  </si>
  <si>
    <t>Mung Ding Pa</t>
  </si>
  <si>
    <t>MMR001013038</t>
  </si>
  <si>
    <t>Nam Lin Pa</t>
  </si>
  <si>
    <t>MMR001013037</t>
  </si>
  <si>
    <t>Mogaung Town</t>
  </si>
  <si>
    <t>MMR001008701</t>
  </si>
  <si>
    <t>Nawng Kaing Htaw</t>
  </si>
  <si>
    <t>MMR001008002</t>
  </si>
  <si>
    <t>Ma Haung</t>
  </si>
  <si>
    <t>Nat Gyi Kone Ward</t>
  </si>
  <si>
    <t>MMR001008701506</t>
  </si>
  <si>
    <t>Bhamo Town</t>
  </si>
  <si>
    <t>MMR001010701</t>
  </si>
  <si>
    <t>Shwe Kyee Nar Ward</t>
  </si>
  <si>
    <t>MMR001010701513</t>
  </si>
  <si>
    <t>Nyaung Pin Ward</t>
  </si>
  <si>
    <t>MMR001010701508</t>
  </si>
  <si>
    <t>Pauk Kone Ward</t>
  </si>
  <si>
    <t>MMR001010701506</t>
  </si>
  <si>
    <t>Han Te</t>
  </si>
  <si>
    <t>MMR001010024</t>
  </si>
  <si>
    <t>Hpan Hkar Kone</t>
  </si>
  <si>
    <t>Maw Hpawng</t>
  </si>
  <si>
    <t>MMR001001007</t>
  </si>
  <si>
    <t>Mansi Town</t>
  </si>
  <si>
    <t>MMR001013701</t>
  </si>
  <si>
    <t>Kawng Yar Ward</t>
  </si>
  <si>
    <t>MMR001013701504</t>
  </si>
  <si>
    <t>Nam Hlaing</t>
  </si>
  <si>
    <t>MMR001010015</t>
  </si>
  <si>
    <t>Man Nawng</t>
  </si>
  <si>
    <t>MMR001012014</t>
  </si>
  <si>
    <t>Man Pon</t>
  </si>
  <si>
    <t>MMR001012001</t>
  </si>
  <si>
    <t>Man Wein</t>
  </si>
  <si>
    <t>MMR001013021</t>
  </si>
  <si>
    <t>Momauk Town</t>
  </si>
  <si>
    <t>MMR001012701</t>
  </si>
  <si>
    <t>Ah Lin Kawng Ward</t>
  </si>
  <si>
    <t>MMR001012701502</t>
  </si>
  <si>
    <t>Nawng Hee</t>
  </si>
  <si>
    <t>Kyay Nan Waing Ward</t>
  </si>
  <si>
    <t>MMR001012701503</t>
  </si>
  <si>
    <t>Nam Koi</t>
  </si>
  <si>
    <t>MMR001001005</t>
  </si>
  <si>
    <t>Myitkyina Town</t>
  </si>
  <si>
    <t>MMR001001701</t>
  </si>
  <si>
    <t>Jan Mai Kawng</t>
  </si>
  <si>
    <t>Myay Myint Ward</t>
  </si>
  <si>
    <t>MMR001001701517</t>
  </si>
  <si>
    <t>Tat Kone Ward</t>
  </si>
  <si>
    <t>MMR001001701520</t>
  </si>
  <si>
    <t>Du Ka Htaung Ward</t>
  </si>
  <si>
    <t>MMR001001701504</t>
  </si>
  <si>
    <t>N Jang Dung</t>
  </si>
  <si>
    <t>Si Tar Pu Ward</t>
  </si>
  <si>
    <t>MMR001001701521</t>
  </si>
  <si>
    <t>Kachin Su Ward</t>
  </si>
  <si>
    <t>MMR001001701509</t>
  </si>
  <si>
    <t>Kyun Pin Thar Ward</t>
  </si>
  <si>
    <t>MMR001001701510</t>
  </si>
  <si>
    <t>Lel Kone Ward</t>
  </si>
  <si>
    <t>MMR001001701525</t>
  </si>
  <si>
    <t>Man Khein Ward</t>
  </si>
  <si>
    <t>MMR001001701519</t>
  </si>
  <si>
    <t>Shwe Set Ward</t>
  </si>
  <si>
    <t>MMR001001701518</t>
  </si>
  <si>
    <t>Mai Na</t>
  </si>
  <si>
    <t>MMR001002006</t>
  </si>
  <si>
    <t>Waingmaw Town</t>
  </si>
  <si>
    <t>MMR001002701</t>
  </si>
  <si>
    <t>No (4) Ward</t>
  </si>
  <si>
    <t>MMR001002701504</t>
  </si>
  <si>
    <t>Aye Mya Thar Yar Ward</t>
  </si>
  <si>
    <t>MMR001009701504</t>
  </si>
  <si>
    <t>Ma Shi Ka Htaung Ward</t>
  </si>
  <si>
    <t>MMR001009701505</t>
  </si>
  <si>
    <t>Myo Ma Ward</t>
  </si>
  <si>
    <t>MMR001009701503</t>
  </si>
  <si>
    <t>Hpar Kei (Dawthponeyan Sub-township)</t>
  </si>
  <si>
    <t>MMR001012046</t>
  </si>
  <si>
    <t>Hpar Kei</t>
  </si>
  <si>
    <t>Ma Mon</t>
  </si>
  <si>
    <t>Pa La Na Sa Khan Myar</t>
  </si>
  <si>
    <t>MMR001001003</t>
  </si>
  <si>
    <t>Pi Tauk Myaing</t>
  </si>
  <si>
    <t>Haung Par</t>
  </si>
  <si>
    <t>MMR001009004</t>
  </si>
  <si>
    <t>No (3) Ward</t>
  </si>
  <si>
    <t>MMR001002701503</t>
  </si>
  <si>
    <t>No (2) Ward</t>
  </si>
  <si>
    <t>MMR001002701502</t>
  </si>
  <si>
    <t>Saga Pa (Sadung Sub-township)</t>
  </si>
  <si>
    <t>Mading</t>
  </si>
  <si>
    <t>MMR001002001</t>
  </si>
  <si>
    <t>Mading/Hka Kun</t>
  </si>
  <si>
    <t>Mong Yu</t>
  </si>
  <si>
    <t>Nam Hpat Kar</t>
  </si>
  <si>
    <t>Nam Hpat Kar (Ho Pon + Pang Sa Lorp)</t>
  </si>
  <si>
    <t>Zee Wone Gawt</t>
  </si>
  <si>
    <t>MMR001012023</t>
  </si>
  <si>
    <t>Nam Sang Yang</t>
  </si>
  <si>
    <t>MMR001002024</t>
  </si>
  <si>
    <t>Kutkai Town</t>
  </si>
  <si>
    <t>MMR015011701</t>
  </si>
  <si>
    <t>No (5) Ward</t>
  </si>
  <si>
    <t>MMR015011701505</t>
  </si>
  <si>
    <t>MMR015011701503</t>
  </si>
  <si>
    <t>In Baw Mai Kyin (Dawthponeyan Sub-township)</t>
  </si>
  <si>
    <t>MMR001012042</t>
  </si>
  <si>
    <t>Hpun Lum Yang</t>
  </si>
  <si>
    <t>La Gat Dawt</t>
  </si>
  <si>
    <t>MMR001013027</t>
  </si>
  <si>
    <t>Dum Buk</t>
  </si>
  <si>
    <t>MMR001013014</t>
  </si>
  <si>
    <t>Man Mawn</t>
  </si>
  <si>
    <t>MMR001013022</t>
  </si>
  <si>
    <t>In Ba Pa</t>
  </si>
  <si>
    <t>MMR001013012</t>
  </si>
  <si>
    <t>La Na</t>
  </si>
  <si>
    <t>Ba Lawng Kawng (Lwegel Sub-township)</t>
  </si>
  <si>
    <t>MMR001012030</t>
  </si>
  <si>
    <t>Hpa Lum</t>
  </si>
  <si>
    <t>Nawng Si Paw</t>
  </si>
  <si>
    <t>MMR001002013</t>
  </si>
  <si>
    <t>Nawng Hkam</t>
  </si>
  <si>
    <t>MMR015010010</t>
  </si>
  <si>
    <t>Lwegel Town</t>
  </si>
  <si>
    <t>MMR001012702</t>
  </si>
  <si>
    <t>Sa Ma</t>
  </si>
  <si>
    <t>MMR001002031</t>
  </si>
  <si>
    <t>Nar Gu</t>
  </si>
  <si>
    <t>Aung Zay Yar Ward</t>
  </si>
  <si>
    <t>MMR001012702505</t>
  </si>
  <si>
    <t>Ku Day</t>
  </si>
  <si>
    <t>Loi Je</t>
  </si>
  <si>
    <t>Pa Jau</t>
  </si>
  <si>
    <t>Kawng Hsa (Lwegel Sub-township)</t>
  </si>
  <si>
    <t>MMR001012033</t>
  </si>
  <si>
    <t>Mai Gyar Yang</t>
  </si>
  <si>
    <t>Hpawt Dawt</t>
  </si>
  <si>
    <t>MMR001002032</t>
  </si>
  <si>
    <t>Zai Aung</t>
  </si>
  <si>
    <t>Kar Lai Kone Hsar</t>
  </si>
  <si>
    <t>MMR015011005</t>
  </si>
  <si>
    <t>Kar Lai</t>
  </si>
  <si>
    <t>MMR001002040</t>
  </si>
  <si>
    <t>Saga Pa</t>
  </si>
  <si>
    <t>Waw Shung (Kan Paik Ti Sub-township)</t>
  </si>
  <si>
    <t>MMR001002035</t>
  </si>
  <si>
    <t>Shan Kyaing</t>
  </si>
  <si>
    <t>Hpai Kawng (Pang Hseng-Kyu Koke Sub-township</t>
  </si>
  <si>
    <t>MMR015009031</t>
  </si>
  <si>
    <t>Hpai Kawng</t>
  </si>
  <si>
    <t>Lashio</t>
  </si>
  <si>
    <t>MMR015D001</t>
  </si>
  <si>
    <t>Hseni</t>
  </si>
  <si>
    <t>MMR015002</t>
  </si>
  <si>
    <t>Nar Tee</t>
  </si>
  <si>
    <t>MMR015002029</t>
  </si>
  <si>
    <t>La Ja Ga</t>
  </si>
  <si>
    <t>MMR001018021</t>
  </si>
  <si>
    <t>Long Waun Nam Rein (Tarmoenye Sub-township)</t>
  </si>
  <si>
    <t>MMR015011050</t>
  </si>
  <si>
    <t>Mai Pong (Shu See)</t>
  </si>
  <si>
    <t>Lang Jaw (Pang War Sub-township)</t>
  </si>
  <si>
    <t>MMR001005022</t>
  </si>
  <si>
    <t>Lang Jaw</t>
  </si>
  <si>
    <t>Chipwi Town</t>
  </si>
  <si>
    <t>MMR001005701</t>
  </si>
  <si>
    <t>Hpa Re (Pang War Sub-township)</t>
  </si>
  <si>
    <t>MMR001005026</t>
  </si>
  <si>
    <t>Hpa Re Waw Jang</t>
  </si>
  <si>
    <t>Tar Li</t>
  </si>
  <si>
    <t>MMR001012021</t>
  </si>
  <si>
    <t>Myo Thit</t>
  </si>
  <si>
    <t>MMR001012010</t>
  </si>
  <si>
    <t>Puta-O Town</t>
  </si>
  <si>
    <t>MMR001014701</t>
  </si>
  <si>
    <t>Lai Zar</t>
  </si>
  <si>
    <t>Urban</t>
  </si>
  <si>
    <t>Rit Law</t>
  </si>
  <si>
    <t>Man Ping (Ping) (Dawthponeyan Sub-township)</t>
  </si>
  <si>
    <t>MMR001012052</t>
  </si>
  <si>
    <t>Man Ping</t>
  </si>
  <si>
    <t>Sumprabum</t>
  </si>
  <si>
    <t>MMR001015</t>
  </si>
  <si>
    <t>Sumprabum Town</t>
  </si>
  <si>
    <t>MMR001015701</t>
  </si>
  <si>
    <t>MMR001CMP206</t>
  </si>
  <si>
    <t>IDP Boarding School, A Len Bum</t>
  </si>
  <si>
    <t>MMR001CMP208</t>
  </si>
  <si>
    <t>Ward (2)</t>
  </si>
  <si>
    <t>Man Gyat (Monekoe Sub-township)</t>
  </si>
  <si>
    <t>Gwum Hsan</t>
  </si>
  <si>
    <t>Namtu Town</t>
  </si>
  <si>
    <t>MMR015015701</t>
  </si>
  <si>
    <t>Namtu Ward</t>
  </si>
  <si>
    <t>MMR015015701501</t>
  </si>
  <si>
    <t>Nam Tu Baptist</t>
  </si>
  <si>
    <t>Mandung - RC</t>
  </si>
  <si>
    <t>MMR015CMP209</t>
  </si>
  <si>
    <t>MMR015CMP210</t>
  </si>
  <si>
    <t>Column Labels</t>
  </si>
  <si>
    <t>Sum of Total</t>
  </si>
  <si>
    <t># Distributed</t>
  </si>
  <si>
    <t>% Distributed</t>
  </si>
  <si>
    <t># In Stock</t>
  </si>
  <si>
    <t>% In Stock</t>
  </si>
  <si>
    <t># Requirement</t>
  </si>
  <si>
    <t>% Requirement</t>
  </si>
  <si>
    <t># Pipeline</t>
  </si>
  <si>
    <t>% Pipeline</t>
  </si>
  <si>
    <t># Remaining Need</t>
  </si>
  <si>
    <t>% Remaining Need</t>
  </si>
  <si>
    <t>MMR015CMP139</t>
  </si>
  <si>
    <t>MMR015CMP207</t>
  </si>
  <si>
    <t>Total # of HH (In camps)</t>
  </si>
  <si>
    <t>Total # of Population (In camps)</t>
  </si>
  <si>
    <t>RRD</t>
  </si>
  <si>
    <t>IP</t>
  </si>
  <si>
    <t>Closed</t>
  </si>
  <si>
    <t>Changed to closed</t>
  </si>
  <si>
    <t xml:space="preserve">This IDP are registered in Nam Lim pa (Boarder) (MMR001CMP204). We should not calculate this number in total. </t>
  </si>
  <si>
    <t>Metta</t>
  </si>
  <si>
    <t>CC</t>
  </si>
  <si>
    <t>KBC Zonal</t>
  </si>
  <si>
    <t>Misereor</t>
  </si>
  <si>
    <t>Yedai Foundation</t>
  </si>
  <si>
    <t>Kachin Total</t>
  </si>
  <si>
    <t>Altitude</t>
  </si>
  <si>
    <t>Type of Location</t>
  </si>
  <si>
    <t>Opening Date</t>
  </si>
  <si>
    <t>MMR001CMP211</t>
  </si>
  <si>
    <t>Rural</t>
  </si>
  <si>
    <t>Forest/bush</t>
  </si>
  <si>
    <t>Kachin &amp; Northern Shan States - IDPs Location List</t>
  </si>
  <si>
    <t>(blank)</t>
  </si>
  <si>
    <t>HoH</t>
  </si>
  <si>
    <t>Individual</t>
  </si>
  <si>
    <t>ACTED</t>
  </si>
  <si>
    <t>MMR001CMP210</t>
  </si>
  <si>
    <t>Pan Wa</t>
  </si>
  <si>
    <t>Nam Lim Pa</t>
  </si>
  <si>
    <t>Nam Lim Pa    (Boarding School)</t>
  </si>
  <si>
    <t>MMR001CMP209</t>
  </si>
  <si>
    <t>Sum of HH</t>
  </si>
  <si>
    <t>Thu Kha Waddy</t>
  </si>
  <si>
    <t>MMR001CMP212</t>
  </si>
  <si>
    <t>Man Kawng</t>
  </si>
  <si>
    <t>Mai Bat</t>
  </si>
  <si>
    <t>MMR001013018</t>
  </si>
  <si>
    <t>MMR001CMP213</t>
  </si>
  <si>
    <t>Man Kawng Catholic Church</t>
  </si>
  <si>
    <t>Man Kawng Baptist Church</t>
  </si>
  <si>
    <t>Ban Hkung Yang</t>
  </si>
  <si>
    <t>Ban Hkung Yang (Boarding School)</t>
  </si>
  <si>
    <t>MMR001CMP214</t>
  </si>
  <si>
    <t>MMR001CMP215</t>
  </si>
  <si>
    <t>MMR001CMP216</t>
  </si>
  <si>
    <t>Ban Hkung (School)</t>
  </si>
  <si>
    <t>MMR001CMP217</t>
  </si>
  <si>
    <t>IDPs scattered in South Mansi</t>
  </si>
  <si>
    <t>Maing Khaung</t>
  </si>
  <si>
    <t>MMR001CMP218</t>
  </si>
  <si>
    <t>Si Hkan Gyi</t>
  </si>
  <si>
    <t>MMR001CMP219</t>
  </si>
  <si>
    <t>Update from OCHA Data (2 Jan 2014)</t>
  </si>
  <si>
    <t>Update data from OCHA IDPs List</t>
  </si>
  <si>
    <t>Naung Khaing</t>
  </si>
  <si>
    <t>MMR001CMP220</t>
  </si>
  <si>
    <t>Machanbaw</t>
  </si>
  <si>
    <t>MMR001016</t>
  </si>
  <si>
    <t>Machanbaw - KBC</t>
  </si>
  <si>
    <t>MMR001CMP221</t>
  </si>
  <si>
    <t>MMR001CMP222</t>
  </si>
  <si>
    <t>St. Patrick Church, Bhamo</t>
  </si>
  <si>
    <t>RRD Office</t>
  </si>
  <si>
    <t>Warra Zup</t>
  </si>
  <si>
    <t>MRCS</t>
  </si>
  <si>
    <t>DFID</t>
  </si>
  <si>
    <t>SC&amp;L Group</t>
  </si>
  <si>
    <t>Shan Community</t>
  </si>
  <si>
    <t>Chipwe CM</t>
  </si>
  <si>
    <t>Solidarities</t>
  </si>
  <si>
    <t>Bomb Blast Victims</t>
  </si>
  <si>
    <t>Je Gau  (+ WaRaPa )</t>
  </si>
  <si>
    <t>Kat Hmaw Zut Baptist Church</t>
  </si>
  <si>
    <t>Lawng Hkang</t>
  </si>
  <si>
    <t>Le Pyin - Kar Gyi Winn</t>
  </si>
  <si>
    <t>Le Pyin Christian Church</t>
  </si>
  <si>
    <t xml:space="preserve">Mai Ja Yang Gat Pa </t>
  </si>
  <si>
    <t xml:space="preserve">Mai Ja Yang Ung Lung </t>
  </si>
  <si>
    <t>Na Ti (Koe Kant Traditional school)</t>
  </si>
  <si>
    <t>Nant Yar Baptist Church</t>
  </si>
  <si>
    <t>Pamati Kayan</t>
  </si>
  <si>
    <t>Pan Ma Tee</t>
  </si>
  <si>
    <t>Shan Ywar Monestary Camp</t>
  </si>
  <si>
    <t>S_Pcode</t>
  </si>
  <si>
    <t>D_Pcode</t>
  </si>
  <si>
    <t>T_Pcode</t>
  </si>
  <si>
    <t>VillageTracKTown</t>
  </si>
  <si>
    <t>VTT_Pcode</t>
  </si>
  <si>
    <t>VW_Pcode</t>
  </si>
  <si>
    <t>CP_Pcode</t>
  </si>
  <si>
    <t>Responsible Agency</t>
  </si>
  <si>
    <t>CM/FP</t>
  </si>
  <si>
    <t>Close (Source: OCHA)</t>
  </si>
  <si>
    <t>Galeng</t>
  </si>
  <si>
    <t>Galeng (Kachin)</t>
  </si>
  <si>
    <t>MMR015CMP211</t>
  </si>
  <si>
    <t>Galeng (Palaung)</t>
  </si>
  <si>
    <t>MMR015CMP212</t>
  </si>
  <si>
    <t>Indawgyi</t>
  </si>
  <si>
    <t>Close: Duplicate Camp (MMR015CMP020 - Zup Aung Camp) 21-Jan-14</t>
  </si>
  <si>
    <t>Close: Duplicate Camp (MMR015CMP015 - Kone Khem Camp) 21-Jan-14</t>
  </si>
  <si>
    <t>Closed: Source UNHCR-Bhamo</t>
  </si>
  <si>
    <t>UNOCHA</t>
  </si>
  <si>
    <t>Closed : Source, OCHA</t>
  </si>
  <si>
    <t>Count of CP_Pcode</t>
  </si>
  <si>
    <t>MMR001CMP223</t>
  </si>
  <si>
    <t>Maing Khaung Catholic Church</t>
  </si>
  <si>
    <t>Source OCHA</t>
  </si>
  <si>
    <t>MDCG</t>
  </si>
  <si>
    <t xml:space="preserve">
</t>
  </si>
  <si>
    <t>Style0</t>
  </si>
  <si>
    <t xml:space="preserve"> 
&lt;StyleMap id="m_ylw-pushpin"&gt;
  &lt;Pair&gt;
   &lt;key&gt;normal&lt;/key&gt;
   &lt;styleUrl&gt;#style1&lt;/styleUrl&gt;
  &lt;/Pair&gt;
  &lt;Pair&gt;
   &lt;key&gt;highlight&lt;/key&gt;
   &lt;styleUrl&gt;#style2&lt;/styleUrl&gt;
  &lt;/Pair&gt;
  &lt;Pair&gt;
   &lt;key&gt;highlight&lt;/key&gt;
   &lt;styleUrl&gt;#style3&lt;/styleUrl&gt;
  &lt;/Pair&gt;
  &lt;Pair&gt;
   &lt;key&gt;highlight&lt;/key&gt;
   &lt;styleUrl&gt;#style4&lt;/styleUrl&gt;
  &lt;/Pair&gt;
&lt;Pair&gt;
   &lt;key&gt;highlight&lt;/key&gt;
   &lt;styleUrl&gt;#style5&lt;/styleUrl&gt;
  &lt;/Pair&gt;
 &lt;/StyleMap&gt;
</t>
  </si>
  <si>
    <t>Filepath</t>
  </si>
  <si>
    <t>Folder_Name1</t>
  </si>
  <si>
    <t xml:space="preserve"> &lt;Folder&gt;
  &lt;name&gt;</t>
  </si>
  <si>
    <t>Style1</t>
  </si>
  <si>
    <t xml:space="preserve">
 &lt;Style id="Style1"&gt;
  &lt;IconStyle&gt;
   &lt;color&gt;ffffff00&lt;/color&gt;
   &lt;scale&gt;0.5&lt;/scale&gt;
   &lt;Icon&gt;
    &lt;href&gt;http://maps.google.com/mapfiles/kml/shapes/man.png&lt;/href&gt;
   &lt;/Icon&gt;
   &lt;hotSpot x="0.5" y="0" xunits="fraction" yunits="fraction"/&gt;
  &lt;/IconStyle&gt;
  &lt;LabelStyle&gt;
   &lt;color&gt;ffffff00&lt;/color&gt;
   &lt;scale&gt;0.6&lt;/scale&gt;
  &lt;/LabelStyle&gt;
  &lt;ListStyle&gt;
  &lt;/ListStyle&gt;
 &lt;/Style&gt;
</t>
  </si>
  <si>
    <t xml:space="preserve">    &lt;styleUrl&gt;#Style1&lt;/styleUrl&gt;
</t>
  </si>
  <si>
    <t>Document name</t>
  </si>
  <si>
    <t>Folder_Name2</t>
  </si>
  <si>
    <t xml:space="preserve">&lt;/name&gt;
   </t>
  </si>
  <si>
    <t>Style2</t>
  </si>
  <si>
    <t xml:space="preserve"> 
&lt;Style id="Style2"&gt;
  &lt;IconStyle&gt;
   &lt;color&gt;ff00ffff&lt;/color&gt;
   &lt;scale&gt;0.5&lt;/scale&gt;
   &lt;Icon&gt;
    &lt;href&gt;http://maps.google.com/mapfiles/kml/shapes/man.png&lt;/href&gt;
   &lt;/Icon&gt;
   &lt;hotSpot x="0.5" y="0" xunits="fraction" yunits="fraction"/&gt;
  &lt;/IconStyle&gt;
  &lt;LabelStyle&gt;
   &lt;color&gt;ff00ffff&lt;/color&gt;
   &lt;scale&gt;0.6&lt;/scale&gt;
  &lt;/LabelStyle&gt;
  &lt;ListStyle&gt;
  &lt;/ListStyle&gt;
 &lt;/Style&gt;
</t>
  </si>
  <si>
    <t xml:space="preserve">    &lt;styleUrl&gt;#Style2&lt;/styleUrl&gt;
</t>
  </si>
  <si>
    <t>Folder_Name3</t>
  </si>
  <si>
    <t xml:space="preserve">
  &lt;/Folder&gt;</t>
  </si>
  <si>
    <t>Style3</t>
  </si>
  <si>
    <t xml:space="preserve"> 
&lt;Style id="Style3"&gt;
  &lt;IconStyle&gt;
   &lt;color&gt;ffffff00&lt;/color&gt;
   &lt;scale&gt;0.5&lt;/scale&gt;
   &lt;Icon&gt;
    &lt;href&gt;http://maps.google.com/mapfiles/kml/shapes/homegardenbusiness.png&lt;/href&gt;
   &lt;/Icon&gt;
   &lt;hotSpot x="0.5" y="0" xunits="fraction" yunits="fraction"/&gt;
  &lt;/IconStyle&gt;
  &lt;LabelStyle&gt;
   &lt;color&gt;ffffff00&lt;/color&gt;
   &lt;scale&gt;0.6&lt;/scale&gt;
  &lt;/LabelStyle&gt;
  &lt;ListStyle&gt;
  &lt;/ListStyle&gt;
 &lt;/Style&gt;
</t>
  </si>
  <si>
    <t xml:space="preserve">    &lt;styleUrl&gt;#Style3&lt;/styleUrl&gt;
</t>
  </si>
  <si>
    <t>File Header
Code fragment 1</t>
  </si>
  <si>
    <t>&lt;?xml version="1.0" encoding="UTF-8"?&gt;
&lt;kml xmlns="http://earth.google.com/kml/2.0"&gt;
&lt;Document&gt;
   &lt;name&gt;</t>
  </si>
  <si>
    <t>Style4</t>
  </si>
  <si>
    <t xml:space="preserve"> 
&lt;Style id="Style4"&gt;
  &lt;IconStyle&gt;
   &lt;color&gt;ff00ffff&lt;/color&gt;
   &lt;scale&gt;0.5&lt;/scale&gt;
   &lt;Icon&gt;
    &lt;href&gt;http://maps.google.com/mapfiles/kml/shapes/homegardenbusiness.png&lt;/href&gt;
   &lt;/Icon&gt;
   &lt;hotSpot x="0.5" y="0" xunits="fraction" yunits="fraction"/&gt;
  &lt;/IconStyle&gt;
  &lt;LabelStyle&gt;
   &lt;color&gt;ff00ffff&lt;/color&gt;
   &lt;scale&gt;0.6&lt;/scale&gt;
  &lt;/LabelStyle&gt;
  &lt;ListStyle&gt;
  &lt;/ListStyle&gt;
 &lt;/Style&gt;
</t>
  </si>
  <si>
    <t xml:space="preserve">    &lt;styleUrl&gt;#Style4&lt;/styleUrl&gt;
</t>
  </si>
  <si>
    <t>File Header
Code fragment 2</t>
  </si>
  <si>
    <t>&lt;/name&gt;</t>
  </si>
  <si>
    <t>Style5</t>
  </si>
  <si>
    <t xml:space="preserve"> 
&lt;Style id="Style4"&gt;
  &lt;IconStyle&gt;
   &lt;color&gt;ff00ffff&lt;/color&gt;
   &lt;scale&gt;0.4&lt;/scale&gt;
   &lt;Icon&gt;
    &lt;href&gt;http://maps.google.com/mapfiles/kml/shapes/placemark_square.png&lt;/href&gt;
   &lt;/Icon&gt;
   &lt;hotSpot x="0.5" y="0" xunits="fraction" yunits="fraction"/&gt;
  &lt;/IconStyle&gt;
  &lt;LabelStyle&gt;
   &lt;color&gt;ff00ffff&lt;/color&gt;
   &lt;scale&gt;0.6&lt;/scale&gt;
  &lt;/LabelStyle&gt;
  &lt;ListStyle&gt;
  &lt;/ListStyle&gt;
 &lt;/Style&gt;
</t>
  </si>
  <si>
    <t xml:space="preserve">    &lt;styleUrl&gt;#Style5&lt;/styleUrl&gt;
</t>
  </si>
  <si>
    <t>Placemark
Code fragment 1</t>
  </si>
  <si>
    <t xml:space="preserve">   &lt;Placemark&gt;
      &lt;name&gt;</t>
  </si>
  <si>
    <t>Placemark
Code fragment 2</t>
  </si>
  <si>
    <t xml:space="preserve">&lt;/name&gt;
</t>
  </si>
  <si>
    <t xml:space="preserve">      &lt;Point&gt;
         &lt;coordinates&gt;</t>
  </si>
  <si>
    <t>Placemark
Code fragment 3</t>
  </si>
  <si>
    <t>,0&lt;/coordinates&gt;
      &lt;/Point&gt;
      &lt;description&gt;&lt;![CDATA[</t>
  </si>
  <si>
    <t>Placemark
Code fragment 4</t>
  </si>
  <si>
    <t>]]&gt;&lt;/description&gt;
   &lt;/Placemark&gt;</t>
  </si>
  <si>
    <t>Footer</t>
  </si>
  <si>
    <t>&lt;/Document&gt;
&lt;/kml&gt;</t>
  </si>
  <si>
    <t>Boarding School</t>
  </si>
  <si>
    <t>Winter Clothes Adult</t>
  </si>
  <si>
    <t>NFI_Winter_Clothes_Adult_Track</t>
  </si>
  <si>
    <t>NFI_Winter_Clothes_Adult_Stock</t>
  </si>
  <si>
    <t>NFI_Winter_Clothes_Adult_Pipeline</t>
  </si>
  <si>
    <t>Winter Clothes Children</t>
  </si>
  <si>
    <t>NFI_Winter_Clothes_Children_Track</t>
  </si>
  <si>
    <t>NFI_Winter_Clothes_Children_Stock</t>
  </si>
  <si>
    <t>NFI_Winter_Clothes_Children_Pipeline</t>
  </si>
  <si>
    <t>Winter Items Other</t>
  </si>
  <si>
    <t>NFI_Winter_Items_Other_Track</t>
  </si>
  <si>
    <t>NFI_Winter_Items_Other_Stock</t>
  </si>
  <si>
    <t>NFI_Winter_Items_Other_Pipeline</t>
  </si>
  <si>
    <t xml:space="preserve">Winter Clothes Adult </t>
  </si>
  <si>
    <t xml:space="preserve">Winter Clothes Children </t>
  </si>
  <si>
    <t xml:space="preserve">Winter Items Other </t>
  </si>
  <si>
    <t>LDO</t>
  </si>
  <si>
    <t># of Locations</t>
  </si>
  <si>
    <t>Renovated</t>
  </si>
  <si>
    <t>Planned Renovation</t>
  </si>
  <si>
    <t>Sum of Coverage</t>
  </si>
  <si>
    <t/>
  </si>
  <si>
    <t>1-100</t>
  </si>
  <si>
    <t>100-1k</t>
  </si>
  <si>
    <t>Closed. Rellocated to Man Win and La Ga Yaung</t>
  </si>
  <si>
    <t>Change to Host Families.</t>
  </si>
  <si>
    <t>Closed. Duplicate with Maing Khaung.</t>
  </si>
  <si>
    <t>Closed. Same with (Namhkan St. Thomas 1)</t>
  </si>
  <si>
    <t>Closed. Same with (Nam Hkam Catholic Church  St. Thomas II)</t>
  </si>
  <si>
    <t>Close. Same with Kutkai Down Town RC. Source UNHCR Bhamo</t>
  </si>
  <si>
    <t>Closed. Rellocated next to AD 2000 Tharthana Compound and CCCM is under AD 2000</t>
  </si>
  <si>
    <t>Closed. Rellocated to Tharthana Ahlin Yaung.</t>
  </si>
  <si>
    <t>MMR001CMP224</t>
  </si>
  <si>
    <t>Saw Zam</t>
  </si>
  <si>
    <t>MMR001CMP225</t>
  </si>
  <si>
    <t>Tharthana Ahlin Yaung New Monastery</t>
  </si>
  <si>
    <t>Closed. Source Cluster Coordinator</t>
  </si>
  <si>
    <t>Close. According to RRC's info, this camp does not include in reported list.</t>
  </si>
  <si>
    <t>MMR015009036</t>
  </si>
  <si>
    <t>Man Nway (Pang Hseng (Kyu Koke)) Sub-township</t>
  </si>
  <si>
    <t>Nam Hkawng Khu</t>
  </si>
  <si>
    <t>Save the Children</t>
  </si>
  <si>
    <t>WPN</t>
  </si>
  <si>
    <t>Lang Taung</t>
  </si>
  <si>
    <t>MMR001014009</t>
  </si>
  <si>
    <t>Nawng Hkaing</t>
  </si>
  <si>
    <t>Doke Tan Ward</t>
  </si>
  <si>
    <t>MMR001014701509</t>
  </si>
  <si>
    <t>Bum Tsit Pa Camp II</t>
  </si>
  <si>
    <t>MMR001CMP226</t>
  </si>
  <si>
    <t>Plan-Myanmar</t>
  </si>
  <si>
    <t>CRC</t>
  </si>
  <si>
    <t>Move to Nant Ma Hpit Catholic Church.</t>
  </si>
  <si>
    <t>Changed Camp to Host Families. Source: Camp Profile Questionnaire.</t>
  </si>
  <si>
    <t>Inn Lel Yan</t>
  </si>
  <si>
    <t>Inn Lel Yan - Host Families</t>
  </si>
  <si>
    <t>New host families.</t>
  </si>
  <si>
    <t>MMR001CMP227</t>
  </si>
  <si>
    <t>Closed. Move to Bum Tist Pa II and Man Wing. HH113/Pop837</t>
  </si>
  <si>
    <t>Comments</t>
  </si>
  <si>
    <t>Only one HH left, included in Lon Khin Baptist distribution list.</t>
  </si>
  <si>
    <t>Closed.Moved to Na Ma Pyit KBC.</t>
  </si>
  <si>
    <t>Closed.</t>
  </si>
  <si>
    <t>Muse Town</t>
  </si>
  <si>
    <t>MMR015009701</t>
  </si>
  <si>
    <t>Ho Mun Ward</t>
  </si>
  <si>
    <t>MMR015009701504</t>
  </si>
  <si>
    <t>Muse Baptist Church</t>
  </si>
  <si>
    <t>MMR015CMP213</t>
  </si>
  <si>
    <t>Nam Hkam (KBC Jaw Wang) II</t>
  </si>
  <si>
    <t>MMR015CMP214</t>
  </si>
  <si>
    <t>MMR015010002</t>
  </si>
  <si>
    <t>Ho Nar</t>
  </si>
  <si>
    <t>Pang Long</t>
  </si>
  <si>
    <t>MMR015CMP215</t>
  </si>
  <si>
    <t>Man Wing Catholic Church II</t>
  </si>
  <si>
    <t>MMR001CMP228</t>
  </si>
  <si>
    <t>Muse Catholic Church</t>
  </si>
  <si>
    <t>MMR015CMP216</t>
  </si>
  <si>
    <t>Hpakant Baptist Church, Nam Ma Hpit</t>
  </si>
  <si>
    <t>MMR001CMP229</t>
  </si>
  <si>
    <t>Namhkan - Pang Long KBC</t>
  </si>
  <si>
    <t>Geo-Info, HH/Pop data was updated from Google Earth.</t>
  </si>
  <si>
    <t>Mone Paw Nam Chet (Zay) (Pang Hseng (Kyu Koke)) Sub-township</t>
  </si>
  <si>
    <t>MMR015009033</t>
  </si>
  <si>
    <t>Mone Paw Nam Chet</t>
  </si>
  <si>
    <t>Man Pying (Pang Hseng (Kyu Koke)) Sub-township</t>
  </si>
  <si>
    <t>MMR015009038</t>
  </si>
  <si>
    <t>Hawwa</t>
  </si>
  <si>
    <t>MMR001012013</t>
  </si>
  <si>
    <t>Khon Sint</t>
  </si>
  <si>
    <t>P1</t>
  </si>
  <si>
    <t>P2</t>
  </si>
  <si>
    <t>P3</t>
  </si>
  <si>
    <t>Priority</t>
  </si>
  <si>
    <t>Ind</t>
  </si>
  <si>
    <t>WC_Adult_Gap</t>
  </si>
  <si>
    <t>WI_Other_Gap</t>
  </si>
  <si>
    <t>WC_Child_Gap</t>
  </si>
  <si>
    <t>Sum of WC_Adult_Gap</t>
  </si>
  <si>
    <t>Sum of WC_Child_Gap</t>
  </si>
  <si>
    <t>Sum of WI_Other_Gap</t>
  </si>
  <si>
    <t>Check1</t>
  </si>
  <si>
    <t>KMSS-BMO</t>
  </si>
  <si>
    <t>KMSS-MYT</t>
  </si>
  <si>
    <t>Planned Distribution</t>
  </si>
  <si>
    <t>No</t>
  </si>
  <si>
    <t>P4</t>
  </si>
  <si>
    <t>ICRC</t>
  </si>
  <si>
    <t>Man Wing Baptist Church Cultural Compound</t>
  </si>
  <si>
    <t>MMR001CMP230</t>
  </si>
  <si>
    <t>FSD</t>
  </si>
  <si>
    <t>Closed. Duplicate with (Nawng Ing (Indawgyi) Baptist Church)</t>
  </si>
  <si>
    <t>COC</t>
  </si>
  <si>
    <t>Closed. Source: Save The Children</t>
  </si>
  <si>
    <t>MMR015CMP217</t>
  </si>
  <si>
    <t>Mungji Pa Dabang (Catholic Church)</t>
  </si>
  <si>
    <t>Chipwi KBC Camp</t>
  </si>
  <si>
    <t>CRCS</t>
  </si>
  <si>
    <t>CpPcode</t>
  </si>
  <si>
    <t>Accomodation</t>
  </si>
  <si>
    <t>ResponsibleAgency</t>
  </si>
  <si>
    <t>HouseHold</t>
  </si>
  <si>
    <t>Change to Host Families. Source: Programme Unit.</t>
  </si>
  <si>
    <t>used in warehouse</t>
  </si>
  <si>
    <t>Winter Blanket</t>
  </si>
  <si>
    <t>NFI_Winter_Blanket_Track</t>
  </si>
  <si>
    <t>NFI_Winter_Blanket_Stock</t>
  </si>
  <si>
    <t>NFI_Winter_Blanket_Pipeline</t>
  </si>
  <si>
    <t>In 2014, this school is no longer accepting the lower grade students.</t>
  </si>
  <si>
    <t>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t>
  </si>
  <si>
    <t>Chipwi Total</t>
  </si>
  <si>
    <t>Waingmaw Total</t>
  </si>
  <si>
    <t>Closed. Population relocated to Man Bung Catholic Compound (MMR001CMP062)</t>
  </si>
  <si>
    <t>Ku Day Maw KBC</t>
  </si>
  <si>
    <t>MMR001CMP231</t>
  </si>
  <si>
    <t>MR001009001</t>
  </si>
  <si>
    <t>(Multiple Items)</t>
  </si>
  <si>
    <t>Land Status</t>
  </si>
  <si>
    <t>Shelter Possible</t>
  </si>
  <si>
    <t>Sum of Shelter Possible</t>
  </si>
  <si>
    <t>Shelter Gap</t>
  </si>
  <si>
    <t>Sum of Shelter Gap</t>
  </si>
  <si>
    <t xml:space="preserve">Gap </t>
  </si>
  <si>
    <t>Possible Units</t>
  </si>
  <si>
    <t>Ma Gaung</t>
  </si>
  <si>
    <t>Nam Si In (Karmaing Sub-township)</t>
  </si>
  <si>
    <t>Mohnyin Town</t>
  </si>
  <si>
    <t>Pan Choe Hai</t>
  </si>
  <si>
    <t>Ton Hone Yang (Dawthponeyan Sub-township)</t>
  </si>
  <si>
    <t>Wein  Hkam (Lwegel Sub-township)</t>
  </si>
  <si>
    <t>Hpung Tang Kawng</t>
  </si>
  <si>
    <t>Ma Hkan Tee</t>
  </si>
  <si>
    <t>MMR015009013</t>
  </si>
  <si>
    <t>MMR015019701</t>
  </si>
  <si>
    <t>opening_date</t>
  </si>
  <si>
    <t>Hygiene Kit_LS</t>
  </si>
  <si>
    <t>NFI Core Kit_LS</t>
  </si>
  <si>
    <t>Sanitary Kit_LS</t>
  </si>
  <si>
    <t>Mosquito net_LS</t>
  </si>
  <si>
    <t>Tarpaulin_LS</t>
  </si>
  <si>
    <t>Kitchen Set_LS</t>
  </si>
  <si>
    <t>Blanket_LS</t>
  </si>
  <si>
    <t>Plastic Bucket _LS</t>
  </si>
  <si>
    <t>Plastic  Mat_LS</t>
  </si>
  <si>
    <t>Winter Clothes Adult_LS</t>
  </si>
  <si>
    <t>Winter Clothes Children_LS</t>
  </si>
  <si>
    <t>Winter Items Other_LS</t>
  </si>
  <si>
    <t>Winter Blanket_LS</t>
  </si>
  <si>
    <t>Report_Date</t>
  </si>
  <si>
    <t>NFI_Monitor_Date</t>
  </si>
  <si>
    <t>Winter</t>
  </si>
  <si>
    <t>#Household</t>
  </si>
  <si>
    <t>#Not Covered</t>
  </si>
  <si>
    <t>#Covered</t>
  </si>
  <si>
    <t>#Land Issue</t>
  </si>
  <si>
    <t>#Gap</t>
  </si>
  <si>
    <t>Hopin Host Families</t>
  </si>
  <si>
    <t>Moenyin Host Families</t>
  </si>
  <si>
    <t>MMR001CMP232</t>
  </si>
  <si>
    <t>MMR001CMP233</t>
  </si>
  <si>
    <t>Emergency Aung Bar Li</t>
  </si>
  <si>
    <t>Lone Zut</t>
  </si>
  <si>
    <t>CBP</t>
  </si>
  <si>
    <t>Bhamo Total</t>
  </si>
  <si>
    <t>Hpakant Total</t>
  </si>
  <si>
    <t>Mansi Total</t>
  </si>
  <si>
    <t>Mohnyin Total</t>
  </si>
  <si>
    <t>Momauk Total</t>
  </si>
  <si>
    <t>Myitkyina Total</t>
  </si>
  <si>
    <t>Puta-O Total</t>
  </si>
  <si>
    <t>Kutkai Total</t>
  </si>
  <si>
    <t>Muse Total</t>
  </si>
  <si>
    <t>Namhkan Total</t>
  </si>
  <si>
    <t>Shan_North Total</t>
  </si>
  <si>
    <t>Count of Camp</t>
  </si>
  <si>
    <t>Sum of Total2</t>
  </si>
  <si>
    <t># HH</t>
  </si>
  <si>
    <t># Ind.</t>
  </si>
  <si>
    <t># Camps</t>
  </si>
  <si>
    <t># Shelter Gap</t>
  </si>
  <si>
    <t># Const. Shelter</t>
  </si>
  <si>
    <t>Group1</t>
  </si>
  <si>
    <t>Township2</t>
  </si>
  <si>
    <t>Other Townships</t>
  </si>
  <si>
    <t>V1</t>
  </si>
  <si>
    <t>V2</t>
  </si>
  <si>
    <t>V3</t>
  </si>
  <si>
    <t>Shelter_Draw_Ratio</t>
  </si>
  <si>
    <t>Nearest_Town</t>
  </si>
  <si>
    <t>Distance</t>
  </si>
  <si>
    <t>IDP</t>
  </si>
  <si>
    <t>Nearest Town</t>
  </si>
  <si>
    <t>distance</t>
  </si>
  <si>
    <t>Naypyitaw Town</t>
  </si>
  <si>
    <t>Pang War Town</t>
  </si>
  <si>
    <t>Hpakant Town</t>
  </si>
  <si>
    <t>Kamaing Town</t>
  </si>
  <si>
    <t>Kunlong Town</t>
  </si>
  <si>
    <t>Khaunglanhpu Town</t>
  </si>
  <si>
    <t>Namhkan Town</t>
  </si>
  <si>
    <t>Tarmoenye Town</t>
  </si>
  <si>
    <t>Manton Town</t>
  </si>
  <si>
    <t>Hopin Town</t>
  </si>
  <si>
    <t>Laiza town</t>
  </si>
  <si>
    <t>Dawthponeyan  Town</t>
  </si>
  <si>
    <t>Monekoe Town</t>
  </si>
  <si>
    <t>Pang Hseng (Kyu Koke) Town</t>
  </si>
  <si>
    <t>Kan Paik Ti Town</t>
  </si>
  <si>
    <t>Sadung Town</t>
  </si>
  <si>
    <t>Machanbaw Town</t>
  </si>
  <si>
    <t>Distance_Cat</t>
  </si>
  <si>
    <t>0-5km</t>
  </si>
  <si>
    <t>5-10km</t>
  </si>
  <si>
    <t>10-15km</t>
  </si>
  <si>
    <t>15-20km</t>
  </si>
  <si>
    <t>20-25km</t>
  </si>
  <si>
    <t>25-30km</t>
  </si>
  <si>
    <t># IDP Loc.</t>
  </si>
  <si>
    <t>Clothes Kit</t>
  </si>
  <si>
    <t>Clothes Kit_LS</t>
  </si>
  <si>
    <t>NFI_Clothes_Track</t>
  </si>
  <si>
    <t>NFI_Clothes_Stock</t>
  </si>
  <si>
    <t>NFI_Clothes_Pipeline</t>
  </si>
  <si>
    <t>Clothes Kits</t>
  </si>
  <si>
    <t xml:space="preserve">Winter Blanket </t>
  </si>
  <si>
    <t xml:space="preserve">Mosquito net </t>
  </si>
  <si>
    <t xml:space="preserve">Plastic Bucket </t>
  </si>
  <si>
    <t xml:space="preserve">Plastic Mat </t>
  </si>
  <si>
    <t>Core Kit</t>
  </si>
  <si>
    <t>Winter Items</t>
  </si>
  <si>
    <t>Lifespam</t>
  </si>
  <si>
    <t>% Gap</t>
  </si>
  <si>
    <t>Items distributed to other affected people</t>
  </si>
  <si>
    <t>#Camps</t>
  </si>
  <si>
    <t>2015-04-01 : According to UNICEF and WFP this location is a village. People are not IDP but are affected by the crisis. That s why it would remain in the list.
Geo-Info, HH/Pop data was updated from Google Earth.</t>
  </si>
  <si>
    <t>Village</t>
  </si>
  <si>
    <t>Crisis Affected</t>
  </si>
  <si>
    <t>27-Mar-15 (Closed. Source: UNHCR-Bhamo)
New Camp</t>
  </si>
  <si>
    <t>19-Mar-2015 (WFP has been providing this host families since 2013.)</t>
  </si>
  <si>
    <t>2-Apr-15 (Closed. Source: GAD)
Responsible Agency update. KMSS-BMO to KMSS-MYT.</t>
  </si>
  <si>
    <t>&gt; 30 km</t>
  </si>
  <si>
    <t># of IDP Loc.</t>
  </si>
  <si>
    <t>Average of Coverage</t>
  </si>
  <si>
    <t>Pajau - Jan Mai</t>
  </si>
  <si>
    <t>Tat Kone COC Baptist - Tat Kone Htoi San</t>
  </si>
  <si>
    <t>Zai Awng - Mung Ga Zup</t>
  </si>
  <si>
    <t>Moke Lwe Village - Hkar Shi</t>
  </si>
  <si>
    <t>Nawng Si Paw Village - Inn Lay</t>
  </si>
  <si>
    <t>Laiza Market 3 - Laiza Gat</t>
  </si>
  <si>
    <t>Affected Population</t>
  </si>
  <si>
    <t>Estimation</t>
  </si>
  <si>
    <t>MMR001005009</t>
  </si>
  <si>
    <t>MMR001002030</t>
  </si>
  <si>
    <t>MMR001002009</t>
  </si>
  <si>
    <t>MMR001007701</t>
  </si>
  <si>
    <t>MMR001009012</t>
  </si>
  <si>
    <t>MMR015011030</t>
  </si>
  <si>
    <t>MMR015011020</t>
  </si>
  <si>
    <t>MMR015009048</t>
  </si>
  <si>
    <t>MMR001012039</t>
  </si>
  <si>
    <t>MMR001012016</t>
  </si>
  <si>
    <t>MMR001012050</t>
  </si>
  <si>
    <t>25-Jun-15 Population update. Source: KBC
Update population. Source: Camp Profile.</t>
  </si>
  <si>
    <t>MMR015CMP218</t>
  </si>
  <si>
    <t>MMR001CMP234</t>
  </si>
  <si>
    <t>Lung Sut</t>
  </si>
  <si>
    <t>25-Jun-15 Relocate to Shatapru Thida Aye Baptist Church
Population update: Source: Camp Profile Round 2.</t>
  </si>
  <si>
    <t>25-Jun-15 (Population update. Source : Shalom)
Population update: Source: Camp Profile Round 2.</t>
  </si>
  <si>
    <t>KMSS-LSO</t>
  </si>
  <si>
    <t>25-Jun-15 (Relocated to Hpum Lone Yan and Wai Choi)
Population Update. Source: UNHCR Cross-Line Mission Report. (July 2014)</t>
  </si>
  <si>
    <t>25-Jun-15 (Relocate to Long Sut)
Geo-Info, HH/Pop data received from MIRA Form</t>
  </si>
  <si>
    <t>25-Jun-15 (Relocated to Lone Sut)
Geo-Info, HH/Pop data received from MIRA Form</t>
  </si>
  <si>
    <t>Lone Sut Ward</t>
  </si>
  <si>
    <t>MMR001014701510</t>
  </si>
  <si>
    <t xml:space="preserve">Ma Hawng RC </t>
  </si>
  <si>
    <t>MMR001CMP235</t>
  </si>
  <si>
    <t>MMR001CMP236</t>
  </si>
  <si>
    <t>MMR001CMP237</t>
  </si>
  <si>
    <t>25-Jun-2015 (New host families. Source: RRD)</t>
  </si>
  <si>
    <t>Sar Hmaw</t>
  </si>
  <si>
    <t>MMR001008018</t>
  </si>
  <si>
    <t>Nam Sa Larp</t>
  </si>
  <si>
    <t>MMR015002021</t>
  </si>
  <si>
    <t>Sar Hmaw - KBC</t>
  </si>
  <si>
    <t>Sar Hmaw - ICM</t>
  </si>
  <si>
    <t>SHELTER TRACKING SHEET</t>
  </si>
  <si>
    <t>Implementing  Partner</t>
  </si>
  <si>
    <t>HH per Shelter</t>
  </si>
  <si>
    <t># of Family Tent Distributed</t>
  </si>
  <si>
    <t># of Temporary Shelter Units Planned (Target)</t>
  </si>
  <si>
    <t># of Temporary Shelter Units Built</t>
  </si>
  <si>
    <t># of Temporary Shelter Under  Construction</t>
  </si>
  <si>
    <t># of Permanent House Planned (Target)</t>
  </si>
  <si>
    <t># of Permanent House Built</t>
  </si>
  <si>
    <t># of Permanent House Under Construction</t>
  </si>
  <si>
    <t>HH Covered</t>
  </si>
  <si>
    <t># of Family Tent Planned(Target)</t>
  </si>
  <si>
    <t>19-Aug-15 Population update. Source: Shalom
25-Jun-15 (Population update. Source : Shalom)
Population update: Source: Camp Profile Round 2.</t>
  </si>
  <si>
    <t>19-Aug-15 Population update. Source: Shalom
25-Jun-15 (Population update. Source : Shalom)
2-Apr-15 (Population update, Source: UNHCR CCCM Mission)
Population update: Source: Camp Profile Round 2.</t>
  </si>
  <si>
    <t>19-Aug-15 Close. Source: CCCM Unit.
Population source: KMSS-BMO</t>
  </si>
  <si>
    <t>Location</t>
  </si>
  <si>
    <t>Camps/Host Families</t>
  </si>
  <si>
    <t>Sum of HH Covered</t>
  </si>
  <si>
    <t>Sum of # of Temporary Shelter Units Built</t>
  </si>
  <si>
    <t>Sum of # of Temporary Shelter Under  Construction</t>
  </si>
  <si>
    <t>19-Aug-15 Closed. IDP were provided with individual lands within Naung Hmee village and transit toward semi-permanent settlement. Source: CCCM Unit
2-Apr-15 (Population update, Source: UNHCR CCCM Mission)
Population update: Source: Camp Profile Round 2.</t>
  </si>
  <si>
    <t>Ndup Yang</t>
  </si>
  <si>
    <t>MMR001CMP238</t>
  </si>
  <si>
    <t>10/2/2015. New Camp. Data source: CCCM team-Ko Maran</t>
  </si>
  <si>
    <t>Salang Yang</t>
  </si>
  <si>
    <t>MMR001CMP239</t>
  </si>
  <si>
    <t>Replacement</t>
  </si>
  <si>
    <t>Replacement (YES/NO)</t>
  </si>
  <si>
    <t>YES</t>
  </si>
  <si>
    <t>NO</t>
  </si>
  <si>
    <t>14-Oct-15 Population update. Soruce; Hpakant Mission Report_WFP
19-Aug-15 Population update. Source: Shalom
2-Apr-15 (Population update, Source: UNHCR CCCM Mission)
Population update: Source: Camp Profile Round 2.</t>
  </si>
  <si>
    <t>14-Oct-15 Population update. Soruce; Hpakant Mission Report_WFP
19-Aug-15 Population update. Source: Shalom
25-Jun-15 (Population update. Source: Shalom)
2-Apr-15 (Population update, Source: UNHCR CCCM Mission)
Population update: Source: Camp Profile Round 2.</t>
  </si>
  <si>
    <t>14-Oct-15 Population update. Soruce; Hpakant Mission Report_WFP
25-Jun-15 Population update. Source: KBC
18-May-15 (Population update from field mission)
3-Apr-15 (Population update. Source: Camp Profile Round 3)
New camp</t>
  </si>
  <si>
    <t>14-Oct-15 Population update. Soruce; Hpakant Mission Report_WFP
19-Aug-15 Population update. Source: Shalom
25-Jun-15 (Population update. Source: Shalom)
Population update: Source: Camp Profile Round 2.
2-Apr-15 (Population update, Source: UNHCR CCCM Mission)</t>
  </si>
  <si>
    <t>14-Oct-15 Population update. Soruce; Hpakant Mission Report_WFP
19-Aug-15 Population updae. Source: Shalom.
25-Jun-15 (Population update. Source Shalom)
Population update: Source: Camp Profile Round 2.</t>
  </si>
  <si>
    <t>Jerry Can</t>
  </si>
  <si>
    <t>Jerry Can_LS</t>
  </si>
  <si>
    <t>NFI_Jerry_Can_Track</t>
  </si>
  <si>
    <t>NFI_Jerry_Can_Stock</t>
  </si>
  <si>
    <t>NFI_Jerry_Can_Pipeline</t>
  </si>
  <si>
    <t>9/Nov/2015. updated camp status (Closed). Data Source; Lu Lu Awng by mail.
19-Aug-15 Population update. Source: Shalom
25-Jun-15 (Population update. Source : Shalom)
Checked with Shalom data, IDPs figure do not change</t>
  </si>
  <si>
    <t>9/Nov/15. Population update. Data source: monthly report by HAP.
14-Oct-15 Population update. Soruce; Hpakant Mission Report_WFP
25-Jun-15 (Population update. Source Shalom)
2-Apr-15 (Population update, Source: UNHCR CCCM Mission)
Population update: Source: Camp Profile Round 2.</t>
  </si>
  <si>
    <t>9/Nov/15. Population update. Data source: monthly report by HAP.
14-Oct-15 Population update. Soruce; Hpakant Mission Report_WFP
25-Jun-15 (Population update. Source: Shalom)
18-May-15 (Population update from field mission)
2-Apr-15 (Population update, Source: UNHCR CCCM Mission)
Population update: Source: Camp Profile Round 2.</t>
  </si>
  <si>
    <t>9/Nov/15. Population update. Data source: monthly report by HAP.
19-Aug-15 Population update. Source Shalom.
25-Jun-15 Population update. Source Shalom
Population update: Source: Camp Profile Round 2.</t>
  </si>
  <si>
    <t>9/Nov/15. Population update. Data source: monthly report by HAP.
19-Aug-15 Population update. Source: Shalom.
25-Jun-15 (Population update. Source : Shalom)
Population update: Source: Camp Profile Round 2.</t>
  </si>
  <si>
    <t>9/Nov/15. Population update. Data source: monthly report by HAP.
19-Aug-15 Update population. Data Source: Shalom.
25-Jun-2015 Update population. Data Source: KBC
Population update: Source: Camp Profile Round 2.</t>
  </si>
  <si>
    <t>9/Nov/15. Population update. Data source: monthly report by HAP.
19-Aug-15 Population update. Source: Shalom
25-Jun-15 (Population update. Source : Shalom)
Population update: Source UNHCR-Bhamo</t>
  </si>
  <si>
    <t>MMR001012703</t>
  </si>
  <si>
    <t>Dawthponeyan Boarding School</t>
  </si>
  <si>
    <t>MMR001CMP240</t>
  </si>
  <si>
    <t>9/Nov/15. Accomodation changes from Host families to Camp. Data source: mail by Maran Tang Nau.
19-Aug-15 (Population Udate. Data Source: KMSS-MYT)
25-Jun-2015 (New host families. Source: RRD)</t>
  </si>
  <si>
    <t xml:space="preserve">New Pang Ku </t>
  </si>
  <si>
    <t>MMR015CMP219</t>
  </si>
  <si>
    <t>9/Nov/15. New added camp. Data source: UNHCR CCCM officer NSS mission 8-12 July 2015.</t>
  </si>
  <si>
    <t>9/Nov/15. Population update. Data source: mail from Pancy (WFP).
Update IDP increased in Oct and Nov 2013 from Angela (UNHCR - Bhamo)</t>
  </si>
  <si>
    <t>9/Nov/15. Population update. Data source: mail from Pancy (WFP).</t>
  </si>
  <si>
    <t>9/Nov/15. Population update. Data source: mail from Pancy (WFP).
Update IDP increased in Oct and Nov 2013 from (UNHCR - Bhamo)</t>
  </si>
  <si>
    <t>9/Nov/2015. Population update. Data source: mail from Pancy (WFP).
New added Boarding School</t>
  </si>
  <si>
    <t>Resettlement place</t>
  </si>
  <si>
    <t>Updated on 2/Dec/2015. Data source: mail by Win Aung Htun
Updated on 11/Nov/2015. Added jerry can data. Data source: mail by Win Aung Htun
Updated on 29/Sep/2015. 
Data Source: Lu Lu Awng and Win Aung Tun</t>
  </si>
  <si>
    <t>Latitude</t>
  </si>
  <si>
    <t>28/Jan/2016. Population update. Data source: KBC (mail by maran)
2/Dec/2015. Population update. Data source: KBC
25-Jun-15 Population update. Source: KBC
Population Update. Source: Save The Children.</t>
  </si>
  <si>
    <t>28/Jan/2016. Population update. Data source: KBC (mail by maran)
13/Dec/2015. Population update. Data source: Mail by Ko Maran. Reason for Pop changes: camp pp reduced as IDP in the host who were registered in the camp but now they established their own separate entity as IDP in the host. 
2/Dec/2015. Population update. Data source: KBC
25-Jun-15 Population update. Source: KBC
Population Update. Source: Save The Children.</t>
  </si>
  <si>
    <t>28/Jan/2016. Population update. Data source: KBC (mail by maran)
25-Jun-15 Population update. Source: KBC
Update population. Source: Camp Profile.</t>
  </si>
  <si>
    <t>28/Jan/2016. Population update. Data source: KBC (mail by maran)
13/Dec/15. Population update. Data source: Mail by Ko Maran. Reason for pop changes: IDP in the host who were registered in the Man Win Bapitst Church (cultural compound) camp established their own separate entity as IDP in the host. 
Population Update. Source: Save The Children.</t>
  </si>
  <si>
    <t>28/Jan/2016. Population update. Data source: KBC (mail by maran)
25-Jun-15 Population update. Source: KBC
Changed NGCA to GCA. Source: CCCM Unit</t>
  </si>
  <si>
    <t>28/Jan/2016. Population update. Data source: KBC (mail by maran)
2/Dec/2015. Population update. Data source: KBC
25-Jun-15 Population update. Source: KBC
Update population. Source: Camp Profile.</t>
  </si>
  <si>
    <t>28/Jan/2016. Population update. Data source: KBC (mail by maran)
2/Dec/2015. Population update. Data source: KBC
25-Jun-15 Population update. Source: KBC
27-Mar-15 (Changed to GCA. Source UNHCR-Bhamo)
Update population. Source: Camp Profile.</t>
  </si>
  <si>
    <t>28/Jan/2016. Population update. Data source: KBC (mail by maran)
2/Dec/2015. Population update. Data source: KBC
25-Jun-15 Population update. Source: KBC
New camp.</t>
  </si>
  <si>
    <t>28/Jan/2016. Population update. Data source: KBC (mail by maran)
19-Aug-15 Population update. Source KBC.
25-Jun-15 New camp. Data Source : KBC</t>
  </si>
  <si>
    <t>28/Jan/2016. Population update. Data source: KBC (mail by maran)
25-Jun-15 Population update. Source: KBC
Population update. Source: KBC.</t>
  </si>
  <si>
    <t>28/Jan/2016. Population update. Data source: KBC (mail by maran)
2/Dec/2015 (Population update. Data source: Monthly report by KMSS_MYT). Reason for pop changes; Arrived at the camp from daily work.
23-Oct-15 (Population update. Data sorce: Monthly report by KMSS-MYT). Reason for changes; Travelling from the camp for daily worker.
2-Oct-15 (Population update. Data sorce: Monthly report by KMSS-MYT)
19-Aug-15 (Population update. Data source: KMSS-MYT)
25-Jun-15 (Population update. KMSS-MYT)
Population Update. Source: KMSS-MYT</t>
  </si>
  <si>
    <t>28/Jan/2016. Population update. Data source: KBC (mail by maran)
23-Oct-15 Population update. Data source; Monthly report by KMSS_MYT. Reason for changes; A new sprad HH is added.
14-Oct-15 Population update. Soruce; Hpakant Mission Report_WFP
2-Oct-15 (Population update. Data Source: Monthly report by KMSS-MYT)
25-Jun-15 (Population update. Source: KMSS-MYT)
18-May-15 (Population update from field mission)
2-Apr-15 (Population update, Source: UNHCR CCCM Mission)
Population Update. Source: KMSS-MYT</t>
  </si>
  <si>
    <r>
      <rPr>
        <b/>
        <sz val="11"/>
        <color theme="1"/>
        <rFont val="Calibri"/>
        <family val="2"/>
        <scheme val="minor"/>
      </rPr>
      <t>28/Jan/2016. Population update. Data source: KBC (mail by maran)</t>
    </r>
    <r>
      <rPr>
        <sz val="11"/>
        <color theme="1"/>
        <rFont val="Calibri"/>
        <family val="2"/>
        <scheme val="minor"/>
      </rPr>
      <t xml:space="preserve">
23-Oct-15 (Population update. Data source: Monthly report by KMSS-MYT). Reason for changes; Travelling from the camp for daily worker.
2-Oct-15 (Population update. Data Source: Monthly report by KMSS-MYT)
19-Aug-15 (Population update. Data Source: KMSS-MYT)
25-Jun-15 (Population update. Source: KMSS-MYT)
Population Update. Source: KMSS-MYT</t>
    </r>
  </si>
  <si>
    <t>28/Jan/2016. Population update. Data source: KBC (mail by maran)
2-Oct-15 (Population update. Data Source: Monthly report by KMSS-MYT)
19-Aug-15 (Populaiton update. Data Source: KMSS-MYT)
25-Jun-15 (Population update. Source: IRRC)
2015-03-16 (Population moved from Je Yang Hka as there was no land available)
Population Update. Source: UNHCR Cross-Line Mission Report. (July 2014)</t>
  </si>
  <si>
    <t>28/Jan/2016. Population update. Data source: KBC (mail by maran)
2/Dec/2015 (Population update. Data source: Monthly report by KMSS_MYT). Reason for pop changes; Arrived at the camp from daily work.
23-Oct-15 (Population update. Data source: Monthly report by KMSS-MYT). Reason for changes; Arrive from the Daily Work.
2 Oct 15 (Population update. Data Source: KMSS-MYT)
19-Aug-15 (Population update. Data Source: KMSS-MYT)
25-Jun-15 (Population update. Source : KMSS-MYT)
Population Update. Source: KMSS-MYT</t>
  </si>
  <si>
    <t>28/Jan/2016. Population update. Data source: KBC (mail by maran)
2/Dec/2015 (population changes. Data source; KMSS_MYT). Reason for pop changes; arrived at the camp form daily work.
2-Oct-15 (Population update. Data Source: KMSS-MYT)
19-Aug-15 (Population update. Data Source: KMSS-MYT)
25-Jun-15 (Population update. KMSS-MYT)
2015-03-16 (Population moved to Hpun Lum Yang as there was no land available)
Population Update. Source: KMSS-MYT</t>
  </si>
  <si>
    <t>28/Jan/2016. Population update. Data source: KBC (mail by maran)
23-Oct-15 (Population update. Data sorce: Monthly report by KMSS-MYT). Reason for changes; Traveling from the camp for daily worker.
2-Oct-15 (Population update. Data Source: Monthly Report by KMSS-MYT)
19-Aug-15 (Population update. Data source: KMSS-MYT)
25-Jun-15 (Population update. Source: KMSS-MYT)
Population Update. Source: KMSS-MYT</t>
  </si>
  <si>
    <t>28/Jan/2016. Population update. Data source: KBC (mail by maran)
2/Dec/2015 (Population update. Data source: Monthly report by KMSS_MYT). Reason for pop changes; Arrived at the camp from daily work.
23-Oct-15 (Population update. Data sorce: Monthly report by KMSS-MYT). Reasion for changes; Travelling from the camp for daily worker.
2-Oct-15 (Pupulation update. Data Source: KMSS-MYT) and NFI Distribution List (New arrival)
19-Aug-15 (Population update. Data Source: KMSS-MYT)
25-Jun-15 (Population update. Source: KMSS-MYT)
Population Update. Source: KMSS-MYT</t>
  </si>
  <si>
    <t>28/Jan/2016. Population update. Data source: KBC (mail by maran)
9/Nov/15. Population update. Data source: mail from Pancy (WFP).
19-Mar-2015 (WFP has been providing this host families since 2013.)</t>
  </si>
  <si>
    <t>28/Jan/2016. Population update. Data source: KBC (mail by maran)
23-Oct-15 (Population update. Data source: Monthly report by KMSS-MYT). Reason for changes; Arrive from the Daily Work.
19-Aug-15 (Population update. Data Source: KMSS-MYT) 
25-Jun-15 (Population update. Source: KMSS-MYT)</t>
  </si>
  <si>
    <t>28/Jan/2016. Population update. Data source: KBC (mail by maran)
23-Oct-15 (Population update. Data source: Monthly report by KMSS-MYT). Reason for changes; Travelling from the camp for Daily Worker.
2-Oct-15 (Population update. Data Source: Monthly report by KMSS-MYT)
25-Jun-15 (Population update. Source: KMSS-MYT)
18-May-15 (Population update from field mission)
2-Apr-15 (Population update, Source: UNHCR CCCM Mission)</t>
  </si>
  <si>
    <t>28/Jan/2016. Population update. Data source: KBC (mail by maran)
2/Dec/2015 (population update. Data source: Monthly report by KMSS-MYT). 
23-Oct-2015 (Population update. Data Source: Monthly report by KMSS-MYT). Reason for population changes; Travelling from the camp for Daily Worker.
19-Aug-2015 (Population update. Data Source: KMSS-MYT)
2-Apr-15 (Population update, Source: UNHCR CCCM Mission)
New Camp. KMSS-MYT</t>
  </si>
  <si>
    <t>28/Jan/2016. Population update. Data source: KBC (mail by maran)
2/Dec/2015 (Population update. Data source: Monthly report by KMSS_MYT). Reason for pop changes; Arrived at the camp and travelling from the camp for daily work.
2-Oct-15 (Population update. Data source: Monthly report by KMSS-MYT)
19-Aug-15 (Population update. Data Source: KMSS-MYT)
25-Jun-15 (Population update. Source: KMSS-MYT)
Update population according to KBC data</t>
  </si>
  <si>
    <t>28/Jan/2016. Population update. Data source: KBC (mail by maran)
19-Aug-15 Population update. Source: Shalom.
25-Jun-15 Population update. Source : Shalom.</t>
  </si>
  <si>
    <t>28/Jan/2016. Population update. Data source: KBC (mail by maran)
19-Aug-15 (Population update. Data Source: KMSS-MYT)
2-Apr-15 (Population update, Source: UNHCR CCCM Mission)
Population Update. Source: KMSS-MYT</t>
  </si>
  <si>
    <t>28/Jan/2016. Population update. Data source: KBC (mail by maran)
2/Dec/2015 (Population update. Data source: Monthly report by KMSS_MYT). Reasons for population changes; travelling from the camp for daily worker.
2-Oct-15 (Population update. Data Source: Monthly report by KMSS-MYT)
19-Aug-15 (Population updata. Data Source: KMSS-MYT)
25-Jun-15 (Population update. Source KMSS-MYT)
Population Update. Source: KMSS-MYT</t>
  </si>
  <si>
    <t>28/Jan/2016. (New added camp) Population update. Data source: KBC (mail by maran)
9/Nov/15. Population update. Data source: monthly report by HAP.
19-Aug-15 Population update. Source: Shalom
25-Jun-15 (Population update. Source: Shalom)
2-Apr-15 (Population update, Source: UNHCR CCCM Mission)
Population update: Source: Camp Profile Round 2.</t>
  </si>
  <si>
    <t>28/Jan/2016. Population update. Data source: KBC (mail by maran)
19-Aug-15 (Population Update. Data Source: KMSS-BMO)
Population update: Source: Camp Profile Round 2.</t>
  </si>
  <si>
    <t>28/Jan/2016. Population update. Data source: KBC (mail by maran)
Population update: Source: KMSS-BMO
Population Update. Source: Save The Children.</t>
  </si>
  <si>
    <t>28/Jan/2016. Population update. Data source: KBC (mail by maran)
Population Update. Source: Save The Children.</t>
  </si>
  <si>
    <t>28/Jan/2016. Population update. Data source: KBC (mail by maran)
19-Aug-2015. Update Population. Data Source; KMSS-BMO
Population update: Source UNHCR-Bhamo</t>
  </si>
  <si>
    <t>28/Jan/2016. Population update. Data source: KBC (mail by maran)
19 Aug 2015. Udate Population. Date Source; KMSS-BMO
Population update: Source: KMSS-BMO</t>
  </si>
  <si>
    <t>28/Jan/2016. Population update. Data source: KBC (mail by maran)
19-Aug-15 Update population. Source KMSS-BMO
Geo-Info update.</t>
  </si>
  <si>
    <t>28/Jan/2016. Population update. Data source: KBC (mail by maran)
19-Aug-2015. Population Update. Data Source; KMSS-BMO
Population increased. Relocated from Momauk Catholic Church (St. Patrick) - MMR001CMP057</t>
  </si>
  <si>
    <t>28/Jan/2016. Population update. Data source: KBC (mail by maran)
19-Aug-2015. Update Population. Data Source; KMSS-BMO
Update population. Source UNHCR Bhamo</t>
  </si>
  <si>
    <t>28/Jan/2016. Population update. Data source: KBC (mail by maran)
19 Aug 2015. Update Population. Data Source; KMSS-BMO
Population update: Source UNHCR-Bhamo</t>
  </si>
  <si>
    <t>28/Jan/2016. Population update. Data source: KBC (mail by maran)
19-Aug-15 (Population update. Source: MKSS-LSO)
25-Jun-15 (Population update. Source: KMSS-LSO)
Population updated. Source: Shelter unit.</t>
  </si>
  <si>
    <t>28/Jan/2016. Population update. Data source: KBC (mail by maran)
19-Aug-15 (Population update. Source: KMSS-LSO)
25-Jun-15 (Population update. Source: KMSS-LSO)
New Camp</t>
  </si>
  <si>
    <t>28/Jan/2016. Population update. Data source: KBC (mail by maran)
19-Aug-15 (Population update. Source KMSS-LSO)
25-Jun-15 (Population update. Source KMSS-LSO)
27-Mar-15 (Changed to GCA. Source UNHCR-Bhamo)
New camp. Source: KMSS-BMO</t>
  </si>
  <si>
    <t>28/Jan/2016. Population update. Data source: KBC (mail by maran)
19-Aug-15 (Population update. Source: MKSS-LSO)
25-Jun-15 (Population update. Source: KMSS-LSO)
Population Update. Source: Save The Children.</t>
  </si>
  <si>
    <t>28/Jan/2016. Population update. Data source: KBC (mail by maran)
19-Aug-15 (Population update. Source: KMSS-LSO)
25-Jun-15 (Population update. Source: KMSS-LSO)
Population update. Changed NGCA to GCA. Source: CCCM Unit</t>
  </si>
  <si>
    <t>28/Jan/2016. Population update. Data source: KBC (mail by maran)
9/Nov/15. Population update. Data source: monthly report by HAP.
19-Aug-15 Population updae. Source: Shalom
25-Jun-15 (Population update. Source : Shalom)
2-Apr-15 (Population update, Source: UNHCR CCCM Mission)
Update IDP population from Shalom data (Assistant CCCM Officer)</t>
  </si>
  <si>
    <t>28/Jan/2016. Population update. Data source: KBC (mail by maran)
9/Nov/15. Population update. Data source: monthly report by HAP.
19-Aug-15. Population update. Source: Shalom.
25-Jun-15 Population update. Source : Shalom.
Population update: Source: Camp Profile Round 2.</t>
  </si>
  <si>
    <t>28/Jan/2016. Population update. Data source: KBC (mail by maran)
9/Nov/15. Population update. Data source: monthly report by HAP.
19-Aug-15 Population update. Source: Shalom.
25-Jun-15 Population update. Source : Shalom.
Update population. Source: Camp Profile.</t>
  </si>
  <si>
    <t>28/Jan/2016. Population update. Data source: KBC (mail by maran)
9/Nov/15. Population Upate. Data source: monthly report by HAP.
19-Aug-15 Population update. Source: Shalom
25-Jun-15 Population update. Source : Shalom.
Population update: Source: Camp Profile Round 2.</t>
  </si>
  <si>
    <t>28/Jan/2016. Population update. Data source: KBC (mail by maran)
25-Jun-15 Population update. Source : Shalom.
Population update: Source: Camp Profile Round 2.</t>
  </si>
  <si>
    <t>28/Jan/2016. Population update. Data source: KBC (mail by maran)
19-Aug-15 Population update. Source: Shalom.
Update population. Source: Camp Profile.</t>
  </si>
  <si>
    <t>28/Jan/2016. Population update. Data source: KBC (mail by maran)
9/Nov/15. Population update. Data source: monthly report by HAP.
19-Aug-15 Population update. Source: Shalom.
25-Jun-15 Population update. Source : Shalom.
Population update: Source: Camp Profile Round 2.</t>
  </si>
  <si>
    <t>28/Jan/2016. Population update. Data source: KBC (mail by maran)
19-Aug-15 Population update. Source Shalom.
25-Jun-15 Population update. Source Shalom.
Population update: Source: Camp Profile Round 2.</t>
  </si>
  <si>
    <t>28/Jan/2016. Population update. Data source: KBC (mail by maran)
9/Nov/15. Population update. Data source: monthly report by HAP.
19-Aug-15 Update population. Source: Shalom
25-Jun-15 Population update. Source : Shalom.
Population update: Source: Camp Profile Round 2.</t>
  </si>
  <si>
    <t>28/Jan/2016. Population update. Data source: KBC (mail by maran)
9/Nov/15. Population update. Data source: monthly report by HAP.
19-Aug-15 Update Population. Source: Shalom.
25-Jun-2015 Update population. Source : Shalom.
Population update: Source: Camp Profile Round 2.</t>
  </si>
  <si>
    <t>28/Jan/2016. Population update. Data source: KBC (mail by maran)
9/Nov/15. Population update. Data source: monthly report by HAP
25-Jun-15 Population update. Source : Shalom.
Population update: Source: Camp Profile Round 2.</t>
  </si>
  <si>
    <t>28/Jan/2016. Population update. Data source: KBC (mail by maran)
2/Dec/2015. Population update. Data source: KBC
14-Oct-15 Population update. Soruce; Hpakant Mission Report_WFP
25-Jun-15 Population update. Source: KBC
2-Apr-15 (Population update, Source: UNHCR CCCM Mission)
Population Update. Source: KBC.</t>
  </si>
  <si>
    <t>28/Jan/2016. Population update. Data source: KBC (mail by maran)
13/Dec/2015. Population update. Data source: mail by Ko Maran. reason for population changes: Aung Tar KBC camp still exist. WFP report about camp closure but the small camp still exist. We change the status as open again
9/Nov/15. Camp Closed
25-Jun-15 Population update. Source: KBC
Population Update. Source: KBC.</t>
  </si>
  <si>
    <t>28/Jan/2016. Population update. Data source: KBC (mail by maran)
2/Dec/2015. Population update. Data source: KBC
25-Jun-15 Population update. Source: KBC
2-Apr-15 (Population update, Source: UNHCR CCCM Mission)</t>
  </si>
  <si>
    <t>28/Jan/2016. Population update. Data source: KBC (mail by maran)
2/Dec/2015. Population update. Data source: KBC
25-Jun-15 Population update. Source: KBC
Update population according to KBC data</t>
  </si>
  <si>
    <t>28/Jan/2016. Population update. Data source: KBC (mail by maran)
2/Dec/2015. Population update. Data source: KBC.
Update population according to KBC data</t>
  </si>
  <si>
    <t>28/Jan/2016. Population update. Data source: KBC (mail by maran)
2/Dec/2015. Population update. Data source: KBC.
19-Aug-15 Population update. Source: KBC.
25-Jun-15 Population update. Source: KBC
Update population according to KBC data</t>
  </si>
  <si>
    <t>28/Jan/2016. Population update. Data source: KBC (mail by maran)
2/Dec/2015. Population update. Data source: KBC
25-Jun-2015 Update population. Data Source: KBC
Update population according to KBC data</t>
  </si>
  <si>
    <t>28/Jan/2016. Population update. Data source: KBC (mail by maran)
2/Dec/2015. Population update. Data source: KBC.
25-Jun-2015 Update population. Data Source: KBC
Population update: Source: Camp Profile Round 2.</t>
  </si>
  <si>
    <t>28/Jan/2016. Population update. Data source: KBC (mail by maran)
2/Dec/2015. Population update. Data source: KBC.
19-Aug-15 Update population from KBC.
25-Jun-2015 Update population from KBC.
Checked with KBC data</t>
  </si>
  <si>
    <t>28/Jan/2016. Population update. Data source: KBC (mail by maran)
2/Dec/2015. Population update. Data source: KBC
25-Jun-15 Population update. Source: KBC
18-May-15 (Population update by field mission)
Source: CCCM Unit (Hpakant Assessement Mission)</t>
  </si>
  <si>
    <t>28/Jan/2016. Population update. Data source: KBC (mail by maran)
2/Dec/2015 (Population update. Data source: Monthly report by KBC).
19-Aug-2015 Update population from KBC.
25-Jun-2015 Update population from KBC.
Update population according to KBC data</t>
  </si>
  <si>
    <t>28/Jan/2016. Population update. Data source: KBC (mail by maran)
2/Dec/2015. Population update. Data source: KBC.
19-Aug-15 Update population from KBC.
25-Jun-2015 Update population. Data Source: KBC
Checked with KBC data</t>
  </si>
  <si>
    <t>28/Jan/2016. Population update. Data source: KBC (mail by maran)
2/Dec/2015. Population update. Data source: KBC.
19-Aug-15 Update population from KBC.
25-Jun-2015 Update population from KBC.
Update population according to KBC data</t>
  </si>
  <si>
    <t>28/Jan/2016. Population update. Data source: KBC (mail by maran)
19-Aug-15 Update population from KBC.
Update population according to KBC data</t>
  </si>
  <si>
    <t>28/Jan/2016. Population update. Data source: KBC (mail by maran)
13/Dec/2015. Population update. Data source: Mail by Ko Maran. Reason for pop changes: data obtain from Protection team monitoring report  November 2015
2/Dec/2015. Population update. Data source: KBC
19-Aug-15 Population update. Source KBC.
25-Jun-15 New camp. Data Source : KBC</t>
  </si>
  <si>
    <t>28/Jan/2016. Population update. Data source: KBC (mail by maran)
2/Dec/2015 (Population update. Data source: Monthly report by KBC).
19-Aug-2015 Update population from KBC.
25-Jun-2015 Update population from KBC.
Population updated. Source: Shelter unit.</t>
  </si>
  <si>
    <t>28/Jan/2016. Population update. Data source: KBC (mail by maran)
2/Dec/2015 (Population update. Data source: Monthly report by KBC).
19-Aug-15 Update population from KBC
25-Jun-2015 Update population. Data Source: KBC
Update population according to KBC data</t>
  </si>
  <si>
    <t>28/Jan/2016. Population update. Data source: KBC (mail by maran)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</si>
  <si>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28/Jan/2016. Population update. Data source: KBC (mail by maran)
2/Dec/2015. Population update. Data source: KBC.
19-Aug-15 Update population from KBC
25-Jun-2015 Update population from KBC.
Update population according to KBC data</t>
  </si>
  <si>
    <t>28/Jan/2016. Population update. Data source: KBC (mail by maran)</t>
  </si>
  <si>
    <t>28/Jan/2016. Population update. Data source: KBC (mail by maran)
2/Dec/2015. Population update. Data source: KBC
25-Jun-2015 Update population. Data Source: KBC
Population update: Source: Camp Profile Round 2.</t>
  </si>
  <si>
    <t>28/Jan/2016. Population update. Data source: KBC (mail by maran)
19-Aug-15 Update population. Data Source: KBC.
25-Jun-2015 Update population. Data Source: KBC
Update population according to KBC data</t>
  </si>
  <si>
    <t>28/Jan/2016. Population update. Data source: KBC (mail by maran)
2/Dec/2015. Population update. Data source: KBC.
19-Aug-15 Update population from KBC
25-Jun-2015 Update population from KBC.
Checked with KBC data</t>
  </si>
  <si>
    <t>28/Jan/2016. Population update. Data source: KBC (mail by maran)
2/Dec/2015. Population update. Data source: KBC.
25-Jun-15 Population update. Source: KBC
Population update: Source: Camp Profile Round 2.</t>
  </si>
  <si>
    <t>28/Jan/2016. Population update. Data source: KBC (mail by maran)
2/Dec/2015 (Population update. Data source: Monthly report by KBC).
19-Aug-2015 Update population from KBC.
25-Jun-2015 Update population from KBC.
Checked with KBC data</t>
  </si>
  <si>
    <t>28/Jan/2016. Population update. Data source: KBC (mail by maran)
14-Oct-15 Population update. Soruce; Hpakant Mission Report_WFP
25-Jun-15 Population update. Source: KBC
2-Apr-15 (Population update, Source: UNHCR CCCM Mission)
Update population according to KBC data</t>
  </si>
  <si>
    <t>28/Jan/2016. Population update. Data source: KBC (mail by maran)
13/Dec/2015. Population update. Data source: Mail by Ko Maran. Reason for pop changes; The same number since March 2015 displacement but pp was divided between KBC and ICM churches. After setting up of a camp managed by KBC from August total population combined as it was. 
2/Dec/2015. Population update. Data source: KBC.
25-Jun-2015 (New host families. Source: RRD)</t>
  </si>
  <si>
    <t>28/Jan/2016. Population update. Data source: KBC (mail by maran)
2/Dec/2015. Population update. Data source: KBC.
19-Aug-2015 Update population from KBC.
25-Jun-2015 Update population from KBC.
Update population according to KBC data</t>
  </si>
  <si>
    <t>28/Jan/2016. Population update. Data source: KBC (mail by maran)
25-Jun-2015 Update population. Data Source: KBC
Changed NGCA to GCA. Source: Programme Unit.</t>
  </si>
  <si>
    <t>28/Jan/2016. Population update. Data source: KBC (mail by maran)
2/Dec/2015. Population update. Data source: KBC
25-Jun-2015 Update population. Data Source: KBC
Population update: Source UNHCR-Bhamo</t>
  </si>
  <si>
    <t>28/Jan/2016. Population update. Data source: KBC (mail by maran)
2/Dec/2015. Population update. Data source: KBC.
19-Aug-15 - Update population from KBC.
25-Jun-2015 Update population from KBC.
Update population according to KBC data</t>
  </si>
  <si>
    <t>28/Jan/2016. Population update. Data source: KBC (mail by maran)
19-Aug-15 Update pouplation from KBC
25-Jun-2015 Update population from KBC.
Update population according to KBC data</t>
  </si>
  <si>
    <t>28/Jan/2016. Population update. Data source: KBC (mail by maran)
2/Dec/2015 (Population update. Data source: Monthly report by KBC).
19-Aug-15 Update population from KBC.
25-Jun-2015 Update population from KBC.
Checked with KBC data</t>
  </si>
  <si>
    <t>28/Jan/2016. Population update. Data source: KBC (mail by maran)
2/Dec/2015. Population update. Data source: KBC
14-Oct-15 Population update. Soruce; Hpakant Mission Report_WFP
25-Jun-15 Population update. Source: KBC
18-May-15 (Population update with field mission)
2-Apr-15 (Population update, Source: UNHCR CCCM Mission)
Update population according to KBC data</t>
  </si>
  <si>
    <t>28/Jan/2016. Population update. Data source: KBC (mail by maran)
2/Dec/2015. Population update. Data source: KBC
14-Oct-15 Population update. Soruce; Hpakant Mission Report_WFP
25-Jun-15 Population update. Source: KBC
2-Apr-15 (Population update, Source: UNHCR CCCM Mission)
Update population according to KBC data.</t>
  </si>
  <si>
    <r>
      <t xml:space="preserve">16/Feb/2016. </t>
    </r>
    <r>
      <rPr>
        <b/>
        <sz val="11"/>
        <color theme="1"/>
        <rFont val="Calibri"/>
        <family val="2"/>
        <scheme val="minor"/>
      </rPr>
      <t>spontenous return to villages near Manwin Gyi</t>
    </r>
    <r>
      <rPr>
        <sz val="11"/>
        <color theme="1"/>
        <rFont val="Calibri"/>
        <family val="2"/>
        <scheme val="minor"/>
      </rPr>
      <t xml:space="preserve">
28/Jan/2016. Population update. Data source: KBC (mail by maran)
19-Aug-2015. Update Population. Data Source; KMSS-BMO
Population Update. Source: KMSS-BMO</t>
    </r>
  </si>
  <si>
    <t>16/Feb/2016. families’ extension
28/Jan/2016. Population update. Data source: KBC (mail by maran)
19-Aug-2015. Update Population. Data Source; KMSS-BMO
Responsible Agency update. KMSS-MYT to KMSS-BMO.</t>
  </si>
  <si>
    <r>
      <t xml:space="preserve">16/Feb/2016. </t>
    </r>
    <r>
      <rPr>
        <b/>
        <sz val="11"/>
        <color theme="1"/>
        <rFont val="Calibri"/>
        <family val="2"/>
        <scheme val="minor"/>
      </rPr>
      <t>some hh as they  join Nhkawng Pa camp which is closer to their village of origin</t>
    </r>
    <r>
      <rPr>
        <sz val="11"/>
        <color theme="1"/>
        <rFont val="Calibri"/>
        <family val="2"/>
        <scheme val="minor"/>
      </rPr>
      <t xml:space="preserve">
28/Jan/2016. Population update. Data source: KBC (mail by maran)
19-Aug-2015. Population Update. Data Source; KMSS-BMO
Population update: Source: Camp Profile Round 2.</t>
    </r>
  </si>
  <si>
    <t>16/Feb/2016. some HH increase as some IDP from Pa Kahtawng join as the camp is closer to village 
28/Jan/2016. Population update. Data source: KBC (mail by maran)
19-Aug-2015. Update population. Data Source; KMSS-BMO
Population Update. Source: Save The Children.</t>
  </si>
  <si>
    <t>16/Feb/2016. HH and Pop correction
28/Jan/2016. Population update. Data source: KBC (mail by maran)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</si>
  <si>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16/Feb/2016. Pop and HH correction.
28/Jan/2016. Population update. Data source: KBC (mail by maran)
13/Dec/2015. Population update. Data source: Mail by Ko Maran. Reason for pop changes: Increased from Sumpra Bum area 
2/Dec/2015 (Population update. Data source: Monthly report by KMSS_MYT). Reason for pop changes; Arrived at the camp from daily work and new arrival from sumprabum.
23-Oct-15 (Pupulation update. Data Source: Monthly report by KMSS-MYT). Reason for changes; Increasing from Sumprabum.
2-Oct-15 (Pupulation update. Data Source: KMSS-MYT) and NFI Distribution List (New arrival)
19-Aug-15 (Population update. Data source: KMSS-MYT)
25-Jun-15 (Population update. Source: KMSS-MYT)
Population Update. Source: KMSS-MYT</t>
  </si>
  <si>
    <t>Du Kahtawng Qtr. 14,4,5 (combined as one camp)</t>
  </si>
  <si>
    <t>These blankets were distributed by UNHCR when mission trip to liaza. Distribution records are not received yet</t>
  </si>
  <si>
    <t>Shelter Tool kit</t>
  </si>
  <si>
    <t>Tent</t>
  </si>
  <si>
    <t>Shwe Gu (MyoHla)</t>
  </si>
  <si>
    <t>Mai hkawng Camp (RC +KBC)</t>
  </si>
  <si>
    <t>Mai hkawng Camp</t>
  </si>
  <si>
    <t>Lana Zup Ja and Bumtsit pa (1) and (2)</t>
  </si>
  <si>
    <t>Hpankha kone camp</t>
  </si>
  <si>
    <t>Nhkawng Pa camp and Pa Kahtawng camp thru cross line mission with KMSS-Bhamo</t>
  </si>
  <si>
    <t>Bum Tsit Pa Camp I</t>
  </si>
  <si>
    <t>Bum Tsit Pa Camp III</t>
  </si>
  <si>
    <t>Nam Jarap</t>
  </si>
  <si>
    <t xml:space="preserve">Loije Seng Ja </t>
  </si>
  <si>
    <t>Kbc</t>
  </si>
  <si>
    <t>Loi Je Seng Ja Camp thru Mission</t>
  </si>
  <si>
    <t>Shalom-BM</t>
  </si>
  <si>
    <t>Lisu Baptist Church</t>
  </si>
  <si>
    <t>Namtit</t>
  </si>
  <si>
    <t>Pyi Lung Chan Tar</t>
  </si>
  <si>
    <t>Kut Kai camp</t>
  </si>
  <si>
    <t>Moe Gok (Pain Pyit Lisu Village)</t>
  </si>
  <si>
    <t>Moe Gok (A Shae Kyaung)</t>
  </si>
  <si>
    <t>Moe Gok (Aung Daw Mu)</t>
  </si>
  <si>
    <t>Moe Mait (Man Ohn0</t>
  </si>
  <si>
    <t>Emergency</t>
  </si>
  <si>
    <t>KMSS-MKN</t>
  </si>
  <si>
    <t>Manhkring camp</t>
  </si>
  <si>
    <t>Updated on 11/Nov/2015. Added jerry can data. Data source: mail by Win Aung Htun</t>
  </si>
  <si>
    <t>Updated on 2/Dec/2015. Data source: mail by Win Aung Htun
Updated on 29/Sep/2015. 
Data Source: Lu Lu Awng and Win Aung Tun</t>
  </si>
  <si>
    <t>3/Mar/2016. Closed camp. Data source: January report from KBC
28/Jan/2016. Population update. Data source: KBC (mail by maran)
2/Dec/2015. Population update. Data source: KBC
25-Jun-15 Population update. Source: KBC
Update population. Source: Camp Profile.</t>
  </si>
  <si>
    <t>3/Mar/2016. Closed Camp. Data source: January report from KBC.
28/Jan/2016. Population update. Data source: KBC (mail by maran)
2/Dec/2015 (Population update. Data source: Monthly report by KBC).
25-Jun-2015 Update population. Data Source: KBC
Changed to Boarding School.</t>
  </si>
  <si>
    <t>Khaunglanhpu Total</t>
  </si>
  <si>
    <t>Mogaung Total</t>
  </si>
  <si>
    <t>Shwegu Total</t>
  </si>
  <si>
    <t>Sumprabum Total</t>
  </si>
  <si>
    <t>Hseni Total</t>
  </si>
  <si>
    <t>Manton Total</t>
  </si>
  <si>
    <t>Namtu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</si>
</sst>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00_);_(* \(#,##0.00\);_(* &quot;-&quot;??_);_(@_)"/>
    <numFmt numFmtId="165" formatCode="_-* #,##0_-;\-* #,##0_-;_-* &quot;-&quot;??_-;_-@_-"/>
    <numFmt numFmtId="166" formatCode="[$-409]d/mmm/yyyy;@"/>
    <numFmt numFmtId="167" formatCode="[$-409]dd\-mmm\-yy;@"/>
    <numFmt numFmtId="168" formatCode="_(* #,##0_);_(* \(#,##0\);_(* &quot;-&quot;??_);_(@_)"/>
    <numFmt numFmtId="169" formatCode="dd\-mmm\-yyyy"/>
    <numFmt numFmtId="170" formatCode="0.0%"/>
    <numFmt numFmtId="171" formatCode="0.0"/>
    <numFmt numFmtId="172" formatCode="0.00000"/>
  </numFmts>
  <fonts count="79" x14ac:knownFonts="1">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sz val="14"/>
      <color theme="0"/>
      <name val="Calibri"/>
      <family val="2"/>
      <scheme val="minor"/>
    </font>
    <font>
      <sz val="11"/>
      <color theme="0"/>
      <name val="Calibri"/>
      <family val="2"/>
    </font>
    <font>
      <u/>
      <sz val="11"/>
      <color theme="10"/>
      <name val="Calibri"/>
      <family val="2"/>
      <scheme val="minor"/>
    </font>
    <font>
      <sz val="28"/>
      <name val="Calibri"/>
      <family val="2"/>
      <scheme val="minor"/>
    </font>
    <font>
      <b/>
      <sz val="28"/>
      <name val="Calibri"/>
      <family val="2"/>
      <scheme val="minor"/>
    </font>
    <font>
      <sz val="28"/>
      <color theme="1"/>
      <name val="Calibri"/>
      <family val="2"/>
      <scheme val="minor"/>
    </font>
    <font>
      <sz val="11"/>
      <name val="Calibri"/>
      <family val="2"/>
      <scheme val="minor"/>
    </font>
    <font>
      <b/>
      <sz val="10"/>
      <name val="Calibri"/>
      <family val="2"/>
      <scheme val="minor"/>
    </font>
    <font>
      <b/>
      <sz val="11"/>
      <color rgb="FFFA7D00"/>
      <name val="Calibri"/>
      <family val="2"/>
      <scheme val="minor"/>
    </font>
    <font>
      <b/>
      <sz val="11"/>
      <color theme="0"/>
      <name val="Calibri"/>
      <family val="2"/>
      <scheme val="minor"/>
    </font>
    <font>
      <b/>
      <sz val="1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sz val="11"/>
      <name val="Calibri"/>
      <family val="2"/>
    </font>
    <font>
      <b/>
      <sz val="16"/>
      <color indexed="8"/>
      <name val="Calibri"/>
      <family val="2"/>
    </font>
    <font>
      <sz val="11"/>
      <color indexed="8"/>
      <name val="Calibri"/>
      <family val="2"/>
    </font>
    <font>
      <sz val="10"/>
      <name val="MS Sans Serif"/>
      <family val="2"/>
    </font>
    <font>
      <b/>
      <sz val="24"/>
      <color theme="1"/>
      <name val="Calibri"/>
      <family val="2"/>
      <scheme val="minor"/>
    </font>
    <font>
      <sz val="24"/>
      <color theme="1"/>
      <name val="Calibri"/>
      <family val="2"/>
      <scheme val="minor"/>
    </font>
    <font>
      <b/>
      <sz val="28"/>
      <color theme="4" tint="0.79998168889431442"/>
      <name val="Calibri"/>
      <family val="2"/>
      <scheme val="minor"/>
    </font>
    <font>
      <b/>
      <sz val="12"/>
      <name val="Calibri"/>
      <family val="2"/>
      <scheme val="minor"/>
    </font>
    <font>
      <sz val="11"/>
      <color theme="0" tint="-4.9989318521683403E-2"/>
      <name val="Calibri"/>
      <family val="2"/>
      <scheme val="minor"/>
    </font>
    <font>
      <sz val="9"/>
      <color theme="1"/>
      <name val="Calibri"/>
      <family val="2"/>
      <scheme val="minor"/>
    </font>
    <font>
      <sz val="10"/>
      <name val="Arial"/>
      <family val="2"/>
    </font>
    <font>
      <sz val="10"/>
      <name val="Calibri"/>
      <family val="2"/>
      <scheme val="minor"/>
    </font>
    <font>
      <b/>
      <sz val="9"/>
      <color theme="1"/>
      <name val="Calibri"/>
      <family val="2"/>
      <scheme val="minor"/>
    </font>
    <font>
      <sz val="9"/>
      <name val="Calibri"/>
      <family val="2"/>
      <scheme val="minor"/>
    </font>
    <font>
      <b/>
      <sz val="20"/>
      <name val="Calibri"/>
      <family val="2"/>
      <scheme val="minor"/>
    </font>
    <font>
      <b/>
      <sz val="26"/>
      <name val="Calibri"/>
      <family val="2"/>
      <scheme val="minor"/>
    </font>
    <font>
      <sz val="8"/>
      <color rgb="FF000000"/>
      <name val="Tahoma"/>
      <family val="2"/>
    </font>
    <font>
      <b/>
      <sz val="16"/>
      <name val="Calibri"/>
      <family val="2"/>
      <scheme val="minor"/>
    </font>
    <font>
      <b/>
      <sz val="9"/>
      <color indexed="9"/>
      <name val="Calibri"/>
      <family val="2"/>
    </font>
    <font>
      <sz val="9"/>
      <name val="Calibri"/>
      <family val="2"/>
    </font>
    <font>
      <sz val="9"/>
      <color indexed="8"/>
      <name val="Calibri"/>
      <family val="2"/>
    </font>
    <font>
      <sz val="11"/>
      <color theme="2"/>
      <name val="Calibri"/>
      <family val="2"/>
      <scheme val="minor"/>
    </font>
    <font>
      <b/>
      <sz val="18"/>
      <color rgb="FF000000"/>
      <name val="Calibri"/>
      <family val="2"/>
      <scheme val="minor"/>
    </font>
    <font>
      <sz val="11"/>
      <color rgb="FFFF0000"/>
      <name val="Calibri"/>
      <family val="2"/>
    </font>
    <font>
      <sz val="11"/>
      <color rgb="FF00B050"/>
      <name val="Calibri"/>
      <family val="2"/>
    </font>
    <font>
      <sz val="11"/>
      <color theme="6" tint="-0.249977111117893"/>
      <name val="Calibri"/>
      <family val="2"/>
    </font>
    <font>
      <sz val="11"/>
      <color theme="3" tint="0.39997558519241921"/>
      <name val="Calibri"/>
      <family val="2"/>
    </font>
    <font>
      <sz val="11"/>
      <color rgb="FF00B050"/>
      <name val="Calibri"/>
      <family val="2"/>
      <scheme val="minor"/>
    </font>
    <font>
      <sz val="11"/>
      <color theme="3" tint="0.39997558519241921"/>
      <name val="Calibri"/>
      <family val="2"/>
      <scheme val="minor"/>
    </font>
    <font>
      <b/>
      <sz val="10"/>
      <color theme="8" tint="0.79998168889431442"/>
      <name val="Calibri"/>
      <family val="2"/>
      <scheme val="minor"/>
    </font>
    <font>
      <sz val="10"/>
      <color rgb="FFFF0000"/>
      <name val="Calibri"/>
      <family val="2"/>
      <scheme val="minor"/>
    </font>
    <font>
      <b/>
      <sz val="9"/>
      <color theme="0"/>
      <name val="Calibri"/>
      <family val="2"/>
      <scheme val="minor"/>
    </font>
    <font>
      <sz val="8"/>
      <color theme="0"/>
      <name val="Calibri"/>
      <family val="2"/>
      <scheme val="minor"/>
    </font>
    <font>
      <b/>
      <sz val="22"/>
      <name val="Calibri"/>
      <family val="2"/>
      <scheme val="minor"/>
    </font>
    <font>
      <sz val="22"/>
      <color theme="1"/>
      <name val="Calibri"/>
      <family val="2"/>
      <scheme val="minor"/>
    </font>
    <font>
      <sz val="22"/>
      <name val="Calibri"/>
      <family val="2"/>
      <scheme val="minor"/>
    </font>
    <font>
      <sz val="11"/>
      <color indexed="8"/>
      <name val="Calibri"/>
      <family val="2"/>
    </font>
    <font>
      <b/>
      <sz val="10"/>
      <name val="Arial"/>
      <family val="2"/>
    </font>
    <font>
      <sz val="11"/>
      <color indexed="8"/>
      <name val="Calibri"/>
      <family val="2"/>
    </font>
    <font>
      <sz val="11"/>
      <color indexed="8"/>
      <name val="Calibri"/>
      <family val="2"/>
      <scheme val="minor"/>
    </font>
    <font>
      <sz val="10"/>
      <name val="Calibri"/>
      <family val="2"/>
      <scheme val="minor"/>
    </font>
    <font>
      <sz val="10"/>
      <name val="Calibri"/>
      <family val="2"/>
      <scheme val="minor"/>
    </font>
    <font>
      <sz val="10"/>
      <name val="Calibri"/>
      <family val="2"/>
      <scheme val="minor"/>
    </font>
    <font>
      <sz val="10"/>
      <name val="Calibri"/>
      <family val="2"/>
      <scheme val="minor"/>
    </font>
    <font>
      <b/>
      <sz val="16"/>
      <color theme="1"/>
      <name val="Calibri"/>
      <family val="2"/>
      <scheme val="minor"/>
    </font>
    <font>
      <sz val="16"/>
      <color theme="1"/>
      <name val="Calibri"/>
      <family val="2"/>
      <scheme val="minor"/>
    </font>
    <font>
      <sz val="16"/>
      <color rgb="FF000000"/>
      <name val="Calibri"/>
      <family val="2"/>
    </font>
    <font>
      <b/>
      <sz val="16"/>
      <name val="Calibri"/>
      <family val="2"/>
    </font>
    <font>
      <b/>
      <sz val="18"/>
      <name val="Calibri"/>
      <family val="2"/>
      <scheme val="minor"/>
    </font>
    <font>
      <b/>
      <sz val="8"/>
      <name val="Calibri"/>
      <family val="2"/>
    </font>
    <font>
      <b/>
      <sz val="8"/>
      <color indexed="9"/>
      <name val="Calibri"/>
      <family val="2"/>
    </font>
    <font>
      <b/>
      <sz val="8"/>
      <color indexed="8"/>
      <name val="Calibri"/>
      <family val="2"/>
    </font>
    <font>
      <sz val="8"/>
      <color indexed="8"/>
      <name val="Calibri"/>
      <family val="2"/>
    </font>
    <font>
      <sz val="8"/>
      <name val="Calibri"/>
      <family val="2"/>
    </font>
    <font>
      <b/>
      <sz val="11"/>
      <color rgb="FF000000"/>
      <name val="Calibri"/>
      <family val="2"/>
      <scheme val="minor"/>
    </font>
    <font>
      <sz val="11"/>
      <color theme="0"/>
      <name val="Calibri"/>
      <family val="2"/>
      <scheme val="minor"/>
    </font>
    <font>
      <b/>
      <sz val="14"/>
      <name val="Calibri"/>
      <family val="2"/>
      <scheme val="minor"/>
    </font>
    <font>
      <sz val="10.5"/>
      <color theme="1"/>
      <name val="Calibri"/>
      <family val="2"/>
    </font>
    <font>
      <sz val="10"/>
      <name val="Calibri"/>
      <scheme val="minor"/>
    </font>
  </fonts>
  <fills count="4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2F2F2"/>
      </patternFill>
    </fill>
    <fill>
      <patternFill patternType="solid">
        <fgColor theme="2"/>
        <bgColor indexed="64"/>
      </patternFill>
    </fill>
    <fill>
      <patternFill patternType="solid">
        <fgColor theme="4"/>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16"/>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0" tint="-0.249977111117893"/>
        <bgColor indexed="64"/>
      </patternFill>
    </fill>
    <fill>
      <patternFill patternType="solid">
        <fgColor rgb="FFFFEB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C800"/>
        <bgColor indexed="64"/>
      </patternFill>
    </fill>
    <fill>
      <patternFill patternType="solid">
        <fgColor theme="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bgColor theme="5"/>
      </patternFill>
    </fill>
    <fill>
      <patternFill patternType="solid">
        <fgColor rgb="FFDCE6F1"/>
        <bgColor indexed="64"/>
      </patternFill>
    </fill>
    <fill>
      <patternFill patternType="solid">
        <fgColor theme="0" tint="-0.14999847407452621"/>
        <bgColor indexed="64"/>
      </patternFill>
    </fill>
    <fill>
      <patternFill patternType="solid">
        <fgColor rgb="FFFD2361"/>
        <bgColor indexed="64"/>
      </patternFill>
    </fill>
    <fill>
      <patternFill patternType="solid">
        <fgColor rgb="FFFFFFFF"/>
        <bgColor indexed="64"/>
      </patternFill>
    </fill>
    <fill>
      <patternFill patternType="solid">
        <fgColor theme="0"/>
        <bgColor theme="4" tint="0.79998168889431442"/>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bottom style="dotted">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theme="4"/>
      </left>
      <right/>
      <top/>
      <bottom/>
      <diagonal/>
    </border>
    <border>
      <left/>
      <right style="medium">
        <color theme="4"/>
      </right>
      <top/>
      <bottom/>
      <diagonal/>
    </border>
    <border>
      <left style="medium">
        <color theme="4"/>
      </left>
      <right/>
      <top style="medium">
        <color theme="4"/>
      </top>
      <bottom style="thin">
        <color theme="4" tint="0.39997558519241921"/>
      </bottom>
      <diagonal/>
    </border>
    <border>
      <left/>
      <right/>
      <top style="medium">
        <color theme="4"/>
      </top>
      <bottom style="thin">
        <color theme="4" tint="0.39997558519241921"/>
      </bottom>
      <diagonal/>
    </border>
    <border>
      <left/>
      <right style="medium">
        <color theme="4"/>
      </right>
      <top style="medium">
        <color theme="4"/>
      </top>
      <bottom style="thin">
        <color theme="4" tint="0.39997558519241921"/>
      </bottom>
      <diagonal/>
    </border>
    <border>
      <left style="medium">
        <color theme="4"/>
      </left>
      <right/>
      <top style="thin">
        <color theme="4" tint="0.39997558519241921"/>
      </top>
      <bottom style="medium">
        <color theme="4"/>
      </bottom>
      <diagonal/>
    </border>
    <border>
      <left/>
      <right/>
      <top style="thin">
        <color theme="4" tint="0.39997558519241921"/>
      </top>
      <bottom style="medium">
        <color theme="4"/>
      </bottom>
      <diagonal/>
    </border>
    <border>
      <left/>
      <right style="medium">
        <color theme="4"/>
      </right>
      <top style="thin">
        <color theme="4" tint="0.39997558519241921"/>
      </top>
      <bottom style="medium">
        <color theme="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s>
  <cellStyleXfs count="19">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 fillId="0" borderId="0"/>
    <xf numFmtId="0" fontId="8"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4" fillId="14" borderId="7" applyNumberFormat="0" applyAlignment="0" applyProtection="0"/>
    <xf numFmtId="43" fontId="23" fillId="0" borderId="0" applyFont="0" applyFill="0" applyBorder="0" applyAlignment="0" applyProtection="0"/>
    <xf numFmtId="0" fontId="30" fillId="0" borderId="0"/>
    <xf numFmtId="0" fontId="1" fillId="0" borderId="0"/>
    <xf numFmtId="167" fontId="2" fillId="0" borderId="0"/>
    <xf numFmtId="0" fontId="1"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1" fillId="0" borderId="0"/>
  </cellStyleXfs>
  <cellXfs count="899">
    <xf numFmtId="0" fontId="0" fillId="0" borderId="0" xfId="0"/>
    <xf numFmtId="0" fontId="0" fillId="0" borderId="0" xfId="0" applyBorder="1"/>
    <xf numFmtId="0" fontId="5" fillId="0" borderId="0" xfId="0" applyFont="1"/>
    <xf numFmtId="0" fontId="0" fillId="0" borderId="0" xfId="0" applyNumberFormat="1"/>
    <xf numFmtId="0" fontId="0" fillId="0" borderId="0" xfId="0" applyFill="1"/>
    <xf numFmtId="0" fontId="5" fillId="0" borderId="0" xfId="0" applyFont="1" applyFill="1"/>
    <xf numFmtId="0" fontId="0" fillId="10" borderId="0" xfId="0" applyFill="1"/>
    <xf numFmtId="0" fontId="13" fillId="11" borderId="1" xfId="0" applyFont="1" applyFill="1" applyBorder="1" applyAlignment="1">
      <alignment horizontal="center" vertical="center" wrapText="1"/>
    </xf>
    <xf numFmtId="0" fontId="0" fillId="0" borderId="6" xfId="0" applyBorder="1"/>
    <xf numFmtId="0" fontId="0" fillId="0" borderId="6" xfId="0" quotePrefix="1" applyBorder="1"/>
    <xf numFmtId="0" fontId="3" fillId="11" borderId="1" xfId="0" applyFont="1" applyFill="1" applyBorder="1"/>
    <xf numFmtId="0" fontId="0" fillId="15" borderId="0" xfId="0" applyFill="1"/>
    <xf numFmtId="0" fontId="0" fillId="0" borderId="0" xfId="0" applyAlignment="1">
      <alignment horizontal="center"/>
    </xf>
    <xf numFmtId="0" fontId="13" fillId="7" borderId="1" xfId="0" applyFont="1" applyFill="1" applyBorder="1" applyAlignment="1">
      <alignment horizontal="center" vertical="center" wrapText="1"/>
    </xf>
    <xf numFmtId="0" fontId="0" fillId="7" borderId="6" xfId="0" quotePrefix="1" applyFill="1" applyBorder="1"/>
    <xf numFmtId="0" fontId="3" fillId="7" borderId="1" xfId="0" applyFont="1" applyFill="1" applyBorder="1"/>
    <xf numFmtId="0" fontId="0" fillId="7" borderId="6" xfId="0" applyFill="1" applyBorder="1"/>
    <xf numFmtId="0" fontId="3" fillId="0" borderId="0" xfId="0" applyFont="1"/>
    <xf numFmtId="0" fontId="0" fillId="0" borderId="0" xfId="0" applyFill="1" applyBorder="1"/>
    <xf numFmtId="0" fontId="14" fillId="0" borderId="0" xfId="9" applyFill="1" applyBorder="1" applyAlignment="1">
      <alignment horizontal="center"/>
    </xf>
    <xf numFmtId="0" fontId="0" fillId="0" borderId="1" xfId="0" applyFill="1" applyBorder="1"/>
    <xf numFmtId="3" fontId="16" fillId="0" borderId="0" xfId="9" applyNumberFormat="1" applyFont="1" applyFill="1" applyBorder="1" applyAlignment="1">
      <alignment horizontal="center"/>
    </xf>
    <xf numFmtId="0" fontId="0" fillId="0" borderId="0" xfId="0" applyAlignment="1">
      <alignment horizontal="left"/>
    </xf>
    <xf numFmtId="0" fontId="12" fillId="0" borderId="0" xfId="9" applyFont="1" applyFill="1" applyBorder="1" applyAlignment="1">
      <alignment horizontal="center"/>
    </xf>
    <xf numFmtId="0" fontId="12" fillId="0" borderId="0" xfId="9" applyFont="1" applyFill="1" applyBorder="1" applyAlignment="1">
      <alignment horizontal="left"/>
    </xf>
    <xf numFmtId="165" fontId="0" fillId="0" borderId="0" xfId="7" applyNumberFormat="1" applyFont="1"/>
    <xf numFmtId="0" fontId="0" fillId="0" borderId="1" xfId="0" applyBorder="1"/>
    <xf numFmtId="9" fontId="0" fillId="0" borderId="1" xfId="8" applyFont="1" applyBorder="1"/>
    <xf numFmtId="0" fontId="0" fillId="7" borderId="1" xfId="0" applyFill="1" applyBorder="1" applyAlignment="1">
      <alignment horizontal="center"/>
    </xf>
    <xf numFmtId="0" fontId="0" fillId="3" borderId="1" xfId="0" applyFill="1" applyBorder="1" applyAlignment="1">
      <alignment horizontal="center"/>
    </xf>
    <xf numFmtId="0" fontId="0" fillId="17" borderId="1" xfId="0" applyFill="1" applyBorder="1" applyAlignment="1">
      <alignment horizontal="center"/>
    </xf>
    <xf numFmtId="0" fontId="0" fillId="18" borderId="0" xfId="0" applyFill="1"/>
    <xf numFmtId="0" fontId="3" fillId="18" borderId="0" xfId="0" applyFont="1" applyFill="1"/>
    <xf numFmtId="0" fontId="0" fillId="0" borderId="0" xfId="0"/>
    <xf numFmtId="165" fontId="0" fillId="0" borderId="1" xfId="7" quotePrefix="1" applyNumberFormat="1" applyFont="1" applyBorder="1"/>
    <xf numFmtId="1" fontId="0" fillId="0" borderId="0" xfId="0" applyNumberFormat="1"/>
    <xf numFmtId="1" fontId="3" fillId="7" borderId="1" xfId="0" applyNumberFormat="1" applyFont="1" applyFill="1" applyBorder="1"/>
    <xf numFmtId="0" fontId="0" fillId="0" borderId="0" xfId="0"/>
    <xf numFmtId="0" fontId="0" fillId="21" borderId="0" xfId="0" applyFill="1"/>
    <xf numFmtId="0" fontId="0" fillId="10" borderId="0" xfId="0" applyFill="1" applyBorder="1"/>
    <xf numFmtId="0" fontId="0" fillId="0" borderId="0" xfId="0"/>
    <xf numFmtId="0" fontId="0" fillId="0" borderId="0" xfId="0"/>
    <xf numFmtId="0" fontId="0" fillId="0" borderId="0" xfId="0"/>
    <xf numFmtId="0" fontId="0" fillId="0" borderId="0" xfId="0" applyAlignment="1">
      <alignment textRotation="90"/>
    </xf>
    <xf numFmtId="0" fontId="0" fillId="0" borderId="0" xfId="0"/>
    <xf numFmtId="0" fontId="9" fillId="0" borderId="0" xfId="6" applyFont="1" applyFill="1" applyBorder="1" applyAlignment="1">
      <alignment horizontal="center" vertical="center"/>
    </xf>
    <xf numFmtId="0" fontId="0" fillId="0" borderId="0" xfId="0" applyNumberFormat="1" applyBorder="1"/>
    <xf numFmtId="0" fontId="12" fillId="0" borderId="0" xfId="0" applyFont="1"/>
    <xf numFmtId="0" fontId="0" fillId="0" borderId="15" xfId="0" applyBorder="1"/>
    <xf numFmtId="0" fontId="0" fillId="0" borderId="16" xfId="0" applyBorder="1"/>
    <xf numFmtId="0" fontId="0" fillId="0" borderId="0" xfId="0"/>
    <xf numFmtId="0" fontId="0" fillId="0" borderId="0" xfId="0"/>
    <xf numFmtId="9" fontId="0" fillId="7" borderId="6" xfId="8" applyFont="1" applyFill="1" applyBorder="1"/>
    <xf numFmtId="165" fontId="0" fillId="0" borderId="1" xfId="7" applyNumberFormat="1" applyFont="1" applyBorder="1"/>
    <xf numFmtId="165" fontId="0" fillId="0" borderId="0" xfId="0" applyNumberFormat="1"/>
    <xf numFmtId="0" fontId="24" fillId="13" borderId="0" xfId="0" applyFont="1" applyFill="1"/>
    <xf numFmtId="0" fontId="0" fillId="13" borderId="0" xfId="0" applyFill="1"/>
    <xf numFmtId="0" fontId="25" fillId="13" borderId="0" xfId="0" applyFont="1" applyFill="1"/>
    <xf numFmtId="0" fontId="10" fillId="11" borderId="0" xfId="6" applyFont="1" applyFill="1" applyBorder="1" applyAlignment="1">
      <alignment vertical="center"/>
    </xf>
    <xf numFmtId="0" fontId="5" fillId="0" borderId="0" xfId="0" applyFont="1" applyBorder="1"/>
    <xf numFmtId="0" fontId="5" fillId="0" borderId="0" xfId="0" applyFont="1" applyFill="1" applyBorder="1"/>
    <xf numFmtId="0" fontId="27" fillId="0" borderId="0" xfId="6" applyFont="1" applyFill="1" applyBorder="1" applyAlignment="1">
      <alignment horizontal="left" vertical="center"/>
    </xf>
    <xf numFmtId="0" fontId="8" fillId="17" borderId="1" xfId="6" applyFill="1" applyBorder="1" applyAlignment="1">
      <alignment horizontal="center"/>
    </xf>
    <xf numFmtId="0" fontId="28" fillId="18" borderId="0" xfId="0" applyFont="1" applyFill="1"/>
    <xf numFmtId="17" fontId="0" fillId="10" borderId="0" xfId="0" applyNumberFormat="1" applyFill="1"/>
    <xf numFmtId="0" fontId="0" fillId="0" borderId="0" xfId="0"/>
    <xf numFmtId="0" fontId="0" fillId="0" borderId="0" xfId="0" applyAlignment="1">
      <alignment horizontal="right"/>
    </xf>
    <xf numFmtId="0" fontId="0" fillId="0" borderId="0" xfId="0"/>
    <xf numFmtId="9" fontId="0" fillId="0" borderId="0" xfId="0" applyNumberFormat="1" applyFill="1" applyBorder="1"/>
    <xf numFmtId="9" fontId="0" fillId="0" borderId="0" xfId="8" applyFont="1" applyFill="1" applyBorder="1"/>
    <xf numFmtId="0" fontId="0" fillId="0" borderId="0" xfId="0"/>
    <xf numFmtId="0" fontId="0" fillId="0" borderId="0" xfId="0" applyFont="1" applyFill="1" applyBorder="1"/>
    <xf numFmtId="9" fontId="29" fillId="0" borderId="0" xfId="8" applyNumberFormat="1" applyFont="1" applyFill="1"/>
    <xf numFmtId="0" fontId="4" fillId="0" borderId="0" xfId="0" applyFont="1" applyFill="1" applyBorder="1"/>
    <xf numFmtId="2" fontId="4" fillId="0" borderId="0" xfId="0" applyNumberFormat="1" applyFont="1" applyFill="1" applyBorder="1"/>
    <xf numFmtId="165" fontId="4" fillId="0" borderId="0" xfId="0" applyNumberFormat="1" applyFont="1" applyFill="1" applyBorder="1"/>
    <xf numFmtId="0" fontId="4" fillId="0" borderId="0" xfId="0" applyNumberFormat="1" applyFont="1" applyFill="1" applyBorder="1"/>
    <xf numFmtId="9" fontId="4" fillId="0" borderId="0" xfId="0" applyNumberFormat="1" applyFont="1" applyFill="1" applyBorder="1"/>
    <xf numFmtId="9" fontId="0" fillId="0" borderId="0" xfId="0" applyNumberFormat="1" applyFont="1" applyFill="1" applyBorder="1"/>
    <xf numFmtId="0" fontId="3" fillId="0" borderId="0" xfId="0" applyNumberFormat="1" applyFont="1" applyFill="1" applyBorder="1"/>
    <xf numFmtId="1" fontId="3" fillId="0" borderId="0" xfId="0" applyNumberFormat="1" applyFont="1" applyFill="1" applyBorder="1"/>
    <xf numFmtId="165" fontId="29" fillId="0" borderId="1" xfId="7" applyNumberFormat="1" applyFont="1" applyBorder="1"/>
    <xf numFmtId="0" fontId="0" fillId="0" borderId="0" xfId="0"/>
    <xf numFmtId="0" fontId="29" fillId="13" borderId="1" xfId="0" applyFont="1" applyFill="1" applyBorder="1" applyAlignment="1"/>
    <xf numFmtId="165" fontId="29" fillId="0" borderId="1" xfId="7" applyNumberFormat="1" applyFont="1" applyFill="1" applyBorder="1" applyAlignment="1"/>
    <xf numFmtId="0" fontId="35" fillId="11" borderId="0" xfId="6" applyFont="1" applyFill="1" applyBorder="1" applyAlignment="1">
      <alignment vertical="center"/>
    </xf>
    <xf numFmtId="0" fontId="10" fillId="10" borderId="0" xfId="6" applyFont="1" applyFill="1" applyBorder="1" applyAlignment="1">
      <alignment vertical="center"/>
    </xf>
    <xf numFmtId="9" fontId="39" fillId="27" borderId="1" xfId="8" applyFont="1" applyFill="1" applyBorder="1"/>
    <xf numFmtId="165" fontId="39" fillId="0" borderId="1" xfId="10" applyNumberFormat="1" applyFont="1" applyBorder="1"/>
    <xf numFmtId="165" fontId="39" fillId="0" borderId="1" xfId="0" applyNumberFormat="1" applyFont="1" applyBorder="1"/>
    <xf numFmtId="9" fontId="39" fillId="26" borderId="1" xfId="8" applyFont="1" applyFill="1" applyBorder="1"/>
    <xf numFmtId="0" fontId="41" fillId="18" borderId="0" xfId="0" applyFont="1" applyFill="1"/>
    <xf numFmtId="0" fontId="13" fillId="11" borderId="3"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0" fillId="0" borderId="0" xfId="0" applyFill="1" applyBorder="1" applyAlignment="1">
      <alignment horizontal="left" vertical="center"/>
    </xf>
    <xf numFmtId="0" fontId="0" fillId="0" borderId="34" xfId="0" quotePrefix="1" applyBorder="1"/>
    <xf numFmtId="0" fontId="3" fillId="11" borderId="3" xfId="0" applyFont="1" applyFill="1" applyBorder="1"/>
    <xf numFmtId="0" fontId="13" fillId="11" borderId="37" xfId="0" applyFont="1" applyFill="1" applyBorder="1" applyAlignment="1">
      <alignment horizontal="center" vertical="center" wrapText="1"/>
    </xf>
    <xf numFmtId="0" fontId="13" fillId="11" borderId="20" xfId="0" applyFont="1" applyFill="1" applyBorder="1" applyAlignment="1">
      <alignment horizontal="center" vertical="center" wrapText="1"/>
    </xf>
    <xf numFmtId="0" fontId="0" fillId="0" borderId="38" xfId="0" applyBorder="1"/>
    <xf numFmtId="0" fontId="3" fillId="11" borderId="32" xfId="0" applyFont="1" applyFill="1" applyBorder="1"/>
    <xf numFmtId="0" fontId="3" fillId="11" borderId="21" xfId="0" applyFont="1" applyFill="1" applyBorder="1"/>
    <xf numFmtId="0" fontId="3" fillId="11" borderId="22" xfId="0" applyFont="1" applyFill="1" applyBorder="1"/>
    <xf numFmtId="9" fontId="0" fillId="0" borderId="0" xfId="0" applyNumberFormat="1"/>
    <xf numFmtId="0" fontId="22" fillId="0" borderId="1" xfId="12" applyNumberFormat="1" applyFont="1" applyFill="1" applyBorder="1" applyAlignment="1">
      <alignment horizontal="right" vertical="center"/>
    </xf>
    <xf numFmtId="0" fontId="13" fillId="11" borderId="0" xfId="6"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Border="1" applyAlignment="1">
      <alignment horizontal="center" vertical="center"/>
    </xf>
    <xf numFmtId="0" fontId="31" fillId="0" borderId="0" xfId="6" applyFont="1" applyFill="1" applyBorder="1" applyAlignment="1">
      <alignment horizontal="center" vertical="center"/>
    </xf>
    <xf numFmtId="0" fontId="50" fillId="0" borderId="0" xfId="0" applyFont="1" applyFill="1" applyBorder="1" applyAlignment="1">
      <alignment horizontal="center" vertical="center"/>
    </xf>
    <xf numFmtId="0" fontId="4" fillId="28" borderId="0" xfId="0" applyFont="1" applyFill="1" applyAlignment="1">
      <alignment horizontal="center" vertical="center"/>
    </xf>
    <xf numFmtId="0" fontId="0" fillId="0" borderId="0" xfId="0"/>
    <xf numFmtId="165" fontId="33" fillId="0" borderId="1" xfId="7" applyNumberFormat="1" applyFont="1" applyBorder="1"/>
    <xf numFmtId="165" fontId="29" fillId="0" borderId="0" xfId="7" applyNumberFormat="1" applyFont="1" applyFill="1" applyBorder="1"/>
    <xf numFmtId="0" fontId="29" fillId="35" borderId="1" xfId="0" applyFont="1" applyFill="1" applyBorder="1" applyAlignment="1">
      <alignment vertical="center" wrapText="1"/>
    </xf>
    <xf numFmtId="0" fontId="29" fillId="39" borderId="1" xfId="0" applyFont="1" applyFill="1" applyBorder="1" applyAlignment="1">
      <alignment vertical="center" wrapText="1"/>
    </xf>
    <xf numFmtId="0" fontId="29" fillId="38" borderId="1" xfId="0" applyFont="1" applyFill="1" applyBorder="1" applyAlignment="1">
      <alignment vertical="center" wrapText="1"/>
    </xf>
    <xf numFmtId="0" fontId="29" fillId="37" borderId="1" xfId="0" applyFont="1" applyFill="1" applyBorder="1" applyAlignment="1">
      <alignment vertical="center" wrapText="1"/>
    </xf>
    <xf numFmtId="0" fontId="29" fillId="0" borderId="0" xfId="0" applyFont="1" applyFill="1" applyBorder="1"/>
    <xf numFmtId="165" fontId="29" fillId="0" borderId="5" xfId="7" applyNumberFormat="1" applyFont="1" applyBorder="1"/>
    <xf numFmtId="0" fontId="51" fillId="40" borderId="18" xfId="0" applyFont="1" applyFill="1" applyBorder="1"/>
    <xf numFmtId="0" fontId="51" fillId="40" borderId="5" xfId="0" applyFont="1" applyFill="1" applyBorder="1"/>
    <xf numFmtId="0" fontId="29" fillId="0" borderId="18" xfId="0" applyFont="1" applyBorder="1"/>
    <xf numFmtId="165" fontId="33" fillId="0" borderId="18" xfId="7" applyNumberFormat="1" applyFont="1" applyBorder="1"/>
    <xf numFmtId="0" fontId="32" fillId="0" borderId="2" xfId="0" applyFont="1" applyBorder="1"/>
    <xf numFmtId="165" fontId="33" fillId="0" borderId="2" xfId="7" applyNumberFormat="1" applyFont="1" applyBorder="1"/>
    <xf numFmtId="0" fontId="52" fillId="36" borderId="1" xfId="0" applyFont="1" applyFill="1" applyBorder="1" applyAlignment="1">
      <alignment vertical="center" wrapText="1"/>
    </xf>
    <xf numFmtId="0" fontId="54" fillId="0" borderId="0" xfId="0" applyFont="1" applyFill="1" applyBorder="1"/>
    <xf numFmtId="0" fontId="0" fillId="0" borderId="0" xfId="0"/>
    <xf numFmtId="0" fontId="13" fillId="11" borderId="2" xfId="0" applyFont="1" applyFill="1" applyBorder="1" applyAlignment="1">
      <alignment horizontal="center" vertical="center" wrapText="1"/>
    </xf>
    <xf numFmtId="0" fontId="13" fillId="11" borderId="8"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5" fillId="0" borderId="0" xfId="0" applyFont="1" applyAlignment="1">
      <alignment horizontal="right"/>
    </xf>
    <xf numFmtId="3" fontId="0" fillId="0" borderId="0" xfId="0" applyNumberFormat="1"/>
    <xf numFmtId="15" fontId="0" fillId="0" borderId="0" xfId="0" applyNumberFormat="1" applyAlignment="1">
      <alignment horizontal="left" vertical="center"/>
    </xf>
    <xf numFmtId="0" fontId="0" fillId="0" borderId="0" xfId="0" applyFill="1" applyBorder="1" applyAlignment="1">
      <alignment vertical="center"/>
    </xf>
    <xf numFmtId="0" fontId="57" fillId="0" borderId="0" xfId="0" applyFont="1" applyAlignment="1">
      <alignment wrapText="1"/>
    </xf>
    <xf numFmtId="0" fontId="30" fillId="0" borderId="0" xfId="0" applyFont="1" applyAlignment="1">
      <alignment wrapText="1"/>
    </xf>
    <xf numFmtId="0" fontId="0" fillId="0" borderId="0" xfId="0" applyAlignment="1">
      <alignment wrapText="1"/>
    </xf>
    <xf numFmtId="0" fontId="53" fillId="0" borderId="0" xfId="6" applyFont="1" applyFill="1" applyBorder="1" applyAlignment="1">
      <alignment vertical="center"/>
    </xf>
    <xf numFmtId="0" fontId="55" fillId="0" borderId="0" xfId="6" applyFont="1" applyFill="1" applyBorder="1" applyAlignment="1">
      <alignment horizontal="center" vertical="center"/>
    </xf>
    <xf numFmtId="9" fontId="39" fillId="27" borderId="1" xfId="8" applyFont="1" applyFill="1" applyBorder="1" applyAlignment="1">
      <alignment horizontal="center" vertical="top"/>
    </xf>
    <xf numFmtId="0" fontId="38" fillId="26" borderId="1" xfId="0" applyFont="1" applyFill="1" applyBorder="1" applyAlignment="1">
      <alignment horizontal="center" vertical="top" wrapText="1"/>
    </xf>
    <xf numFmtId="0" fontId="12" fillId="0" borderId="1" xfId="0" applyNumberFormat="1" applyFont="1" applyFill="1" applyBorder="1"/>
    <xf numFmtId="0" fontId="12" fillId="0" borderId="1" xfId="0" applyFont="1" applyFill="1" applyBorder="1"/>
    <xf numFmtId="0" fontId="12" fillId="0" borderId="5" xfId="0" applyFont="1" applyFill="1" applyBorder="1"/>
    <xf numFmtId="0" fontId="0" fillId="0" borderId="5" xfId="0" applyNumberFormat="1" applyFont="1" applyFill="1" applyBorder="1"/>
    <xf numFmtId="0" fontId="0" fillId="0" borderId="1" xfId="0" applyNumberFormat="1" applyFont="1" applyFill="1" applyBorder="1"/>
    <xf numFmtId="0" fontId="0" fillId="0" borderId="1" xfId="0" applyFont="1" applyFill="1" applyBorder="1"/>
    <xf numFmtId="0" fontId="0" fillId="0" borderId="5" xfId="0" applyFont="1" applyFill="1" applyBorder="1"/>
    <xf numFmtId="0" fontId="0" fillId="0" borderId="0" xfId="0" applyAlignment="1">
      <alignment horizontal="center" vertical="center"/>
    </xf>
    <xf numFmtId="2" fontId="0" fillId="0" borderId="0" xfId="0" applyNumberFormat="1" applyAlignment="1"/>
    <xf numFmtId="0" fontId="3" fillId="11" borderId="0" xfId="0" applyFont="1" applyFill="1" applyBorder="1"/>
    <xf numFmtId="0" fontId="64" fillId="31" borderId="29" xfId="0" applyFont="1" applyFill="1" applyBorder="1"/>
    <xf numFmtId="0" fontId="65" fillId="31" borderId="30" xfId="0" applyFont="1" applyFill="1" applyBorder="1"/>
    <xf numFmtId="0" fontId="64" fillId="31" borderId="27" xfId="0" applyFont="1" applyFill="1" applyBorder="1"/>
    <xf numFmtId="0" fontId="65" fillId="31" borderId="31" xfId="0" applyFont="1" applyFill="1" applyBorder="1"/>
    <xf numFmtId="0" fontId="65" fillId="0" borderId="0" xfId="0" applyFont="1" applyFill="1"/>
    <xf numFmtId="0" fontId="64" fillId="0" borderId="39" xfId="0" applyFont="1" applyFill="1" applyBorder="1"/>
    <xf numFmtId="0" fontId="64" fillId="0" borderId="11" xfId="0" applyFont="1" applyFill="1" applyBorder="1"/>
    <xf numFmtId="0" fontId="64" fillId="0" borderId="40" xfId="0" applyFont="1" applyFill="1" applyBorder="1"/>
    <xf numFmtId="0" fontId="64" fillId="0" borderId="4" xfId="0" applyFont="1" applyFill="1" applyBorder="1"/>
    <xf numFmtId="0" fontId="64" fillId="0" borderId="33" xfId="0" applyFont="1" applyFill="1" applyBorder="1"/>
    <xf numFmtId="0" fontId="64" fillId="0" borderId="41" xfId="0" applyFont="1" applyFill="1" applyBorder="1"/>
    <xf numFmtId="0" fontId="64" fillId="0" borderId="24" xfId="0" applyFont="1" applyFill="1" applyBorder="1"/>
    <xf numFmtId="0" fontId="64" fillId="0" borderId="23" xfId="0" applyFont="1" applyFill="1" applyBorder="1"/>
    <xf numFmtId="0" fontId="64" fillId="0" borderId="26" xfId="0" applyFont="1" applyFill="1" applyBorder="1"/>
    <xf numFmtId="0" fontId="65" fillId="29" borderId="0" xfId="0" applyFont="1" applyFill="1" applyBorder="1"/>
    <xf numFmtId="0" fontId="65" fillId="0" borderId="0" xfId="0" applyFont="1" applyFill="1" applyBorder="1"/>
    <xf numFmtId="165" fontId="65" fillId="0" borderId="0" xfId="7" applyNumberFormat="1" applyFont="1" applyFill="1" applyBorder="1"/>
    <xf numFmtId="0" fontId="65" fillId="0" borderId="0" xfId="0" applyNumberFormat="1" applyFont="1" applyFill="1" applyBorder="1"/>
    <xf numFmtId="9" fontId="65" fillId="0" borderId="0" xfId="8" applyFont="1" applyFill="1" applyBorder="1"/>
    <xf numFmtId="0" fontId="64" fillId="0" borderId="3" xfId="0" applyNumberFormat="1" applyFont="1" applyFill="1" applyBorder="1"/>
    <xf numFmtId="1" fontId="64" fillId="0" borderId="2" xfId="0" applyNumberFormat="1" applyFont="1" applyFill="1" applyBorder="1"/>
    <xf numFmtId="165" fontId="66" fillId="0" borderId="0" xfId="7" applyNumberFormat="1" applyFont="1" applyFill="1" applyBorder="1"/>
    <xf numFmtId="0" fontId="65" fillId="30" borderId="0" xfId="0" applyFont="1" applyFill="1" applyBorder="1"/>
    <xf numFmtId="2" fontId="65" fillId="30" borderId="0" xfId="0" applyNumberFormat="1" applyFont="1" applyFill="1" applyBorder="1"/>
    <xf numFmtId="2" fontId="65" fillId="0" borderId="0" xfId="0" applyNumberFormat="1" applyFont="1" applyFill="1" applyBorder="1"/>
    <xf numFmtId="165" fontId="65" fillId="0" borderId="0" xfId="0" applyNumberFormat="1" applyFont="1" applyFill="1" applyBorder="1"/>
    <xf numFmtId="9" fontId="65" fillId="0" borderId="0" xfId="0" applyNumberFormat="1" applyFont="1" applyFill="1" applyBorder="1"/>
    <xf numFmtId="0" fontId="64" fillId="0" borderId="25" xfId="0" applyNumberFormat="1" applyFont="1" applyFill="1" applyBorder="1"/>
    <xf numFmtId="1" fontId="64" fillId="0" borderId="18" xfId="0" applyNumberFormat="1" applyFont="1" applyFill="1" applyBorder="1"/>
    <xf numFmtId="165" fontId="65" fillId="0" borderId="28" xfId="0" applyNumberFormat="1" applyFont="1" applyFill="1" applyBorder="1"/>
    <xf numFmtId="0" fontId="0" fillId="0" borderId="0" xfId="0" applyAlignment="1">
      <alignment horizontal="center" vertical="center" wrapText="1"/>
    </xf>
    <xf numFmtId="0" fontId="0" fillId="0" borderId="0" xfId="0" applyFill="1" applyAlignment="1">
      <alignment horizontal="left" vertical="center"/>
    </xf>
    <xf numFmtId="0" fontId="0" fillId="2" borderId="0" xfId="0" applyFill="1" applyBorder="1" applyAlignment="1">
      <alignment vertical="center"/>
    </xf>
    <xf numFmtId="165" fontId="31" fillId="21" borderId="0" xfId="7" applyNumberFormat="1" applyFont="1" applyFill="1"/>
    <xf numFmtId="14" fontId="0" fillId="0" borderId="0" xfId="0" applyNumberFormat="1"/>
    <xf numFmtId="0" fontId="0" fillId="2" borderId="0" xfId="0" applyFill="1"/>
    <xf numFmtId="0" fontId="2" fillId="0" borderId="1" xfId="0" applyFont="1" applyFill="1" applyBorder="1"/>
    <xf numFmtId="0" fontId="2" fillId="0" borderId="1" xfId="0" applyNumberFormat="1" applyFont="1" applyFill="1" applyBorder="1"/>
    <xf numFmtId="171" fontId="0" fillId="0" borderId="0" xfId="0" applyNumberFormat="1" applyFill="1" applyAlignment="1">
      <alignment horizontal="left" vertical="center"/>
    </xf>
    <xf numFmtId="0" fontId="0" fillId="3" borderId="0" xfId="0" applyFill="1" applyBorder="1" applyAlignment="1">
      <alignment vertical="center"/>
    </xf>
    <xf numFmtId="0" fontId="0" fillId="3" borderId="0" xfId="0" applyFill="1" applyBorder="1" applyAlignment="1">
      <alignment horizontal="left" vertical="center"/>
    </xf>
    <xf numFmtId="171" fontId="0" fillId="0" borderId="0" xfId="0" applyNumberFormat="1"/>
    <xf numFmtId="0" fontId="20" fillId="42" borderId="9" xfId="5" applyFont="1" applyFill="1" applyBorder="1" applyAlignment="1">
      <alignment horizontal="left" vertical="top"/>
    </xf>
    <xf numFmtId="0" fontId="12" fillId="42" borderId="0" xfId="0" applyFont="1" applyFill="1" applyAlignment="1">
      <alignment horizontal="left" vertical="top"/>
    </xf>
    <xf numFmtId="0" fontId="20" fillId="42" borderId="11" xfId="5" applyFont="1" applyFill="1" applyBorder="1" applyAlignment="1">
      <alignment horizontal="left" vertical="top"/>
    </xf>
    <xf numFmtId="171" fontId="20" fillId="42" borderId="11" xfId="5" applyNumberFormat="1" applyFont="1" applyFill="1" applyBorder="1" applyAlignment="1">
      <alignment horizontal="left" vertical="top"/>
    </xf>
    <xf numFmtId="0" fontId="69" fillId="22" borderId="1" xfId="0" applyFont="1" applyFill="1" applyBorder="1" applyAlignment="1">
      <alignment horizontal="center" wrapText="1"/>
    </xf>
    <xf numFmtId="0" fontId="69" fillId="22" borderId="1" xfId="0" applyFont="1" applyFill="1" applyBorder="1" applyAlignment="1">
      <alignment horizontal="center" vertical="top" wrapText="1"/>
    </xf>
    <xf numFmtId="0" fontId="70" fillId="23" borderId="1" xfId="0" applyFont="1" applyFill="1" applyBorder="1" applyAlignment="1">
      <alignment horizontal="center" vertical="top" wrapText="1"/>
    </xf>
    <xf numFmtId="0" fontId="69" fillId="24" borderId="1" xfId="0" applyFont="1" applyFill="1" applyBorder="1" applyAlignment="1">
      <alignment horizontal="center" vertical="top" wrapText="1"/>
    </xf>
    <xf numFmtId="0" fontId="69" fillId="25" borderId="1" xfId="0" applyFont="1" applyFill="1" applyBorder="1" applyAlignment="1">
      <alignment horizontal="center" vertical="top" wrapText="1"/>
    </xf>
    <xf numFmtId="0" fontId="70" fillId="26" borderId="1" xfId="0" applyFont="1" applyFill="1" applyBorder="1" applyAlignment="1">
      <alignment horizontal="center" vertical="top" wrapText="1"/>
    </xf>
    <xf numFmtId="0" fontId="71" fillId="0" borderId="1" xfId="0" applyFont="1" applyFill="1" applyBorder="1" applyAlignment="1">
      <alignment horizontal="left"/>
    </xf>
    <xf numFmtId="0" fontId="72" fillId="2" borderId="10" xfId="0" applyFont="1" applyFill="1" applyBorder="1" applyAlignment="1">
      <alignment horizontal="left"/>
    </xf>
    <xf numFmtId="165" fontId="72" fillId="0" borderId="1" xfId="10" applyNumberFormat="1" applyFont="1" applyFill="1" applyBorder="1" applyAlignment="1">
      <alignment horizontal="left"/>
    </xf>
    <xf numFmtId="165" fontId="73" fillId="0" borderId="1" xfId="10" applyNumberFormat="1" applyFont="1" applyBorder="1"/>
    <xf numFmtId="9" fontId="73" fillId="24" borderId="1" xfId="8" applyFont="1" applyFill="1" applyBorder="1"/>
    <xf numFmtId="9" fontId="73" fillId="25" borderId="1" xfId="8" applyFont="1" applyFill="1" applyBorder="1"/>
    <xf numFmtId="9" fontId="73" fillId="26" borderId="1" xfId="8" applyFont="1" applyFill="1" applyBorder="1"/>
    <xf numFmtId="0" fontId="74" fillId="0" borderId="0" xfId="0" applyFont="1" applyAlignment="1">
      <alignment horizontal="center" vertical="center" readingOrder="1"/>
    </xf>
    <xf numFmtId="17" fontId="3" fillId="10" borderId="0" xfId="0" applyNumberFormat="1" applyFont="1" applyFill="1" applyAlignment="1">
      <alignment horizontal="left"/>
    </xf>
    <xf numFmtId="165" fontId="12" fillId="0" borderId="0" xfId="9" applyNumberFormat="1" applyFont="1" applyFill="1" applyBorder="1" applyAlignment="1">
      <alignment horizontal="left"/>
    </xf>
    <xf numFmtId="0" fontId="0" fillId="41" borderId="0" xfId="0" applyFill="1" applyBorder="1"/>
    <xf numFmtId="49" fontId="22" fillId="0" borderId="1" xfId="12" applyNumberFormat="1" applyFont="1" applyFill="1" applyBorder="1" applyAlignment="1">
      <alignment vertical="center" wrapText="1"/>
    </xf>
    <xf numFmtId="49" fontId="0" fillId="0" borderId="1" xfId="0" applyNumberFormat="1" applyFill="1" applyBorder="1" applyAlignment="1">
      <alignment horizontal="left" vertical="center"/>
    </xf>
    <xf numFmtId="49" fontId="0" fillId="0" borderId="1" xfId="0" applyNumberFormat="1" applyFill="1" applyBorder="1" applyAlignment="1">
      <alignment vertical="center"/>
    </xf>
    <xf numFmtId="49" fontId="12" fillId="0" borderId="1" xfId="0" applyNumberFormat="1" applyFont="1" applyFill="1" applyBorder="1"/>
    <xf numFmtId="49" fontId="2" fillId="0" borderId="1" xfId="0" applyNumberFormat="1" applyFont="1" applyFill="1" applyBorder="1"/>
    <xf numFmtId="49" fontId="0" fillId="0" borderId="1" xfId="0" applyNumberFormat="1" applyFont="1" applyFill="1" applyBorder="1"/>
    <xf numFmtId="49" fontId="12" fillId="0" borderId="1" xfId="14" applyNumberFormat="1" applyFont="1" applyFill="1" applyBorder="1" applyAlignment="1"/>
    <xf numFmtId="49" fontId="59" fillId="0" borderId="1" xfId="14" applyNumberFormat="1" applyFont="1" applyFill="1" applyBorder="1" applyAlignment="1"/>
    <xf numFmtId="49" fontId="1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0" fillId="0" borderId="1" xfId="0" applyNumberFormat="1" applyFont="1" applyFill="1" applyBorder="1" applyAlignment="1">
      <alignment horizontal="left" vertical="center"/>
    </xf>
    <xf numFmtId="0" fontId="12" fillId="0" borderId="1" xfId="14" applyFont="1" applyFill="1" applyBorder="1" applyAlignment="1"/>
    <xf numFmtId="0" fontId="12" fillId="0" borderId="1" xfId="0" applyFont="1" applyFill="1" applyBorder="1" applyAlignment="1">
      <alignment horizontal="left" vertical="center"/>
    </xf>
    <xf numFmtId="0" fontId="12" fillId="35" borderId="1" xfId="0" applyFont="1" applyFill="1" applyBorder="1"/>
    <xf numFmtId="0" fontId="0" fillId="20" borderId="1" xfId="0" applyFont="1" applyFill="1" applyBorder="1"/>
    <xf numFmtId="1" fontId="22" fillId="0" borderId="1" xfId="12" applyNumberFormat="1" applyFont="1" applyFill="1" applyBorder="1" applyAlignment="1">
      <alignment horizontal="right" vertical="center"/>
    </xf>
    <xf numFmtId="0" fontId="0" fillId="0" borderId="1" xfId="0" applyFill="1" applyBorder="1" applyAlignment="1">
      <alignment horizontal="left" vertical="center"/>
    </xf>
    <xf numFmtId="17" fontId="3" fillId="10" borderId="0" xfId="0" applyNumberFormat="1" applyFont="1" applyFill="1" applyAlignment="1">
      <alignment horizontal="left"/>
    </xf>
    <xf numFmtId="0" fontId="9" fillId="10" borderId="0" xfId="6" applyFont="1" applyFill="1" applyBorder="1" applyAlignment="1">
      <alignment horizontal="center" vertical="center"/>
    </xf>
    <xf numFmtId="0" fontId="42" fillId="10" borderId="0" xfId="0" applyFont="1" applyFill="1" applyAlignment="1">
      <alignment vertical="center" readingOrder="1"/>
    </xf>
    <xf numFmtId="0" fontId="54" fillId="41" borderId="0" xfId="0" applyFont="1" applyFill="1" applyBorder="1"/>
    <xf numFmtId="0" fontId="19" fillId="10" borderId="0" xfId="0" applyFont="1" applyFill="1" applyBorder="1" applyAlignment="1"/>
    <xf numFmtId="0" fontId="32" fillId="45" borderId="44" xfId="0" applyFont="1" applyFill="1" applyBorder="1"/>
    <xf numFmtId="0" fontId="32" fillId="10" borderId="45" xfId="0" applyFont="1" applyFill="1" applyBorder="1"/>
    <xf numFmtId="0" fontId="32" fillId="10" borderId="46" xfId="0" applyFont="1" applyFill="1" applyBorder="1"/>
    <xf numFmtId="0" fontId="29" fillId="10" borderId="42" xfId="0" applyFont="1" applyFill="1" applyBorder="1" applyAlignment="1">
      <alignment horizontal="left"/>
    </xf>
    <xf numFmtId="165" fontId="29" fillId="10" borderId="0" xfId="0" applyNumberFormat="1" applyFont="1" applyFill="1" applyBorder="1"/>
    <xf numFmtId="165" fontId="29" fillId="10" borderId="43" xfId="0" applyNumberFormat="1" applyFont="1" applyFill="1" applyBorder="1"/>
    <xf numFmtId="0" fontId="32" fillId="10" borderId="47" xfId="0" applyFont="1" applyFill="1" applyBorder="1" applyAlignment="1">
      <alignment horizontal="left"/>
    </xf>
    <xf numFmtId="165" fontId="32" fillId="10" borderId="48" xfId="0" applyNumberFormat="1" applyFont="1" applyFill="1" applyBorder="1"/>
    <xf numFmtId="165" fontId="32" fillId="10" borderId="49" xfId="0" applyNumberFormat="1" applyFont="1" applyFill="1" applyBorder="1"/>
    <xf numFmtId="0" fontId="0" fillId="10" borderId="0" xfId="0" applyFont="1" applyFill="1" applyBorder="1" applyAlignment="1">
      <alignment horizontal="center" vertical="center" wrapText="1"/>
    </xf>
    <xf numFmtId="0" fontId="4" fillId="10" borderId="0" xfId="0" applyFont="1" applyFill="1" applyBorder="1" applyAlignment="1"/>
    <xf numFmtId="0" fontId="0" fillId="10" borderId="0" xfId="0" applyFill="1" applyBorder="1" applyAlignment="1"/>
    <xf numFmtId="0" fontId="0" fillId="44" borderId="0" xfId="0" applyFill="1" applyBorder="1"/>
    <xf numFmtId="0" fontId="35" fillId="41" borderId="0" xfId="6" applyFont="1" applyFill="1" applyBorder="1" applyAlignment="1">
      <alignment vertical="center"/>
    </xf>
    <xf numFmtId="0" fontId="0" fillId="41" borderId="50" xfId="0" applyFill="1" applyBorder="1"/>
    <xf numFmtId="0" fontId="0" fillId="41" borderId="25" xfId="0" applyFill="1" applyBorder="1"/>
    <xf numFmtId="0" fontId="0" fillId="41" borderId="39" xfId="0" applyFill="1" applyBorder="1"/>
    <xf numFmtId="0" fontId="35" fillId="41" borderId="51" xfId="6" applyFont="1" applyFill="1" applyBorder="1" applyAlignment="1">
      <alignment vertical="center"/>
    </xf>
    <xf numFmtId="0" fontId="0" fillId="41" borderId="51" xfId="0" applyFill="1" applyBorder="1"/>
    <xf numFmtId="0" fontId="0" fillId="41" borderId="17" xfId="0" applyFill="1" applyBorder="1"/>
    <xf numFmtId="0" fontId="0" fillId="41" borderId="12" xfId="0" applyFill="1" applyBorder="1"/>
    <xf numFmtId="0" fontId="0" fillId="41" borderId="13" xfId="0" applyFill="1" applyBorder="1"/>
    <xf numFmtId="0" fontId="0" fillId="41" borderId="14" xfId="0" applyFill="1" applyBorder="1"/>
    <xf numFmtId="0" fontId="0" fillId="41" borderId="15" xfId="0" applyFill="1" applyBorder="1"/>
    <xf numFmtId="0" fontId="0" fillId="41" borderId="16" xfId="0" applyFill="1" applyBorder="1"/>
    <xf numFmtId="0" fontId="0" fillId="41" borderId="52" xfId="0" applyFill="1" applyBorder="1"/>
    <xf numFmtId="0" fontId="0" fillId="41" borderId="53" xfId="0" applyFill="1" applyBorder="1"/>
    <xf numFmtId="0" fontId="29" fillId="10" borderId="0" xfId="0" applyFont="1" applyFill="1" applyBorder="1"/>
    <xf numFmtId="0" fontId="0" fillId="0" borderId="54" xfId="0" applyBorder="1"/>
    <xf numFmtId="0" fontId="0" fillId="0" borderId="55" xfId="0" applyBorder="1"/>
    <xf numFmtId="0" fontId="0" fillId="10" borderId="55" xfId="0" applyFill="1" applyBorder="1"/>
    <xf numFmtId="0" fontId="10" fillId="44" borderId="16" xfId="6" applyFont="1" applyFill="1" applyBorder="1" applyAlignment="1">
      <alignment vertical="center"/>
    </xf>
    <xf numFmtId="0" fontId="0" fillId="44" borderId="16" xfId="0" applyFill="1" applyBorder="1"/>
    <xf numFmtId="0" fontId="0" fillId="44" borderId="56" xfId="0" applyFill="1" applyBorder="1"/>
    <xf numFmtId="0" fontId="0" fillId="44" borderId="15" xfId="0" applyFill="1" applyBorder="1"/>
    <xf numFmtId="0" fontId="0" fillId="44" borderId="54" xfId="0" applyFill="1" applyBorder="1"/>
    <xf numFmtId="0" fontId="0" fillId="44" borderId="55" xfId="0" applyFill="1" applyBorder="1"/>
    <xf numFmtId="0" fontId="10" fillId="41" borderId="0" xfId="6" applyFont="1" applyFill="1" applyBorder="1" applyAlignment="1">
      <alignment vertical="center"/>
    </xf>
    <xf numFmtId="0" fontId="0" fillId="10" borderId="16" xfId="0" applyFill="1" applyBorder="1"/>
    <xf numFmtId="0" fontId="17" fillId="10" borderId="0" xfId="0" applyFont="1" applyFill="1" applyBorder="1" applyAlignment="1">
      <alignment horizontal="center"/>
    </xf>
    <xf numFmtId="165" fontId="18" fillId="10" borderId="0" xfId="7" applyNumberFormat="1" applyFont="1" applyFill="1" applyBorder="1"/>
    <xf numFmtId="165" fontId="17" fillId="10" borderId="0" xfId="0" applyNumberFormat="1" applyFont="1" applyFill="1" applyBorder="1"/>
    <xf numFmtId="0" fontId="19" fillId="10" borderId="0" xfId="0" applyFont="1" applyFill="1" applyBorder="1"/>
    <xf numFmtId="0" fontId="0" fillId="10" borderId="56" xfId="0" applyFill="1" applyBorder="1"/>
    <xf numFmtId="0" fontId="0" fillId="10" borderId="15" xfId="0" applyFill="1" applyBorder="1"/>
    <xf numFmtId="0" fontId="0" fillId="10" borderId="54" xfId="0" applyFill="1" applyBorder="1"/>
    <xf numFmtId="0" fontId="0" fillId="10" borderId="55" xfId="0" applyFill="1" applyBorder="1" applyAlignment="1">
      <alignment horizontal="left"/>
    </xf>
    <xf numFmtId="165" fontId="0" fillId="10" borderId="55" xfId="0" applyNumberFormat="1" applyFill="1" applyBorder="1"/>
    <xf numFmtId="3" fontId="0" fillId="10" borderId="55" xfId="0" applyNumberFormat="1" applyFill="1" applyBorder="1"/>
    <xf numFmtId="0" fontId="0" fillId="10" borderId="55" xfId="0" applyNumberFormat="1" applyFill="1" applyBorder="1"/>
    <xf numFmtId="166" fontId="37" fillId="10" borderId="0" xfId="6" applyNumberFormat="1" applyFont="1" applyFill="1" applyBorder="1" applyAlignment="1">
      <alignment horizontal="left" vertical="center"/>
    </xf>
    <xf numFmtId="0" fontId="35" fillId="10" borderId="0" xfId="6" applyFont="1" applyFill="1" applyBorder="1" applyAlignment="1">
      <alignment vertical="center"/>
    </xf>
    <xf numFmtId="0" fontId="10" fillId="0" borderId="0" xfId="6" applyFont="1" applyFill="1" applyBorder="1" applyAlignment="1">
      <alignment vertical="center"/>
    </xf>
    <xf numFmtId="0" fontId="21" fillId="0" borderId="0" xfId="0" applyFont="1" applyFill="1" applyAlignment="1"/>
    <xf numFmtId="0" fontId="25" fillId="0" borderId="0" xfId="0" applyFont="1" applyFill="1"/>
    <xf numFmtId="0" fontId="34" fillId="41" borderId="0" xfId="6" applyFont="1" applyFill="1" applyBorder="1" applyAlignment="1">
      <alignment vertical="center"/>
    </xf>
    <xf numFmtId="166" fontId="37" fillId="41" borderId="0" xfId="6" applyNumberFormat="1" applyFont="1" applyFill="1" applyBorder="1" applyAlignment="1">
      <alignment vertical="center"/>
    </xf>
    <xf numFmtId="0" fontId="10" fillId="41" borderId="51" xfId="0" applyFont="1" applyFill="1" applyBorder="1"/>
    <xf numFmtId="0" fontId="12" fillId="41" borderId="51" xfId="0" applyFont="1" applyFill="1" applyBorder="1"/>
    <xf numFmtId="0" fontId="67" fillId="41" borderId="51" xfId="0" applyFont="1" applyFill="1" applyBorder="1" applyAlignment="1"/>
    <xf numFmtId="0" fontId="12" fillId="41" borderId="52" xfId="0" applyFont="1" applyFill="1" applyBorder="1"/>
    <xf numFmtId="0" fontId="12" fillId="41" borderId="53" xfId="0" applyFont="1" applyFill="1" applyBorder="1"/>
    <xf numFmtId="0" fontId="0" fillId="0" borderId="12" xfId="0" applyBorder="1"/>
    <xf numFmtId="0" fontId="0" fillId="0" borderId="13" xfId="0" applyBorder="1"/>
    <xf numFmtId="0" fontId="10" fillId="11" borderId="18" xfId="6" applyFont="1" applyFill="1" applyBorder="1" applyAlignment="1">
      <alignment vertical="center"/>
    </xf>
    <xf numFmtId="0" fontId="10" fillId="11" borderId="50" xfId="6" applyFont="1" applyFill="1" applyBorder="1" applyAlignment="1">
      <alignment vertical="center"/>
    </xf>
    <xf numFmtId="0" fontId="10" fillId="11" borderId="25" xfId="6" applyFont="1" applyFill="1" applyBorder="1" applyAlignment="1">
      <alignment vertical="center"/>
    </xf>
    <xf numFmtId="0" fontId="35" fillId="11" borderId="39" xfId="6" applyFont="1" applyFill="1" applyBorder="1" applyAlignment="1">
      <alignment vertical="center"/>
    </xf>
    <xf numFmtId="0" fontId="35" fillId="11" borderId="51" xfId="6" applyFont="1" applyFill="1" applyBorder="1" applyAlignment="1">
      <alignment vertical="center"/>
    </xf>
    <xf numFmtId="0" fontId="35" fillId="11" borderId="17" xfId="6" applyFont="1" applyFill="1" applyBorder="1" applyAlignment="1">
      <alignment vertical="center"/>
    </xf>
    <xf numFmtId="0" fontId="26" fillId="11" borderId="50" xfId="6" applyFont="1" applyFill="1" applyBorder="1" applyAlignment="1">
      <alignment vertical="center"/>
    </xf>
    <xf numFmtId="0" fontId="10" fillId="41" borderId="50" xfId="6" applyFont="1" applyFill="1" applyBorder="1" applyAlignment="1">
      <alignment vertical="center"/>
    </xf>
    <xf numFmtId="0" fontId="10" fillId="41" borderId="51" xfId="6" applyFont="1" applyFill="1" applyBorder="1" applyAlignment="1">
      <alignment vertical="center"/>
    </xf>
    <xf numFmtId="0" fontId="13" fillId="11" borderId="50" xfId="6" applyFont="1" applyFill="1" applyBorder="1" applyAlignment="1">
      <alignment horizontal="center" vertical="center"/>
    </xf>
    <xf numFmtId="0" fontId="49" fillId="11" borderId="50" xfId="6" applyFont="1" applyFill="1" applyBorder="1" applyAlignment="1">
      <alignment horizontal="center" vertical="center"/>
    </xf>
    <xf numFmtId="0" fontId="4" fillId="0" borderId="50" xfId="0" applyFont="1" applyBorder="1" applyAlignment="1">
      <alignment horizontal="center" vertical="center"/>
    </xf>
    <xf numFmtId="0" fontId="13" fillId="11" borderId="51" xfId="6" applyFont="1" applyFill="1" applyBorder="1" applyAlignment="1">
      <alignment horizontal="center" vertical="center"/>
    </xf>
    <xf numFmtId="0" fontId="4" fillId="0" borderId="51" xfId="0" applyFont="1" applyFill="1" applyBorder="1" applyAlignment="1">
      <alignment horizontal="center" vertical="center"/>
    </xf>
    <xf numFmtId="0" fontId="4" fillId="0" borderId="51" xfId="0" applyFont="1" applyBorder="1" applyAlignment="1">
      <alignment horizontal="center" vertical="center"/>
    </xf>
    <xf numFmtId="0" fontId="10" fillId="11" borderId="39" xfId="6" applyFont="1" applyFill="1" applyBorder="1" applyAlignment="1">
      <alignment vertical="center"/>
    </xf>
    <xf numFmtId="166" fontId="37" fillId="11" borderId="23" xfId="6" applyNumberFormat="1" applyFont="1" applyFill="1" applyBorder="1" applyAlignment="1">
      <alignment horizontal="left" vertical="center"/>
    </xf>
    <xf numFmtId="166" fontId="37" fillId="11" borderId="51" xfId="6" applyNumberFormat="1" applyFont="1" applyFill="1" applyBorder="1" applyAlignment="1">
      <alignment horizontal="left" vertical="center"/>
    </xf>
    <xf numFmtId="0" fontId="9" fillId="41" borderId="51" xfId="6" applyFont="1" applyFill="1" applyBorder="1" applyAlignment="1">
      <alignment horizontal="left" vertical="center"/>
    </xf>
    <xf numFmtId="0" fontId="0" fillId="41" borderId="51" xfId="0" applyFill="1" applyBorder="1" applyAlignment="1">
      <alignment horizontal="left"/>
    </xf>
    <xf numFmtId="0" fontId="9" fillId="41" borderId="17" xfId="6" applyFont="1" applyFill="1" applyBorder="1" applyAlignment="1">
      <alignment horizontal="left" vertical="center"/>
    </xf>
    <xf numFmtId="0" fontId="10" fillId="11" borderId="4" xfId="6" applyFont="1" applyFill="1" applyBorder="1" applyAlignment="1">
      <alignment vertical="center"/>
    </xf>
    <xf numFmtId="166" fontId="76" fillId="11" borderId="23" xfId="6" applyNumberFormat="1" applyFont="1" applyFill="1" applyBorder="1" applyAlignment="1">
      <alignment vertical="center"/>
    </xf>
    <xf numFmtId="166" fontId="37" fillId="11" borderId="51" xfId="6" applyNumberFormat="1" applyFont="1" applyFill="1" applyBorder="1" applyAlignment="1">
      <alignment vertical="center"/>
    </xf>
    <xf numFmtId="0" fontId="9" fillId="41" borderId="17" xfId="6" applyFont="1" applyFill="1" applyBorder="1" applyAlignment="1">
      <alignment horizontal="center" vertical="center"/>
    </xf>
    <xf numFmtId="0" fontId="13" fillId="11" borderId="36"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0" fillId="0" borderId="23" xfId="0" applyBorder="1"/>
    <xf numFmtId="0" fontId="0" fillId="0" borderId="17" xfId="0" applyBorder="1"/>
    <xf numFmtId="49" fontId="22" fillId="0" borderId="3" xfId="12" applyNumberFormat="1" applyFont="1" applyFill="1" applyBorder="1" applyAlignment="1">
      <alignment vertical="center" wrapText="1"/>
    </xf>
    <xf numFmtId="2" fontId="5" fillId="0" borderId="1" xfId="0" applyNumberFormat="1" applyFont="1" applyFill="1" applyBorder="1" applyAlignment="1">
      <alignment vertical="center"/>
    </xf>
    <xf numFmtId="49" fontId="0" fillId="0" borderId="1" xfId="0" applyNumberFormat="1" applyBorder="1" applyAlignment="1">
      <alignment vertical="center"/>
    </xf>
    <xf numFmtId="15" fontId="0" fillId="0" borderId="1" xfId="0" applyNumberFormat="1" applyFill="1" applyBorder="1" applyAlignment="1">
      <alignment vertical="center"/>
    </xf>
    <xf numFmtId="165" fontId="0" fillId="0" borderId="1" xfId="7" applyNumberFormat="1" applyFont="1" applyFill="1" applyBorder="1" applyAlignment="1">
      <alignment horizontal="left" vertical="center"/>
    </xf>
    <xf numFmtId="49" fontId="0" fillId="0" borderId="2" xfId="0" applyNumberFormat="1" applyFill="1" applyBorder="1" applyAlignment="1">
      <alignment horizontal="left" vertical="center"/>
    </xf>
    <xf numFmtId="1" fontId="0" fillId="0" borderId="1" xfId="0" applyNumberFormat="1" applyBorder="1" applyAlignment="1">
      <alignment horizontal="right" vertical="center"/>
    </xf>
    <xf numFmtId="1" fontId="0" fillId="0" borderId="1" xfId="0" applyNumberFormat="1" applyBorder="1" applyAlignment="1">
      <alignment vertical="center"/>
    </xf>
    <xf numFmtId="49" fontId="58" fillId="0" borderId="3" xfId="12" applyNumberFormat="1" applyFont="1" applyFill="1" applyBorder="1" applyAlignment="1">
      <alignment vertical="center" wrapText="1"/>
    </xf>
    <xf numFmtId="49" fontId="56" fillId="0" borderId="3" xfId="12" applyNumberFormat="1" applyFont="1" applyFill="1" applyBorder="1" applyAlignment="1">
      <alignment vertical="center" wrapText="1"/>
    </xf>
    <xf numFmtId="0" fontId="0" fillId="0" borderId="25" xfId="0" applyBorder="1"/>
    <xf numFmtId="0" fontId="10" fillId="41" borderId="0" xfId="6" applyFont="1" applyFill="1" applyBorder="1" applyAlignment="1">
      <alignment horizontal="right"/>
    </xf>
    <xf numFmtId="165" fontId="0" fillId="41" borderId="0" xfId="7" applyNumberFormat="1" applyFont="1" applyFill="1" applyBorder="1"/>
    <xf numFmtId="1" fontId="10" fillId="41" borderId="0" xfId="6" applyNumberFormat="1" applyFont="1" applyFill="1" applyBorder="1" applyAlignment="1">
      <alignment vertical="center"/>
    </xf>
    <xf numFmtId="2" fontId="10" fillId="41" borderId="0" xfId="6" applyNumberFormat="1" applyFont="1" applyFill="1" applyBorder="1" applyAlignment="1">
      <alignment vertical="center"/>
    </xf>
    <xf numFmtId="14" fontId="10" fillId="41" borderId="0" xfId="6" applyNumberFormat="1" applyFont="1" applyFill="1" applyBorder="1" applyAlignment="1">
      <alignment vertical="center"/>
    </xf>
    <xf numFmtId="0" fontId="7" fillId="0" borderId="54" xfId="5" applyFont="1" applyFill="1" applyBorder="1" applyAlignment="1">
      <alignment horizontal="center" vertical="center"/>
    </xf>
    <xf numFmtId="0" fontId="7" fillId="0" borderId="57" xfId="5" applyFont="1" applyFill="1" applyBorder="1" applyAlignment="1">
      <alignment horizontal="center" vertical="center"/>
    </xf>
    <xf numFmtId="0" fontId="7" fillId="0" borderId="58" xfId="5" applyFont="1" applyFill="1" applyBorder="1" applyAlignment="1">
      <alignment horizontal="center" vertical="center"/>
    </xf>
    <xf numFmtId="0" fontId="7" fillId="0" borderId="59" xfId="5" applyFont="1" applyFill="1" applyBorder="1" applyAlignment="1">
      <alignment horizontal="center" vertical="center"/>
    </xf>
    <xf numFmtId="0" fontId="7" fillId="0" borderId="60" xfId="5" applyFont="1" applyFill="1" applyBorder="1" applyAlignment="1">
      <alignment horizontal="center" vertical="center"/>
    </xf>
    <xf numFmtId="0" fontId="7" fillId="0" borderId="57" xfId="5" applyFont="1" applyFill="1" applyBorder="1" applyAlignment="1">
      <alignment horizontal="left" vertical="center"/>
    </xf>
    <xf numFmtId="0" fontId="7" fillId="0" borderId="55" xfId="5" applyFont="1" applyFill="1" applyBorder="1" applyAlignment="1">
      <alignment horizontal="left" vertical="center"/>
    </xf>
    <xf numFmtId="0" fontId="7" fillId="0" borderId="55" xfId="5" applyFont="1" applyFill="1" applyBorder="1" applyAlignment="1">
      <alignment horizontal="center" vertical="center"/>
    </xf>
    <xf numFmtId="0" fontId="0" fillId="0" borderId="55" xfId="0" applyBorder="1" applyAlignment="1">
      <alignment vertical="center"/>
    </xf>
    <xf numFmtId="0" fontId="7" fillId="0" borderId="57" xfId="5" applyFont="1" applyFill="1" applyBorder="1" applyAlignment="1">
      <alignment horizontal="right" vertical="center"/>
    </xf>
    <xf numFmtId="1" fontId="7" fillId="0" borderId="55" xfId="5" applyNumberFormat="1" applyFont="1" applyFill="1" applyBorder="1" applyAlignment="1">
      <alignment horizontal="right" vertical="center"/>
    </xf>
    <xf numFmtId="2" fontId="7" fillId="0" borderId="57" xfId="5" applyNumberFormat="1" applyFont="1" applyFill="1" applyBorder="1" applyAlignment="1">
      <alignment vertical="center"/>
    </xf>
    <xf numFmtId="0" fontId="0" fillId="0" borderId="57" xfId="0" applyBorder="1" applyAlignment="1">
      <alignment vertical="center"/>
    </xf>
    <xf numFmtId="14" fontId="0" fillId="0" borderId="55" xfId="0" applyNumberFormat="1" applyBorder="1" applyAlignment="1">
      <alignment vertical="center"/>
    </xf>
    <xf numFmtId="1" fontId="0" fillId="0" borderId="57" xfId="0" applyNumberFormat="1" applyBorder="1" applyAlignment="1">
      <alignment vertical="center"/>
    </xf>
    <xf numFmtId="0" fontId="7" fillId="0" borderId="58" xfId="5" applyFont="1" applyFill="1" applyBorder="1" applyAlignment="1">
      <alignment horizontal="left" vertical="center"/>
    </xf>
    <xf numFmtId="15" fontId="7" fillId="0" borderId="60" xfId="5" applyNumberFormat="1" applyFont="1" applyFill="1" applyBorder="1" applyAlignment="1">
      <alignment horizontal="left" vertical="center"/>
    </xf>
    <xf numFmtId="1" fontId="0" fillId="43" borderId="55" xfId="0" applyNumberFormat="1" applyFill="1" applyBorder="1" applyAlignment="1">
      <alignment vertical="center"/>
    </xf>
    <xf numFmtId="0" fontId="7" fillId="17" borderId="55" xfId="5" applyFont="1" applyFill="1" applyBorder="1" applyAlignment="1">
      <alignment horizontal="center" vertical="center"/>
    </xf>
    <xf numFmtId="165" fontId="7" fillId="17" borderId="57" xfId="7" applyNumberFormat="1" applyFont="1" applyFill="1" applyBorder="1" applyAlignment="1">
      <alignment horizontal="center" vertical="center"/>
    </xf>
    <xf numFmtId="165" fontId="7" fillId="17" borderId="56" xfId="7" applyNumberFormat="1" applyFont="1" applyFill="1" applyBorder="1" applyAlignment="1">
      <alignment horizontal="center" vertical="center"/>
    </xf>
    <xf numFmtId="0" fontId="10" fillId="41" borderId="18" xfId="6" applyFont="1" applyFill="1" applyBorder="1" applyAlignment="1">
      <alignment vertical="center"/>
    </xf>
    <xf numFmtId="0" fontId="10" fillId="41" borderId="50" xfId="6" applyFont="1" applyFill="1" applyBorder="1" applyAlignment="1">
      <alignment horizontal="left" vertical="center"/>
    </xf>
    <xf numFmtId="1" fontId="10" fillId="41" borderId="50" xfId="6" applyNumberFormat="1" applyFont="1" applyFill="1" applyBorder="1" applyAlignment="1">
      <alignment horizontal="left" vertical="center"/>
    </xf>
    <xf numFmtId="14" fontId="10" fillId="41" borderId="50" xfId="6" applyNumberFormat="1" applyFont="1" applyFill="1" applyBorder="1" applyAlignment="1">
      <alignment horizontal="left" vertical="center"/>
    </xf>
    <xf numFmtId="0" fontId="10" fillId="41" borderId="50" xfId="6" applyFont="1" applyFill="1" applyBorder="1" applyAlignment="1">
      <alignment horizontal="right"/>
    </xf>
    <xf numFmtId="165" fontId="0" fillId="41" borderId="50" xfId="7" applyNumberFormat="1" applyFont="1" applyFill="1" applyBorder="1"/>
    <xf numFmtId="0" fontId="34" fillId="41" borderId="4" xfId="6" applyFont="1" applyFill="1" applyBorder="1" applyAlignment="1">
      <alignment vertical="center"/>
    </xf>
    <xf numFmtId="1" fontId="10" fillId="41" borderId="51" xfId="6" applyNumberFormat="1" applyFont="1" applyFill="1" applyBorder="1" applyAlignment="1">
      <alignment vertical="center"/>
    </xf>
    <xf numFmtId="2" fontId="10" fillId="41" borderId="51" xfId="6" applyNumberFormat="1" applyFont="1" applyFill="1" applyBorder="1" applyAlignment="1">
      <alignment vertical="center"/>
    </xf>
    <xf numFmtId="14" fontId="10" fillId="41" borderId="51" xfId="6" applyNumberFormat="1" applyFont="1" applyFill="1" applyBorder="1" applyAlignment="1">
      <alignment vertical="center"/>
    </xf>
    <xf numFmtId="0" fontId="10" fillId="41" borderId="51" xfId="6" applyFont="1" applyFill="1" applyBorder="1" applyAlignment="1">
      <alignment horizontal="right"/>
    </xf>
    <xf numFmtId="165" fontId="0" fillId="41" borderId="51" xfId="7" applyNumberFormat="1" applyFont="1" applyFill="1" applyBorder="1"/>
    <xf numFmtId="0" fontId="0" fillId="0" borderId="3" xfId="0" applyBorder="1"/>
    <xf numFmtId="0" fontId="0" fillId="41" borderId="18" xfId="0" applyFill="1" applyBorder="1"/>
    <xf numFmtId="0" fontId="0" fillId="41" borderId="3" xfId="0" applyFill="1" applyBorder="1"/>
    <xf numFmtId="0" fontId="0" fillId="44" borderId="0" xfId="0" applyFill="1"/>
    <xf numFmtId="0" fontId="5" fillId="44" borderId="0" xfId="0" applyFont="1" applyFill="1" applyBorder="1"/>
    <xf numFmtId="0" fontId="9" fillId="44" borderId="0" xfId="6" applyFont="1" applyFill="1" applyBorder="1" applyAlignment="1">
      <alignment horizontal="center" vertical="center"/>
    </xf>
    <xf numFmtId="0" fontId="6" fillId="44" borderId="0" xfId="6" applyFont="1" applyFill="1" applyAlignment="1">
      <alignment vertical="center"/>
    </xf>
    <xf numFmtId="0" fontId="54" fillId="41" borderId="4" xfId="0" applyFont="1" applyFill="1" applyBorder="1"/>
    <xf numFmtId="0" fontId="54" fillId="41" borderId="39" xfId="0" applyFont="1" applyFill="1" applyBorder="1"/>
    <xf numFmtId="0" fontId="54" fillId="41" borderId="51" xfId="0" applyFont="1" applyFill="1" applyBorder="1"/>
    <xf numFmtId="0" fontId="54" fillId="41" borderId="17" xfId="0" applyFont="1" applyFill="1" applyBorder="1"/>
    <xf numFmtId="15" fontId="2" fillId="0" borderId="3" xfId="0" applyNumberFormat="1" applyFont="1" applyFill="1" applyBorder="1"/>
    <xf numFmtId="9" fontId="12" fillId="0" borderId="1" xfId="0" applyNumberFormat="1" applyFont="1" applyFill="1" applyBorder="1"/>
    <xf numFmtId="49" fontId="0" fillId="0" borderId="2" xfId="0" applyNumberFormat="1" applyFont="1" applyFill="1" applyBorder="1"/>
    <xf numFmtId="15" fontId="12" fillId="0" borderId="3" xfId="0" applyNumberFormat="1" applyFont="1" applyFill="1" applyBorder="1"/>
    <xf numFmtId="15" fontId="0" fillId="0" borderId="3" xfId="0" applyNumberFormat="1" applyFont="1" applyFill="1" applyBorder="1"/>
    <xf numFmtId="0" fontId="0" fillId="0" borderId="2" xfId="0" applyNumberFormat="1" applyFont="1" applyFill="1" applyBorder="1"/>
    <xf numFmtId="0" fontId="0" fillId="35" borderId="1" xfId="0" applyFont="1" applyFill="1" applyBorder="1"/>
    <xf numFmtId="9" fontId="0" fillId="0" borderId="1" xfId="0" applyNumberFormat="1" applyFont="1" applyFill="1" applyBorder="1"/>
    <xf numFmtId="15" fontId="0" fillId="0" borderId="25" xfId="0" applyNumberFormat="1" applyFont="1" applyFill="1" applyBorder="1"/>
    <xf numFmtId="15" fontId="12" fillId="3" borderId="17" xfId="0" applyNumberFormat="1" applyFont="1" applyFill="1" applyBorder="1" applyAlignment="1"/>
    <xf numFmtId="0" fontId="12" fillId="3" borderId="9" xfId="0" applyFont="1" applyFill="1" applyBorder="1" applyAlignment="1"/>
    <xf numFmtId="0" fontId="12" fillId="3" borderId="9" xfId="0" applyFont="1" applyFill="1" applyBorder="1" applyAlignment="1">
      <alignment wrapText="1"/>
    </xf>
    <xf numFmtId="0" fontId="12" fillId="11" borderId="9" xfId="0" applyFont="1" applyFill="1" applyBorder="1" applyAlignment="1">
      <alignment wrapText="1"/>
    </xf>
    <xf numFmtId="0" fontId="12" fillId="7" borderId="9" xfId="0" applyFont="1" applyFill="1" applyBorder="1" applyAlignment="1">
      <alignment wrapText="1"/>
    </xf>
    <xf numFmtId="0" fontId="12" fillId="12" borderId="9" xfId="0" applyFont="1" applyFill="1" applyBorder="1" applyAlignment="1">
      <alignment wrapText="1"/>
    </xf>
    <xf numFmtId="0" fontId="12" fillId="20" borderId="9" xfId="0" applyFont="1" applyFill="1" applyBorder="1" applyAlignment="1">
      <alignment wrapText="1"/>
    </xf>
    <xf numFmtId="0" fontId="12" fillId="17" borderId="9" xfId="0" applyFont="1" applyFill="1" applyBorder="1" applyAlignment="1">
      <alignment wrapText="1"/>
    </xf>
    <xf numFmtId="0" fontId="12" fillId="0" borderId="9" xfId="0" applyFont="1" applyFill="1" applyBorder="1" applyAlignment="1"/>
    <xf numFmtId="0" fontId="0" fillId="0" borderId="9" xfId="0" applyFill="1" applyBorder="1" applyAlignment="1"/>
    <xf numFmtId="0" fontId="12" fillId="12" borderId="23" xfId="0" applyFont="1" applyFill="1" applyBorder="1" applyAlignment="1">
      <alignment wrapText="1"/>
    </xf>
    <xf numFmtId="0" fontId="3" fillId="11" borderId="9" xfId="0" applyFont="1" applyFill="1" applyBorder="1"/>
    <xf numFmtId="165" fontId="3" fillId="11" borderId="9" xfId="7" applyNumberFormat="1" applyFont="1" applyFill="1" applyBorder="1"/>
    <xf numFmtId="165" fontId="3" fillId="2" borderId="9" xfId="7" applyNumberFormat="1" applyFont="1" applyFill="1" applyBorder="1"/>
    <xf numFmtId="1" fontId="3" fillId="7" borderId="9" xfId="0" applyNumberFormat="1" applyFont="1" applyFill="1" applyBorder="1"/>
    <xf numFmtId="165" fontId="3" fillId="7" borderId="9" xfId="7" applyNumberFormat="1" applyFont="1" applyFill="1" applyBorder="1"/>
    <xf numFmtId="3" fontId="0" fillId="7" borderId="1" xfId="0" applyNumberFormat="1" applyFill="1" applyBorder="1"/>
    <xf numFmtId="9" fontId="0" fillId="7" borderId="1" xfId="8" applyFont="1" applyFill="1" applyBorder="1"/>
    <xf numFmtId="165" fontId="0" fillId="7" borderId="1" xfId="7" applyNumberFormat="1" applyFont="1" applyFill="1" applyBorder="1"/>
    <xf numFmtId="0" fontId="0" fillId="0" borderId="1" xfId="0" applyBorder="1" applyAlignment="1">
      <alignment horizontal="left"/>
    </xf>
    <xf numFmtId="0" fontId="0" fillId="0" borderId="1" xfId="0" pivotButton="1" applyBorder="1"/>
    <xf numFmtId="0" fontId="0" fillId="0" borderId="1" xfId="0" applyNumberFormat="1" applyBorder="1"/>
    <xf numFmtId="0" fontId="9" fillId="41" borderId="51" xfId="6" applyFont="1" applyFill="1" applyBorder="1" applyAlignment="1">
      <alignment horizontal="center" vertical="center"/>
    </xf>
    <xf numFmtId="165" fontId="0" fillId="0" borderId="1" xfId="0" applyNumberFormat="1" applyBorder="1"/>
    <xf numFmtId="0" fontId="0" fillId="0" borderId="5" xfId="0" applyBorder="1"/>
    <xf numFmtId="0" fontId="0" fillId="0" borderId="11" xfId="0" applyBorder="1"/>
    <xf numFmtId="0" fontId="0" fillId="0" borderId="9" xfId="0" applyBorder="1"/>
    <xf numFmtId="9" fontId="0" fillId="0" borderId="25" xfId="0" applyNumberFormat="1" applyBorder="1"/>
    <xf numFmtId="9" fontId="0" fillId="0" borderId="39" xfId="0" applyNumberFormat="1" applyBorder="1"/>
    <xf numFmtId="0" fontId="0" fillId="0" borderId="5" xfId="0" pivotButton="1" applyBorder="1"/>
    <xf numFmtId="165" fontId="0" fillId="0" borderId="5" xfId="0" applyNumberFormat="1" applyBorder="1"/>
    <xf numFmtId="0" fontId="4" fillId="3" borderId="1" xfId="0" quotePrefix="1" applyFont="1" applyFill="1" applyBorder="1" applyAlignment="1">
      <alignment horizontal="center" vertical="center" wrapText="1"/>
    </xf>
    <xf numFmtId="0" fontId="4" fillId="28" borderId="1" xfId="0" quotePrefix="1" applyFont="1" applyFill="1" applyBorder="1" applyAlignment="1">
      <alignment horizontal="center" vertical="center" wrapText="1"/>
    </xf>
    <xf numFmtId="1" fontId="31" fillId="0" borderId="1" xfId="0" applyNumberFormat="1" applyFont="1" applyFill="1" applyBorder="1" applyAlignment="1">
      <alignment horizontal="center" vertical="center"/>
    </xf>
    <xf numFmtId="49" fontId="31" fillId="0" borderId="1" xfId="0" applyNumberFormat="1" applyFont="1" applyFill="1" applyBorder="1" applyAlignment="1">
      <alignment horizontal="left" vertical="center"/>
    </xf>
    <xf numFmtId="49" fontId="31" fillId="0" borderId="1" xfId="0" applyNumberFormat="1" applyFont="1" applyFill="1" applyBorder="1" applyAlignment="1">
      <alignment horizontal="center" vertical="center"/>
    </xf>
    <xf numFmtId="0" fontId="31" fillId="0" borderId="1" xfId="0" applyFont="1" applyFill="1" applyBorder="1" applyAlignment="1">
      <alignment horizontal="center" vertical="center"/>
    </xf>
    <xf numFmtId="9" fontId="31"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31" fillId="0" borderId="1" xfId="0" applyNumberFormat="1" applyFont="1" applyFill="1" applyBorder="1" applyAlignment="1">
      <alignment horizontal="left" vertical="center" wrapText="1"/>
    </xf>
    <xf numFmtId="9" fontId="31" fillId="0" borderId="1" xfId="8" applyFont="1" applyFill="1" applyBorder="1" applyAlignment="1">
      <alignment horizontal="center" vertical="center"/>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49" fontId="60" fillId="0" borderId="1" xfId="0" applyNumberFormat="1" applyFont="1" applyFill="1" applyBorder="1" applyAlignment="1">
      <alignment horizontal="center" vertical="center"/>
    </xf>
    <xf numFmtId="9" fontId="60" fillId="0" borderId="1" xfId="0" applyNumberFormat="1" applyFont="1" applyFill="1" applyBorder="1" applyAlignment="1">
      <alignment horizontal="center" vertical="center"/>
    </xf>
    <xf numFmtId="49" fontId="61" fillId="0" borderId="1" xfId="0" applyNumberFormat="1" applyFont="1" applyFill="1" applyBorder="1" applyAlignment="1">
      <alignment horizontal="center" vertical="center"/>
    </xf>
    <xf numFmtId="9" fontId="61" fillId="0" borderId="1" xfId="0" applyNumberFormat="1" applyFont="1" applyFill="1" applyBorder="1" applyAlignment="1">
      <alignment horizontal="center" vertical="center"/>
    </xf>
    <xf numFmtId="49" fontId="62" fillId="0" borderId="1" xfId="0" applyNumberFormat="1" applyFont="1" applyFill="1" applyBorder="1" applyAlignment="1">
      <alignment horizontal="center" vertical="center"/>
    </xf>
    <xf numFmtId="9" fontId="62" fillId="0" borderId="1" xfId="0" applyNumberFormat="1" applyFont="1" applyFill="1" applyBorder="1" applyAlignment="1">
      <alignment horizontal="center" vertical="center"/>
    </xf>
    <xf numFmtId="49" fontId="63" fillId="0" borderId="1" xfId="0" applyNumberFormat="1" applyFont="1" applyFill="1" applyBorder="1" applyAlignment="1">
      <alignment horizontal="center" vertical="center"/>
    </xf>
    <xf numFmtId="1" fontId="31" fillId="0" borderId="3" xfId="0" applyNumberFormat="1" applyFont="1" applyFill="1" applyBorder="1" applyAlignment="1">
      <alignment horizontal="center" vertical="center"/>
    </xf>
    <xf numFmtId="0" fontId="10" fillId="41" borderId="4" xfId="6" applyFont="1" applyFill="1" applyBorder="1" applyAlignment="1">
      <alignment vertical="center"/>
    </xf>
    <xf numFmtId="0" fontId="5" fillId="41" borderId="51" xfId="0" applyFont="1" applyFill="1" applyBorder="1"/>
    <xf numFmtId="0" fontId="0" fillId="0" borderId="29" xfId="0" applyBorder="1" applyAlignment="1">
      <alignment vertical="center" wrapText="1"/>
    </xf>
    <xf numFmtId="0" fontId="0" fillId="0" borderId="27"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1" xfId="0" quotePrefix="1" applyBorder="1"/>
    <xf numFmtId="0" fontId="0" fillId="0" borderId="19" xfId="0" applyBorder="1"/>
    <xf numFmtId="165" fontId="0" fillId="0" borderId="20" xfId="7" quotePrefix="1" applyNumberFormat="1" applyFont="1" applyBorder="1"/>
    <xf numFmtId="1" fontId="3" fillId="11" borderId="21" xfId="0" applyNumberFormat="1" applyFont="1" applyFill="1" applyBorder="1"/>
    <xf numFmtId="0" fontId="0" fillId="0" borderId="1" xfId="0" pivotButton="1" applyBorder="1" applyAlignment="1">
      <alignment wrapText="1"/>
    </xf>
    <xf numFmtId="0" fontId="0" fillId="0" borderId="1" xfId="0" applyBorder="1" applyAlignment="1">
      <alignment wrapText="1"/>
    </xf>
    <xf numFmtId="0" fontId="0" fillId="0" borderId="1" xfId="0" applyNumberFormat="1" applyBorder="1" applyAlignment="1">
      <alignment horizontal="center" vertical="center"/>
    </xf>
    <xf numFmtId="0" fontId="0" fillId="0" borderId="2" xfId="0" applyNumberFormat="1" applyBorder="1"/>
    <xf numFmtId="0" fontId="0" fillId="0" borderId="5" xfId="0" applyNumberFormat="1" applyBorder="1"/>
    <xf numFmtId="0" fontId="0" fillId="0" borderId="5" xfId="0" applyNumberFormat="1" applyBorder="1" applyAlignment="1">
      <alignment horizontal="center" vertical="center"/>
    </xf>
    <xf numFmtId="0" fontId="0" fillId="0" borderId="18" xfId="0" applyNumberFormat="1" applyBorder="1"/>
    <xf numFmtId="0" fontId="0" fillId="0" borderId="17" xfId="0" applyBorder="1" applyAlignment="1">
      <alignment wrapText="1"/>
    </xf>
    <xf numFmtId="0" fontId="0" fillId="0" borderId="9" xfId="0" applyBorder="1" applyAlignment="1">
      <alignment wrapText="1"/>
    </xf>
    <xf numFmtId="0" fontId="0" fillId="0" borderId="9" xfId="0" applyBorder="1" applyAlignment="1">
      <alignment horizontal="center" vertical="center" wrapText="1"/>
    </xf>
    <xf numFmtId="0" fontId="0" fillId="0" borderId="23" xfId="0" applyBorder="1" applyAlignment="1">
      <alignment wrapText="1"/>
    </xf>
    <xf numFmtId="0" fontId="12" fillId="10" borderId="15" xfId="0" applyFont="1" applyFill="1" applyBorder="1"/>
    <xf numFmtId="0" fontId="10" fillId="10" borderId="0" xfId="0" applyFont="1" applyFill="1" applyBorder="1"/>
    <xf numFmtId="0" fontId="12" fillId="10" borderId="0" xfId="0" applyFont="1" applyFill="1" applyBorder="1"/>
    <xf numFmtId="0" fontId="67" fillId="10" borderId="0" xfId="0" applyFont="1" applyFill="1" applyBorder="1" applyAlignment="1"/>
    <xf numFmtId="0" fontId="12" fillId="10" borderId="16" xfId="0" applyFont="1" applyFill="1" applyBorder="1"/>
    <xf numFmtId="0" fontId="21" fillId="10" borderId="0" xfId="0" applyFont="1" applyFill="1" applyBorder="1" applyAlignment="1"/>
    <xf numFmtId="0" fontId="38" fillId="23" borderId="1" xfId="0" applyFont="1" applyFill="1" applyBorder="1" applyAlignment="1">
      <alignment horizontal="center" vertical="top" wrapText="1"/>
    </xf>
    <xf numFmtId="9" fontId="38" fillId="23" borderId="1" xfId="8" applyFont="1" applyFill="1" applyBorder="1" applyAlignment="1">
      <alignment horizontal="right" vertical="center" wrapText="1"/>
    </xf>
    <xf numFmtId="165" fontId="0" fillId="0" borderId="2" xfId="0" applyNumberFormat="1" applyBorder="1"/>
    <xf numFmtId="165" fontId="0" fillId="0" borderId="18" xfId="0" applyNumberFormat="1" applyBorder="1"/>
    <xf numFmtId="0" fontId="0" fillId="10" borderId="12" xfId="0" applyFill="1" applyBorder="1"/>
    <xf numFmtId="0" fontId="0" fillId="10" borderId="13" xfId="0" applyFill="1" applyBorder="1"/>
    <xf numFmtId="0" fontId="0" fillId="10" borderId="14" xfId="0" applyFill="1" applyBorder="1"/>
    <xf numFmtId="1" fontId="31" fillId="0" borderId="25" xfId="0" applyNumberFormat="1" applyFont="1" applyFill="1" applyBorder="1" applyAlignment="1">
      <alignment horizontal="center" vertical="center"/>
    </xf>
    <xf numFmtId="0" fontId="31" fillId="0" borderId="5" xfId="0" applyFont="1" applyFill="1" applyBorder="1" applyAlignment="1">
      <alignment horizontal="center" vertical="center"/>
    </xf>
    <xf numFmtId="0" fontId="31" fillId="0" borderId="5" xfId="0" applyNumberFormat="1" applyFont="1" applyFill="1" applyBorder="1" applyAlignment="1">
      <alignment horizontal="center" vertical="center"/>
    </xf>
    <xf numFmtId="9" fontId="31" fillId="0" borderId="5" xfId="0" applyNumberFormat="1" applyFont="1" applyFill="1" applyBorder="1" applyAlignment="1">
      <alignment horizontal="center" vertical="center"/>
    </xf>
    <xf numFmtId="0" fontId="22" fillId="0" borderId="3" xfId="12" applyFont="1" applyFill="1" applyBorder="1" applyAlignment="1">
      <alignment vertical="center" wrapText="1"/>
    </xf>
    <xf numFmtId="0" fontId="5" fillId="0" borderId="1" xfId="0" applyFont="1" applyFill="1" applyBorder="1" applyAlignment="1">
      <alignment vertical="center"/>
    </xf>
    <xf numFmtId="0" fontId="0" fillId="0" borderId="0" xfId="0"/>
    <xf numFmtId="0" fontId="0" fillId="0" borderId="0" xfId="0" applyBorder="1"/>
    <xf numFmtId="0" fontId="0" fillId="0" borderId="0" xfId="0" applyNumberFormat="1"/>
    <xf numFmtId="0" fontId="0" fillId="10" borderId="0" xfId="0" applyFill="1"/>
    <xf numFmtId="0" fontId="0" fillId="10" borderId="0" xfId="0" applyFill="1" applyAlignment="1">
      <alignment horizontal="left"/>
    </xf>
    <xf numFmtId="0" fontId="0" fillId="10" borderId="0" xfId="0" applyNumberFormat="1" applyFill="1"/>
    <xf numFmtId="0" fontId="0" fillId="11" borderId="0" xfId="0" applyFill="1"/>
    <xf numFmtId="0" fontId="0" fillId="0" borderId="0" xfId="0" applyFill="1" applyBorder="1"/>
    <xf numFmtId="0" fontId="0" fillId="0" borderId="0" xfId="0" pivotButton="1"/>
    <xf numFmtId="0" fontId="0" fillId="0" borderId="0" xfId="0" applyNumberFormat="1" applyBorder="1"/>
    <xf numFmtId="0" fontId="0" fillId="10" borderId="0" xfId="0" applyFill="1" applyAlignment="1">
      <alignment horizontal="left" indent="1"/>
    </xf>
    <xf numFmtId="0" fontId="0" fillId="0" borderId="1" xfId="0" applyFill="1" applyBorder="1" applyAlignment="1">
      <alignment vertical="center"/>
    </xf>
    <xf numFmtId="0" fontId="22" fillId="0" borderId="1" xfId="12" applyNumberFormat="1" applyFont="1" applyFill="1" applyBorder="1" applyAlignment="1">
      <alignment horizontal="right" vertical="center"/>
    </xf>
    <xf numFmtId="0" fontId="0" fillId="0" borderId="1" xfId="0" applyNumberFormat="1" applyFill="1" applyBorder="1" applyAlignment="1">
      <alignment vertical="center"/>
    </xf>
    <xf numFmtId="0" fontId="0" fillId="0" borderId="1" xfId="0" applyFill="1" applyBorder="1" applyAlignment="1">
      <alignment horizontal="right" vertical="center"/>
    </xf>
    <xf numFmtId="168" fontId="43" fillId="0" borderId="1" xfId="12" applyNumberFormat="1" applyFont="1" applyFill="1" applyBorder="1" applyAlignment="1">
      <alignment horizontal="right" vertical="center"/>
    </xf>
    <xf numFmtId="0" fontId="22" fillId="0" borderId="1" xfId="12" applyNumberFormat="1" applyFont="1" applyFill="1" applyBorder="1" applyAlignment="1">
      <alignment vertical="center"/>
    </xf>
    <xf numFmtId="0" fontId="0" fillId="41" borderId="0" xfId="0" applyFill="1" applyBorder="1"/>
    <xf numFmtId="49" fontId="43" fillId="0" borderId="1" xfId="12" applyNumberFormat="1" applyFont="1" applyFill="1" applyBorder="1" applyAlignment="1">
      <alignment horizontal="right" vertical="center"/>
    </xf>
    <xf numFmtId="49" fontId="44" fillId="0" borderId="1" xfId="12" applyNumberFormat="1" applyFont="1" applyFill="1" applyBorder="1" applyAlignment="1">
      <alignment horizontal="right" vertical="center"/>
    </xf>
    <xf numFmtId="49" fontId="46" fillId="0" borderId="1" xfId="12" applyNumberFormat="1" applyFont="1" applyFill="1" applyBorder="1" applyAlignment="1">
      <alignment horizontal="right" vertical="center"/>
    </xf>
    <xf numFmtId="49" fontId="47" fillId="0" borderId="1" xfId="0" applyNumberFormat="1" applyFont="1" applyFill="1" applyBorder="1" applyAlignment="1">
      <alignment horizontal="right" vertical="center"/>
    </xf>
    <xf numFmtId="49" fontId="22" fillId="0" borderId="1" xfId="12" applyNumberFormat="1" applyFont="1" applyFill="1" applyBorder="1" applyAlignment="1">
      <alignment horizontal="right" vertical="center"/>
    </xf>
    <xf numFmtId="49" fontId="5" fillId="0" borderId="1" xfId="0" applyNumberFormat="1" applyFont="1" applyFill="1" applyBorder="1" applyAlignment="1">
      <alignment horizontal="right" vertical="center"/>
    </xf>
    <xf numFmtId="49" fontId="45" fillId="0" borderId="1" xfId="12" applyNumberFormat="1" applyFont="1" applyFill="1" applyBorder="1" applyAlignment="1">
      <alignment horizontal="right" vertical="center"/>
    </xf>
    <xf numFmtId="49" fontId="48" fillId="0" borderId="1" xfId="0" applyNumberFormat="1" applyFont="1" applyFill="1" applyBorder="1" applyAlignment="1">
      <alignment horizontal="right" vertical="center"/>
    </xf>
    <xf numFmtId="49" fontId="22" fillId="0" borderId="1" xfId="12" applyNumberFormat="1" applyFont="1" applyFill="1" applyBorder="1" applyAlignment="1">
      <alignment vertical="center" wrapText="1"/>
    </xf>
    <xf numFmtId="49" fontId="0" fillId="0" borderId="1" xfId="0" applyNumberFormat="1" applyFill="1" applyBorder="1" applyAlignment="1">
      <alignment vertical="center" wrapText="1"/>
    </xf>
    <xf numFmtId="49" fontId="0" fillId="0" borderId="1" xfId="0" applyNumberFormat="1" applyFill="1" applyBorder="1" applyAlignment="1">
      <alignment horizontal="left" vertical="center"/>
    </xf>
    <xf numFmtId="49" fontId="22" fillId="0" borderId="1" xfId="12" applyNumberFormat="1" applyFont="1" applyFill="1" applyBorder="1" applyAlignment="1">
      <alignment horizontal="left" vertical="center"/>
    </xf>
    <xf numFmtId="49" fontId="0" fillId="0" borderId="1" xfId="0" applyNumberFormat="1" applyFill="1" applyBorder="1" applyAlignment="1">
      <alignment vertical="center"/>
    </xf>
    <xf numFmtId="49" fontId="0" fillId="0" borderId="1" xfId="0" applyNumberFormat="1" applyFill="1" applyBorder="1" applyAlignment="1">
      <alignment horizontal="left" vertical="center" wrapText="1"/>
    </xf>
    <xf numFmtId="49" fontId="20" fillId="0" borderId="1" xfId="12" applyNumberFormat="1" applyFont="1" applyFill="1" applyBorder="1" applyAlignment="1">
      <alignment vertical="center" wrapText="1"/>
    </xf>
    <xf numFmtId="49" fontId="12" fillId="0" borderId="1" xfId="0" applyNumberFormat="1" applyFont="1" applyFill="1" applyBorder="1" applyAlignment="1">
      <alignment horizontal="left" vertical="center"/>
    </xf>
    <xf numFmtId="1" fontId="22" fillId="0" borderId="1" xfId="12" applyNumberFormat="1" applyFont="1" applyFill="1" applyBorder="1" applyAlignment="1">
      <alignment horizontal="right" vertical="center"/>
    </xf>
    <xf numFmtId="1" fontId="0" fillId="0" borderId="1" xfId="0" applyNumberFormat="1" applyFill="1" applyBorder="1" applyAlignment="1">
      <alignment horizontal="right" vertical="center"/>
    </xf>
    <xf numFmtId="1" fontId="0" fillId="0" borderId="1" xfId="0" applyNumberFormat="1" applyFill="1" applyBorder="1" applyAlignment="1">
      <alignment vertical="center"/>
    </xf>
    <xf numFmtId="1" fontId="22" fillId="0" borderId="1" xfId="12" applyNumberFormat="1" applyFont="1" applyFill="1" applyBorder="1" applyAlignment="1">
      <alignment vertical="center"/>
    </xf>
    <xf numFmtId="0" fontId="0" fillId="0" borderId="1" xfId="0" applyFill="1" applyBorder="1" applyAlignment="1">
      <alignment horizontal="left" vertical="center"/>
    </xf>
    <xf numFmtId="0" fontId="0" fillId="41" borderId="50" xfId="0" applyFill="1" applyBorder="1"/>
    <xf numFmtId="0" fontId="0" fillId="41" borderId="25" xfId="0" applyFill="1" applyBorder="1"/>
    <xf numFmtId="0" fontId="0" fillId="41" borderId="39" xfId="0" applyFill="1" applyBorder="1"/>
    <xf numFmtId="165" fontId="0" fillId="0" borderId="0" xfId="0" applyNumberFormat="1" applyBorder="1"/>
    <xf numFmtId="3" fontId="0" fillId="0" borderId="0" xfId="0" applyNumberFormat="1" applyBorder="1"/>
    <xf numFmtId="0" fontId="0" fillId="0" borderId="29" xfId="0" pivotButton="1" applyBorder="1"/>
    <xf numFmtId="0" fontId="0" fillId="0" borderId="31" xfId="0" applyBorder="1"/>
    <xf numFmtId="0" fontId="0" fillId="0" borderId="12" xfId="0" pivotButton="1" applyBorder="1"/>
    <xf numFmtId="0" fontId="0" fillId="0" borderId="13" xfId="0" applyBorder="1" applyAlignment="1">
      <alignment horizontal="right" vertical="top" wrapText="1"/>
    </xf>
    <xf numFmtId="0" fontId="0" fillId="0" borderId="14" xfId="0" applyBorder="1" applyAlignment="1">
      <alignment horizontal="right" vertical="top" wrapText="1"/>
    </xf>
    <xf numFmtId="0" fontId="0" fillId="0" borderId="15" xfId="0" applyBorder="1" applyAlignment="1">
      <alignment horizontal="left"/>
    </xf>
    <xf numFmtId="165" fontId="0" fillId="0" borderId="16" xfId="0" applyNumberFormat="1" applyBorder="1"/>
    <xf numFmtId="0" fontId="0" fillId="0" borderId="54" xfId="0" applyBorder="1" applyAlignment="1">
      <alignment horizontal="left"/>
    </xf>
    <xf numFmtId="165" fontId="0" fillId="0" borderId="55" xfId="0" applyNumberFormat="1" applyBorder="1"/>
    <xf numFmtId="3" fontId="0" fillId="0" borderId="55" xfId="0" applyNumberFormat="1" applyBorder="1"/>
    <xf numFmtId="0" fontId="0" fillId="0" borderId="55" xfId="0" applyNumberFormat="1" applyBorder="1"/>
    <xf numFmtId="165" fontId="0" fillId="0" borderId="56" xfId="0" applyNumberFormat="1" applyBorder="1"/>
    <xf numFmtId="0" fontId="0" fillId="0" borderId="4" xfId="0" applyBorder="1"/>
    <xf numFmtId="0" fontId="0" fillId="0" borderId="39" xfId="0" applyBorder="1"/>
    <xf numFmtId="49" fontId="22" fillId="0" borderId="3" xfId="12" applyNumberFormat="1" applyFont="1" applyFill="1" applyBorder="1" applyAlignment="1">
      <alignment vertical="center" wrapText="1"/>
    </xf>
    <xf numFmtId="49" fontId="22" fillId="0" borderId="1" xfId="0" applyNumberFormat="1" applyFont="1" applyFill="1" applyBorder="1" applyAlignment="1">
      <alignment vertical="center" wrapText="1"/>
    </xf>
    <xf numFmtId="49" fontId="22" fillId="0" borderId="1" xfId="0" applyNumberFormat="1" applyFont="1" applyFill="1" applyBorder="1" applyAlignment="1">
      <alignment horizontal="right" vertical="center" wrapText="1"/>
    </xf>
    <xf numFmtId="0" fontId="22" fillId="0" borderId="1" xfId="15" applyFont="1" applyFill="1" applyBorder="1" applyAlignment="1">
      <alignment vertical="center"/>
    </xf>
    <xf numFmtId="0" fontId="0" fillId="0" borderId="1" xfId="0" applyNumberFormat="1" applyBorder="1" applyAlignment="1">
      <alignment horizontal="right" vertical="center"/>
    </xf>
    <xf numFmtId="2" fontId="5" fillId="0" borderId="1" xfId="0" applyNumberFormat="1" applyFont="1" applyFill="1" applyBorder="1" applyAlignment="1">
      <alignment vertical="center"/>
    </xf>
    <xf numFmtId="49" fontId="5" fillId="0" borderId="1" xfId="0" applyNumberFormat="1" applyFont="1" applyFill="1" applyBorder="1" applyAlignment="1">
      <alignment vertical="center"/>
    </xf>
    <xf numFmtId="49" fontId="0" fillId="0" borderId="1" xfId="0" applyNumberFormat="1" applyBorder="1" applyAlignment="1">
      <alignment vertical="center"/>
    </xf>
    <xf numFmtId="14" fontId="0" fillId="0" borderId="1" xfId="0" applyNumberFormat="1" applyBorder="1" applyAlignment="1" applyProtection="1">
      <alignment vertical="center"/>
    </xf>
    <xf numFmtId="1" fontId="0" fillId="0" borderId="1" xfId="0" applyNumberFormat="1" applyBorder="1" applyAlignment="1" applyProtection="1">
      <alignment vertical="center"/>
    </xf>
    <xf numFmtId="15" fontId="0" fillId="0" borderId="1" xfId="0" applyNumberFormat="1" applyFill="1" applyBorder="1" applyAlignment="1">
      <alignment vertical="center"/>
    </xf>
    <xf numFmtId="165" fontId="0" fillId="0" borderId="1" xfId="7" applyNumberFormat="1" applyFont="1" applyFill="1" applyBorder="1" applyAlignment="1">
      <alignment horizontal="left" vertical="center"/>
    </xf>
    <xf numFmtId="49" fontId="0" fillId="0" borderId="2" xfId="0" applyNumberFormat="1" applyFill="1" applyBorder="1" applyAlignment="1">
      <alignment horizontal="left" vertical="center"/>
    </xf>
    <xf numFmtId="0" fontId="1" fillId="0" borderId="1" xfId="15" applyFill="1" applyBorder="1" applyAlignment="1">
      <alignment vertical="center"/>
    </xf>
    <xf numFmtId="1" fontId="0" fillId="0" borderId="1" xfId="0" applyNumberFormat="1" applyBorder="1" applyAlignment="1">
      <alignment horizontal="right" vertical="center"/>
    </xf>
    <xf numFmtId="14" fontId="0" fillId="0" borderId="1" xfId="0" applyNumberFormat="1" applyBorder="1" applyAlignment="1">
      <alignment vertical="center"/>
    </xf>
    <xf numFmtId="1" fontId="0" fillId="0" borderId="1" xfId="0" applyNumberFormat="1" applyBorder="1" applyAlignment="1">
      <alignment vertical="center"/>
    </xf>
    <xf numFmtId="22" fontId="0" fillId="0" borderId="1" xfId="0" applyNumberFormat="1" applyFill="1" applyBorder="1" applyAlignment="1">
      <alignment vertical="center"/>
    </xf>
    <xf numFmtId="49" fontId="0" fillId="0" borderId="1" xfId="0" applyNumberFormat="1" applyFill="1" applyBorder="1" applyAlignment="1">
      <alignment horizontal="right" vertical="center"/>
    </xf>
    <xf numFmtId="49" fontId="12" fillId="0" borderId="1" xfId="0" applyNumberFormat="1" applyFont="1" applyFill="1" applyBorder="1" applyAlignment="1">
      <alignment vertical="center"/>
    </xf>
    <xf numFmtId="0" fontId="40" fillId="0" borderId="1" xfId="15" applyFont="1" applyFill="1" applyBorder="1" applyAlignment="1">
      <alignment vertical="center"/>
    </xf>
    <xf numFmtId="49" fontId="0" fillId="0" borderId="1" xfId="0" applyNumberFormat="1" applyFill="1" applyBorder="1" applyAlignment="1" applyProtection="1">
      <alignment horizontal="left" vertical="center"/>
      <protection locked="0"/>
    </xf>
    <xf numFmtId="14" fontId="0" fillId="0" borderId="1" xfId="0" applyNumberFormat="1" applyFill="1" applyBorder="1" applyAlignment="1">
      <alignment vertical="center"/>
    </xf>
    <xf numFmtId="22" fontId="0" fillId="0" borderId="1" xfId="0" applyNumberFormat="1" applyFill="1" applyBorder="1" applyAlignment="1">
      <alignment horizontal="left" vertical="center"/>
    </xf>
    <xf numFmtId="15" fontId="0" fillId="0" borderId="1" xfId="0" applyNumberFormat="1" applyFill="1" applyBorder="1" applyAlignment="1">
      <alignment vertical="center"/>
    </xf>
    <xf numFmtId="0" fontId="22" fillId="0" borderId="1" xfId="15" applyNumberFormat="1" applyFont="1" applyFill="1" applyBorder="1" applyAlignment="1">
      <alignment vertical="center"/>
    </xf>
    <xf numFmtId="49" fontId="5" fillId="0" borderId="1" xfId="0" applyNumberFormat="1" applyFont="1" applyFill="1" applyBorder="1" applyAlignment="1">
      <alignment horizontal="left" vertical="center"/>
    </xf>
    <xf numFmtId="49" fontId="22" fillId="0" borderId="1" xfId="0" applyNumberFormat="1" applyFont="1" applyFill="1" applyBorder="1" applyAlignment="1">
      <alignment vertical="center"/>
    </xf>
    <xf numFmtId="49" fontId="22" fillId="0" borderId="1" xfId="0" applyNumberFormat="1" applyFont="1" applyFill="1" applyBorder="1" applyAlignment="1">
      <alignment horizontal="right" vertical="center"/>
    </xf>
    <xf numFmtId="17" fontId="0" fillId="0" borderId="1" xfId="0" applyNumberFormat="1" applyFill="1" applyBorder="1" applyAlignment="1">
      <alignment vertical="center"/>
    </xf>
    <xf numFmtId="49" fontId="0" fillId="0" borderId="1" xfId="0" applyNumberFormat="1" applyFill="1" applyBorder="1" applyAlignment="1" applyProtection="1">
      <alignment vertical="center" wrapText="1"/>
      <protection locked="0"/>
    </xf>
    <xf numFmtId="49" fontId="0" fillId="0" borderId="1" xfId="0" applyNumberFormat="1" applyFill="1" applyBorder="1" applyAlignment="1" applyProtection="1">
      <alignment horizontal="right" vertical="center" wrapText="1"/>
      <protection locked="0"/>
    </xf>
    <xf numFmtId="49" fontId="0" fillId="0" borderId="1" xfId="0" applyNumberFormat="1" applyFill="1" applyBorder="1" applyAlignment="1" applyProtection="1">
      <alignment horizontal="right" vertical="center"/>
      <protection locked="0"/>
    </xf>
    <xf numFmtId="0" fontId="22" fillId="0" borderId="1" xfId="15" applyNumberFormat="1" applyFont="1" applyBorder="1" applyAlignment="1">
      <alignment vertical="center"/>
    </xf>
    <xf numFmtId="22" fontId="22" fillId="0" borderId="1" xfId="12" applyNumberFormat="1" applyFont="1" applyFill="1" applyBorder="1" applyAlignment="1">
      <alignment vertical="center" wrapText="1"/>
    </xf>
    <xf numFmtId="49" fontId="22" fillId="0" borderId="3" xfId="12" applyNumberFormat="1" applyFont="1" applyFill="1" applyBorder="1" applyAlignment="1">
      <alignment vertical="center"/>
    </xf>
    <xf numFmtId="0" fontId="1" fillId="43" borderId="1" xfId="15" applyFill="1" applyBorder="1" applyAlignment="1">
      <alignment vertical="center"/>
    </xf>
    <xf numFmtId="15" fontId="22" fillId="0" borderId="1" xfId="12" applyNumberFormat="1" applyFont="1" applyFill="1" applyBorder="1" applyAlignment="1">
      <alignment vertical="center" wrapText="1"/>
    </xf>
    <xf numFmtId="0" fontId="2" fillId="0" borderId="1" xfId="4" applyBorder="1" applyAlignment="1">
      <alignment vertical="center"/>
    </xf>
    <xf numFmtId="49" fontId="22" fillId="0" borderId="1" xfId="0" applyNumberFormat="1" applyFont="1" applyFill="1" applyBorder="1" applyAlignment="1">
      <alignment horizontal="left" vertical="center"/>
    </xf>
    <xf numFmtId="14" fontId="0" fillId="0" borderId="1" xfId="0" applyNumberFormat="1" applyFill="1" applyBorder="1" applyAlignment="1" applyProtection="1">
      <alignment vertical="center"/>
    </xf>
    <xf numFmtId="0" fontId="0" fillId="43" borderId="1" xfId="0" applyFill="1" applyBorder="1" applyAlignment="1">
      <alignment vertical="center"/>
    </xf>
    <xf numFmtId="1" fontId="0" fillId="0" borderId="1" xfId="0" applyNumberFormat="1" applyFill="1" applyBorder="1" applyAlignment="1" applyProtection="1">
      <alignment vertical="center"/>
    </xf>
    <xf numFmtId="0" fontId="0" fillId="0" borderId="1" xfId="0" applyNumberFormat="1" applyFill="1" applyBorder="1" applyAlignment="1">
      <alignment horizontal="left" vertical="center"/>
    </xf>
    <xf numFmtId="0" fontId="5" fillId="0" borderId="1" xfId="0" applyFont="1" applyFill="1" applyBorder="1" applyAlignment="1">
      <alignment horizontal="left" vertical="center"/>
    </xf>
    <xf numFmtId="0" fontId="0" fillId="0" borderId="2" xfId="0" applyNumberFormat="1" applyFill="1" applyBorder="1" applyAlignment="1">
      <alignment horizontal="left" vertical="center"/>
    </xf>
    <xf numFmtId="49" fontId="22" fillId="0" borderId="1" xfId="18" applyNumberFormat="1" applyFont="1" applyFill="1" applyBorder="1" applyAlignment="1"/>
    <xf numFmtId="49" fontId="0" fillId="0" borderId="5" xfId="0" applyNumberFormat="1" applyFill="1" applyBorder="1" applyAlignment="1">
      <alignment horizontal="left" vertical="center"/>
    </xf>
    <xf numFmtId="2" fontId="5" fillId="0" borderId="5" xfId="0" applyNumberFormat="1" applyFont="1" applyFill="1" applyBorder="1" applyAlignment="1">
      <alignment vertical="center"/>
    </xf>
    <xf numFmtId="49" fontId="0" fillId="0" borderId="5" xfId="0" applyNumberFormat="1" applyBorder="1" applyAlignment="1">
      <alignment vertical="center"/>
    </xf>
    <xf numFmtId="49" fontId="0" fillId="0" borderId="5" xfId="0" applyNumberFormat="1" applyFill="1" applyBorder="1" applyAlignment="1">
      <alignment vertical="center"/>
    </xf>
    <xf numFmtId="0" fontId="0" fillId="0" borderId="5" xfId="0" applyFill="1" applyBorder="1" applyAlignment="1">
      <alignment horizontal="left" vertical="center"/>
    </xf>
    <xf numFmtId="165" fontId="0" fillId="0" borderId="5" xfId="7" applyNumberFormat="1" applyFont="1" applyFill="1" applyBorder="1" applyAlignment="1">
      <alignment horizontal="left" vertical="center"/>
    </xf>
    <xf numFmtId="49" fontId="0" fillId="0" borderId="18" xfId="0" applyNumberFormat="1" applyFill="1" applyBorder="1" applyAlignment="1">
      <alignment horizontal="left" vertical="center"/>
    </xf>
    <xf numFmtId="0" fontId="0" fillId="0" borderId="50" xfId="0" applyBorder="1"/>
    <xf numFmtId="0" fontId="0" fillId="0" borderId="25" xfId="0" applyBorder="1"/>
    <xf numFmtId="0" fontId="0" fillId="10" borderId="25" xfId="0" applyFill="1" applyBorder="1"/>
    <xf numFmtId="0" fontId="0" fillId="10" borderId="18" xfId="0" applyFill="1" applyBorder="1"/>
    <xf numFmtId="0" fontId="0" fillId="11" borderId="50" xfId="0" applyFill="1" applyBorder="1"/>
    <xf numFmtId="165" fontId="0" fillId="10" borderId="4" xfId="0" applyNumberFormat="1" applyFill="1" applyBorder="1" applyAlignment="1">
      <alignment horizontal="left"/>
    </xf>
    <xf numFmtId="165" fontId="0" fillId="10" borderId="0" xfId="0" applyNumberFormat="1" applyFill="1" applyBorder="1"/>
    <xf numFmtId="165" fontId="0" fillId="10" borderId="39" xfId="0" applyNumberFormat="1" applyFill="1" applyBorder="1"/>
    <xf numFmtId="0" fontId="0" fillId="10" borderId="4" xfId="0" applyFill="1" applyBorder="1" applyAlignment="1">
      <alignment horizontal="left" indent="1"/>
    </xf>
    <xf numFmtId="165" fontId="0" fillId="11" borderId="23" xfId="0" applyNumberFormat="1" applyFill="1" applyBorder="1" applyAlignment="1">
      <alignment horizontal="left"/>
    </xf>
    <xf numFmtId="165" fontId="0" fillId="11" borderId="51" xfId="0" applyNumberFormat="1" applyFill="1" applyBorder="1"/>
    <xf numFmtId="0" fontId="0" fillId="0" borderId="2" xfId="0" pivotButton="1" applyBorder="1"/>
    <xf numFmtId="0" fontId="0" fillId="0" borderId="3" xfId="0" applyBorder="1"/>
    <xf numFmtId="0" fontId="0" fillId="41" borderId="18" xfId="0" applyFill="1" applyBorder="1"/>
    <xf numFmtId="0" fontId="0" fillId="41" borderId="4" xfId="0" applyFill="1" applyBorder="1"/>
    <xf numFmtId="0" fontId="0" fillId="41" borderId="4" xfId="0" applyFill="1" applyBorder="1" applyAlignment="1">
      <alignment horizontal="left"/>
    </xf>
    <xf numFmtId="0" fontId="0" fillId="41" borderId="23" xfId="0" applyFill="1" applyBorder="1" applyAlignment="1">
      <alignment horizontal="left"/>
    </xf>
    <xf numFmtId="3" fontId="0" fillId="41" borderId="51" xfId="0" applyNumberFormat="1" applyFill="1" applyBorder="1"/>
    <xf numFmtId="3" fontId="0" fillId="41" borderId="17" xfId="0" applyNumberFormat="1" applyFill="1" applyBorder="1"/>
    <xf numFmtId="0" fontId="0" fillId="41" borderId="3" xfId="0" applyFill="1" applyBorder="1"/>
    <xf numFmtId="165" fontId="0" fillId="41" borderId="0" xfId="0" applyNumberFormat="1" applyFill="1" applyBorder="1"/>
    <xf numFmtId="165" fontId="0" fillId="44" borderId="4" xfId="0" applyNumberFormat="1" applyFill="1" applyBorder="1" applyAlignment="1">
      <alignment horizontal="left"/>
    </xf>
    <xf numFmtId="165" fontId="0" fillId="44" borderId="0" xfId="0" applyNumberFormat="1" applyFill="1" applyBorder="1"/>
    <xf numFmtId="165" fontId="0" fillId="44" borderId="39" xfId="0" applyNumberFormat="1" applyFill="1" applyBorder="1"/>
    <xf numFmtId="0" fontId="0" fillId="44" borderId="4" xfId="0" applyFill="1" applyBorder="1" applyAlignment="1">
      <alignment horizontal="left"/>
    </xf>
    <xf numFmtId="3" fontId="0" fillId="44" borderId="0" xfId="0" applyNumberFormat="1" applyFill="1" applyBorder="1"/>
    <xf numFmtId="3" fontId="0" fillId="44" borderId="39" xfId="0" applyNumberFormat="1" applyFill="1" applyBorder="1"/>
    <xf numFmtId="0" fontId="0" fillId="41" borderId="2" xfId="0" applyFill="1" applyBorder="1"/>
    <xf numFmtId="10" fontId="0" fillId="41" borderId="39" xfId="0" applyNumberFormat="1" applyFill="1" applyBorder="1"/>
    <xf numFmtId="10" fontId="0" fillId="10" borderId="39" xfId="0" applyNumberFormat="1" applyFill="1" applyBorder="1"/>
    <xf numFmtId="0" fontId="0" fillId="10" borderId="4" xfId="0" applyFill="1" applyBorder="1" applyAlignment="1">
      <alignment horizontal="left" indent="2"/>
    </xf>
    <xf numFmtId="9" fontId="0" fillId="10" borderId="39" xfId="0" applyNumberFormat="1" applyFill="1" applyBorder="1"/>
    <xf numFmtId="0" fontId="0" fillId="10" borderId="4" xfId="0" applyFill="1" applyBorder="1" applyAlignment="1">
      <alignment horizontal="left"/>
    </xf>
    <xf numFmtId="9" fontId="0" fillId="11" borderId="17" xfId="0" applyNumberFormat="1" applyFill="1" applyBorder="1"/>
    <xf numFmtId="0" fontId="0" fillId="0" borderId="18" xfId="0" pivotButton="1" applyBorder="1"/>
    <xf numFmtId="0" fontId="0" fillId="0" borderId="50" xfId="0" pivotButton="1" applyBorder="1"/>
    <xf numFmtId="0" fontId="0" fillId="0" borderId="4" xfId="0" pivotButton="1" applyBorder="1"/>
    <xf numFmtId="0" fontId="0" fillId="0" borderId="4" xfId="0" applyBorder="1" applyAlignment="1">
      <alignment horizontal="left"/>
    </xf>
    <xf numFmtId="165" fontId="0" fillId="0" borderId="39" xfId="0" applyNumberFormat="1" applyBorder="1"/>
    <xf numFmtId="0" fontId="0" fillId="0" borderId="23" xfId="0" applyBorder="1" applyAlignment="1">
      <alignment horizontal="left"/>
    </xf>
    <xf numFmtId="165" fontId="0" fillId="0" borderId="51" xfId="0" applyNumberFormat="1" applyBorder="1"/>
    <xf numFmtId="165" fontId="0" fillId="0" borderId="17" xfId="0" applyNumberFormat="1" applyBorder="1"/>
    <xf numFmtId="0" fontId="0" fillId="0" borderId="18" xfId="0" pivotButton="1" applyBorder="1" applyAlignment="1">
      <alignment horizontal="center" vertical="center" wrapText="1"/>
    </xf>
    <xf numFmtId="0" fontId="0" fillId="0" borderId="50" xfId="0" pivotButton="1" applyBorder="1" applyAlignment="1">
      <alignment horizontal="center" vertical="center" wrapText="1"/>
    </xf>
    <xf numFmtId="0" fontId="0" fillId="0" borderId="50" xfId="0" pivotButton="1" applyBorder="1" applyAlignment="1">
      <alignment vertical="center"/>
    </xf>
    <xf numFmtId="165" fontId="0" fillId="0" borderId="50" xfId="0" applyNumberFormat="1" applyBorder="1" applyAlignment="1">
      <alignment horizontal="center" vertical="center" wrapText="1"/>
    </xf>
    <xf numFmtId="0" fontId="75" fillId="36" borderId="23" xfId="0" applyFont="1" applyFill="1" applyBorder="1"/>
    <xf numFmtId="0" fontId="75" fillId="36" borderId="51" xfId="0" applyFont="1" applyFill="1" applyBorder="1"/>
    <xf numFmtId="165" fontId="75" fillId="36" borderId="51" xfId="0" applyNumberFormat="1" applyFont="1" applyFill="1" applyBorder="1"/>
    <xf numFmtId="165" fontId="75" fillId="36" borderId="17" xfId="0" applyNumberFormat="1" applyFont="1" applyFill="1" applyBorder="1"/>
    <xf numFmtId="165" fontId="0" fillId="0" borderId="1" xfId="0" applyNumberFormat="1" applyBorder="1"/>
    <xf numFmtId="0" fontId="0" fillId="0" borderId="5" xfId="0" applyBorder="1"/>
    <xf numFmtId="170" fontId="0" fillId="0" borderId="0" xfId="0" applyNumberFormat="1" applyBorder="1"/>
    <xf numFmtId="0" fontId="0" fillId="35" borderId="4" xfId="0" applyFill="1" applyBorder="1" applyAlignment="1">
      <alignment horizontal="left" indent="2"/>
    </xf>
    <xf numFmtId="165" fontId="0" fillId="35" borderId="0" xfId="0" applyNumberFormat="1" applyFill="1" applyBorder="1"/>
    <xf numFmtId="0" fontId="0" fillId="0" borderId="4" xfId="0" applyBorder="1" applyAlignment="1">
      <alignment horizontal="left" indent="2"/>
    </xf>
    <xf numFmtId="170" fontId="0" fillId="0" borderId="51" xfId="0" applyNumberFormat="1" applyBorder="1"/>
    <xf numFmtId="170" fontId="0" fillId="0" borderId="50" xfId="0" applyNumberFormat="1" applyBorder="1"/>
    <xf numFmtId="0" fontId="0" fillId="0" borderId="23" xfId="0" applyBorder="1" applyAlignment="1">
      <alignment horizontal="left" indent="2"/>
    </xf>
    <xf numFmtId="165" fontId="0" fillId="0" borderId="5" xfId="0" applyNumberFormat="1" applyBorder="1"/>
    <xf numFmtId="165" fontId="0" fillId="0" borderId="11" xfId="0" applyNumberFormat="1" applyBorder="1"/>
    <xf numFmtId="165" fontId="0" fillId="0" borderId="9" xfId="0" applyNumberFormat="1" applyBorder="1"/>
    <xf numFmtId="170" fontId="0" fillId="0" borderId="5" xfId="0" applyNumberFormat="1" applyBorder="1"/>
    <xf numFmtId="170" fontId="0" fillId="0" borderId="11" xfId="0" applyNumberFormat="1" applyBorder="1"/>
    <xf numFmtId="170" fontId="0" fillId="0" borderId="9" xfId="0" applyNumberFormat="1" applyBorder="1"/>
    <xf numFmtId="0" fontId="0" fillId="41" borderId="1" xfId="0" applyFill="1" applyBorder="1"/>
    <xf numFmtId="165" fontId="0" fillId="41" borderId="1" xfId="0" applyNumberFormat="1" applyFill="1" applyBorder="1"/>
    <xf numFmtId="165" fontId="0" fillId="0" borderId="8" xfId="0" applyNumberFormat="1" applyBorder="1"/>
    <xf numFmtId="170" fontId="0" fillId="0" borderId="8" xfId="0" applyNumberFormat="1" applyBorder="1"/>
    <xf numFmtId="165" fontId="0" fillId="35" borderId="50" xfId="0" applyNumberFormat="1" applyFill="1" applyBorder="1"/>
    <xf numFmtId="0" fontId="0" fillId="0" borderId="2" xfId="0" applyBorder="1" applyAlignment="1">
      <alignment horizontal="left"/>
    </xf>
    <xf numFmtId="0" fontId="0" fillId="0" borderId="2" xfId="0" applyBorder="1" applyAlignment="1">
      <alignment horizontal="left" indent="1"/>
    </xf>
    <xf numFmtId="0" fontId="0" fillId="35" borderId="18" xfId="0" applyFill="1" applyBorder="1" applyAlignment="1">
      <alignment horizontal="left" indent="2"/>
    </xf>
    <xf numFmtId="0" fontId="0" fillId="0" borderId="23" xfId="0" applyBorder="1" applyAlignment="1">
      <alignment horizontal="left" indent="1"/>
    </xf>
    <xf numFmtId="170" fontId="0" fillId="0" borderId="1" xfId="0" applyNumberFormat="1" applyBorder="1"/>
    <xf numFmtId="49" fontId="22" fillId="0" borderId="5" xfId="0" applyNumberFormat="1" applyFont="1" applyFill="1" applyBorder="1" applyAlignment="1">
      <alignment vertical="center"/>
    </xf>
    <xf numFmtId="49" fontId="22" fillId="0" borderId="5" xfId="0" applyNumberFormat="1" applyFont="1" applyFill="1" applyBorder="1" applyAlignment="1">
      <alignment horizontal="right" vertical="center"/>
    </xf>
    <xf numFmtId="0" fontId="0" fillId="0" borderId="0" xfId="0" applyAlignment="1"/>
    <xf numFmtId="0" fontId="5" fillId="0" borderId="0" xfId="0" applyFont="1" applyAlignment="1"/>
    <xf numFmtId="49" fontId="22" fillId="0" borderId="1" xfId="12" applyNumberFormat="1" applyFont="1" applyFill="1" applyBorder="1" applyAlignment="1">
      <alignment vertical="center"/>
    </xf>
    <xf numFmtId="0" fontId="22" fillId="0" borderId="3" xfId="12" applyFont="1" applyFill="1" applyBorder="1" applyAlignment="1">
      <alignment vertical="center"/>
    </xf>
    <xf numFmtId="49" fontId="12" fillId="0" borderId="5" xfId="0" applyNumberFormat="1" applyFont="1" applyFill="1" applyBorder="1"/>
    <xf numFmtId="49" fontId="12" fillId="0" borderId="5" xfId="14" applyNumberFormat="1" applyFont="1" applyFill="1" applyBorder="1" applyAlignment="1"/>
    <xf numFmtId="49" fontId="12" fillId="0" borderId="5" xfId="0" applyNumberFormat="1" applyFont="1" applyFill="1" applyBorder="1" applyAlignment="1">
      <alignment horizontal="left" vertical="center"/>
    </xf>
    <xf numFmtId="49" fontId="0" fillId="0" borderId="5" xfId="0" applyNumberFormat="1" applyFont="1" applyFill="1" applyBorder="1"/>
    <xf numFmtId="9" fontId="12" fillId="0" borderId="5" xfId="0" applyNumberFormat="1" applyFont="1" applyFill="1" applyBorder="1"/>
    <xf numFmtId="49" fontId="0" fillId="0" borderId="18" xfId="0" applyNumberFormat="1" applyFont="1" applyFill="1" applyBorder="1"/>
    <xf numFmtId="0" fontId="0" fillId="41" borderId="1" xfId="0" applyFill="1" applyBorder="1" applyAlignment="1">
      <alignment horizontal="left" vertical="top"/>
    </xf>
    <xf numFmtId="9" fontId="0" fillId="0" borderId="5" xfId="0" applyNumberFormat="1" applyBorder="1"/>
    <xf numFmtId="9" fontId="0" fillId="0" borderId="11" xfId="0" applyNumberFormat="1" applyBorder="1"/>
    <xf numFmtId="9" fontId="0" fillId="0" borderId="9" xfId="0" applyNumberFormat="1" applyBorder="1"/>
    <xf numFmtId="49" fontId="31" fillId="0" borderId="5" xfId="0" applyNumberFormat="1" applyFont="1" applyFill="1" applyBorder="1" applyAlignment="1">
      <alignment horizontal="center" vertical="center"/>
    </xf>
    <xf numFmtId="49" fontId="31" fillId="0" borderId="5" xfId="0" applyNumberFormat="1" applyFont="1" applyFill="1" applyBorder="1" applyAlignment="1">
      <alignment horizontal="left" vertical="center"/>
    </xf>
    <xf numFmtId="0" fontId="0" fillId="0" borderId="50" xfId="0" pivotButton="1" applyBorder="1" applyAlignment="1">
      <alignment vertical="center" wrapText="1"/>
    </xf>
    <xf numFmtId="0" fontId="20" fillId="2" borderId="57" xfId="5" applyFont="1" applyFill="1" applyBorder="1" applyAlignment="1">
      <alignment horizontal="center" vertical="center"/>
    </xf>
    <xf numFmtId="0" fontId="20" fillId="2" borderId="55" xfId="5" applyFont="1" applyFill="1" applyBorder="1" applyAlignment="1">
      <alignment horizontal="center" vertical="center"/>
    </xf>
    <xf numFmtId="165" fontId="0" fillId="0" borderId="3" xfId="0" applyNumberFormat="1" applyBorder="1"/>
    <xf numFmtId="9" fontId="0" fillId="0" borderId="1" xfId="0" applyNumberFormat="1" applyBorder="1"/>
    <xf numFmtId="0" fontId="0" fillId="0" borderId="15" xfId="0" applyFill="1" applyBorder="1"/>
    <xf numFmtId="0" fontId="0" fillId="0" borderId="16" xfId="0" applyFill="1" applyBorder="1"/>
    <xf numFmtId="15" fontId="0" fillId="0" borderId="0" xfId="0" applyNumberFormat="1" applyFill="1" applyAlignment="1">
      <alignment horizontal="left" vertical="center"/>
    </xf>
    <xf numFmtId="0" fontId="0" fillId="0" borderId="1" xfId="0" applyFill="1" applyBorder="1" applyAlignment="1">
      <alignment horizontal="left" vertical="center" wrapText="1"/>
    </xf>
    <xf numFmtId="0" fontId="22" fillId="0" borderId="1" xfId="0" applyNumberFormat="1" applyFont="1" applyFill="1" applyBorder="1" applyAlignment="1">
      <alignment horizontal="left" vertical="center"/>
    </xf>
    <xf numFmtId="0" fontId="0" fillId="0" borderId="1" xfId="0" applyNumberFormat="1" applyFill="1" applyBorder="1" applyAlignment="1">
      <alignment horizontal="right" vertical="center"/>
    </xf>
    <xf numFmtId="15" fontId="0" fillId="0" borderId="1" xfId="0" applyNumberFormat="1" applyFill="1" applyBorder="1" applyAlignment="1">
      <alignment horizontal="left" vertical="center"/>
    </xf>
    <xf numFmtId="0" fontId="0" fillId="33" borderId="0" xfId="0" applyFill="1" applyAlignment="1"/>
    <xf numFmtId="0" fontId="5" fillId="33" borderId="0" xfId="0" applyFont="1" applyFill="1" applyAlignment="1"/>
    <xf numFmtId="0" fontId="10" fillId="0" borderId="50" xfId="6" applyFont="1" applyFill="1" applyBorder="1" applyAlignment="1">
      <alignment vertical="center"/>
    </xf>
    <xf numFmtId="0" fontId="10" fillId="0" borderId="51" xfId="6" applyFont="1" applyFill="1" applyBorder="1" applyAlignment="1">
      <alignment vertical="center"/>
    </xf>
    <xf numFmtId="0" fontId="0" fillId="11" borderId="0" xfId="0" applyNumberFormat="1" applyFill="1"/>
    <xf numFmtId="0" fontId="0" fillId="11" borderId="0" xfId="0" applyFill="1" applyAlignment="1">
      <alignment horizontal="left"/>
    </xf>
    <xf numFmtId="165" fontId="0" fillId="41" borderId="17" xfId="0" applyNumberFormat="1" applyFill="1" applyBorder="1"/>
    <xf numFmtId="165" fontId="0" fillId="41" borderId="23" xfId="0" applyNumberFormat="1" applyFill="1" applyBorder="1" applyAlignment="1">
      <alignment horizontal="left"/>
    </xf>
    <xf numFmtId="165" fontId="0" fillId="41" borderId="51" xfId="0" applyNumberFormat="1" applyFill="1" applyBorder="1"/>
    <xf numFmtId="0" fontId="30" fillId="0" borderId="1" xfId="15" applyFont="1" applyFill="1" applyBorder="1" applyAlignment="1">
      <alignment vertical="center"/>
    </xf>
    <xf numFmtId="0" fontId="12" fillId="0" borderId="0" xfId="0" applyFont="1" applyBorder="1"/>
    <xf numFmtId="0" fontId="12" fillId="0" borderId="0" xfId="0" applyFont="1" applyFill="1" applyBorder="1"/>
    <xf numFmtId="0" fontId="12" fillId="0" borderId="0" xfId="0" applyFont="1" applyFill="1"/>
    <xf numFmtId="0" fontId="12" fillId="0" borderId="0" xfId="0" applyFont="1" applyAlignment="1"/>
    <xf numFmtId="0" fontId="12" fillId="33" borderId="0" xfId="0" applyFont="1" applyFill="1" applyAlignment="1"/>
    <xf numFmtId="168" fontId="0" fillId="0" borderId="1" xfId="7" applyNumberFormat="1" applyFont="1" applyBorder="1"/>
    <xf numFmtId="9" fontId="12" fillId="0" borderId="2" xfId="0" applyNumberFormat="1" applyFont="1" applyFill="1" applyBorder="1"/>
    <xf numFmtId="0" fontId="12" fillId="20" borderId="23" xfId="0" applyFont="1" applyFill="1" applyBorder="1" applyAlignment="1">
      <alignment wrapText="1"/>
    </xf>
    <xf numFmtId="15" fontId="0" fillId="0" borderId="1" xfId="0" applyNumberFormat="1" applyFill="1" applyBorder="1" applyAlignment="1">
      <alignment horizontal="right" vertical="center"/>
    </xf>
    <xf numFmtId="49" fontId="22" fillId="0" borderId="25" xfId="12" applyNumberFormat="1" applyFont="1" applyFill="1" applyBorder="1" applyAlignment="1">
      <alignment vertical="center" wrapText="1"/>
    </xf>
    <xf numFmtId="0" fontId="22" fillId="0" borderId="0" xfId="15" applyFont="1" applyFill="1" applyBorder="1" applyAlignment="1">
      <alignment vertical="center"/>
    </xf>
    <xf numFmtId="0" fontId="22" fillId="0" borderId="27" xfId="12" applyNumberFormat="1" applyFont="1" applyFill="1" applyBorder="1" applyAlignment="1">
      <alignment horizontal="right" vertical="center"/>
    </xf>
    <xf numFmtId="1" fontId="22" fillId="0" borderId="31" xfId="12" applyNumberFormat="1" applyFont="1" applyFill="1" applyBorder="1" applyAlignment="1">
      <alignment horizontal="right" vertical="center"/>
    </xf>
    <xf numFmtId="0" fontId="0" fillId="10" borderId="3" xfId="0" applyFill="1" applyBorder="1"/>
    <xf numFmtId="0" fontId="0" fillId="10" borderId="2" xfId="0" applyFill="1" applyBorder="1"/>
    <xf numFmtId="49" fontId="22" fillId="0" borderId="25" xfId="12" applyNumberFormat="1" applyFont="1" applyFill="1" applyBorder="1" applyAlignment="1">
      <alignment vertical="center"/>
    </xf>
    <xf numFmtId="0" fontId="22" fillId="0" borderId="1" xfId="0" applyFont="1" applyFill="1" applyBorder="1" applyAlignment="1"/>
    <xf numFmtId="49" fontId="0" fillId="0" borderId="62" xfId="0" applyNumberFormat="1" applyFill="1" applyBorder="1" applyAlignment="1">
      <alignment vertical="center"/>
    </xf>
    <xf numFmtId="49" fontId="0" fillId="0" borderId="62" xfId="0" applyNumberFormat="1" applyFill="1" applyBorder="1" applyAlignment="1">
      <alignment horizontal="left" vertical="center"/>
    </xf>
    <xf numFmtId="49" fontId="22" fillId="0" borderId="0" xfId="0" applyNumberFormat="1" applyFont="1" applyFill="1" applyBorder="1" applyAlignment="1">
      <alignment vertical="center"/>
    </xf>
    <xf numFmtId="49" fontId="22" fillId="0" borderId="62" xfId="0" applyNumberFormat="1" applyFont="1" applyFill="1" applyBorder="1" applyAlignment="1">
      <alignment vertical="center" wrapText="1"/>
    </xf>
    <xf numFmtId="49" fontId="0" fillId="0" borderId="0" xfId="0" applyNumberFormat="1" applyFill="1" applyBorder="1" applyAlignment="1">
      <alignment vertical="center"/>
    </xf>
    <xf numFmtId="0" fontId="1" fillId="0" borderId="0" xfId="15" applyFill="1" applyBorder="1" applyAlignment="1">
      <alignment vertical="center"/>
    </xf>
    <xf numFmtId="172" fontId="22" fillId="0" borderId="1" xfId="0" applyNumberFormat="1" applyFont="1" applyFill="1" applyBorder="1" applyAlignment="1">
      <alignment horizontal="right"/>
    </xf>
    <xf numFmtId="0" fontId="22" fillId="0" borderId="62" xfId="15" applyFont="1" applyFill="1" applyBorder="1" applyAlignment="1">
      <alignment vertical="center"/>
    </xf>
    <xf numFmtId="0" fontId="22" fillId="0" borderId="5" xfId="15" applyFont="1" applyFill="1" applyBorder="1" applyAlignment="1">
      <alignment vertical="center"/>
    </xf>
    <xf numFmtId="0" fontId="0" fillId="0" borderId="5" xfId="0" applyNumberFormat="1" applyBorder="1" applyAlignment="1">
      <alignment horizontal="right" vertical="center"/>
    </xf>
    <xf numFmtId="0" fontId="0" fillId="0" borderId="5" xfId="0" applyNumberFormat="1" applyFill="1" applyBorder="1" applyAlignment="1">
      <alignment vertical="center"/>
    </xf>
    <xf numFmtId="1" fontId="0" fillId="0" borderId="5" xfId="0" applyNumberFormat="1" applyFill="1" applyBorder="1" applyAlignment="1">
      <alignment vertical="center"/>
    </xf>
    <xf numFmtId="49" fontId="5" fillId="0" borderId="5" xfId="0" applyNumberFormat="1" applyFont="1" applyFill="1" applyBorder="1" applyAlignment="1">
      <alignment horizontal="left" vertical="center"/>
    </xf>
    <xf numFmtId="14" fontId="0" fillId="0" borderId="5" xfId="0" applyNumberFormat="1" applyBorder="1" applyAlignment="1" applyProtection="1">
      <alignment vertical="center"/>
    </xf>
    <xf numFmtId="1" fontId="0" fillId="0" borderId="5" xfId="0" applyNumberFormat="1" applyBorder="1" applyAlignment="1" applyProtection="1">
      <alignment vertical="center"/>
    </xf>
    <xf numFmtId="49" fontId="47" fillId="0" borderId="5" xfId="0" applyNumberFormat="1" applyFont="1" applyFill="1" applyBorder="1" applyAlignment="1">
      <alignment horizontal="right" vertical="center"/>
    </xf>
    <xf numFmtId="49" fontId="0" fillId="0" borderId="5" xfId="0" applyNumberFormat="1" applyFill="1" applyBorder="1" applyAlignment="1">
      <alignment vertical="center" wrapText="1"/>
    </xf>
    <xf numFmtId="0" fontId="0" fillId="41" borderId="50" xfId="0" applyFill="1" applyBorder="1" applyAlignment="1">
      <alignment vertical="center"/>
    </xf>
    <xf numFmtId="1" fontId="0" fillId="41" borderId="50" xfId="0" applyNumberFormat="1" applyFill="1" applyBorder="1" applyAlignment="1">
      <alignment vertical="center"/>
    </xf>
    <xf numFmtId="0" fontId="0" fillId="41" borderId="25" xfId="0" applyFill="1"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0" fontId="0" fillId="41" borderId="0" xfId="0" applyFill="1" applyBorder="1" applyAlignment="1">
      <alignment vertical="center"/>
    </xf>
    <xf numFmtId="1" fontId="0" fillId="41" borderId="0" xfId="0" applyNumberFormat="1" applyFill="1" applyBorder="1" applyAlignment="1">
      <alignment vertical="center"/>
    </xf>
    <xf numFmtId="0" fontId="0" fillId="41" borderId="39" xfId="0" applyFill="1" applyBorder="1" applyAlignment="1">
      <alignment vertical="center"/>
    </xf>
    <xf numFmtId="0" fontId="0" fillId="41" borderId="51" xfId="0" applyFill="1" applyBorder="1" applyAlignment="1">
      <alignment vertical="center"/>
    </xf>
    <xf numFmtId="1" fontId="0" fillId="41" borderId="51" xfId="0" applyNumberFormat="1" applyFill="1" applyBorder="1" applyAlignment="1">
      <alignment vertical="center"/>
    </xf>
    <xf numFmtId="0" fontId="0" fillId="41" borderId="17" xfId="0" applyFill="1" applyBorder="1" applyAlignment="1">
      <alignment vertical="center"/>
    </xf>
    <xf numFmtId="0" fontId="5" fillId="0" borderId="0" xfId="0" applyFont="1" applyFill="1" applyBorder="1" applyAlignment="1">
      <alignment vertical="center"/>
    </xf>
    <xf numFmtId="1" fontId="0" fillId="0" borderId="0" xfId="0" applyNumberFormat="1" applyFill="1" applyBorder="1" applyAlignment="1">
      <alignment vertical="center"/>
    </xf>
    <xf numFmtId="0" fontId="0" fillId="0" borderId="39" xfId="0" applyFill="1" applyBorder="1" applyAlignment="1">
      <alignment vertical="center"/>
    </xf>
    <xf numFmtId="0" fontId="0" fillId="0" borderId="0" xfId="0" applyAlignment="1">
      <alignment vertical="center" textRotation="90"/>
    </xf>
    <xf numFmtId="169" fontId="31" fillId="0" borderId="1" xfId="0" applyNumberFormat="1" applyFont="1" applyFill="1" applyBorder="1" applyAlignment="1">
      <alignment vertical="center"/>
    </xf>
    <xf numFmtId="49" fontId="31" fillId="0" borderId="1" xfId="0" applyNumberFormat="1" applyFont="1" applyFill="1" applyBorder="1" applyAlignment="1">
      <alignment vertical="center"/>
    </xf>
    <xf numFmtId="49" fontId="31" fillId="0" borderId="1" xfId="0" applyNumberFormat="1" applyFont="1" applyFill="1" applyBorder="1" applyAlignment="1">
      <alignment vertical="center" wrapText="1"/>
    </xf>
    <xf numFmtId="49" fontId="31" fillId="0" borderId="1" xfId="0" applyNumberFormat="1" applyFont="1" applyFill="1" applyBorder="1" applyAlignment="1">
      <alignment horizontal="right" vertical="center"/>
    </xf>
    <xf numFmtId="1" fontId="31" fillId="0" borderId="1" xfId="0" applyNumberFormat="1" applyFont="1" applyFill="1" applyBorder="1" applyAlignment="1">
      <alignment horizontal="right" vertical="center"/>
    </xf>
    <xf numFmtId="49" fontId="31" fillId="0" borderId="2" xfId="0" applyNumberFormat="1" applyFont="1" applyFill="1" applyBorder="1" applyAlignment="1">
      <alignment vertical="center"/>
    </xf>
    <xf numFmtId="0" fontId="0" fillId="0" borderId="0" xfId="0" applyFill="1" applyAlignment="1">
      <alignment vertical="center"/>
    </xf>
    <xf numFmtId="49" fontId="4" fillId="0" borderId="1" xfId="0" applyNumberFormat="1" applyFont="1" applyFill="1" applyBorder="1" applyAlignment="1">
      <alignment vertical="center"/>
    </xf>
    <xf numFmtId="0" fontId="4" fillId="0" borderId="1" xfId="0" applyFont="1" applyFill="1" applyBorder="1" applyAlignment="1">
      <alignment vertical="center"/>
    </xf>
    <xf numFmtId="49" fontId="60" fillId="0" borderId="1" xfId="0" applyNumberFormat="1" applyFont="1" applyFill="1" applyBorder="1" applyAlignment="1">
      <alignment horizontal="right" vertical="center"/>
    </xf>
    <xf numFmtId="1" fontId="60" fillId="0" borderId="1" xfId="0" applyNumberFormat="1" applyFont="1" applyFill="1" applyBorder="1" applyAlignment="1">
      <alignment horizontal="right" vertical="center"/>
    </xf>
    <xf numFmtId="0" fontId="31" fillId="0" borderId="1" xfId="0" applyFont="1" applyFill="1" applyBorder="1" applyAlignment="1">
      <alignment vertical="center"/>
    </xf>
    <xf numFmtId="0" fontId="0" fillId="0" borderId="0" xfId="0" applyAlignment="1">
      <alignment vertical="center"/>
    </xf>
    <xf numFmtId="0" fontId="31" fillId="0" borderId="1" xfId="0" applyNumberFormat="1" applyFont="1" applyFill="1" applyBorder="1" applyAlignment="1">
      <alignment horizontal="right" vertical="center"/>
    </xf>
    <xf numFmtId="0" fontId="31" fillId="0" borderId="2" xfId="0" applyFont="1" applyFill="1" applyBorder="1" applyAlignment="1">
      <alignment vertical="center"/>
    </xf>
    <xf numFmtId="49" fontId="61" fillId="0" borderId="1" xfId="0" applyNumberFormat="1" applyFont="1" applyFill="1" applyBorder="1" applyAlignment="1">
      <alignment horizontal="right" vertical="center"/>
    </xf>
    <xf numFmtId="1" fontId="61" fillId="0" borderId="1" xfId="0" applyNumberFormat="1" applyFont="1" applyFill="1" applyBorder="1" applyAlignment="1">
      <alignment horizontal="right" vertical="center"/>
    </xf>
    <xf numFmtId="49" fontId="61" fillId="0" borderId="1" xfId="0" applyNumberFormat="1" applyFont="1" applyFill="1" applyBorder="1" applyAlignment="1">
      <alignment vertical="center"/>
    </xf>
    <xf numFmtId="0" fontId="4" fillId="0" borderId="1" xfId="0" applyNumberFormat="1" applyFont="1" applyFill="1" applyBorder="1" applyAlignment="1">
      <alignment vertical="center"/>
    </xf>
    <xf numFmtId="49" fontId="62" fillId="0" borderId="1" xfId="0" applyNumberFormat="1" applyFont="1" applyFill="1" applyBorder="1" applyAlignment="1">
      <alignment horizontal="right" vertical="center"/>
    </xf>
    <xf numFmtId="1" fontId="62" fillId="0" borderId="1" xfId="0" applyNumberFormat="1" applyFont="1" applyFill="1" applyBorder="1" applyAlignment="1">
      <alignment horizontal="right" vertical="center"/>
    </xf>
    <xf numFmtId="49" fontId="62" fillId="0" borderId="1" xfId="0" applyNumberFormat="1" applyFont="1" applyFill="1" applyBorder="1" applyAlignment="1">
      <alignment vertical="center"/>
    </xf>
    <xf numFmtId="49" fontId="63" fillId="0" borderId="1" xfId="0" applyNumberFormat="1" applyFont="1" applyFill="1" applyBorder="1" applyAlignment="1">
      <alignment horizontal="right" vertical="center"/>
    </xf>
    <xf numFmtId="1" fontId="63" fillId="0" borderId="1" xfId="0" applyNumberFormat="1" applyFont="1" applyFill="1" applyBorder="1" applyAlignment="1">
      <alignment horizontal="right" vertical="center"/>
    </xf>
    <xf numFmtId="49" fontId="63" fillId="0" borderId="1" xfId="0" applyNumberFormat="1" applyFont="1" applyFill="1" applyBorder="1" applyAlignment="1">
      <alignment vertical="center"/>
    </xf>
    <xf numFmtId="49" fontId="31" fillId="0" borderId="18" xfId="0" applyNumberFormat="1" applyFont="1" applyFill="1" applyBorder="1" applyAlignment="1">
      <alignment vertical="center"/>
    </xf>
    <xf numFmtId="169" fontId="31" fillId="0" borderId="5" xfId="0" applyNumberFormat="1" applyFont="1" applyFill="1" applyBorder="1" applyAlignment="1">
      <alignment vertical="center"/>
    </xf>
    <xf numFmtId="49" fontId="31" fillId="0" borderId="5" xfId="0" applyNumberFormat="1" applyFont="1" applyFill="1" applyBorder="1" applyAlignment="1">
      <alignment vertical="center"/>
    </xf>
    <xf numFmtId="0" fontId="31" fillId="0" borderId="5" xfId="0" applyFont="1" applyFill="1" applyBorder="1" applyAlignment="1">
      <alignment vertical="center"/>
    </xf>
    <xf numFmtId="1" fontId="31" fillId="0" borderId="5" xfId="0" applyNumberFormat="1" applyFont="1" applyFill="1" applyBorder="1" applyAlignment="1">
      <alignment horizontal="right" vertical="center"/>
    </xf>
    <xf numFmtId="0" fontId="12" fillId="0" borderId="0" xfId="0" applyFont="1" applyFill="1" applyAlignment="1">
      <alignment vertical="center"/>
    </xf>
    <xf numFmtId="1" fontId="0" fillId="0" borderId="0" xfId="0" applyNumberFormat="1" applyAlignment="1">
      <alignment vertical="center"/>
    </xf>
    <xf numFmtId="165" fontId="0" fillId="35" borderId="51" xfId="0" applyNumberFormat="1" applyFill="1" applyBorder="1"/>
    <xf numFmtId="0" fontId="0" fillId="35" borderId="23" xfId="0" applyFill="1" applyBorder="1" applyAlignment="1">
      <alignment horizontal="left" indent="2"/>
    </xf>
    <xf numFmtId="0" fontId="0" fillId="0" borderId="27" xfId="0" applyBorder="1" applyAlignment="1">
      <alignment textRotation="90"/>
    </xf>
    <xf numFmtId="0" fontId="0" fillId="2" borderId="0" xfId="0" applyFill="1" applyAlignment="1">
      <alignment vertical="center"/>
    </xf>
    <xf numFmtId="0" fontId="12" fillId="0" borderId="0" xfId="0" applyFont="1" applyFill="1" applyBorder="1" applyAlignment="1">
      <alignment vertical="center"/>
    </xf>
    <xf numFmtId="0" fontId="77" fillId="0" borderId="27" xfId="0" applyFont="1" applyFill="1" applyBorder="1" applyAlignment="1">
      <alignment vertical="center" wrapText="1"/>
    </xf>
    <xf numFmtId="0" fontId="77" fillId="0" borderId="31" xfId="0" applyFont="1" applyFill="1" applyBorder="1" applyAlignment="1">
      <alignment vertical="center" wrapText="1"/>
    </xf>
    <xf numFmtId="0" fontId="77" fillId="0" borderId="1" xfId="0" applyFont="1" applyFill="1" applyBorder="1" applyAlignment="1">
      <alignment vertical="center" wrapText="1"/>
    </xf>
    <xf numFmtId="1" fontId="0" fillId="0" borderId="0" xfId="0" applyNumberFormat="1" applyFill="1"/>
    <xf numFmtId="0" fontId="31" fillId="0" borderId="5" xfId="0" applyNumberFormat="1" applyFont="1" applyFill="1" applyBorder="1" applyAlignment="1">
      <alignment horizontal="right" vertical="center"/>
    </xf>
    <xf numFmtId="49" fontId="31" fillId="0" borderId="18" xfId="0" applyNumberFormat="1" applyFont="1" applyFill="1" applyBorder="1" applyAlignment="1">
      <alignment vertical="center" wrapText="1"/>
    </xf>
    <xf numFmtId="0" fontId="31" fillId="0" borderId="18" xfId="0" applyFont="1" applyFill="1" applyBorder="1" applyAlignment="1">
      <alignment vertical="center"/>
    </xf>
    <xf numFmtId="49" fontId="12" fillId="0" borderId="5" xfId="0" applyNumberFormat="1" applyFont="1" applyFill="1" applyBorder="1" applyAlignment="1">
      <alignment vertical="center"/>
    </xf>
    <xf numFmtId="49" fontId="31" fillId="0" borderId="5" xfId="0" applyNumberFormat="1" applyFont="1" applyFill="1" applyBorder="1" applyAlignment="1">
      <alignment horizontal="right" vertical="center"/>
    </xf>
    <xf numFmtId="49" fontId="31" fillId="0" borderId="2" xfId="0" applyNumberFormat="1" applyFont="1" applyFill="1" applyBorder="1" applyAlignment="1">
      <alignment vertical="center" wrapText="1"/>
    </xf>
    <xf numFmtId="168" fontId="30" fillId="41" borderId="1" xfId="1" applyNumberFormat="1" applyFont="1" applyFill="1" applyBorder="1" applyAlignment="1">
      <alignment wrapText="1"/>
    </xf>
    <xf numFmtId="9" fontId="12" fillId="0" borderId="18" xfId="0" applyNumberFormat="1" applyFont="1" applyFill="1" applyBorder="1"/>
    <xf numFmtId="0" fontId="0" fillId="0" borderId="2" xfId="0" applyFill="1" applyBorder="1"/>
    <xf numFmtId="0" fontId="0" fillId="0" borderId="0" xfId="0" applyNumberFormat="1" applyFont="1" applyFill="1" applyBorder="1"/>
    <xf numFmtId="49" fontId="0" fillId="0" borderId="0" xfId="0" applyNumberFormat="1" applyFont="1" applyFill="1" applyBorder="1"/>
    <xf numFmtId="0" fontId="0" fillId="0" borderId="2" xfId="0" applyNumberFormat="1" applyFont="1" applyFill="1" applyBorder="1" applyAlignment="1">
      <alignment horizontal="left"/>
    </xf>
    <xf numFmtId="0" fontId="12" fillId="0" borderId="0" xfId="0" applyFont="1" applyFill="1" applyAlignment="1"/>
    <xf numFmtId="0" fontId="0" fillId="0" borderId="0" xfId="0" applyFill="1" applyAlignment="1"/>
    <xf numFmtId="0" fontId="5" fillId="0" borderId="0" xfId="0" applyFont="1" applyFill="1" applyAlignment="1"/>
    <xf numFmtId="0" fontId="0" fillId="0" borderId="2" xfId="0" applyFill="1" applyBorder="1" applyAlignment="1">
      <alignment vertical="center"/>
    </xf>
    <xf numFmtId="0" fontId="31" fillId="0" borderId="4" xfId="0" applyFont="1" applyFill="1" applyBorder="1" applyAlignment="1">
      <alignment vertical="center"/>
    </xf>
    <xf numFmtId="168" fontId="30" fillId="0" borderId="2" xfId="1" applyNumberFormat="1" applyFont="1" applyFill="1" applyBorder="1" applyAlignment="1">
      <alignment wrapText="1"/>
    </xf>
    <xf numFmtId="168" fontId="30" fillId="0" borderId="1" xfId="1" applyNumberFormat="1" applyFont="1" applyFill="1" applyBorder="1" applyAlignment="1">
      <alignment wrapText="1"/>
    </xf>
    <xf numFmtId="49" fontId="31" fillId="0" borderId="5" xfId="0" applyNumberFormat="1" applyFont="1" applyFill="1" applyBorder="1" applyAlignment="1">
      <alignment vertical="center" wrapText="1"/>
    </xf>
    <xf numFmtId="169" fontId="78" fillId="0" borderId="1" xfId="0" applyNumberFormat="1" applyFont="1" applyFill="1" applyBorder="1" applyAlignment="1">
      <alignment vertical="center"/>
    </xf>
    <xf numFmtId="0" fontId="78" fillId="0" borderId="1" xfId="0" applyFont="1" applyFill="1" applyBorder="1" applyAlignment="1">
      <alignment vertical="center"/>
    </xf>
    <xf numFmtId="0" fontId="78" fillId="0" borderId="1" xfId="0" applyFont="1" applyFill="1" applyBorder="1" applyAlignment="1">
      <alignment horizontal="center" vertical="center"/>
    </xf>
    <xf numFmtId="0" fontId="78" fillId="0" borderId="1" xfId="0" applyNumberFormat="1" applyFont="1" applyFill="1" applyBorder="1" applyAlignment="1">
      <alignment horizontal="center" vertical="center"/>
    </xf>
    <xf numFmtId="49" fontId="78" fillId="0" borderId="5" xfId="0" applyNumberFormat="1" applyFont="1" applyFill="1" applyBorder="1" applyAlignment="1">
      <alignment horizontal="center" vertical="center"/>
    </xf>
    <xf numFmtId="0" fontId="78" fillId="0" borderId="5" xfId="0" applyNumberFormat="1" applyFont="1" applyFill="1" applyBorder="1" applyAlignment="1">
      <alignment horizontal="center" vertical="center"/>
    </xf>
    <xf numFmtId="0" fontId="78" fillId="0" borderId="1" xfId="0" applyNumberFormat="1" applyFont="1" applyFill="1" applyBorder="1" applyAlignment="1">
      <alignment horizontal="right" vertical="center"/>
    </xf>
    <xf numFmtId="1" fontId="78" fillId="0" borderId="1" xfId="0" applyNumberFormat="1" applyFont="1" applyFill="1" applyBorder="1" applyAlignment="1">
      <alignment horizontal="right" vertical="center"/>
    </xf>
    <xf numFmtId="9" fontId="78" fillId="0" borderId="1" xfId="0" applyNumberFormat="1" applyFont="1" applyFill="1" applyBorder="1" applyAlignment="1">
      <alignment horizontal="center" vertical="center"/>
    </xf>
    <xf numFmtId="0" fontId="78" fillId="0" borderId="2" xfId="0" applyFont="1" applyFill="1" applyBorder="1" applyAlignment="1">
      <alignment vertical="center"/>
    </xf>
    <xf numFmtId="49" fontId="78" fillId="0" borderId="1" xfId="0" applyNumberFormat="1" applyFont="1" applyFill="1" applyBorder="1" applyAlignment="1">
      <alignment horizontal="center" vertical="center"/>
    </xf>
    <xf numFmtId="49" fontId="5" fillId="0" borderId="1" xfId="0" applyNumberFormat="1" applyFont="1" applyFill="1" applyBorder="1"/>
    <xf numFmtId="0" fontId="15" fillId="19" borderId="0" xfId="0" applyFont="1" applyFill="1" applyAlignment="1">
      <alignment horizontal="center" vertical="center"/>
    </xf>
    <xf numFmtId="0" fontId="11" fillId="10" borderId="0" xfId="0" applyFont="1" applyFill="1" applyAlignment="1">
      <alignment horizontal="left"/>
    </xf>
    <xf numFmtId="0" fontId="15" fillId="16" borderId="0" xfId="0" applyFont="1" applyFill="1" applyAlignment="1">
      <alignment horizontal="center"/>
    </xf>
    <xf numFmtId="166" fontId="37" fillId="11" borderId="0" xfId="6" applyNumberFormat="1" applyFont="1" applyFill="1" applyBorder="1" applyAlignment="1">
      <alignment horizontal="left" vertical="center"/>
    </xf>
    <xf numFmtId="166" fontId="37" fillId="41" borderId="23" xfId="6" applyNumberFormat="1" applyFont="1" applyFill="1" applyBorder="1" applyAlignment="1">
      <alignment horizontal="left" vertical="center"/>
    </xf>
    <xf numFmtId="166" fontId="37" fillId="41" borderId="51" xfId="6" applyNumberFormat="1" applyFont="1" applyFill="1" applyBorder="1" applyAlignment="1">
      <alignment horizontal="left" vertical="center"/>
    </xf>
    <xf numFmtId="166" fontId="76" fillId="11" borderId="23" xfId="6" applyNumberFormat="1" applyFont="1" applyFill="1" applyBorder="1" applyAlignment="1">
      <alignment horizontal="center" vertical="center"/>
    </xf>
    <xf numFmtId="166" fontId="76" fillId="11" borderId="51" xfId="6" applyNumberFormat="1" applyFont="1" applyFill="1" applyBorder="1" applyAlignment="1">
      <alignment horizontal="center" vertical="center"/>
    </xf>
    <xf numFmtId="0" fontId="34" fillId="41" borderId="0" xfId="6" applyFont="1" applyFill="1" applyBorder="1" applyAlignment="1">
      <alignment horizontal="left" vertical="center"/>
    </xf>
    <xf numFmtId="0" fontId="10" fillId="41" borderId="0" xfId="6" applyFont="1" applyFill="1" applyBorder="1" applyAlignment="1">
      <alignment horizontal="left" vertical="center"/>
    </xf>
    <xf numFmtId="0" fontId="32" fillId="10" borderId="2" xfId="0" applyFont="1" applyFill="1" applyBorder="1" applyAlignment="1">
      <alignment horizontal="left" vertical="top"/>
    </xf>
    <xf numFmtId="0" fontId="32" fillId="10" borderId="8" xfId="0" applyFont="1" applyFill="1" applyBorder="1" applyAlignment="1">
      <alignment horizontal="left" vertical="top"/>
    </xf>
    <xf numFmtId="0" fontId="32" fillId="10" borderId="3" xfId="0" applyFont="1" applyFill="1" applyBorder="1" applyAlignment="1">
      <alignment horizontal="left" vertical="top"/>
    </xf>
    <xf numFmtId="0" fontId="34" fillId="41" borderId="4" xfId="6" applyFont="1" applyFill="1" applyBorder="1" applyAlignment="1">
      <alignment horizontal="left" vertical="center"/>
    </xf>
    <xf numFmtId="0" fontId="34" fillId="11" borderId="4" xfId="6" applyFont="1" applyFill="1" applyBorder="1" applyAlignment="1">
      <alignment horizontal="left" vertical="center"/>
    </xf>
    <xf numFmtId="0" fontId="34" fillId="11" borderId="0" xfId="6" applyFont="1" applyFill="1" applyBorder="1" applyAlignment="1">
      <alignment horizontal="left" vertical="center"/>
    </xf>
    <xf numFmtId="166" fontId="37" fillId="11" borderId="23" xfId="6" applyNumberFormat="1" applyFont="1" applyFill="1" applyBorder="1" applyAlignment="1">
      <alignment horizontal="left" vertical="center"/>
    </xf>
    <xf numFmtId="166" fontId="37" fillId="11" borderId="51" xfId="6" applyNumberFormat="1" applyFont="1" applyFill="1" applyBorder="1" applyAlignment="1">
      <alignment horizontal="left" vertical="center"/>
    </xf>
    <xf numFmtId="166" fontId="37" fillId="11" borderId="17" xfId="6" applyNumberFormat="1" applyFont="1" applyFill="1" applyBorder="1" applyAlignment="1">
      <alignment horizontal="left" vertical="center"/>
    </xf>
    <xf numFmtId="0" fontId="68" fillId="41" borderId="0" xfId="6" applyFont="1" applyFill="1" applyBorder="1" applyAlignment="1">
      <alignment horizontal="left" vertical="center"/>
    </xf>
    <xf numFmtId="0" fontId="27" fillId="0" borderId="4" xfId="6" applyFont="1" applyFill="1" applyBorder="1" applyAlignment="1">
      <alignment horizontal="left" vertical="center"/>
    </xf>
    <xf numFmtId="0" fontId="27" fillId="0" borderId="0" xfId="6" applyFont="1" applyFill="1" applyBorder="1" applyAlignment="1">
      <alignment horizontal="left" vertical="center"/>
    </xf>
    <xf numFmtId="0" fontId="0" fillId="2" borderId="29" xfId="0" applyFill="1" applyBorder="1" applyAlignment="1">
      <alignment horizontal="center" wrapText="1"/>
    </xf>
    <xf numFmtId="0" fontId="0" fillId="2" borderId="30" xfId="0" applyFill="1" applyBorder="1" applyAlignment="1">
      <alignment horizontal="center" wrapText="1"/>
    </xf>
    <xf numFmtId="0" fontId="0" fillId="2" borderId="31" xfId="0" applyFill="1" applyBorder="1" applyAlignment="1">
      <alignment horizontal="center" wrapText="1"/>
    </xf>
    <xf numFmtId="0" fontId="0" fillId="33" borderId="29" xfId="0" applyFill="1" applyBorder="1" applyAlignment="1">
      <alignment horizontal="center" wrapText="1"/>
    </xf>
    <xf numFmtId="0" fontId="0" fillId="33" borderId="30" xfId="0" applyFill="1" applyBorder="1" applyAlignment="1">
      <alignment horizontal="center" wrapText="1"/>
    </xf>
    <xf numFmtId="0" fontId="0" fillId="33" borderId="31" xfId="0" applyFill="1" applyBorder="1" applyAlignment="1">
      <alignment horizontal="center" wrapText="1"/>
    </xf>
    <xf numFmtId="0" fontId="0" fillId="32" borderId="29" xfId="0" applyFill="1" applyBorder="1" applyAlignment="1">
      <alignment horizontal="center" wrapText="1"/>
    </xf>
    <xf numFmtId="0" fontId="0" fillId="32" borderId="30" xfId="0" applyFill="1" applyBorder="1" applyAlignment="1">
      <alignment horizontal="center" wrapText="1"/>
    </xf>
    <xf numFmtId="0" fontId="0" fillId="32" borderId="31" xfId="0" applyFill="1" applyBorder="1" applyAlignment="1">
      <alignment horizontal="center" wrapText="1"/>
    </xf>
    <xf numFmtId="0" fontId="0" fillId="3" borderId="61" xfId="0" applyFill="1" applyBorder="1" applyAlignment="1">
      <alignment horizontal="center" textRotation="90"/>
    </xf>
    <xf numFmtId="0" fontId="0" fillId="3" borderId="57" xfId="0" applyFill="1" applyBorder="1" applyAlignment="1">
      <alignment horizontal="center" textRotation="90"/>
    </xf>
    <xf numFmtId="0" fontId="0" fillId="34" borderId="29" xfId="0" applyFill="1" applyBorder="1" applyAlignment="1">
      <alignment horizontal="center" wrapText="1"/>
    </xf>
    <xf numFmtId="0" fontId="0" fillId="34" borderId="30" xfId="0" applyFill="1" applyBorder="1" applyAlignment="1">
      <alignment horizontal="center" wrapText="1"/>
    </xf>
    <xf numFmtId="0" fontId="0" fillId="34" borderId="31" xfId="0" applyFill="1" applyBorder="1" applyAlignment="1">
      <alignment horizontal="center" wrapText="1"/>
    </xf>
    <xf numFmtId="0" fontId="0" fillId="5" borderId="29" xfId="0" applyFill="1" applyBorder="1" applyAlignment="1">
      <alignment horizontal="center" wrapText="1"/>
    </xf>
    <xf numFmtId="0" fontId="0" fillId="5" borderId="30" xfId="0" applyFill="1" applyBorder="1" applyAlignment="1">
      <alignment horizontal="center" wrapText="1"/>
    </xf>
    <xf numFmtId="0" fontId="0" fillId="5" borderId="31" xfId="0" applyFill="1" applyBorder="1" applyAlignment="1">
      <alignment horizontal="center" wrapText="1"/>
    </xf>
    <xf numFmtId="0" fontId="0" fillId="3" borderId="13" xfId="0" applyFill="1" applyBorder="1" applyAlignment="1">
      <alignment horizontal="center" textRotation="90"/>
    </xf>
    <xf numFmtId="0" fontId="0" fillId="3" borderId="55" xfId="0" applyFill="1" applyBorder="1" applyAlignment="1">
      <alignment horizontal="center" textRotation="90"/>
    </xf>
    <xf numFmtId="0" fontId="0" fillId="3" borderId="12" xfId="0" applyFill="1" applyBorder="1" applyAlignment="1">
      <alignment horizontal="center" textRotation="90"/>
    </xf>
    <xf numFmtId="0" fontId="0" fillId="3" borderId="54" xfId="0" applyFill="1" applyBorder="1" applyAlignment="1">
      <alignment horizontal="center" textRotation="90"/>
    </xf>
    <xf numFmtId="0" fontId="0" fillId="9" borderId="29" xfId="0" applyFill="1" applyBorder="1" applyAlignment="1">
      <alignment horizontal="center"/>
    </xf>
    <xf numFmtId="0" fontId="0" fillId="9" borderId="30" xfId="0" applyFill="1" applyBorder="1" applyAlignment="1">
      <alignment horizontal="center"/>
    </xf>
    <xf numFmtId="0" fontId="0" fillId="9" borderId="31" xfId="0" applyFill="1" applyBorder="1" applyAlignment="1">
      <alignment horizontal="center"/>
    </xf>
    <xf numFmtId="0" fontId="0" fillId="8" borderId="27" xfId="0" applyFill="1" applyBorder="1" applyAlignment="1">
      <alignment horizontal="center"/>
    </xf>
    <xf numFmtId="0" fontId="0" fillId="4" borderId="27" xfId="0" applyFill="1" applyBorder="1" applyAlignment="1">
      <alignment horizontal="center" textRotation="90" wrapText="1"/>
    </xf>
    <xf numFmtId="0" fontId="0" fillId="5" borderId="27" xfId="0" applyFill="1" applyBorder="1" applyAlignment="1">
      <alignment horizontal="center" textRotation="90" wrapText="1"/>
    </xf>
    <xf numFmtId="0" fontId="0" fillId="6" borderId="27" xfId="0" applyFill="1" applyBorder="1" applyAlignment="1">
      <alignment horizontal="center" textRotation="90" wrapText="1"/>
    </xf>
    <xf numFmtId="0" fontId="13" fillId="11" borderId="35" xfId="0" applyFont="1" applyFill="1" applyBorder="1" applyAlignment="1">
      <alignment horizontal="center" vertical="center" wrapText="1"/>
    </xf>
    <xf numFmtId="0" fontId="13" fillId="11" borderId="19" xfId="0" applyFont="1" applyFill="1" applyBorder="1" applyAlignment="1">
      <alignment horizontal="center" vertical="center" wrapText="1"/>
    </xf>
    <xf numFmtId="0" fontId="13" fillId="11" borderId="36"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11" borderId="8" xfId="0" applyFont="1" applyFill="1" applyBorder="1" applyAlignment="1">
      <alignment horizontal="center" vertical="center" wrapText="1"/>
    </xf>
    <xf numFmtId="0" fontId="13" fillId="11" borderId="3" xfId="0" applyFont="1" applyFill="1" applyBorder="1" applyAlignment="1">
      <alignment horizontal="center" vertical="center" wrapText="1"/>
    </xf>
    <xf numFmtId="166" fontId="27" fillId="41" borderId="0" xfId="6" applyNumberFormat="1" applyFont="1" applyFill="1" applyBorder="1" applyAlignment="1">
      <alignment horizontal="left" wrapText="1"/>
    </xf>
  </cellXfs>
  <cellStyles count="19">
    <cellStyle name="Calculation" xfId="9" builtinId="22"/>
    <cellStyle name="Comma" xfId="7" builtinId="3"/>
    <cellStyle name="Comma 2" xfId="1"/>
    <cellStyle name="Comma 3" xfId="16"/>
    <cellStyle name="Comma 4" xfId="17"/>
    <cellStyle name="Comma 4 10" xfId="10"/>
    <cellStyle name="Hyperlink" xfId="6" builtinId="8"/>
    <cellStyle name="Normal" xfId="0" builtinId="0"/>
    <cellStyle name="Normal 2" xfId="2"/>
    <cellStyle name="Normal 2 2" xfId="3"/>
    <cellStyle name="Normal 4" xfId="4"/>
    <cellStyle name="Normal 5" xfId="11"/>
    <cellStyle name="Normal 6" xfId="13"/>
    <cellStyle name="Normal_6_Village Tracts" xfId="18"/>
    <cellStyle name="Normal_Sheet1" xfId="15"/>
    <cellStyle name="Normal_Sheet11" xfId="5"/>
    <cellStyle name="Normal_Sheet3" xfId="14"/>
    <cellStyle name="Normal_Sheet3_1" xfId="12"/>
    <cellStyle name="Percent" xfId="8" builtinId="5"/>
  </cellStyles>
  <dxfs count="1099">
    <dxf>
      <numFmt numFmtId="165" formatCode="_-* #,##0_-;\-* #,##0_-;_-* &quot;-&quot;??_-;_-@_-"/>
    </dxf>
    <dxf>
      <numFmt numFmtId="165" formatCode="_-* #,##0_-;\-* #,##0_-;_-* &quot;-&quot;??_-;_-@_-"/>
    </dxf>
    <dxf>
      <numFmt numFmtId="3" formatCode="#,##0"/>
    </dxf>
    <dxf>
      <alignment wrapText="1" readingOrder="0"/>
    </dxf>
    <dxf>
      <alignment wrapText="1" readingOrder="0"/>
    </dxf>
    <dxf>
      <alignment vertical="top" readingOrder="0"/>
    </dxf>
    <dxf>
      <alignment vertical="top" readingOrder="0"/>
    </dxf>
    <dxf>
      <alignment horizontal="right" readingOrder="0"/>
    </dxf>
    <dxf>
      <alignment horizontal="left" readingOrder="0"/>
    </dxf>
    <dxf>
      <border>
        <left style="medium">
          <color indexed="64"/>
        </left>
        <right style="medium">
          <color indexed="64"/>
        </right>
        <top style="medium">
          <color indexed="64"/>
        </top>
        <bottom style="medium">
          <color indexed="64"/>
        </bottom>
      </border>
    </dxf>
    <dxf>
      <numFmt numFmtId="13" formatCode="0%"/>
    </dxf>
    <dxf>
      <numFmt numFmtId="165" formatCode="_-* #,##0_-;\-* #,##0_-;_-* &quot;-&quot;??_-;_-@_-"/>
    </dxf>
    <dxf>
      <numFmt numFmtId="170" formatCode="0.0%"/>
    </dxf>
    <dxf>
      <numFmt numFmtId="170" formatCode="0.0%"/>
    </dxf>
    <dxf>
      <numFmt numFmtId="165" formatCode="_-* #,##0_-;\-* #,##0_-;_-* &quot;-&quot;??_-;_-@_-"/>
    </dxf>
    <dxf>
      <fill>
        <patternFill patternType="solid">
          <bgColor rgb="FFFFC800"/>
        </patternFill>
      </fill>
    </dxf>
    <dxf>
      <fill>
        <patternFill patternType="solid">
          <bgColor rgb="FFFFC800"/>
        </patternFill>
      </fill>
    </dxf>
    <dxf>
      <border>
        <left style="thin">
          <color indexed="64"/>
        </left>
        <right style="thin">
          <color indexed="64"/>
        </right>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border>
    </dxf>
    <dxf>
      <border>
        <left style="thin">
          <color indexed="64"/>
        </left>
      </border>
    </dxf>
    <dxf>
      <numFmt numFmtId="165" formatCode="_-* #,##0_-;\-* #,##0_-;_-* &quot;-&quot;??_-;_-@_-"/>
    </dxf>
    <dxf>
      <numFmt numFmtId="165" formatCode="_-* #,##0_-;\-* #,##0_-;_-* &quot;-&quot;??_-;_-@_-"/>
    </dxf>
    <dxf>
      <fill>
        <patternFill patternType="solid">
          <bgColor theme="1"/>
        </patternFill>
      </fill>
    </dxf>
    <dxf>
      <fill>
        <patternFill patternType="solid">
          <bgColor theme="1"/>
        </patternFill>
      </fill>
    </dxf>
    <dxf>
      <font>
        <color theme="0"/>
      </font>
    </dxf>
    <dxf>
      <font>
        <color theme="0"/>
      </font>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fill>
        <patternFill>
          <bgColor theme="0"/>
        </patternFill>
      </fill>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FFFFFF"/>
        </patternFill>
      </fill>
    </dxf>
    <dxf>
      <fill>
        <patternFill>
          <bgColor rgb="FFFFFFFF"/>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DCE6F1"/>
        </patternFill>
      </fill>
    </dxf>
    <dxf>
      <border>
        <left style="thin">
          <color indexed="64"/>
        </left>
        <right style="thin">
          <color indexed="64"/>
        </right>
        <top style="thin">
          <color indexed="64"/>
        </top>
        <bottom style="thin">
          <color indexed="64"/>
        </bottom>
      </border>
    </dxf>
    <dxf>
      <fill>
        <patternFill>
          <bgColor rgb="FFFFFFFF"/>
        </patternFill>
      </fill>
    </dxf>
    <dxf>
      <fill>
        <patternFill>
          <bgColor rgb="FFFFFFFF"/>
        </patternFill>
      </fill>
    </dxf>
    <dxf>
      <numFmt numFmtId="165" formatCode="_-* #,##0_-;\-* #,##0_-;_-* &quot;-&quot;??_-;_-@_-"/>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numFmt numFmtId="14" formatCode="0.00%"/>
    </dxf>
    <dxf>
      <numFmt numFmtId="13" formatCode="0%"/>
    </dxf>
    <dxf>
      <numFmt numFmtId="13" formatCode="0%"/>
    </dxf>
    <dxf>
      <numFmt numFmtId="13" formatCode="0%"/>
    </dxf>
    <dxf>
      <numFmt numFmtId="13" formatCode="0%"/>
    </dxf>
    <dxf>
      <numFmt numFmtId="13"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readingOrder="0"/>
    </dxf>
    <dxf>
      <alignment wrapText="1"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6"/>
        <color rgb="FF000000"/>
        <name val="Calibri"/>
        <scheme val="none"/>
      </font>
      <numFmt numFmtId="165" formatCode="_-* #,##0_-;\-* #,##0_-;_-* &quot;-&quot;??_-;_-@_-"/>
      <fill>
        <patternFill patternType="none">
          <fgColor rgb="FF000000"/>
          <bgColor rgb="FFFFFFFF"/>
        </patternFill>
      </fill>
    </dxf>
    <dxf>
      <font>
        <b/>
        <i val="0"/>
        <strike val="0"/>
        <condense val="0"/>
        <extend val="0"/>
        <outline val="0"/>
        <shadow val="0"/>
        <u val="none"/>
        <vertAlign val="baseline"/>
        <sz val="16"/>
        <color theme="1"/>
        <name val="Calibri"/>
        <scheme val="minor"/>
      </font>
      <numFmt numFmtId="1" formatCode="0"/>
      <fill>
        <patternFill patternType="none">
          <fgColor indexed="64"/>
          <bgColor indexed="65"/>
        </patternFill>
      </fill>
      <border diagonalUp="0" diagonalDown="0" outline="0">
        <left style="thin">
          <color indexed="64"/>
        </left>
        <right/>
        <top style="thin">
          <color indexed="64"/>
        </top>
        <bottom/>
      </border>
    </dxf>
    <dxf>
      <font>
        <b/>
        <strike val="0"/>
        <outline val="0"/>
        <shadow val="0"/>
        <u val="none"/>
        <vertAlign val="baseline"/>
        <sz val="16"/>
        <name val="Calibri"/>
      </font>
      <numFmt numFmtId="1" formatCode="0"/>
      <fill>
        <patternFill patternType="none">
          <fgColor indexed="64"/>
          <bgColor indexed="65"/>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style="thin">
          <color indexed="64"/>
        </right>
        <top style="thin">
          <color indexed="64"/>
        </top>
        <bottom/>
      </border>
    </dxf>
    <dxf>
      <font>
        <b/>
        <strike val="0"/>
        <outline val="0"/>
        <shadow val="0"/>
        <u val="none"/>
        <vertAlign val="baseline"/>
        <sz val="16"/>
        <name val="Calibri"/>
      </font>
      <numFmt numFmtId="0" formatCode="General"/>
      <fill>
        <patternFill patternType="none">
          <fgColor indexed="64"/>
          <bgColor indexed="65"/>
        </patternFill>
      </fill>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strike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solid">
          <fgColor theme="5" tint="0.79998168889431442"/>
          <bgColor theme="5" tint="0.79998168889431442"/>
        </patternFill>
      </fill>
    </dxf>
    <dxf>
      <border outline="0">
        <top style="thin">
          <color rgb="FF000000"/>
        </top>
      </border>
    </dxf>
    <dxf>
      <font>
        <strike val="0"/>
        <outline val="0"/>
        <shadow val="0"/>
        <u val="none"/>
        <vertAlign val="baseline"/>
        <sz val="16"/>
        <name val="Calibri"/>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6"/>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6"/>
        <color theme="1"/>
        <name val="Calibri"/>
        <scheme val="minor"/>
      </font>
      <fill>
        <patternFill patternType="none">
          <fgColor indexed="64"/>
          <bgColor indexed="65"/>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numFmt numFmtId="173" formatCode="m/d/yyyy"/>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69" formatCode="dd\-mmm\-yyyy"/>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dxf>
    <dxf>
      <border>
        <bottom style="thin">
          <color indexed="64"/>
        </bottom>
      </border>
    </dxf>
    <dxf>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65" formatCode="_-* #,##0_-;\-* #,##0_-;_-* &quot;-&quot;??_-;_-@_-"/>
      <border diagonalUp="0" diagonalDown="0">
        <left style="thin">
          <color indexed="64"/>
        </left>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alignment horizontal="left" readingOrder="0"/>
    </dxf>
    <dxf>
      <alignment horizontal="right" readingOrder="0"/>
    </dxf>
    <dxf>
      <alignment vertical="top" readingOrder="0"/>
    </dxf>
    <dxf>
      <alignment vertical="top" readingOrder="0"/>
    </dxf>
    <dxf>
      <alignment wrapText="1" readingOrder="0"/>
    </dxf>
    <dxf>
      <alignment wrapText="1" readingOrder="0"/>
    </dxf>
    <dxf>
      <numFmt numFmtId="3" formatCode="#,##0"/>
    </dxf>
    <dxf>
      <numFmt numFmtId="165" formatCode="_-* #,##0_-;\-* #,##0_-;_-* &quot;-&quot;??_-;_-@_-"/>
    </dxf>
    <dxf>
      <numFmt numFmtId="165" formatCode="_-* #,##0_-;\-* #,##0_-;_-* &quot;-&quot;??_-;_-@_-"/>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rder>
    </dxf>
    <dxf>
      <border>
        <right style="thin">
          <color indexed="64"/>
        </right>
      </border>
    </dxf>
    <dxf>
      <border>
        <left style="thin">
          <color indexed="64"/>
        </left>
        <right style="thin">
          <color indexed="64"/>
        </right>
        <top style="thin">
          <color indexed="64"/>
        </top>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dxf>
    <dxf>
      <numFmt numFmtId="13" formatCode="0%"/>
    </dxf>
    <dxf>
      <border>
        <left style="thin">
          <color indexed="64"/>
        </left>
      </border>
    </dxf>
    <dxf>
      <border>
        <left style="thin">
          <color indexed="64"/>
        </lef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FFC800"/>
        </patternFill>
      </fill>
    </dxf>
    <dxf>
      <fill>
        <patternFill patternType="solid">
          <bgColor rgb="FFFFC800"/>
        </patternFill>
      </fill>
    </dxf>
    <dxf>
      <numFmt numFmtId="165" formatCode="_-* #,##0_-;\-* #,##0_-;_-* &quot;-&quot;??_-;_-@_-"/>
    </dxf>
    <dxf>
      <numFmt numFmtId="170" formatCode="0.0%"/>
    </dxf>
    <dxf>
      <numFmt numFmtId="170" formatCode="0.0%"/>
    </dxf>
    <dxf>
      <numFmt numFmtId="165" formatCode="_-* #,##0_-;\-* #,##0_-;_-* &quot;-&quot;??_-;_-@_-"/>
    </dxf>
    <dxf>
      <numFmt numFmtId="13" formatCode="0%"/>
    </dxf>
    <dxf>
      <numFmt numFmtId="1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numFmt numFmtId="13" formatCode="0%"/>
    </dxf>
    <dxf>
      <alignment horizontal="left" readingOrder="0"/>
    </dxf>
    <dxf>
      <alignment vertical="top" readingOrder="0"/>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numFmt numFmtId="165" formatCode="_-* #,##0_-;\-* #,##0_-;_-* &quot;-&quot;??_-;_-@_-"/>
    </dxf>
    <dxf>
      <alignment horizontal="left" readingOrder="0"/>
    </dxf>
    <dxf>
      <alignment vertical="top" readingOrder="0"/>
    </dxf>
    <dxf>
      <border>
        <vertical style="thin">
          <color indexed="64"/>
        </vertical>
        <horizontal style="thin">
          <color indexed="64"/>
        </horizontal>
      </border>
    </dxf>
    <dxf>
      <border>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numFmt numFmtId="165" formatCode="_-* #,##0_-;\-* #,##0_-;_-* &quot;-&quot;??_-;_-@_-"/>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top style="thin">
          <color indexed="64"/>
        </top>
        <bottom/>
        <vertical/>
        <horizontal/>
      </border>
    </dxf>
    <dxf>
      <font>
        <strike val="0"/>
        <outline val="0"/>
        <shadow val="0"/>
        <u val="none"/>
        <vertAlign val="baseline"/>
        <sz val="11"/>
        <name val="Calibri"/>
        <scheme val="minor"/>
      </font>
      <numFmt numFmtId="1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20" formatCode="dd\-mmm\-yy"/>
      <fill>
        <patternFill patternType="none">
          <fgColor indexed="64"/>
          <bgColor indexed="65"/>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border>
        <bottom style="thin">
          <color indexed="64"/>
        </bottom>
      </border>
    </dxf>
    <dxf>
      <font>
        <strike val="0"/>
        <outline val="0"/>
        <shadow val="0"/>
        <u val="none"/>
        <vertAlign val="baseline"/>
        <sz val="11"/>
        <color auto="1"/>
        <name val="Calibri"/>
        <scheme val="minor"/>
      </font>
      <fill>
        <patternFill patternType="solid">
          <fgColor indexed="64"/>
          <bgColor theme="9" tint="0.399975585192419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border>
        <left style="thin">
          <color indexed="64"/>
        </left>
        <right style="thin">
          <color indexed="64"/>
        </right>
        <top style="thin">
          <color indexed="64"/>
        </top>
        <bottom style="thin">
          <color indexed="64"/>
        </bottom>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ill>
        <patternFill patternType="none">
          <bgColor auto="1"/>
        </patternFill>
      </fill>
    </dxf>
    <dxf>
      <fill>
        <patternFill patternType="none">
          <bgColor auto="1"/>
        </patternFill>
      </fill>
    </dxf>
    <dxf>
      <fill>
        <patternFill patternType="none">
          <bgColor auto="1"/>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font>
        <color theme="0"/>
      </font>
    </dxf>
    <dxf>
      <font>
        <color theme="0"/>
      </font>
    </dxf>
    <dxf>
      <fill>
        <patternFill patternType="solid">
          <bgColor theme="1"/>
        </patternFill>
      </fill>
    </dxf>
    <dxf>
      <fill>
        <patternFill patternType="solid">
          <bgColor theme="1"/>
        </patternFill>
      </fill>
    </dxf>
    <dxf>
      <numFmt numFmtId="165" formatCode="_-* #,##0_-;\-* #,##0_-;_-* &quot;-&quot;??_-;_-@_-"/>
    </dxf>
    <dxf>
      <numFmt numFmtId="165" formatCode="_-* #,##0_-;\-* #,##0_-;_-* &quot;-&quot;??_-;_-@_-"/>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numFmt numFmtId="13" formatCode="0%"/>
    </dxf>
    <dxf>
      <numFmt numFmtId="13" formatCode="0%"/>
    </dxf>
    <dxf>
      <numFmt numFmtId="13" formatCode="0%"/>
    </dxf>
    <dxf>
      <numFmt numFmtId="13" formatCode="0%"/>
    </dxf>
    <dxf>
      <numFmt numFmtId="14" formatCode="0.00%"/>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numFmt numFmtId="165" formatCode="_-* #,##0_-;\-* #,##0_-;_-* &quot;-&quot;??_-;_-@_-"/>
    </dxf>
    <dxf>
      <fill>
        <patternFill>
          <bgColor rgb="FFFFFFFF"/>
        </patternFill>
      </fill>
    </dxf>
    <dxf>
      <fill>
        <patternFill>
          <bgColor rgb="FFFFFFFF"/>
        </patternFill>
      </fill>
    </dxf>
    <dxf>
      <border>
        <left style="thin">
          <color indexed="64"/>
        </left>
        <right style="thin">
          <color indexed="64"/>
        </right>
        <top style="thin">
          <color indexed="64"/>
        </top>
        <bottom style="thin">
          <color indexed="64"/>
        </bottom>
      </border>
    </dxf>
    <dxf>
      <fill>
        <patternFill patternType="solid">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FFFF"/>
        </patternFill>
      </fill>
    </dxf>
    <dxf>
      <fill>
        <patternFill>
          <bgColor rgb="FFFFFFFF"/>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fill>
        <patternFill>
          <bgColor theme="0"/>
        </patternFill>
      </fill>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numFmt numFmtId="171" formatCode="0.0"/>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solid">
          <fgColor indexed="64"/>
          <bgColor rgb="FFFFC000"/>
        </patternFill>
      </fill>
      <alignment horizontal="general" vertical="center" textRotation="0" wrapText="0" indent="0" justifyLastLine="0" shrinkToFit="0" readingOrder="0"/>
    </dxf>
    <dxf>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165" formatCode="_-* #,##0_-;\-* #,##0_-;_-* &quot;-&quot;??_-;_-@_-"/>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3" formatCode="m/d/yyyy"/>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Calibri"/>
        <scheme val="minor"/>
      </font>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color rgb="FFFF0000"/>
      </font>
      <numFmt numFmtId="30" formatCode="@"/>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Calibri"/>
        <scheme val="minor"/>
      </font>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color rgb="FFFF0000"/>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color indexed="8"/>
        <name val="Calibri"/>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dxf>
    <dxf>
      <border>
        <bottom style="medium">
          <color indexed="64"/>
        </bottom>
      </border>
    </dxf>
    <dxf>
      <font>
        <b val="0"/>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0" indent="0" justifyLastLine="0" shrinkToFit="0" readingOrder="0"/>
      <border diagonalUp="0" diagonalDown="0">
        <left/>
        <right/>
        <top/>
        <bottom/>
        <vertical/>
        <horizontal/>
      </border>
    </dxf>
    <dxf>
      <fill>
        <patternFill>
          <bgColor rgb="FFFF0000"/>
        </patternFill>
      </fill>
    </dxf>
    <dxf>
      <fill>
        <patternFill>
          <bgColor rgb="FFFFFF00"/>
        </patternFill>
      </fill>
    </dxf>
    <dxf>
      <fill>
        <patternFill>
          <bgColor rgb="FFFF00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FF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CE6F1"/>
      <color rgb="FFFFFF00"/>
      <color rgb="FFFF0000"/>
      <color rgb="FFFFFFFF"/>
      <color rgb="FFFD2361"/>
      <color rgb="FFFFC800"/>
      <color rgb="FFFFEB00"/>
      <color rgb="FF00FF00"/>
      <color rgb="FFCC00CC"/>
      <color rgb="FFFF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d:schema xmlns:xsd="http://www.w3.org/2001/XMLSchema" xmlns:od="urn:schemas-microsoft-com:officedata" xmlns="">
      <xsd:element name="dataroot">
        <xsd:complexType>
          <xsd:sequence>
            <xsd:element ref="NFI_x0020_Tracking" minOccurs="0" maxOccurs="unbounded"/>
          </xsd:sequence>
          <xsd:attribute name="generated" type="xsd:dateTime"/>
        </xsd:complexType>
      </xsd:element>
      <xsd:element name="NFI_x0020_Tracking">
        <xsd:annotation>
          <xsd:appinfo>
            <od:tableProperty name="GUID" type="9" value="TcbAza8QpEOzy/FC2SMtYg==&#10;"/>
            <od:tableProperty name="Orientation" type="2" value="0"/>
            <od:tableProperty name="OrderByOn" type="1" value="0"/>
            <od:tableProperty name="NameMap" type="11" value="CswOVQAAAABNxsDNrxCkQ7PL8ULZIy1iAAAAALkxZD+TjuRAAAAAAAAAAABOAEYA&#10;SQAgAFQAcgBhAGMAawBpAG4AZwAAAAAAAADgYbebhsGDQ5EB0UGz4p1SBwAAAE3G&#10;wM2vEKRDs8vxQtkjLWJNAG8AbgB0AGgAcwAAAAAAAACm4L3L4ZnAQLCXUUJxaKP7&#10;BwAAAE3GwM2vEKRDs8vxQtkjLWJEAGkAcwB0AHIAaQBiAHUAdABpAG8AbgAgAEQA&#10;YQB0AGUAAAAAAAAAkAo8bwM3bUaTDHwFA5CS/gcAAABNxsDNrxCkQ7PL8ULZIy1i&#10;TwByAGcAYQBuAGkAegBhAHQAaQBvAG4AAAAAAAAArxp3bnhXC0e2ilmlALcGzgcA&#10;AABNxsDNrxCkQ7PL8ULZIy1iSQBtAHAAbABlAG0AZQBuAHQAaQBuAGcAIABQAGEA&#10;cgB0AG4AZQByAAAAAAAAAI4/OGKJvglCkAEUYIUckaIHAAAATcbAza8QpEOzy/FC&#10;2SMtYlMAdABhAHQAZQAAAAAAAACiOHmjZelRTbJLhXAYcv9MBwAAAE3GwM2vEKRD&#10;s8vxQtkjLWJUAG8AdwBuAHMAaABpAHAAAAAAAAAAA0gZol/AaEWovO+PCjZs5gcA&#10;AABNxsDNrxCkQ7PL8ULZIy1iQwBhAG0AcAAgAE4AYQBtAGUAAAAAAAAAaIt2SEKd&#10;ZkmFBw+WLYJZ/gcAAABNxsDNrxCkQ7PL8ULZIy1iSAB5AGcAaQBlAG4AZQAgAEsA&#10;aQB0AAAAAAAAAFtgAovPv0hCm7om6o+K8lQHAAAATcbAza8QpEOzy/FC2SMtYk4A&#10;RgBJACAAQwBvAHIAZQAgAEsAaQB0AAAAAAAAAEuMgBpNOjJMr0+DbqjU77kHAAAA&#10;TcbAza8QpEOzy/FC2SMtYlMAYQBuAGkAdABhAHIAeQAgAEsAaQB0AAAAAAAAAFcN&#10;xxcxN0NDmfTjqYkf6ToHAAAATcbAza8QpEOzy/FC2SMtYk0AbwBzAHEAdQBpAHQA&#10;bwAgAG4AZQB0AAAAAAAAAAaLApB54bNAtQKcjP/tLgEHAAAATcbAza8QpEOzy/FC&#10;2SMtYlQAYQByAHAAYQB1AGwAaQBuAAAAAAAAAJ6U7Y8A4fhGqDG9y00NQAQHAAAA&#10;TcbAza8QpEOzy/FC2SMtYkIAbABhAG4AawBlAHQAAAAAAAAA+Mzc51Rkk0u8BvWq&#10;SuyluQcAAABNxsDNrxCkQ7PL8ULZIy1iSwBpAHQAYwBoAGUAbgAgAFMAZQB0AAAA&#10;AAAAAPRrkdRwZmZNvtgQoAh27vEHAAAATcbAza8QpEOzy/FC2SMtYkMAbABvAHQA&#10;aABlAHMAIABLAGkAdAAAAAAAAAAaHn6Y84wsRI9dPfVzPE5JBwAAAE3GwM2vEKRD&#10;s8vxQtkjLWJQAGwAYQBzAHQAaQBjACAAQgB1AGMAawBlAHQAAAAAAAAAhQ3uR3v4&#10;XUeKN0M/Jf9rggcAAABNxsDNrxCkQ7PL8ULZIy1iUABsAGEAcwB0AGkAYwAgAE0A&#10;YQB0AAAAAAAAAM7OIDpeE4ZIrxiJe0ZytvcHAAAATcbAza8QpEOzy/FC2SMtYlcA&#10;aQBuAHQAZQByACAAQwBsAG8AdABoAGUAcwAgAEEAZAB1AGwAdAAAAAAAAAARiAgH&#10;yWrATLlwtEUFjAW3BwAAAE3GwM2vEKRDs8vxQtkjLWJXAGkAbgB0AGUAcgAgAEMA&#10;bABvAHQAaABlAHMAIABDAGgAaQBsAGQAcgBlAG4AAAAAAAAAK+Pg9peltkSxy24L&#10;a+6C+gcAAABNxsDNrxCkQ7PL8ULZIy1iVwBpAG4AdABlAHIAIABJAHQAZQBtAHMA&#10;IABPAHQAaABlAHIAAAAAAAAATmsHvGhu5UCYnUnwtH54kwcAAABNxsDNrxCkQ7PL&#10;8ULZIy1iVwBpAG4AdABlAHIAIABCAGwAYQBuAGsAZQB0AAAAAAAAAMAWQOVCvR5L&#10;rZRgB5oA/+cHAAAATcbAza8QpEOzy/FC2SMtYkgAeQBnAGkAZQBuAGUAIABLAGkA&#10;dABfAEwAUwAAAAAAAADBoTSfvzTKTa+SN9Xc1b9mBwAAAE3GwM2vEKRDs8vxQtkj&#10;LWJOAEYASQAgAEMAbwByAGUAIABLAGkAdABfAEwAUwAAAAAAAAB2sriDgWXFSajs&#10;HGo9dn8lBwAAAE3GwM2vEKRDs8vxQtkjLWJTAGEAbgBpAHQAYQByAHkAIABLAGkA&#10;dABfAEwAUwAAAAAAAADlsUZD0IbmTKSrUWQWQTyIBwAAAE3GwM2vEKRDs8vxQtkj&#10;LWJNAG8AcwBxAHUAaQB0AG8AIABuAGUAdABfAEwAUwAAAAAAAAAFGAtHQQ5IRqa/&#10;YcMMJmN1BwAAAE3GwM2vEKRDs8vxQtkjLWJUAGEAcgBwAGEAdQBsAGkAbgBfAEwA&#10;UwAAAAAAAADDjgNiq8dxRZch9L+Vn0xPBwAAAE3GwM2vEKRDs8vxQtkjLWJCAGwA&#10;YQBuAGsAZQB0AF8ATABTAAAAAAAAAI1xDylF+kJLlHIprKRNRjoHAAAATcbAza8Q&#10;pEOzy/FC2SMtYksAaQB0AGMAaABlAG4AIABTAGUAdABfAEwAUwAAAAAAAABwBmdq&#10;s7cKQ4K4tK5SlI99BwAAAE3GwM2vEKRDs8vxQtkjLWJDAGwAbwB0AGgAZQBzACAA&#10;SwBpAHQAXwBMAFMAAAAAAAAA/BTztatMVEuJ6GH0UXb3TwcAAABNxsDNrxCkQ7PL&#10;8ULZIy1iUABsAGEAcwB0AGkAYwAgAEIAdQBjAGsAZQB0ACAAXwBMAFMAAAAAAAAA&#10;qzRl5grt0kyMZgUzV8hKXAcAAABNxsDNrxCkQ7PL8ULZIy1iUABsAGEAcwB0AGkA&#10;YwAgACAATQBhAHQAXwBMAFMAAAAAAAAABwkbqvDoiUqptJ8Z9saJlgcAAABNxsDN&#10;rxCkQ7PL8ULZIy1iVwBpAG4AdABlAHIAIABDAGwAbwB0AGgAZQBzACAAQQBkAHUA&#10;bAB0AF8ATABTAAAAAAAAAHZNSIW4RwxFjr0A+0KMtNUHAAAATcbAza8QpEOzy/FC&#10;2SMtYlcAaQBuAHQAZQByACAAQwBsAG8AdABoAGUAcwAgAEMAaABpAGwAZAByAGUA&#10;bgBfAEwAUwAAAAAAAACi86ZcDPspS52PTgnQ9lcaBwAAAE3GwM2vEKRDs8vxQtkj&#10;LWJXAGkAbgB0AGUAcgAgAEkAdABlAG0AcwAgAE8AdABoAGUAcgBfAEwAUwAAAAAA&#10;AABuEJEDlgwlTq23hCKsna+bBwAAAE3GwM2vEKRDs8vxQtkjLWJXAGkAbgB0AGUA&#10;cgAgAEIAbABhAG4AawBlAHQAXwBMAFMAAAAAAAAAGcVs9+FqGkKJnevE199WNAcA&#10;AABNxsDNrxCkQ7PL8ULZIy1iVwBpAG4AdABlAHIAAAAAAAAA+UFRdr69UE683Iv2&#10;OQBW7gcAAABNxsDNrxCkQ7PL8ULZIy1iUABjAG8AZABlAAAAAAAAAOb1ragG2z9F&#10;lC5S4/yj8KEHAAAATcbAza8QpEOzy/FC2SMtYm8AcABlAG4AaQBuAGcAXwBkAGEA&#10;dABlAAAAAAAAAE8VvCE9LudAmlbzx6ssujMHAAAATcbAza8QpEOzy/FC2SMtYlMA&#10;dABhAHQAdQBzAAAAAAAAAMb1dbL74XdIhJVZHtfy7E8HAAAATcbAza8QpEOzy/FC&#10;2SMtYlAAcgBpAG8AcgBpAHQAeQAAAAAAAAD73RmezktYT5t7zgYtHRyTBwAAAE3G&#10;wM2vEKRDs8vxQtkjLWJDAG8AdgBlAHIAYQBnAGUAAAAAAAAAEFIlx8WVmESmIo59&#10;YCYKlgcAAABNxsDNrxCkQ7PL8ULZIy1iUABsAGEAbgBuAGUAZAAgAEQAaQBzAHQA&#10;cgBpAGIAdQB0AGkAbwBuAAAAAAAAAHH3UqYGcQ9MuFHeXWEKgssHAAAATcbAza8Q&#10;pEOzy/FC2SMtYkMAbwBtAG0AZQBuAHQAAAAAAAAAAAAAAAAAAAAAAAAAAAAAAAwA&#10;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Months" minOccurs="0" od:jetType="double" od:sqlSType="float" type="xsd:double">
              <xsd:annotation>
                <xsd:appinfo>
                  <od:fieldProperty name="Format" type="10" value="0"/>
                  <od:fieldProperty name="GUID" type="9" value="4GG3m4bBg0ORAdFBs+Kd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d-mmm-yyyy"/>
                  <od:fieldProperty name="GUID" type="9" value="puC9y+GZwECwl1FCcWij+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kAo8bwM3bUaTDHwFA5C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rxp3bnhXC0e2ilmlALcG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jj84Yom+CUKQARRghRyR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ojh5o2XpUU2yS4VwGHL/T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A0gZol/AaEWovO+PCjZs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aIt2SEKdZkmFBw+WLYJ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W2ACi8+/SEKbuibqj4ry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S4yAGk06MkyvT4NuqNTv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double" od:sqlSType="float" type="xsd:double">
              <xsd:annotation>
                <xsd:appinfo>
                  <od:fieldProperty name="Format" type="10" value="General Number"/>
                  <od:fieldProperty name="GUID" type="9" value="Vw3HFzE3Q0OZ9OOpiR/pO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 minOccurs="0" od:jetType="double" od:sqlSType="float" type="xsd:double">
              <xsd:annotation>
                <xsd:appinfo>
                  <od:fieldProperty name="Format" type="10" value="General Number"/>
                  <od:fieldProperty name="GUID" type="9" value="BosCkHnhs0C1ApyM/+0uA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double" od:sqlSType="float" type="xsd:double">
              <xsd:annotation>
                <xsd:appinfo>
                  <od:fieldProperty name="Format" type="10" value="General Number"/>
                  <od:fieldProperty name="GUID" type="9" value="npTtjwDh+EaoMb3LTQ1AB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 minOccurs="0" od:jetType="double" od:sqlSType="float" type="xsd:double">
              <xsd:annotation>
                <xsd:appinfo>
                  <od:fieldProperty name="Format" type="10" value="General Number"/>
                  <od:fieldProperty name="GUID" type="9" value="+Mzc51Rkk0u8BvWqSuylu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lothes_x0020_Kit" minOccurs="0" od:jetType="double" od:sqlSType="float" type="xsd:double">
              <xsd:annotation>
                <xsd:appinfo>
                  <od:fieldProperty name="Format" type="10" value="General Number"/>
                  <od:fieldProperty name="GUID" type="9" value="9GuR1HBmZk2+2BCgCHbu8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 minOccurs="0" od:jetType="double" od:sqlSType="float" type="xsd:double">
              <xsd:annotation>
                <xsd:appinfo>
                  <od:fieldProperty name="Format" type="10" value="General Number"/>
                  <od:fieldProperty name="GUID" type="9" value="Gh5+mPOMLESPXT31czxOS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Mat" minOccurs="0" od:jetType="double" od:sqlSType="float" type="xsd:double">
              <xsd:annotation>
                <xsd:appinfo>
                  <od:fieldProperty name="Format" type="10" value="General Number"/>
                  <od:fieldProperty name="GUID" type="9" value="hQ3uR3v4XUeKN0M/Jf9rg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Winter_x0020_Clothes_x0020_Adult" minOccurs="0" od:jetType="text" od:sqlSType="nvarchar">
              <xsd:annotation>
                <xsd:appinfo>
                  <od:fieldProperty name="Format" type="10" value="@"/>
                  <od:fieldProperty name="GUID" type="9" value="zs4gOl4ThkivGIl7RnK29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 minOccurs="0" od:jetType="text" od:sqlSType="nvarchar">
              <xsd:annotation>
                <xsd:appinfo>
                  <od:fieldProperty name="Format" type="10" value="@"/>
                  <od:fieldProperty name="GUID" type="9" value="EYgIB8lqwEy5cLRFBYwF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 minOccurs="0" od:jetType="text" od:sqlSType="nvarchar">
              <xsd:annotation>
                <xsd:appinfo>
                  <od:fieldProperty name="Format" type="10" value="@"/>
                  <od:fieldProperty name="GUID" type="9" value="K+Pg9peltkSxy24La+6C+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 minOccurs="0" od:jetType="text" od:sqlSType="nvarchar">
              <xsd:annotation>
                <xsd:appinfo>
                  <od:fieldProperty name="Format" type="10" value="@"/>
                  <od:fieldProperty name="GUID" type="9" value="TmsHvGhu5UCYnUnwtH54k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text" od:sqlSType="nvarchar">
              <xsd:annotation>
                <xsd:appinfo>
                  <od:fieldProperty name="Format" type="10" value="@"/>
                  <od:fieldProperty name="GUID" type="9" value="wBZA5UK9HkutlGAHmgD/5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_LS" minOccurs="0" od:jetType="text" od:sqlSType="nvarchar">
              <xsd:annotation>
                <xsd:appinfo>
                  <od:fieldProperty name="Format" type="10" value="@"/>
                  <od:fieldProperty name="GUID" type="9" value="waE0n780yk2vkjfV3NW/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_LS" minOccurs="0" od:jetType="text" od:sqlSType="nvarchar">
              <xsd:annotation>
                <xsd:appinfo>
                  <od:fieldProperty name="Format" type="10" value="@"/>
                  <od:fieldProperty name="GUID" type="9" value="drK4g4FlxUmo7BxqPXZ/J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_LS" minOccurs="0" od:jetType="text" od:sqlSType="nvarchar">
              <xsd:annotation>
                <xsd:appinfo>
                  <od:fieldProperty name="Format" type="10" value="@"/>
                  <od:fieldProperty name="GUID" type="9" value="5bFGQ9CG5kykq1FkFkE8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_LS" minOccurs="0" od:jetType="text" od:sqlSType="nvarchar">
              <xsd:annotation>
                <xsd:appinfo>
                  <od:fieldProperty name="Format" type="10" value="@"/>
                  <od:fieldProperty name="GUID" type="9" value="BRgLR0EOSEamv2HDDCZjd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Blanket_LS" minOccurs="0" od:jetType="text" od:sqlSType="nvarchar">
              <xsd:annotation>
                <xsd:appinfo>
                  <od:fieldProperty name="Format" type="10" value="@"/>
                  <od:fieldProperty name="GUID" type="9" value="w44DYqvHcUWXIfS/lZ9M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_LS" minOccurs="0" od:jetType="text" od:sqlSType="nvarchar">
              <xsd:annotation>
                <xsd:appinfo>
                  <od:fieldProperty name="Format" type="10" value="@"/>
                  <od:fieldProperty name="GUID" type="9" value="jXEPKUX6QkuUcimspE1G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lothes_x0020_Kit_LS" minOccurs="0" od:jetType="text" od:sqlSType="nvarchar">
              <xsd:annotation>
                <xsd:appinfo>
                  <od:fieldProperty name="Format" type="10" value="@"/>
                  <od:fieldProperty name="GUID" type="9" value="cAZnarO3CkOCuLSuUpSP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_x0020__LS" minOccurs="0" od:jetType="text" od:sqlSType="nvarchar">
              <xsd:annotation>
                <xsd:appinfo>
                  <od:fieldProperty name="Format" type="10" value="@"/>
                  <od:fieldProperty name="GUID" type="9" value="/BTztatMVEuJ6GH0UXb3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_x0020_Mat_LS" minOccurs="0" od:jetType="text" od:sqlSType="nvarchar">
              <xsd:annotation>
                <xsd:appinfo>
                  <od:fieldProperty name="Format" type="10" value="@"/>
                  <od:fieldProperty name="GUID" type="9" value="qzRl5grt0kyMZgUzV8hK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Adult_LS" minOccurs="0" od:jetType="text" od:sqlSType="nvarchar">
              <xsd:annotation>
                <xsd:appinfo>
                  <od:fieldProperty name="Format" type="10" value="@"/>
                  <od:fieldProperty name="GUID" type="9" value="BwkbqvDoiUqptJ8Z9saJ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_LS" minOccurs="0" od:jetType="text" od:sqlSType="nvarchar">
              <xsd:annotation>
                <xsd:appinfo>
                  <od:fieldProperty name="Format" type="10" value="@"/>
                  <od:fieldProperty name="GUID" type="9" value="dk1IhbhHDEWOvQD7Qoy01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_LS" minOccurs="0" od:jetType="text" od:sqlSType="nvarchar">
              <xsd:annotation>
                <xsd:appinfo>
                  <od:fieldProperty name="Format" type="10" value="@"/>
                  <od:fieldProperty name="GUID" type="9" value="ovOmXAz7KUudj04J0PZX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_LS" minOccurs="0" od:jetType="text" od:sqlSType="nvarchar">
              <xsd:annotation>
                <xsd:appinfo>
                  <od:fieldProperty name="Format" type="10" value="@"/>
                  <od:fieldProperty name="GUID" type="9" value="bhCRA5YMJU6tt4QirJ2v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 minOccurs="0" od:jetType="double" od:sqlSType="float" type="xsd:double">
              <xsd:annotation>
                <xsd:appinfo>
                  <od:fieldProperty name="Format" type="10" value="General Number"/>
                  <od:fieldProperty name="GUID" type="9" value="GcVs9+FqGkKJnevE199WN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UFRdr69UE683Iv2OQBW7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date" minOccurs="0" od:jetType="double" od:sqlSType="float" type="xsd:double">
              <xsd:annotation>
                <xsd:appinfo>
                  <od:fieldProperty name="Format" type="10" value="0"/>
                  <od:fieldProperty name="GUID" type="9" value="5vWtqAbbP0WULlLj/KPwo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od:fieldProperty name="GUID" type="9" value="TxW8IT0u50CaVvPHqyy6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
                  <od:fieldProperty name="GUID" type="9" value="xvV1svvhd0iElVke1/Ls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90Zns5LWE+be84GLR0c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Distribution" minOccurs="0" od:jetType="text" od:sqlSType="nvarchar">
              <xsd:annotation>
                <xsd:appinfo>
                  <od:fieldProperty name="Format" type="10" value="@"/>
                  <od:fieldProperty name="GUID" type="9" value="EFIlx8WVmESmIo59YCYK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od:fieldProperty name="GUID" type="9" value="cfdSpgZxD0y4Ud5dYQq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Shelter_x0020_Tracking" minOccurs="0" maxOccurs="unbounded"/>
          </xsd:sequence>
          <xsd:attribute name="generated" type="xsd:dateTime"/>
        </xsd:complexType>
      </xsd:element>
      <xsd:element name="Shelter_x0020_Tracking">
        <xsd:annotation>
          <xsd:appinfo>
            <od:tableProperty name="GUID" type="9" value="YO73FFSW+ECfnr+AeTol5g==&#10;"/>
            <od:tableProperty name="Orientation" type="2" value="0"/>
            <od:tableProperty name="OrderByOn" type="1" value="0"/>
            <od:tableProperty name="NameMap" type="11" value="CswOVQAAAABg7vcUVJb4QJ+ev4B5OiXmAAAAAMLhaACTjuRAAAAAAAAAAABTAGgA&#10;ZQBsAHQAZQByACAAVAByAGEAYwBrAGkAbgBnAAAAAAAAAG388E1NF7dDjS2Wob4K&#10;S2cHAAAAYO73FFSW+ECfnr+AeTol5lUAcABkAGEAdABlACAARABhAHQAZQAAAAAA&#10;AAD/6ip1X4x5R70ifeAHFvcbBwAAAGDu9xRUlvhAn56/gHk6JeZPAHIAZwBhAG4A&#10;aQB6AGEAdABpAG8AbgAAAAAAAADpRsbOITt5ToyvkM+shrYFBwAAAGDu9xRUlvhA&#10;n56/gHk6JeZJAG0AcABsAGUAbQBlAG4AdABpAG4AZwBQAGEAcgB0AG4AZQByAAAA&#10;AAAAAAW0ejRoGrBFtqynbXCKeCoHAAAAYO73FFSW+ECfnr+AeTol5lMAdABhAHQA&#10;ZQAAAAAAAAAEsjOtmHPSQqYLkIlreUdEBwAAAGDu9xRUlvhAn56/gHk6JeZUAG8A&#10;dwBuAHMAaABpAHAAAAAAAAAAMcd3cD+VoUycwTFYazYUPAcAAABg7vcUVJb4QJ+e&#10;v4B5OiXmQwBhAG0AcABOAGEAbQBlAAAAAAAAAF1FB37aMzJKqp3qykVWZKgHAAAA&#10;YO73FFSW+ECfnr+AeTol5kgASABwAGUAcgBTAGgAZQBsAHQAZQByAAAAAAAAAO8f&#10;ylwbVXJIo8SYiJVLvU8HAAAAYO73FFSW+ECfnr+AeTol5iMAbwBmAEYAYQBtAGkA&#10;bAB5AFQAZQBuAHQAUABsAGEAbgBuAGUAZAAoAFQAYQByAGcAZQB0ACkAAAAAAAAA&#10;XNlh419hQECh9iX7YFVsdQcAAABg7vcUVJb4QJ+ev4B5OiXmIwBvAGYARgBhAG0A&#10;aQBsAHkAVABlAG4AdABEAGkAcwB0AHIAaQBiAHUAdABlAGQAAAAAAAAAqmY/fm8d&#10;hEupPMCkvxB9hwcAAABg7vcUVJb4QJ+ev4B5OiXmIwBvAGYAVABlAG0AcABvAHIA&#10;YQByAHkAUwBoAGUAbAB0AGUAcgBVAG4AaQB0AHMAUABsAGEAbgBuAGUAZAAoAFQA&#10;YQByAGcAZQB0ACkAAAAAAAAArgZjs5py5E+5otpreoBGnwcAAABg7vcUVJb4QJ+e&#10;v4B5OiXmIwBvAGYAVABlAG0AcABvAHIAYQByAHkAUwBoAGUAbAB0AGUAcgBVAG4A&#10;aQB0AHMAQgB1AGkAbAB0AAAAAAAAAAm+8np5MG1CqvZbyELeFKEHAAAAYO73FFSW&#10;+ECfnr+AeTol5iMAbwBmAFQAZQBtAHAAbwByAGEAcgB5AFMAaABlAGwAdABlAHIA&#10;VQBuAGQAZQByAEMAbwBuAHMAdAByAHUAYwB0AGkAbwBuAAAAAAAAALzpiGqyMfFK&#10;hiXJakdOZQAHAAAAYO73FFSW+ECfnr+AeTol5iMAbwBmAFAAZQByAG0AYQBuAGUA&#10;bgB0AEgAbwB1AHMAZQBQAGwAYQBuAG4AZQBkACgAVABhAHIAZwBlAHQAKQAAAAAA&#10;AADN8+YOi9T5TqyvSW6Wj4DtBwAAAGDu9xRUlvhAn56/gHk6JeYjAG8AZgBQAGUA&#10;cgBtAGEAbgBlAG4AdABIAG8AdQBzAGUAQgB1AGkAbAB0AAAAAAAAAGicIzVoCG5D&#10;smHzah+JKIoHAAAAYO73FFSW+ECfnr+AeTol5iMAbwBmAFAAZQByAG0AYQBuAGUA&#10;bgB0AEgAbwB1AHMAZQBVAG4AZABlAHIAQwBvAG4AcwB0AHIAdQBjAHQAaQBvAG4A&#10;AAAAAAAA3n3GAbhOfk2NEYszO523CwcAAABg7vcUVJb4QJ+ev4B5OiXmSABIAEMA&#10;bwB2AGUAcgBlAGQAAAAAAAAAOqbmjV0wbk+vF/wzTiDzKAcAAABg7vcUVJb4QJ+e&#10;v4B5OiXmUABsAGEAbgBuAGUAZAAgAFIAZQBuAG8AdgBhAHQAaQBvAG4AAAAAAAAA&#10;F8wsjI8YUkKiy5Gi/ODJYAcAAABg7vcUVJb4QJ+ev4B5OiXmUgBlAG4AbwB2AGEA&#10;dABlAGQAAAAAAAAAYytU2IprSkq+Kbt5ju2mBQcAAABg7vcUVJb4QJ+ev4B5OiXm&#10;UABjAG8AZABlAAAAAAAAAJ4tOSqkrQFIot05SzaZ0N4HAAAAYO73FFSW+ECfnr+A&#10;eTol5lMAdABhAHQAdQBzAAAAAAAAAEVVhwjtxKxErCkaWQAwxVoHAAAAYO73FFSW&#10;+ECfnr+AeTol5kMAbwB2AGUAcgBhAGcAZQAAAAAAAADjR2fivuOPQZzdSAl7hzyv&#10;BwAAAGDu9xRUlvhAn56/gHk6JeZDAG8AbQBtAGUAbgB0AHMAAAAAAAAAAAAAAAAA&#10;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Update_x0020_Date" minOccurs="0" od:jetType="datetime" od:sqlSType="datetime" type="xsd:dateTime">
              <xsd:annotation>
                <xsd:appinfo>
                  <od:fieldProperty name="Format" type="10" value="dd-mmm-yy"/>
                  <od:fieldProperty name="GUID" type="9" value="bfzwTU0Xt0ONLZahvgpLZ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oqdV+MeUe9In3gBxb3G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Partner" minOccurs="0" od:jetType="text" od:sqlSType="nvarchar">
              <xsd:annotation>
                <xsd:appinfo>
                  <od:fieldProperty name="Format" type="10" value="@"/>
                  <od:fieldProperty name="GUID" type="9" value="6UbGziE7eU6Mr5DPrIa2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BbR6NGgasEW2rKdtcIp4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BLIzrZhz0kKmC5CJa3lH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Name" minOccurs="0" od:jetType="text" od:sqlSType="nvarchar">
              <xsd:annotation>
                <xsd:appinfo>
                  <od:fieldProperty name="Format" type="10" value="@"/>
                  <od:fieldProperty name="GUID" type="9" value="Mcd3cD+VoUycwTFYazYU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perShelter" minOccurs="0" od:jetType="double" od:sqlSType="float" type="xsd:double">
              <xsd:annotation>
                <xsd:appinfo>
                  <od:fieldProperty name="Format" type="10" value="General Number"/>
                  <od:fieldProperty name="GUID" type="9" value="XUUHftozMkqqnerKRVZkq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double" od:sqlSType="float" type="xsd:double">
              <xsd:annotation>
                <xsd:appinfo>
                  <od:fieldProperty name="GUID" type="9" value="7x/KXBtVckijxJiIlUu9T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Distributed" minOccurs="0" od:jetType="double" od:sqlSType="float" type="xsd:double">
              <xsd:annotation>
                <xsd:appinfo>
                  <od:fieldProperty name="GUID" type="9" value="XNlh419hQECh9iX7YFVs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Planned_x0028_Target_x0029_" minOccurs="0" od:jetType="double" od:sqlSType="float" type="xsd:double">
              <xsd:annotation>
                <xsd:appinfo>
                  <od:fieldProperty name="GUID" type="9" value="qmY/fm8dhEupPMCkvxB9h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Built" minOccurs="0" od:jetType="double" od:sqlSType="float" type="xsd:double">
              <xsd:annotation>
                <xsd:appinfo>
                  <od:fieldProperty name="GUID" type="9" value="rgZjs5py5E+5otpreoBGn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derConstruction" minOccurs="0" od:jetType="text" od:sqlSType="nvarchar">
              <xsd:annotation>
                <xsd:appinfo>
                  <od:fieldProperty name="GUID" type="9" value="Cb7yenkwbUKq9lvIQt4U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Planned_x0028_Target_x0029_" minOccurs="0" od:jetType="text" od:sqlSType="nvarchar">
              <xsd:annotation>
                <xsd:appinfo>
                  <od:fieldProperty name="GUID" type="9" value="vOmIarIx8UqGJclqR05l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Built" minOccurs="0" od:jetType="text" od:sqlSType="nvarchar">
              <xsd:annotation>
                <xsd:appinfo>
                  <od:fieldProperty name="GUID" type="9" value="zfPmDovU+U6sr0lulo+A7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UnderConstruction" minOccurs="0" od:jetType="text" od:sqlSType="nvarchar">
              <xsd:annotation>
                <xsd:appinfo>
                  <od:fieldProperty name="GUID" type="9" value="aJwjNWgIbkOyYfNqH4koi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Covered" minOccurs="0" od:jetType="double" od:sqlSType="float" type="xsd:double">
              <xsd:annotation>
                <xsd:appinfo>
                  <od:fieldProperty name="Format" type="10" value="General Number"/>
                  <od:fieldProperty name="GUID" type="9" value="3n3GAbhOfk2NEYszO523C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Renovation" minOccurs="0" od:jetType="double" od:sqlSType="float" type="xsd:double">
              <xsd:annotation>
                <xsd:appinfo>
                  <od:fieldProperty name="Format" type="10" value="General Number"/>
                  <od:fieldProperty name="GUID" type="9" value="OqbmjV0wbk+vF/wzTiDzK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novated" minOccurs="0" od:jetType="text" od:sqlSType="nvarchar">
              <xsd:annotation>
                <xsd:appinfo>
                  <od:fieldProperty name="Format" type="10" value="@"/>
                  <od:fieldProperty name="GUID" type="9" value="F8wsjI8YUkKiy5Gi/ODJY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YytU2IprSkq+Kbt5ju2m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i05KqStAUii3TlLNpnQ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RVWHCO3ErESsKRpZADDFW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ments" minOccurs="0" od:jetType="text" od:sqlSType="nvarchar">
              <xsd:annotation>
                <xsd:appinfo>
                  <od:fieldProperty name="Format" type="10" value="@"/>
                  <od:fieldProperty name="GUID" type="9" value="40dn4r7jj0Gc3UgJe4c8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Camp_x0020_List" minOccurs="0" maxOccurs="unbounded"/>
          </xsd:sequence>
          <xsd:attribute name="generated" type="xsd:dateTime"/>
        </xsd:complexType>
      </xsd:element>
      <xsd:element name="Camp_x0020_List">
        <xsd:annotation>
          <xsd:appinfo>
            <od:tableProperty name="GUID" type="9" value="sZcxHH6uv0WIJLdeMotupA==&#10;"/>
            <od:tableProperty name="Orientation" type="2" value="0"/>
            <od:tableProperty name="OrderByOn" type="1" value="0"/>
            <od:tableProperty name="NameMap" type="11" value="CswOVQAAAACxlzEcfq6/RYgkt14yi26kAAAAAD4bGx7ujuRAAAAAAAAAAABDAGEA&#10;bQBwACAATABpAHMAdAAAAAAAAACCnkck0uuwQ669OqGQ2oERBwAAALGXMRx+rr9F&#10;iCS3XjKLbqRTAHQAYQB0AHUAcwAAAAAAAACD4hezTMJ+QLfyeq1ea7dvBwAAALGX&#10;MRx+rr9FiCS3XjKLbqRTAHQAYQB0AGUAAAAAAAAAj/cXMkH89UWKWd8Un/iBiAcA&#10;AACxlzEcfq6/RYgkt14yi26kUwBfAFAAYwBvAGQAZQAAAAAAAABsv5CPay7kTpOq&#10;+udpLfm4BwAAALGXMRx+rr9FiCS3XjKLbqREAGkAcwB0AHIAaQBjAHQAAAAAAAAA&#10;G/B7TXHkNUqBLVFo7MRFMwcAAACxlzEcfq6/RYgkt14yi26kRABfAFAAYwBvAGQA&#10;ZQAAAAAAAACNrOp3eJBHS7L+ERK6XIIKBwAAALGXMRx+rr9FiCS3XjKLbqRUAG8A&#10;dwBuAHMAaABpAHAAAAAAAAAA6z/QUKs0skyTg5B22v+9wwcAAACxlzEcfq6/RYgk&#10;t14yi26kVABfAFAAYwBvAGQAZQAAAAAAAADAPyFICeRtQaGqi1yQs9EIBwAAALGX&#10;MRx+rr9FiCS3XjKLbqRWAGkAbABsAGEAZwBlAFQAcgBhAGMASwBUAG8AdwBuAAAA&#10;AAAAAFO72Ja+tKJFoDIRE3G8KQoHAAAAsZcxHH6uv0WIJLdeMotupFYAVABUAF8A&#10;UABjAG8AZABlAAAAAAAAAF2ptGHGy6JJgADhZFRieugHAAAAsZcxHH6uv0WIJLde&#10;MotupFYAaQBsAGwAYQBnAGUAVwBhAHIAZABfAE4AYQBtAGUAAAAAAAAAZbV1c/kd&#10;nUGZwTSs90INswcAAACxlzEcfq6/RYgkt14yi26kVgBXAF8AUABjAG8AZABlAAAA&#10;AAAAAO6V0XqayrVEgv4aC38xYacHAAAAsZcxHH6uv0WIJLdeMotupEMAYQBtAHAA&#10;AAAAAAAAWOF92M10Dk+aWDCLeRwL+wcAAACxlzEcfq6/RYgkt14yi26kQwBQAF8A&#10;UABjAG8AZABlAAAAAAAAALhl99q2tppMmJAAEGebhn8HAAAAsZcxHH6uv0WIJLde&#10;MotupEwAbwBuAGcAaQB0AHUAZABlAAAAAAAAAO8dfNeJKuhIn6VxqJK8NfQHAAAA&#10;sZcxHH6uv0WIJLdeMotupEwAYQB0AGkAdAB1AGQAZQAAAAAAAAAwhK4iEWlWRJ8E&#10;TyqXstgABwAAALGXMRx+rr9FiCS3XjKLbqRBAGwAdABpAHQAdQBkAGUAAAAAAAAA&#10;JUqY+KaGwE+ruWNWwPyRLgcAAACxlzEcfq6/RYgkt14yi26kSABIAAAAAAAAAHL2&#10;cffS4BtCszqmRKBp4mkHAAAAsZcxHH6uv0WIJLdeMotupFQAbwB0AGEAbAAAAAAA&#10;AADtHgjW4t/9QJGxJy6KKrEdBwAAALGXMRx+rr9FiCS3XjKLbqRBAHYAZwAAAAAA&#10;AADDdLcrbEaWSY1jpuiCzev1BwAAALGXMRx+rr9FiCS3XjKLbqRBAGMAYwBlAHMA&#10;cwBpAGIAaQBsAGkAdAB5AAAAAAAAAFD5EMGbMklKjtAT9RKcMBEHAAAAsZcxHH6u&#10;v0WIJLdeMotupFQAeQBwAGUAIABvAGYAIABBAGMAYwBvAG0AbwBkAGEAdABpAG8A&#10;bgAAAAAAAAD/uItF+gY3Sr8jZTd2BxbEBwAAALGXMRx+rr9FiCS3XjKLbqRUAHkA&#10;cABlACAAbwBmACAATABvAGMAYQB0AGkAbwBuAAAAAAAAAEaI44BdOF5Mtwi/Wr38&#10;YNMHAAAAsZcxHH6uv0WIJLdeMotupEEAZgBmAGUAYwB0AGUAZAAgAFAAbwBwAHUA&#10;bABhAHQAaQBvAG4AAAAAAAAA3VNebSmIg0qA3MBKUpmDvAcAAACxlzEcfq6/RYgk&#10;t14yi26kTwBwAGUAbgBpAG4AZwAgAEQAYQB0AGUAAAAAAAAAlGSU8E/HTUGYzW1h&#10;16eX6QcAAACxlzEcfq6/RYgkt14yi26kQwBNAC8ARgBQAAAAAAAAAFfbmCwqnwBL&#10;lbjXLOq20kMHAAAAsZcxHH6uv0WIJLdeMotupFIAZQBzAHAAbwBuAHMAaQBiAGwA&#10;ZQAgAEEAZwBlAG4AYwB5AAAAAAAAAC6H/eez6dBKrUyTcmfDEf4HAAAAsZcxHH6u&#10;v0WIJLdeMotupFMAbwB1AHIAYwBlAAAAAAAAAKIE4qy8P+ZEoxyYxqTFPWIHAAAA&#10;sZcxHH6uv0WIJLdeMotupE0AZQB0AGgAbwBkAAAAAAAAAASCI6Eeq4RHsmvuFjvF&#10;XjUHAAAAsZcxHH6uv0WIJLdeMotupFUAcABkAGEAdABlACAARABhAHQAZQAAAAAA&#10;AAAk+/YWEcrVRoxde0XlZQ4kBwAAALGXMRx+rr9FiCS3XjKLbqRDAG8AbQBtAGUA&#10;bgB0AAAAAAAAAOeT/Lwbz8pDpqA1w39iLEsHAAAAsZcxHH6uv0WIJLdeMotupFAA&#10;cgBpAG8AcgBpAHQAeQAAAAAAAABhKEOjGG1yQJwEArvucRs9BwAAALGXMRx+rr9F&#10;iCS3XjKLbqRTAGgAZQBsAHQAZQByACAARwBhAHAAAAAAAAAArgql18D+dEyh9P6f&#10;LIx+IgcAAACxlzEcfq6/RYgkt14yi26kTABhAG4AZAAgAFMAdABhAHQAdQBzAAAA&#10;AAAAAKM0DjXyLnNIkQQgYweznrkHAAAAsZcxHH6uv0WIJLdeMotupFMAaABlAGwA&#10;dABlAHIAIABQAG8AcwBzAGkAYgBsAGUAAAAAAAAAWPPGEsqklkCfYTuIUZYzuAcA&#10;AACxlzEcfq6/RYgkt14yi26kTgBlAGEAcgBlAHMAdABfAFQAbwB3AG4AAAAAAAAA&#10;qLwk7jh/K0mrerNlbU1bGQcAAACxlzEcfq6/RYgkt14yi26kRABpAHMAdABhAG4A&#10;YwBlAAAAAAAAAF04KShzBY9MjSkgZVZ6xMkHAAAAsZcxHH6uv0WIJLdeMotupEQA&#10;aQBzAHQAYQBuAGMAZQBfAEMAYQB0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gp5HJNLrsEOuvTqhkNqBEQ==&#10;"/>
                  <od:fieldProperty name="ColumnWidth" type="3" value="-1"/>
                  <od:fieldProperty name="ColumnOrder" type="3" value="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g+IXs0zCfkC38nqtXmu3bw==&#10;"/>
                  <od:fieldProperty name="ColumnWidth" type="3" value="-1"/>
                  <od:fieldProperty name="ColumnOrder" type="3" value="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_Pcode" minOccurs="0" od:jetType="text" od:sqlSType="nvarchar">
              <xsd:annotation>
                <xsd:appinfo>
                  <od:fieldProperty name="Format" type="10" value="@"/>
                  <od:fieldProperty name="GUID" type="9" value="j/cXMkH89UWKWd8Un/iBiA==&#10;"/>
                  <od:fieldProperty name="ColumnWidth" type="3" value="-1"/>
                  <od:fieldProperty name="ColumnOrder" type="3" value="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bL+Qj2su5E6TqvrnaS35uA==&#10;"/>
                  <od:fieldProperty name="ColumnWidth" type="3" value="-1"/>
                  <od:fieldProperty name="ColumnOrder" type="3" value="4"/>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_Pcode" minOccurs="0" od:jetType="text" od:sqlSType="nvarchar">
              <xsd:annotation>
                <xsd:appinfo>
                  <od:fieldProperty name="Format" type="10" value="@"/>
                  <od:fieldProperty name="GUID" type="9" value="G/B7TXHkNUqBLVFo7MRFMw==&#10;"/>
                  <od:fieldProperty name="ColumnWidth" type="3" value="-1"/>
                  <od:fieldProperty name="ColumnOrder" type="3" value="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azqd3iQR0uy/hESulyCCg==&#10;"/>
                  <od:fieldProperty name="ColumnWidth" type="3" value="-1"/>
                  <od:fieldProperty name="ColumnOrder" type="3" value="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_Pcode" minOccurs="0" od:jetType="text" od:sqlSType="nvarchar">
              <xsd:annotation>
                <xsd:appinfo>
                  <od:fieldProperty name="Format" type="10" value="@"/>
                  <od:fieldProperty name="GUID" type="9" value="6z/QUKs0skyTg5B22v+9ww==&#10;"/>
                  <od:fieldProperty name="ColumnWidth" type="3" value="-1"/>
                  <od:fieldProperty name="ColumnOrder" type="3" value="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 minOccurs="0" od:jetType="text" od:sqlSType="nvarchar">
              <xsd:annotation>
                <xsd:appinfo>
                  <od:fieldProperty name="Format" type="10" value="@"/>
                  <od:fieldProperty name="GUID" type="9" value="wD8hSAnkbUGhqotckLPRCA==&#10;"/>
                  <od:fieldProperty name="ColumnWidth" type="3" value="-1"/>
                  <od:fieldProperty name="ColumnOrder" type="3" value="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TT_Pcode" minOccurs="0" od:jetType="text" od:sqlSType="nvarchar">
              <xsd:annotation>
                <xsd:appinfo>
                  <od:fieldProperty name="Format" type="10" value="@"/>
                  <od:fieldProperty name="GUID" type="9" value="U7vYlr60okWgMhETcbwpCg==&#10;"/>
                  <od:fieldProperty name="ColumnWidth" type="3" value="-1"/>
                  <od:fieldProperty name="ColumnOrder" type="3" value="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Xam0YcbLokmAAOFkVGJ66A==&#10;"/>
                  <od:fieldProperty name="ColumnWidth" type="3" value="-1"/>
                  <od:fieldProperty name="ColumnOrder" type="3" value="1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W_Pcode" minOccurs="0" od:jetType="text" od:sqlSType="nvarchar">
              <xsd:annotation>
                <xsd:appinfo>
                  <od:fieldProperty name="Format" type="10" value="@"/>
                  <od:fieldProperty name="GUID" type="9" value="ZbV1c/kdnUGZwTSs90INsw==&#10;"/>
                  <od:fieldProperty name="ColumnWidth" type="3" value="-1"/>
                  <od:fieldProperty name="ColumnOrder" type="3" value="1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7pXReprKtUSC/hoLfzFhpw==&#10;"/>
                  <od:fieldProperty name="ColumnWidth" type="3" value="-1"/>
                  <od:fieldProperty name="ColumnOrder" type="3" value="1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P_Pcode" minOccurs="0" od:jetType="text" od:sqlSType="nvarchar">
              <xsd:annotation>
                <xsd:appinfo>
                  <od:fieldProperty name="Format" type="10" value="@"/>
                  <od:fieldProperty name="GUID" type="9" value="WOF92M10Dk+aWDCLeRwL+w==&#10;"/>
                  <od:fieldProperty name="ColumnWidth" type="3" value="-1"/>
                  <od:fieldProperty name="ColumnOrder" type="3" value="1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uGX32ra2mkyYkAAQZ5uGfw==&#10;"/>
                  <od:fieldProperty name="ColumnWidth" type="3" value="-1"/>
                  <od:fieldProperty name="ColumnOrder" type="3" value="1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7x1814kq6EifpXGokrw19A==&#10;"/>
                  <od:fieldProperty name="ColumnWidth" type="3" value="-1"/>
                  <od:fieldProperty name="ColumnOrder" type="3" value="1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double" od:sqlSType="float" type="xsd:double">
              <xsd:annotation>
                <xsd:appinfo>
                  <od:fieldProperty name="Format" type="10" value="0"/>
                  <od:fieldProperty name="GUID" type="9" value="MISuIhFpVkSfBE8ql7LYAA==&#10;"/>
                  <od:fieldProperty name="ColumnWidth" type="3" value="-1"/>
                  <od:fieldProperty name="ColumnOrder" type="3" value="16"/>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 minOccurs="0" od:jetType="double" od:sqlSType="float" type="xsd:double">
              <xsd:annotation>
                <xsd:appinfo>
                  <od:fieldProperty name="Format" type="10" value="General Number"/>
                  <od:fieldProperty name="GUID" type="9" value="JUqY+KaGwE+ruWNWwPyRLg==&#10;"/>
                  <od:fieldProperty name="ColumnWidth" type="3" value="-1"/>
                  <od:fieldProperty name="ColumnOrder" type="3" value="17"/>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General Number"/>
                  <od:fieldProperty name="GUID" type="9" value="cvZx99LgG0KzOqZEoGniaQ==&#10;"/>
                  <od:fieldProperty name="ColumnWidth" type="3" value="-1"/>
                  <od:fieldProperty name="ColumnOrder" type="3" value="18"/>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text" od:sqlSType="nvarchar">
              <xsd:annotation>
                <xsd:appinfo>
                  <od:fieldProperty name="Format" type="10" value="Fixed"/>
                  <od:fieldProperty name="GUID" type="9" value="7R4I1uLf/UCRsScuiiqxHQ==&#10;"/>
                  <od:fieldProperty name="ColumnWidth" type="3" value="-1"/>
                  <od:fieldProperty name="ColumnOrder" type="3" value="1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ccessibility" minOccurs="0" od:jetType="text" od:sqlSType="nvarchar">
              <xsd:annotation>
                <xsd:appinfo>
                  <od:fieldProperty name="Format" type="10" value="@"/>
                  <od:fieldProperty name="GUID" type="9" value="w3S3K2xGlkmNY6bogs3r9Q==&#10;"/>
                  <od:fieldProperty name="ColumnWidth" type="3" value="-1"/>
                  <od:fieldProperty name="ColumnOrder" type="3" value="2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UPkQwZsySUqO0BP1EpwwEQ==&#10;"/>
                  <od:fieldProperty name="ColumnWidth" type="3" value="-1"/>
                  <od:fieldProperty name="ColumnOrder" type="3" value="2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Location" minOccurs="0" od:jetType="text" od:sqlSType="nvarchar">
              <xsd:annotation>
                <xsd:appinfo>
                  <od:fieldProperty name="Format" type="10" value="@"/>
                  <od:fieldProperty name="GUID" type="9" value="/7iLRfoGN0q/I2U3dgcWxA==&#10;"/>
                  <od:fieldProperty name="ColumnWidth" type="3" value="-1"/>
                  <od:fieldProperty name="ColumnOrder" type="3" value="2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ojjgF04Xky3CL9avfxg0w==&#10;"/>
                  <od:fieldProperty name="ColumnWidth" type="3" value="2595"/>
                  <od:fieldProperty name="ColumnOrder" type="3" value="2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datetime" od:sqlSType="datetime" type="xsd:dateTime">
              <xsd:annotation>
                <xsd:appinfo>
                  <od:fieldProperty name="Format" type="10" value="yyyy-mm-dd"/>
                  <od:fieldProperty name="GUID" type="9" value="3VNebSmIg0qA3MBKUpmDvA==&#10;"/>
                  <od:fieldProperty name="ColumnWidth" type="3" value="-1"/>
                  <od:fieldProperty name="ColumnOrder" type="3" value="24"/>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M_x002F_FP" minOccurs="0" od:jetType="double" od:sqlSType="float" type="xsd:double">
              <xsd:annotation>
                <xsd:appinfo>
                  <od:fieldProperty name="Format" type="10" value="0"/>
                  <od:fieldProperty name="GUID" type="9" value="lGSU8E/HTUGYzW1h16eX6Q==&#10;"/>
                  <od:fieldProperty name="ColumnWidth" type="3" value="-1"/>
                  <od:fieldProperty name="ColumnOrder" type="3" value="2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sponsible_x0020_Agency" minOccurs="0" od:jetType="text" od:sqlSType="nvarchar">
              <xsd:annotation>
                <xsd:appinfo>
                  <od:fieldProperty name="Format" type="10" value="@"/>
                  <od:fieldProperty name="GUID" type="9" value="V9uYLCqfAEuVuNcs6rbSQw==&#10;"/>
                  <od:fieldProperty name="ColumnWidth" type="3" value="-1"/>
                  <od:fieldProperty name="ColumnOrder" type="3" value="2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Lof957Pp0EqtTJNyZ8MR/g==&#10;"/>
                  <od:fieldProperty name="ColumnWidth" type="3" value="-1"/>
                  <od:fieldProperty name="ColumnOrder" type="3" value="2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ogTirLw/5kSjHJjGpMU9Yg==&#10;"/>
                  <od:fieldProperty name="ColumnWidth" type="3" value="-1"/>
                  <od:fieldProperty name="ColumnOrder" type="3" value="2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IIjoR6rhEeya+4WO8VeNQ==&#10;"/>
                  <od:fieldProperty name="ColumnWidth" type="3" value="-1"/>
                  <od:fieldProperty name="ColumnOrder" type="3" value="29"/>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JPv2FhHK1UaMXXtF5WUOJA==&#10;"/>
                  <od:fieldProperty name="ColumnWidth" type="3" value="-1"/>
                  <od:fieldProperty name="ColumnOrder" type="3" value="3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0"/>
                  <od:fieldProperty name="GUID" type="9" value="55P8vBvPykOmoDXDf2IsSw==&#10;"/>
                  <od:fieldProperty name="ColumnWidth" type="3" value="-1"/>
                  <od:fieldProperty name="ColumnOrder" type="3" value="3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Gap" minOccurs="0" od:jetType="double" od:sqlSType="float" type="xsd:double">
              <xsd:annotation>
                <xsd:appinfo>
                  <od:fieldProperty name="Format" type="10" value="General Number"/>
                  <od:fieldProperty name="GUID" type="9" value="YShDoxhtckCcBAK77nEbPQ==&#10;"/>
                  <od:fieldProperty name="ColumnWidth" type="3" value="-1"/>
                  <od:fieldProperty name="ColumnOrder" type="3" value="32"/>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nd_x0020_Status" minOccurs="0" od:jetType="text" od:sqlSType="nvarchar">
              <xsd:annotation>
                <xsd:appinfo>
                  <od:fieldProperty name="Format" type="10" value="@"/>
                  <od:fieldProperty name="GUID" type="9" value="rgql18D+dEyh9P6fLIx+Ig==&#10;"/>
                  <od:fieldProperty name="ColumnWidth" type="3" value="-1"/>
                  <od:fieldProperty name="ColumnOrder" type="3" value="3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Possible" minOccurs="0" od:jetType="double" od:sqlSType="float" type="xsd:double">
              <xsd:annotation>
                <xsd:appinfo>
                  <od:fieldProperty name="Format" type="10" value="General Number"/>
                  <od:fieldProperty name="GUID" type="9" value="ozQONfIuc0iRBCBjB7OeuQ==&#10;"/>
                  <od:fieldProperty name="ColumnWidth" type="3" value="-1"/>
                  <od:fieldProperty name="ColumnOrder" type="3" value="3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earest_Town" minOccurs="0" od:jetType="text" od:sqlSType="nvarchar">
              <xsd:annotation>
                <xsd:appinfo>
                  <od:fieldProperty name="Format" type="10" value="@"/>
                  <od:fieldProperty name="GUID" type="9" value="WPPGEsqklkCfYTuIUZYzuA==&#10;"/>
                  <od:fieldProperty name="ColumnWidth" type="3" value="-1"/>
                  <od:fieldProperty name="ColumnOrder" type="3" value="3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 minOccurs="0" od:jetType="text" od:sqlSType="nvarchar">
              <xsd:annotation>
                <xsd:appinfo>
                  <od:fieldProperty name="Format" type="10" value="* #,##0;-* #,##0;* -00"/>
                  <od:fieldProperty name="GUID" type="9" value="qLwk7jh/K0mrerNlbU1bGQ==&#10;"/>
                  <od:fieldProperty name="ColumnWidth" type="3" value="-1"/>
                  <od:fieldProperty name="ColumnOrder" type="3" value="3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_Cat" minOccurs="0" od:jetType="text" od:sqlSType="nvarchar">
              <xsd:annotation>
                <xsd:appinfo>
                  <od:fieldProperty name="Format" type="10" value="@"/>
                  <od:fieldProperty name="GUID" type="9" value="XTgpKHMFj0yNKSBlVnrEyQ==&#10;"/>
                  <od:fieldProperty name="ColumnWidth" type="3" value="-1"/>
                  <od:fieldProperty name="ColumnOrder" type="3" value="3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Map ID="11" Name="CampList_Map" RootElement="dataroot" SchemaID="Schema5" ShowImportExportValidationErrors="false" AutoFit="true" Append="false" PreserveSortAFLayout="true" PreserveFormat="true"/>
  <Map ID="8" Name="NFITracking_Map" RootElement="dataroot" SchemaID="Schema3" ShowImportExportValidationErrors="false" AutoFit="true" Append="false" PreserveSortAFLayout="true" PreserveFormat="true"/>
  <Map ID="9" Name="ShelterTracking_Map" RootElement="dataroot" SchemaID="Schema4"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3.xml"/><Relationship Id="rId39" Type="http://schemas.openxmlformats.org/officeDocument/2006/relationships/customXml" Target="../customXml/item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42" Type="http://schemas.openxmlformats.org/officeDocument/2006/relationships/customXml" Target="../customXml/item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33" Type="http://schemas.openxmlformats.org/officeDocument/2006/relationships/customXml" Target="../customXml/item2.xml"/><Relationship Id="rId38" Type="http://schemas.openxmlformats.org/officeDocument/2006/relationships/customXml" Target="../customXml/item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41"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4.xml"/><Relationship Id="rId30" Type="http://schemas.openxmlformats.org/officeDocument/2006/relationships/sharedStrings" Target="sharedStrings.xml"/><Relationship Id="rId35" Type="http://schemas.openxmlformats.org/officeDocument/2006/relationships/customXml" Target="../customXml/item4.xml"/><Relationship Id="rId43" Type="http://schemas.openxmlformats.org/officeDocument/2006/relationships/xmlMaps" Target="xmlMap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january 2016.xlsx]Camp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Kachin &amp; Northern Shan States </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layout>
        <c:manualLayout>
          <c:xMode val="edge"/>
          <c:yMode val="edge"/>
          <c:x val="0.17802355264037256"/>
          <c:y val="2.9020565069248325E-3"/>
        </c:manualLayout>
      </c:layout>
      <c:overlay val="0"/>
    </c:title>
    <c:autoTitleDeleted val="0"/>
    <c:pivotFmts>
      <c:pivotFmt>
        <c:idx val="0"/>
      </c:pivotFmt>
      <c:pivotFmt>
        <c:idx val="1"/>
      </c:pivotFmt>
      <c:pivotFmt>
        <c:idx val="2"/>
      </c:pivotFmt>
      <c:pivotFmt>
        <c:idx val="3"/>
        <c:marker>
          <c:symbol val="none"/>
        </c:marker>
      </c:pivotFmt>
    </c:pivotFmts>
    <c:plotArea>
      <c:layout>
        <c:manualLayout>
          <c:layoutTarget val="inner"/>
          <c:xMode val="edge"/>
          <c:yMode val="edge"/>
          <c:x val="0.18959818142938484"/>
          <c:y val="0.13559827434694499"/>
          <c:w val="0.75948171769126471"/>
          <c:h val="0.77055567472927888"/>
        </c:manualLayout>
      </c:layout>
      <c:barChart>
        <c:barDir val="bar"/>
        <c:grouping val="clustered"/>
        <c:varyColors val="0"/>
        <c:ser>
          <c:idx val="0"/>
          <c:order val="0"/>
          <c:tx>
            <c:strRef>
              <c:f>'Camp Analysis'!$Q$11</c:f>
              <c:strCache>
                <c:ptCount val="1"/>
                <c:pt idx="0">
                  <c:v>Total</c:v>
                </c:pt>
              </c:strCache>
            </c:strRef>
          </c:tx>
          <c:invertIfNegative val="0"/>
          <c:cat>
            <c:multiLvlStrRef>
              <c:f>'Camp Analysis'!$P$12:$P$45</c:f>
              <c:multiLvlStrCache>
                <c:ptCount val="21"/>
                <c:lvl>
                  <c:pt idx="0">
                    <c:v>Bhamo</c:v>
                  </c:pt>
                  <c:pt idx="1">
                    <c:v>Chipwi</c:v>
                  </c:pt>
                  <c:pt idx="2">
                    <c:v>Hpakant</c:v>
                  </c:pt>
                  <c:pt idx="3">
                    <c:v>Hseni</c:v>
                  </c:pt>
                  <c:pt idx="4">
                    <c:v>Injangyang</c:v>
                  </c:pt>
                  <c:pt idx="5">
                    <c:v>Khaunglanhpu</c:v>
                  </c:pt>
                  <c:pt idx="6">
                    <c:v>Machanbaw</c:v>
                  </c:pt>
                  <c:pt idx="7">
                    <c:v>Manton</c:v>
                  </c:pt>
                  <c:pt idx="8">
                    <c:v>Mogaung</c:v>
                  </c:pt>
                  <c:pt idx="9">
                    <c:v>Mohnyin</c:v>
                  </c:pt>
                  <c:pt idx="10">
                    <c:v>Muse</c:v>
                  </c:pt>
                  <c:pt idx="11">
                    <c:v>Namtu</c:v>
                  </c:pt>
                  <c:pt idx="12">
                    <c:v>Puta-O</c:v>
                  </c:pt>
                  <c:pt idx="13">
                    <c:v>Shwegu</c:v>
                  </c:pt>
                  <c:pt idx="14">
                    <c:v>Sumprabum</c:v>
                  </c:pt>
                  <c:pt idx="15">
                    <c:v>Kutkai</c:v>
                  </c:pt>
                  <c:pt idx="16">
                    <c:v>Mansi</c:v>
                  </c:pt>
                  <c:pt idx="17">
                    <c:v>Momauk</c:v>
                  </c:pt>
                  <c:pt idx="18">
                    <c:v>Myitkyina</c:v>
                  </c:pt>
                  <c:pt idx="19">
                    <c:v>Namhkan</c:v>
                  </c:pt>
                  <c:pt idx="20">
                    <c:v>Waingmaw</c:v>
                  </c:pt>
                </c:lvl>
                <c:lvl>
                  <c:pt idx="0">
                    <c:v>Bhamo</c:v>
                  </c:pt>
                  <c:pt idx="1">
                    <c:v>Chipwi</c:v>
                  </c:pt>
                  <c:pt idx="2">
                    <c:v>Hpakant</c:v>
                  </c:pt>
                  <c:pt idx="3">
                    <c:v>Hseni</c:v>
                  </c:pt>
                  <c:pt idx="4">
                    <c:v>Injangyang</c:v>
                  </c:pt>
                  <c:pt idx="5">
                    <c:v>Group1</c:v>
                  </c:pt>
                  <c:pt idx="15">
                    <c:v>Kutkai</c:v>
                  </c:pt>
                  <c:pt idx="16">
                    <c:v>Mansi</c:v>
                  </c:pt>
                  <c:pt idx="17">
                    <c:v>Momauk</c:v>
                  </c:pt>
                  <c:pt idx="18">
                    <c:v>Myitkyina</c:v>
                  </c:pt>
                  <c:pt idx="19">
                    <c:v>Namhkan</c:v>
                  </c:pt>
                  <c:pt idx="20">
                    <c:v>Waingmaw</c:v>
                  </c:pt>
                </c:lvl>
              </c:multiLvlStrCache>
            </c:multiLvlStrRef>
          </c:cat>
          <c:val>
            <c:numRef>
              <c:f>'Camp Analysis'!$Q$12:$Q$45</c:f>
              <c:numCache>
                <c:formatCode>General</c:formatCode>
                <c:ptCount val="21"/>
                <c:pt idx="0">
                  <c:v>8110</c:v>
                </c:pt>
                <c:pt idx="1">
                  <c:v>2570</c:v>
                </c:pt>
                <c:pt idx="2">
                  <c:v>3566</c:v>
                </c:pt>
                <c:pt idx="3">
                  <c:v>665</c:v>
                </c:pt>
                <c:pt idx="4">
                  <c:v>0</c:v>
                </c:pt>
                <c:pt idx="5">
                  <c:v>17</c:v>
                </c:pt>
                <c:pt idx="6">
                  <c:v>0</c:v>
                </c:pt>
                <c:pt idx="7">
                  <c:v>347</c:v>
                </c:pt>
                <c:pt idx="8">
                  <c:v>477</c:v>
                </c:pt>
                <c:pt idx="9">
                  <c:v>416</c:v>
                </c:pt>
                <c:pt idx="10">
                  <c:v>1090</c:v>
                </c:pt>
                <c:pt idx="11">
                  <c:v>561</c:v>
                </c:pt>
                <c:pt idx="12">
                  <c:v>344</c:v>
                </c:pt>
                <c:pt idx="13">
                  <c:v>2166</c:v>
                </c:pt>
                <c:pt idx="14">
                  <c:v>1232</c:v>
                </c:pt>
                <c:pt idx="15">
                  <c:v>3409</c:v>
                </c:pt>
                <c:pt idx="16">
                  <c:v>12558</c:v>
                </c:pt>
                <c:pt idx="17">
                  <c:v>24578</c:v>
                </c:pt>
                <c:pt idx="18">
                  <c:v>7415</c:v>
                </c:pt>
                <c:pt idx="19">
                  <c:v>1896</c:v>
                </c:pt>
                <c:pt idx="20">
                  <c:v>28846</c:v>
                </c:pt>
              </c:numCache>
            </c:numRef>
          </c:val>
        </c:ser>
        <c:dLbls>
          <c:showLegendKey val="0"/>
          <c:showVal val="0"/>
          <c:showCatName val="0"/>
          <c:showSerName val="0"/>
          <c:showPercent val="0"/>
          <c:showBubbleSize val="0"/>
        </c:dLbls>
        <c:gapWidth val="150"/>
        <c:axId val="308409576"/>
        <c:axId val="308409968"/>
      </c:barChart>
      <c:catAx>
        <c:axId val="308409576"/>
        <c:scaling>
          <c:orientation val="minMax"/>
        </c:scaling>
        <c:delete val="0"/>
        <c:axPos val="l"/>
        <c:numFmt formatCode="General" sourceLinked="0"/>
        <c:majorTickMark val="out"/>
        <c:minorTickMark val="none"/>
        <c:tickLblPos val="nextTo"/>
        <c:crossAx val="308409968"/>
        <c:crosses val="autoZero"/>
        <c:auto val="1"/>
        <c:lblAlgn val="ctr"/>
        <c:lblOffset val="100"/>
        <c:noMultiLvlLbl val="1"/>
      </c:catAx>
      <c:valAx>
        <c:axId val="308409968"/>
        <c:scaling>
          <c:orientation val="minMax"/>
        </c:scaling>
        <c:delete val="0"/>
        <c:axPos val="b"/>
        <c:majorGridlines/>
        <c:numFmt formatCode="General" sourceLinked="1"/>
        <c:majorTickMark val="out"/>
        <c:minorTickMark val="none"/>
        <c:tickLblPos val="nextTo"/>
        <c:crossAx val="308409576"/>
        <c:crosses val="autoZero"/>
        <c:crossBetween val="between"/>
        <c:dispUnits>
          <c:builtInUnit val="thousands"/>
          <c:dispUnitsLbl/>
        </c:dispUnits>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10267035245554"/>
          <c:y val="0.12384638035160944"/>
          <c:w val="0.3389589174721096"/>
          <c:h val="0.84739662382217174"/>
        </c:manualLayout>
      </c:layout>
      <c:pieChart>
        <c:varyColors val="1"/>
        <c:ser>
          <c:idx val="0"/>
          <c:order val="0"/>
          <c:dPt>
            <c:idx val="0"/>
            <c:bubble3D val="0"/>
            <c:spPr>
              <a:solidFill>
                <a:schemeClr val="accent6">
                  <a:lumMod val="20000"/>
                  <a:lumOff val="80000"/>
                </a:schemeClr>
              </a:solidFill>
            </c:spPr>
          </c:dPt>
          <c:dPt>
            <c:idx val="1"/>
            <c:bubble3D val="0"/>
            <c:spPr>
              <a:solidFill>
                <a:schemeClr val="accent6">
                  <a:lumMod val="60000"/>
                  <a:lumOff val="40000"/>
                </a:schemeClr>
              </a:solidFill>
            </c:spPr>
          </c:dPt>
          <c:dPt>
            <c:idx val="2"/>
            <c:bubble3D val="0"/>
            <c:spPr>
              <a:solidFill>
                <a:schemeClr val="accent6">
                  <a:lumMod val="75000"/>
                </a:schemeClr>
              </a:solidFill>
            </c:spPr>
          </c:dPt>
          <c:dPt>
            <c:idx val="3"/>
            <c:bubble3D val="0"/>
            <c:spPr>
              <a:solidFill>
                <a:schemeClr val="accent6">
                  <a:lumMod val="50000"/>
                </a:schemeClr>
              </a:solidFill>
            </c:spPr>
          </c:dPt>
          <c:dLbls>
            <c:dLbl>
              <c:idx val="1"/>
              <c:layout>
                <c:manualLayout>
                  <c:x val="7.5798785959581456E-3"/>
                  <c:y val="-0.17775008352198393"/>
                </c:manualLayout>
              </c:layou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'CCCM Dashboard'!$AL$6:$AO$6</c:f>
              <c:strCache>
                <c:ptCount val="4"/>
                <c:pt idx="0">
                  <c:v>1-100</c:v>
                </c:pt>
                <c:pt idx="1">
                  <c:v>100-1k</c:v>
                </c:pt>
                <c:pt idx="2">
                  <c:v>1k-5k</c:v>
                </c:pt>
                <c:pt idx="3">
                  <c:v>5k-10k</c:v>
                </c:pt>
              </c:strCache>
            </c:strRef>
          </c:cat>
          <c:val>
            <c:numRef>
              <c:f>'CCCM Dashboard'!$AL$29:$AO$29</c:f>
              <c:numCache>
                <c:formatCode>0%</c:formatCode>
                <c:ptCount val="4"/>
                <c:pt idx="0">
                  <c:v>2.1635894920313526E-2</c:v>
                </c:pt>
                <c:pt idx="1">
                  <c:v>0.40205400102282574</c:v>
                </c:pt>
                <c:pt idx="2">
                  <c:v>0.41258493106363436</c:v>
                </c:pt>
                <c:pt idx="3">
                  <c:v>0.16372517299322639</c:v>
                </c:pt>
              </c:numCache>
            </c:numRef>
          </c:val>
        </c:ser>
        <c:dLbls>
          <c:showLegendKey val="0"/>
          <c:showVal val="0"/>
          <c:showCatName val="0"/>
          <c:showSerName val="0"/>
          <c:showPercent val="1"/>
          <c:showBubbleSize val="0"/>
          <c:showLeaderLines val="1"/>
        </c:dLbls>
        <c:firstSliceAng val="0"/>
      </c:pieChart>
      <c:spPr>
        <a:noFill/>
      </c:spPr>
    </c:plotArea>
    <c:legend>
      <c:legendPos val="t"/>
      <c:layout>
        <c:manualLayout>
          <c:xMode val="edge"/>
          <c:yMode val="edge"/>
          <c:x val="0.5423475469625233"/>
          <c:y val="0.15856269275199508"/>
          <c:w val="0.41963903879643244"/>
          <c:h val="0.78717706568002177"/>
        </c:manualLayout>
      </c:layout>
      <c:overlay val="0"/>
      <c:txPr>
        <a:bodyPr/>
        <a:lstStyle/>
        <a:p>
          <a:pPr rtl="0">
            <a:defRPr/>
          </a:pPr>
          <a:endParaRPr lang="en-US"/>
        </a:p>
      </c:txPr>
    </c:legend>
    <c:plotVisOnly val="1"/>
    <c:dispBlanksAs val="gap"/>
    <c:showDLblsOverMax val="0"/>
  </c:chart>
  <c:spPr>
    <a:solidFill>
      <a:schemeClr val="bg1">
        <a:alpha val="50000"/>
      </a:schemeClr>
    </a:solidFill>
    <a:ln>
      <a:noFill/>
    </a:ln>
  </c:sp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5031407086608"/>
          <c:y val="0.15663962176887972"/>
          <c:w val="0.8588819417282495"/>
          <c:h val="0.5499497192339885"/>
        </c:manualLayout>
      </c:layout>
      <c:barChart>
        <c:barDir val="col"/>
        <c:grouping val="stacked"/>
        <c:varyColors val="0"/>
        <c:ser>
          <c:idx val="3"/>
          <c:order val="0"/>
          <c:tx>
            <c:strRef>
              <c:f>'CCCM Dashboard'!$AL$35</c:f>
              <c:strCache>
                <c:ptCount val="1"/>
                <c:pt idx="0">
                  <c:v>1-100</c:v>
                </c:pt>
              </c:strCache>
            </c:strRef>
          </c:tx>
          <c:invertIfNegative val="0"/>
          <c:cat>
            <c:strRef>
              <c:f>'CCCM Dashboard'!$AK$36:$AK$56</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Dashboard'!$AL$36:$AL$56</c:f>
              <c:numCache>
                <c:formatCode>_-* #,##0_-;\-* #,##0_-;_-* "-"??_-;_-@_-</c:formatCode>
                <c:ptCount val="21"/>
                <c:pt idx="0">
                  <c:v>3</c:v>
                </c:pt>
                <c:pt idx="1">
                  <c:v>0</c:v>
                </c:pt>
                <c:pt idx="2">
                  <c:v>10</c:v>
                </c:pt>
                <c:pt idx="3">
                  <c:v>0</c:v>
                </c:pt>
                <c:pt idx="4">
                  <c:v>0</c:v>
                </c:pt>
                <c:pt idx="5">
                  <c:v>1</c:v>
                </c:pt>
                <c:pt idx="6">
                  <c:v>0</c:v>
                </c:pt>
                <c:pt idx="7">
                  <c:v>0</c:v>
                </c:pt>
                <c:pt idx="8">
                  <c:v>0</c:v>
                </c:pt>
                <c:pt idx="9">
                  <c:v>0</c:v>
                </c:pt>
                <c:pt idx="10">
                  <c:v>5</c:v>
                </c:pt>
                <c:pt idx="11">
                  <c:v>2</c:v>
                </c:pt>
                <c:pt idx="12">
                  <c:v>6</c:v>
                </c:pt>
                <c:pt idx="13">
                  <c:v>1</c:v>
                </c:pt>
                <c:pt idx="14">
                  <c:v>5</c:v>
                </c:pt>
                <c:pt idx="15">
                  <c:v>0</c:v>
                </c:pt>
                <c:pt idx="16">
                  <c:v>1</c:v>
                </c:pt>
                <c:pt idx="17">
                  <c:v>2</c:v>
                </c:pt>
                <c:pt idx="18">
                  <c:v>1</c:v>
                </c:pt>
                <c:pt idx="19">
                  <c:v>1</c:v>
                </c:pt>
                <c:pt idx="20">
                  <c:v>1</c:v>
                </c:pt>
              </c:numCache>
            </c:numRef>
          </c:val>
        </c:ser>
        <c:ser>
          <c:idx val="0"/>
          <c:order val="1"/>
          <c:tx>
            <c:strRef>
              <c:f>'CCCM Dashboard'!$AM$35</c:f>
              <c:strCache>
                <c:ptCount val="1"/>
                <c:pt idx="0">
                  <c:v>100-1k</c:v>
                </c:pt>
              </c:strCache>
            </c:strRef>
          </c:tx>
          <c:spPr>
            <a:solidFill>
              <a:srgbClr val="FFC000"/>
            </a:solidFill>
          </c:spPr>
          <c:invertIfNegative val="0"/>
          <c:cat>
            <c:strRef>
              <c:f>'CCCM Dashboard'!$AK$36:$AK$56</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Dashboard'!$AM$36:$AM$56</c:f>
              <c:numCache>
                <c:formatCode>_-* #,##0_-;\-* #,##0_-;_-* "-"??_-;_-@_-</c:formatCode>
                <c:ptCount val="21"/>
                <c:pt idx="0">
                  <c:v>6</c:v>
                </c:pt>
                <c:pt idx="1">
                  <c:v>5</c:v>
                </c:pt>
                <c:pt idx="2">
                  <c:v>10</c:v>
                </c:pt>
                <c:pt idx="3">
                  <c:v>2</c:v>
                </c:pt>
                <c:pt idx="4">
                  <c:v>0</c:v>
                </c:pt>
                <c:pt idx="5">
                  <c:v>0</c:v>
                </c:pt>
                <c:pt idx="6">
                  <c:v>9</c:v>
                </c:pt>
                <c:pt idx="7">
                  <c:v>0</c:v>
                </c:pt>
                <c:pt idx="8">
                  <c:v>7</c:v>
                </c:pt>
                <c:pt idx="9">
                  <c:v>2</c:v>
                </c:pt>
                <c:pt idx="10">
                  <c:v>1</c:v>
                </c:pt>
                <c:pt idx="11">
                  <c:v>2</c:v>
                </c:pt>
                <c:pt idx="12">
                  <c:v>8</c:v>
                </c:pt>
                <c:pt idx="13">
                  <c:v>4</c:v>
                </c:pt>
                <c:pt idx="14">
                  <c:v>18</c:v>
                </c:pt>
                <c:pt idx="15">
                  <c:v>5</c:v>
                </c:pt>
                <c:pt idx="16">
                  <c:v>1</c:v>
                </c:pt>
                <c:pt idx="17">
                  <c:v>1</c:v>
                </c:pt>
                <c:pt idx="18">
                  <c:v>2</c:v>
                </c:pt>
                <c:pt idx="19">
                  <c:v>2</c:v>
                </c:pt>
                <c:pt idx="20">
                  <c:v>14</c:v>
                </c:pt>
              </c:numCache>
            </c:numRef>
          </c:val>
        </c:ser>
        <c:ser>
          <c:idx val="1"/>
          <c:order val="2"/>
          <c:tx>
            <c:strRef>
              <c:f>'CCCM Dashboard'!$AN$35</c:f>
              <c:strCache>
                <c:ptCount val="1"/>
                <c:pt idx="0">
                  <c:v>1k - 5k</c:v>
                </c:pt>
              </c:strCache>
            </c:strRef>
          </c:tx>
          <c:invertIfNegative val="0"/>
          <c:cat>
            <c:strRef>
              <c:f>'CCCM Dashboard'!$AK$36:$AK$56</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Dashboard'!$AN$36:$AN$56</c:f>
              <c:numCache>
                <c:formatCode>_-* #,##0_-;\-* #,##0_-;_-* "-"??_-;_-@_-</c:formatCode>
                <c:ptCount val="21"/>
                <c:pt idx="0">
                  <c:v>2</c:v>
                </c:pt>
                <c:pt idx="1">
                  <c:v>0</c:v>
                </c:pt>
                <c:pt idx="2">
                  <c:v>0</c:v>
                </c:pt>
                <c:pt idx="3">
                  <c:v>0</c:v>
                </c:pt>
                <c:pt idx="4">
                  <c:v>0</c:v>
                </c:pt>
                <c:pt idx="5">
                  <c:v>0</c:v>
                </c:pt>
                <c:pt idx="6">
                  <c:v>0</c:v>
                </c:pt>
                <c:pt idx="7">
                  <c:v>0</c:v>
                </c:pt>
                <c:pt idx="8">
                  <c:v>5</c:v>
                </c:pt>
                <c:pt idx="9">
                  <c:v>0</c:v>
                </c:pt>
                <c:pt idx="10">
                  <c:v>0</c:v>
                </c:pt>
                <c:pt idx="11">
                  <c:v>0</c:v>
                </c:pt>
                <c:pt idx="12">
                  <c:v>6</c:v>
                </c:pt>
                <c:pt idx="13">
                  <c:v>0</c:v>
                </c:pt>
                <c:pt idx="14">
                  <c:v>1</c:v>
                </c:pt>
                <c:pt idx="15">
                  <c:v>0</c:v>
                </c:pt>
                <c:pt idx="16">
                  <c:v>0</c:v>
                </c:pt>
                <c:pt idx="17">
                  <c:v>0</c:v>
                </c:pt>
                <c:pt idx="18">
                  <c:v>1</c:v>
                </c:pt>
                <c:pt idx="19">
                  <c:v>0</c:v>
                </c:pt>
                <c:pt idx="20">
                  <c:v>6</c:v>
                </c:pt>
              </c:numCache>
            </c:numRef>
          </c:val>
        </c:ser>
        <c:ser>
          <c:idx val="2"/>
          <c:order val="3"/>
          <c:tx>
            <c:strRef>
              <c:f>'CCCM Dashboard'!$AO$35</c:f>
              <c:strCache>
                <c:ptCount val="1"/>
                <c:pt idx="0">
                  <c:v>5k-10k</c:v>
                </c:pt>
              </c:strCache>
            </c:strRef>
          </c:tx>
          <c:invertIfNegative val="0"/>
          <c:cat>
            <c:strRef>
              <c:f>'CCCM Dashboard'!$AK$36:$AK$56</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Dashboard'!$AO$36:$AO$56</c:f>
              <c:numCache>
                <c:formatCode>_-* #,##0_-;\-* #,##0_-;_-* "-"??_-;_-@_-</c:formatCode>
                <c:ptCount val="21"/>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1</c:v>
                </c:pt>
              </c:numCache>
            </c:numRef>
          </c:val>
        </c:ser>
        <c:ser>
          <c:idx val="4"/>
          <c:order val="4"/>
          <c:tx>
            <c:strRef>
              <c:f>'CCCM Dashboard'!$AP$35</c:f>
              <c:strCache>
                <c:ptCount val="1"/>
                <c:pt idx="0">
                  <c:v>Unknown</c:v>
                </c:pt>
              </c:strCache>
            </c:strRef>
          </c:tx>
          <c:spPr>
            <a:solidFill>
              <a:schemeClr val="tx1"/>
            </a:solidFill>
          </c:spPr>
          <c:invertIfNegative val="0"/>
          <c:cat>
            <c:strRef>
              <c:f>'CCCM Dashboard'!$AK$36:$AK$56</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Dashboard'!$AP$36:$AP$56</c:f>
              <c:numCache>
                <c:formatCode>General</c:formatCode>
                <c:ptCount val="21"/>
                <c:pt idx="0">
                  <c:v>1</c:v>
                </c:pt>
                <c:pt idx="1">
                  <c:v>0</c:v>
                </c:pt>
                <c:pt idx="2">
                  <c:v>0</c:v>
                </c:pt>
                <c:pt idx="3">
                  <c:v>0</c:v>
                </c:pt>
                <c:pt idx="4">
                  <c:v>0</c:v>
                </c:pt>
                <c:pt idx="5">
                  <c:v>0</c:v>
                </c:pt>
                <c:pt idx="6">
                  <c:v>0</c:v>
                </c:pt>
                <c:pt idx="7">
                  <c:v>0</c:v>
                </c:pt>
                <c:pt idx="8">
                  <c:v>0</c:v>
                </c:pt>
                <c:pt idx="9">
                  <c:v>0</c:v>
                </c:pt>
                <c:pt idx="10">
                  <c:v>0</c:v>
                </c:pt>
                <c:pt idx="11">
                  <c:v>1</c:v>
                </c:pt>
                <c:pt idx="12">
                  <c:v>2</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150"/>
        <c:overlap val="100"/>
        <c:axId val="308411536"/>
        <c:axId val="308411928"/>
      </c:barChart>
      <c:catAx>
        <c:axId val="308411536"/>
        <c:scaling>
          <c:orientation val="minMax"/>
        </c:scaling>
        <c:delete val="0"/>
        <c:axPos val="b"/>
        <c:numFmt formatCode="General" sourceLinked="0"/>
        <c:majorTickMark val="out"/>
        <c:minorTickMark val="none"/>
        <c:tickLblPos val="nextTo"/>
        <c:txPr>
          <a:bodyPr/>
          <a:lstStyle/>
          <a:p>
            <a:pPr>
              <a:defRPr sz="900"/>
            </a:pPr>
            <a:endParaRPr lang="en-US"/>
          </a:p>
        </c:txPr>
        <c:crossAx val="308411928"/>
        <c:crosses val="autoZero"/>
        <c:auto val="1"/>
        <c:lblAlgn val="ctr"/>
        <c:lblOffset val="100"/>
        <c:noMultiLvlLbl val="0"/>
      </c:catAx>
      <c:valAx>
        <c:axId val="308411928"/>
        <c:scaling>
          <c:orientation val="minMax"/>
        </c:scaling>
        <c:delete val="0"/>
        <c:axPos val="l"/>
        <c:majorGridlines/>
        <c:numFmt formatCode="_-* #,##0_-;\-* #,##0_-;_-* &quot;-&quot;??_-;_-@_-" sourceLinked="1"/>
        <c:majorTickMark val="out"/>
        <c:minorTickMark val="none"/>
        <c:tickLblPos val="nextTo"/>
        <c:crossAx val="308411536"/>
        <c:crosses val="autoZero"/>
        <c:crossBetween val="between"/>
      </c:valAx>
    </c:plotArea>
    <c:legend>
      <c:legendPos val="b"/>
      <c:layout>
        <c:manualLayout>
          <c:xMode val="edge"/>
          <c:yMode val="edge"/>
          <c:x val="5.0000031492115321E-2"/>
          <c:y val="0.92844988632826164"/>
          <c:w val="0.89999978021446669"/>
          <c:h val="6.0339219428528192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pop covered) in Rakhine State by Township</a:t>
            </a:r>
          </a:p>
        </c:rich>
      </c:tx>
      <c:overlay val="0"/>
    </c:title>
    <c:autoTitleDeleted val="0"/>
    <c:plotArea>
      <c:layout/>
      <c:barChart>
        <c:barDir val="col"/>
        <c:grouping val="clustered"/>
        <c:varyColors val="0"/>
        <c:ser>
          <c:idx val="5"/>
          <c:order val="0"/>
          <c:spPr>
            <a:solidFill>
              <a:srgbClr val="92D050"/>
            </a:solidFill>
          </c:spPr>
          <c:invertIfNegative val="0"/>
          <c:val>
            <c:numRef>
              <c:f>Shelter_Progress!#REF!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Shelter_Progress!#REF!</c15:sqref>
                        </c15:formulaRef>
                      </c:ext>
                    </c:extLst>
                  </c:multiLvlStrRef>
                </c15:cat>
              </c15:filteredCategoryTitle>
            </c:ext>
          </c:extLst>
        </c:ser>
        <c:dLbls>
          <c:showLegendKey val="0"/>
          <c:showVal val="0"/>
          <c:showCatName val="0"/>
          <c:showSerName val="0"/>
          <c:showPercent val="0"/>
          <c:showBubbleSize val="0"/>
        </c:dLbls>
        <c:gapWidth val="75"/>
        <c:axId val="323826624"/>
        <c:axId val="323826232"/>
      </c:barChart>
      <c:catAx>
        <c:axId val="323826624"/>
        <c:scaling>
          <c:orientation val="minMax"/>
        </c:scaling>
        <c:delete val="0"/>
        <c:axPos val="b"/>
        <c:majorTickMark val="none"/>
        <c:minorTickMark val="none"/>
        <c:tickLblPos val="nextTo"/>
        <c:crossAx val="323826232"/>
        <c:crosses val="autoZero"/>
        <c:auto val="1"/>
        <c:lblAlgn val="ctr"/>
        <c:lblOffset val="100"/>
        <c:noMultiLvlLbl val="0"/>
      </c:catAx>
      <c:valAx>
        <c:axId val="323826232"/>
        <c:scaling>
          <c:orientation val="minMax"/>
        </c:scaling>
        <c:delete val="0"/>
        <c:axPos val="l"/>
        <c:majorGridlines/>
        <c:numFmt formatCode="General" sourceLinked="1"/>
        <c:majorTickMark val="none"/>
        <c:minorTickMark val="none"/>
        <c:tickLblPos val="nextTo"/>
        <c:spPr>
          <a:ln w="9525">
            <a:noFill/>
          </a:ln>
        </c:spPr>
        <c:crossAx val="323826624"/>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pop covered) in Kachin  &amp; Northern Shan State  by township</a:t>
            </a:r>
          </a:p>
        </c:rich>
      </c:tx>
      <c:overlay val="0"/>
    </c:title>
    <c:autoTitleDeleted val="0"/>
    <c:plotArea>
      <c:layout/>
      <c:barChart>
        <c:barDir val="col"/>
        <c:grouping val="clustered"/>
        <c:varyColors val="0"/>
        <c:ser>
          <c:idx val="5"/>
          <c:order val="0"/>
          <c:tx>
            <c:strRef>
              <c:f>'Shelter Progress'!$N$6</c:f>
              <c:strCache>
                <c:ptCount val="1"/>
                <c:pt idx="0">
                  <c:v>Covered</c:v>
                </c:pt>
              </c:strCache>
            </c:strRef>
          </c:tx>
          <c:spPr>
            <a:solidFill>
              <a:srgbClr val="92D050"/>
            </a:solidFill>
          </c:spPr>
          <c:invertIfNegative val="0"/>
          <c:cat>
            <c:strRef>
              <c:f>'Shelter Progress'!$A$7:$A$27</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'Shelter Progress'!$N$7:$N$27</c:f>
              <c:numCache>
                <c:formatCode>0%</c:formatCode>
                <c:ptCount val="21"/>
                <c:pt idx="0">
                  <c:v>0.78010471204188481</c:v>
                </c:pt>
                <c:pt idx="1">
                  <c:v>0.3592814371257485</c:v>
                </c:pt>
                <c:pt idx="2">
                  <c:v>0.75690607734806625</c:v>
                </c:pt>
                <c:pt idx="3">
                  <c:v>0.79545454545454541</c:v>
                </c:pt>
                <c:pt idx="4">
                  <c:v>0</c:v>
                </c:pt>
                <c:pt idx="5">
                  <c:v>0</c:v>
                </c:pt>
                <c:pt idx="6">
                  <c:v>0.63428571428571423</c:v>
                </c:pt>
                <c:pt idx="7">
                  <c:v>0</c:v>
                </c:pt>
                <c:pt idx="8">
                  <c:v>0.70126282557221786</c:v>
                </c:pt>
                <c:pt idx="9">
                  <c:v>1.1594202898550725</c:v>
                </c:pt>
                <c:pt idx="10">
                  <c:v>1.4035087719298245</c:v>
                </c:pt>
                <c:pt idx="11">
                  <c:v>1.4</c:v>
                </c:pt>
                <c:pt idx="12">
                  <c:v>0.93257661748013621</c:v>
                </c:pt>
                <c:pt idx="13">
                  <c:v>1.0333333333333334</c:v>
                </c:pt>
                <c:pt idx="14">
                  <c:v>0.74586366644606217</c:v>
                </c:pt>
                <c:pt idx="15">
                  <c:v>0.62368421052631584</c:v>
                </c:pt>
                <c:pt idx="16">
                  <c:v>1</c:v>
                </c:pt>
                <c:pt idx="17">
                  <c:v>1.0344827586206897</c:v>
                </c:pt>
                <c:pt idx="18">
                  <c:v>0.70967741935483875</c:v>
                </c:pt>
                <c:pt idx="19">
                  <c:v>0</c:v>
                </c:pt>
                <c:pt idx="20">
                  <c:v>0.71554252199413493</c:v>
                </c:pt>
              </c:numCache>
            </c:numRef>
          </c:val>
        </c:ser>
        <c:dLbls>
          <c:showLegendKey val="0"/>
          <c:showVal val="0"/>
          <c:showCatName val="0"/>
          <c:showSerName val="0"/>
          <c:showPercent val="0"/>
          <c:showBubbleSize val="0"/>
        </c:dLbls>
        <c:gapWidth val="75"/>
        <c:axId val="323827016"/>
        <c:axId val="323827408"/>
      </c:barChart>
      <c:catAx>
        <c:axId val="323827016"/>
        <c:scaling>
          <c:orientation val="minMax"/>
        </c:scaling>
        <c:delete val="0"/>
        <c:axPos val="b"/>
        <c:numFmt formatCode="General" sourceLinked="0"/>
        <c:majorTickMark val="none"/>
        <c:minorTickMark val="none"/>
        <c:tickLblPos val="nextTo"/>
        <c:crossAx val="323827408"/>
        <c:crosses val="autoZero"/>
        <c:auto val="1"/>
        <c:lblAlgn val="ctr"/>
        <c:lblOffset val="100"/>
        <c:noMultiLvlLbl val="0"/>
      </c:catAx>
      <c:valAx>
        <c:axId val="323827408"/>
        <c:scaling>
          <c:orientation val="minMax"/>
        </c:scaling>
        <c:delete val="0"/>
        <c:axPos val="l"/>
        <c:majorGridlines/>
        <c:numFmt formatCode="0%" sourceLinked="1"/>
        <c:majorTickMark val="none"/>
        <c:minorTickMark val="none"/>
        <c:tickLblPos val="nextTo"/>
        <c:spPr>
          <a:ln w="9525">
            <a:noFill/>
          </a:ln>
        </c:spPr>
        <c:crossAx val="323827016"/>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[Myanmar_Shelter_NFI_CCCM_Cluster_Analysis Report_Kachin_V03 01-Apr-14.xlsm]Shelter_Progress!PivotTable3</c:name>
    <c:fmtId val="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s>
    <c:plotArea>
      <c:layout/>
      <c:barChart>
        <c:barDir val="col"/>
        <c:grouping val="stacked"/>
        <c:varyColors val="0"/>
        <c:ser>
          <c:idx val="0"/>
          <c:order val="0"/>
          <c:tx>
            <c:strRef>
              <c:f>Shelter_Progress!$B$83</c:f>
              <c:strCache>
                <c:ptCount val="1"/>
                <c:pt idx="0">
                  <c:v>Total</c:v>
                </c:pt>
              </c:strCache>
            </c:strRef>
          </c:tx>
          <c:invertIfNegative val="0"/>
          <c:cat>
            <c:strRef>
              <c:f>Shelter_Progress!$A$84:$A$97</c:f>
              <c:strCache>
                <c:ptCount val="13"/>
                <c:pt idx="0">
                  <c:v>DRC</c:v>
                </c:pt>
                <c:pt idx="1">
                  <c:v>UNHCR</c:v>
                </c:pt>
                <c:pt idx="2">
                  <c:v>World Vision</c:v>
                </c:pt>
                <c:pt idx="3">
                  <c:v>Oxfam</c:v>
                </c:pt>
                <c:pt idx="4">
                  <c:v>IRRC</c:v>
                </c:pt>
                <c:pt idx="5">
                  <c:v>Caritas</c:v>
                </c:pt>
                <c:pt idx="6">
                  <c:v>Metta</c:v>
                </c:pt>
                <c:pt idx="7">
                  <c:v>CC</c:v>
                </c:pt>
                <c:pt idx="8">
                  <c:v>KBC Zonal</c:v>
                </c:pt>
                <c:pt idx="9">
                  <c:v>Misereor</c:v>
                </c:pt>
                <c:pt idx="10">
                  <c:v>Yedai Foundation</c:v>
                </c:pt>
                <c:pt idx="11">
                  <c:v>ACTED</c:v>
                </c:pt>
                <c:pt idx="12">
                  <c:v>(blank)</c:v>
                </c:pt>
              </c:strCache>
            </c:strRef>
          </c:cat>
          <c:val>
            <c:numRef>
              <c:f>Shelter_Progress!$B$84:$B$97</c:f>
              <c:numCache>
                <c:formatCode>General</c:formatCode>
                <c:ptCount val="13"/>
                <c:pt idx="0">
                  <c:v>2144</c:v>
                </c:pt>
                <c:pt idx="1">
                  <c:v>5097</c:v>
                </c:pt>
                <c:pt idx="2">
                  <c:v>87</c:v>
                </c:pt>
                <c:pt idx="3">
                  <c:v>385</c:v>
                </c:pt>
                <c:pt idx="4">
                  <c:v>356</c:v>
                </c:pt>
                <c:pt idx="5">
                  <c:v>901</c:v>
                </c:pt>
                <c:pt idx="6">
                  <c:v>724</c:v>
                </c:pt>
                <c:pt idx="7">
                  <c:v>155</c:v>
                </c:pt>
                <c:pt idx="8">
                  <c:v>32</c:v>
                </c:pt>
                <c:pt idx="9">
                  <c:v>12</c:v>
                </c:pt>
                <c:pt idx="10">
                  <c:v>10</c:v>
                </c:pt>
                <c:pt idx="11">
                  <c:v>0</c:v>
                </c:pt>
                <c:pt idx="12">
                  <c:v>122</c:v>
                </c:pt>
              </c:numCache>
            </c:numRef>
          </c:val>
        </c:ser>
        <c:dLbls>
          <c:showLegendKey val="0"/>
          <c:showVal val="0"/>
          <c:showCatName val="0"/>
          <c:showSerName val="0"/>
          <c:showPercent val="0"/>
          <c:showBubbleSize val="0"/>
        </c:dLbls>
        <c:gapWidth val="150"/>
        <c:overlap val="100"/>
        <c:axId val="323828192"/>
        <c:axId val="324267072"/>
      </c:barChart>
      <c:catAx>
        <c:axId val="323828192"/>
        <c:scaling>
          <c:orientation val="minMax"/>
        </c:scaling>
        <c:delete val="0"/>
        <c:axPos val="b"/>
        <c:numFmt formatCode="General" sourceLinked="0"/>
        <c:majorTickMark val="out"/>
        <c:minorTickMark val="none"/>
        <c:tickLblPos val="nextTo"/>
        <c:crossAx val="324267072"/>
        <c:crosses val="autoZero"/>
        <c:auto val="1"/>
        <c:lblAlgn val="ctr"/>
        <c:lblOffset val="100"/>
        <c:noMultiLvlLbl val="0"/>
      </c:catAx>
      <c:valAx>
        <c:axId val="324267072"/>
        <c:scaling>
          <c:orientation val="minMax"/>
        </c:scaling>
        <c:delete val="0"/>
        <c:axPos val="l"/>
        <c:majorGridlines/>
        <c:numFmt formatCode="General" sourceLinked="1"/>
        <c:majorTickMark val="out"/>
        <c:minorTickMark val="none"/>
        <c:tickLblPos val="nextTo"/>
        <c:crossAx val="3238281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january 2016.xlsx]Shelter Progress!PivotTable3</c:name>
    <c:fmtId val="6"/>
  </c:pivotSource>
  <c:chart>
    <c:title>
      <c:tx>
        <c:rich>
          <a:bodyPr/>
          <a:lstStyle/>
          <a:p>
            <a:pPr>
              <a:defRPr/>
            </a:pPr>
            <a:r>
              <a:rPr lang="en-US" sz="1800" b="1" i="0" baseline="0">
                <a:effectLst/>
              </a:rPr>
              <a:t>Temporary Shelter Built in Kachin   &amp; Northern Shan States by Agency</a:t>
            </a:r>
            <a:r>
              <a:rPr lang="en-US" sz="1800" b="0" i="0" baseline="0">
                <a:effectLst/>
              </a:rPr>
              <a:t> </a:t>
            </a:r>
            <a:endParaRPr lang="en-US">
              <a:effectLst/>
            </a:endParaRP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rgbClr val="92D050"/>
          </a:solidFill>
        </c:spPr>
        <c:marker>
          <c:symbol val="none"/>
        </c:marker>
      </c:pivotFmt>
      <c:pivotFmt>
        <c:idx val="7"/>
        <c:marker>
          <c:symbol val="none"/>
        </c:marker>
      </c:pivotFmt>
      <c:pivotFmt>
        <c:idx val="8"/>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s>
    <c:plotArea>
      <c:layout/>
      <c:barChart>
        <c:barDir val="col"/>
        <c:grouping val="stacked"/>
        <c:varyColors val="0"/>
        <c:ser>
          <c:idx val="0"/>
          <c:order val="0"/>
          <c:tx>
            <c:strRef>
              <c:f>'Shelter Progress'!$B$83</c:f>
              <c:strCache>
                <c:ptCount val="1"/>
                <c:pt idx="0">
                  <c:v>Total</c:v>
                </c:pt>
              </c:strCache>
            </c:strRef>
          </c:tx>
          <c:invertIfNegative val="0"/>
          <c:cat>
            <c:strRef>
              <c:f>'Shelter Progress'!$A$84:$A$100</c:f>
              <c:strCache>
                <c:ptCount val="16"/>
                <c:pt idx="0">
                  <c:v>DRC</c:v>
                </c:pt>
                <c:pt idx="1">
                  <c:v>UNHCR</c:v>
                </c:pt>
                <c:pt idx="2">
                  <c:v>World Vision</c:v>
                </c:pt>
                <c:pt idx="3">
                  <c:v>Oxfam</c:v>
                </c:pt>
                <c:pt idx="4">
                  <c:v>IRRC</c:v>
                </c:pt>
                <c:pt idx="5">
                  <c:v>Caritas</c:v>
                </c:pt>
                <c:pt idx="6">
                  <c:v>Metta</c:v>
                </c:pt>
                <c:pt idx="7">
                  <c:v>CC</c:v>
                </c:pt>
                <c:pt idx="8">
                  <c:v>KBC Zonal</c:v>
                </c:pt>
                <c:pt idx="9">
                  <c:v>Misereor</c:v>
                </c:pt>
                <c:pt idx="10">
                  <c:v>Yedai Foundation</c:v>
                </c:pt>
                <c:pt idx="11">
                  <c:v>ACTED</c:v>
                </c:pt>
                <c:pt idx="12">
                  <c:v>(blank)</c:v>
                </c:pt>
                <c:pt idx="13">
                  <c:v>COC</c:v>
                </c:pt>
                <c:pt idx="14">
                  <c:v>FSD</c:v>
                </c:pt>
                <c:pt idx="15">
                  <c:v>DFID</c:v>
                </c:pt>
              </c:strCache>
            </c:strRef>
          </c:cat>
          <c:val>
            <c:numRef>
              <c:f>'Shelter Progress'!$B$84:$B$100</c:f>
              <c:numCache>
                <c:formatCode>General</c:formatCode>
                <c:ptCount val="16"/>
                <c:pt idx="0">
                  <c:v>2368</c:v>
                </c:pt>
                <c:pt idx="1">
                  <c:v>7200</c:v>
                </c:pt>
                <c:pt idx="2">
                  <c:v>87</c:v>
                </c:pt>
                <c:pt idx="3">
                  <c:v>420</c:v>
                </c:pt>
                <c:pt idx="4">
                  <c:v>32</c:v>
                </c:pt>
                <c:pt idx="5">
                  <c:v>1041</c:v>
                </c:pt>
                <c:pt idx="6">
                  <c:v>933</c:v>
                </c:pt>
                <c:pt idx="7">
                  <c:v>289</c:v>
                </c:pt>
                <c:pt idx="8">
                  <c:v>205</c:v>
                </c:pt>
                <c:pt idx="9">
                  <c:v>12</c:v>
                </c:pt>
                <c:pt idx="10">
                  <c:v>10</c:v>
                </c:pt>
                <c:pt idx="11">
                  <c:v>0</c:v>
                </c:pt>
                <c:pt idx="12">
                  <c:v>132</c:v>
                </c:pt>
                <c:pt idx="13">
                  <c:v>20</c:v>
                </c:pt>
                <c:pt idx="14">
                  <c:v>269</c:v>
                </c:pt>
                <c:pt idx="15">
                  <c:v>350</c:v>
                </c:pt>
              </c:numCache>
            </c:numRef>
          </c:val>
        </c:ser>
        <c:dLbls>
          <c:showLegendKey val="0"/>
          <c:showVal val="0"/>
          <c:showCatName val="0"/>
          <c:showSerName val="0"/>
          <c:showPercent val="0"/>
          <c:showBubbleSize val="0"/>
        </c:dLbls>
        <c:gapWidth val="150"/>
        <c:overlap val="100"/>
        <c:axId val="323825056"/>
        <c:axId val="324267856"/>
      </c:barChart>
      <c:catAx>
        <c:axId val="323825056"/>
        <c:scaling>
          <c:orientation val="minMax"/>
        </c:scaling>
        <c:delete val="0"/>
        <c:axPos val="b"/>
        <c:numFmt formatCode="General" sourceLinked="0"/>
        <c:majorTickMark val="out"/>
        <c:minorTickMark val="none"/>
        <c:tickLblPos val="nextTo"/>
        <c:crossAx val="324267856"/>
        <c:crosses val="autoZero"/>
        <c:auto val="1"/>
        <c:lblAlgn val="ctr"/>
        <c:lblOffset val="100"/>
        <c:noMultiLvlLbl val="0"/>
      </c:catAx>
      <c:valAx>
        <c:axId val="324267856"/>
        <c:scaling>
          <c:orientation val="minMax"/>
        </c:scaling>
        <c:delete val="0"/>
        <c:axPos val="l"/>
        <c:majorGridlines/>
        <c:numFmt formatCode="General" sourceLinked="1"/>
        <c:majorTickMark val="out"/>
        <c:minorTickMark val="none"/>
        <c:tickLblPos val="nextTo"/>
        <c:crossAx val="32382505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autoTitleDeleted val="1"/>
    <c:pivotFmts>
      <c:pivotFmt>
        <c:idx val="0"/>
        <c:spPr>
          <a:solidFill>
            <a:srgbClr val="FF0000">
              <a:alpha val="45000"/>
            </a:srgbClr>
          </a:solidFill>
        </c:spPr>
        <c:marker>
          <c:symbol val="none"/>
        </c:marker>
      </c:pivotFmt>
      <c:pivotFmt>
        <c:idx val="1"/>
        <c:spPr>
          <a:solidFill>
            <a:srgbClr val="00B0F0">
              <a:alpha val="45000"/>
            </a:srgbClr>
          </a:solidFill>
        </c:spPr>
        <c:marker>
          <c:symbol val="none"/>
        </c:marker>
      </c:pivotFmt>
      <c:pivotFmt>
        <c:idx val="2"/>
        <c:spPr>
          <a:solidFill>
            <a:srgbClr val="00B0F0">
              <a:alpha val="45000"/>
            </a:srgbClr>
          </a:solidFill>
          <a:ln>
            <a:solidFill>
              <a:schemeClr val="tx1">
                <a:alpha val="20000"/>
              </a:schemeClr>
            </a:solidFill>
          </a:ln>
        </c:spPr>
        <c:marker>
          <c:symbol val="none"/>
        </c:marker>
      </c:pivotFmt>
      <c:pivotFmt>
        <c:idx val="3"/>
        <c:spPr>
          <a:solidFill>
            <a:srgbClr val="FF0000">
              <a:alpha val="45000"/>
            </a:srgbClr>
          </a:solidFill>
          <a:ln>
            <a:solidFill>
              <a:schemeClr val="tx1">
                <a:alpha val="20000"/>
              </a:schemeClr>
            </a:solidFill>
          </a:ln>
        </c:spPr>
        <c:marker>
          <c:symbol val="none"/>
        </c:marker>
      </c:pivotFmt>
    </c:pivotFmts>
    <c:plotArea>
      <c:layout>
        <c:manualLayout>
          <c:layoutTarget val="inner"/>
          <c:xMode val="edge"/>
          <c:yMode val="edge"/>
          <c:x val="0.17247844331587769"/>
          <c:y val="0.12886224083038805"/>
          <c:w val="0.76165896262398292"/>
          <c:h val="0.66512276873211684"/>
        </c:manualLayout>
      </c:layout>
      <c:barChart>
        <c:barDir val="bar"/>
        <c:grouping val="stacked"/>
        <c:varyColors val="0"/>
        <c:ser>
          <c:idx val="10"/>
          <c:order val="0"/>
          <c:tx>
            <c:strRef>
              <c:f>'Shelter Progress'!$L$6</c:f>
              <c:strCache>
                <c:ptCount val="1"/>
                <c:pt idx="0">
                  <c:v> Coverage (in Pop)</c:v>
                </c:pt>
              </c:strCache>
            </c:strRef>
          </c:tx>
          <c:spPr>
            <a:solidFill>
              <a:srgbClr val="92D050"/>
            </a:solidFill>
          </c:spPr>
          <c:invertIfNegative val="0"/>
          <c:cat>
            <c:strRef>
              <c:f>'Shelter Progress'!$A$7:$A$27</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'Shelter Progress'!$L$7:$L$27</c:f>
              <c:numCache>
                <c:formatCode>_(* #,##0_);_(* \(#,##0\);_(* "-"??_);_(@_)</c:formatCode>
                <c:ptCount val="21"/>
                <c:pt idx="0">
                  <c:v>5555.1256544502621</c:v>
                </c:pt>
                <c:pt idx="1">
                  <c:v>923.35329341317367</c:v>
                </c:pt>
                <c:pt idx="2">
                  <c:v>2699.1270718232045</c:v>
                </c:pt>
                <c:pt idx="3">
                  <c:v>217.15909090909091</c:v>
                </c:pt>
                <c:pt idx="4">
                  <c:v>0</c:v>
                </c:pt>
                <c:pt idx="5">
                  <c:v>0</c:v>
                </c:pt>
                <c:pt idx="6">
                  <c:v>2162.2800000000002</c:v>
                </c:pt>
                <c:pt idx="7">
                  <c:v>0</c:v>
                </c:pt>
                <c:pt idx="8">
                  <c:v>8042.0820836621942</c:v>
                </c:pt>
                <c:pt idx="9">
                  <c:v>402.31884057971013</c:v>
                </c:pt>
                <c:pt idx="10">
                  <c:v>324.21052631578948</c:v>
                </c:pt>
                <c:pt idx="11">
                  <c:v>274.39999999999998</c:v>
                </c:pt>
                <c:pt idx="12">
                  <c:v>21417.554597048806</c:v>
                </c:pt>
                <c:pt idx="13">
                  <c:v>413.33333333333337</c:v>
                </c:pt>
                <c:pt idx="14">
                  <c:v>5530.5790866975512</c:v>
                </c:pt>
                <c:pt idx="15">
                  <c:v>1182.5052631578949</c:v>
                </c:pt>
                <c:pt idx="16">
                  <c:v>41</c:v>
                </c:pt>
                <c:pt idx="17">
                  <c:v>231.72413793103451</c:v>
                </c:pt>
                <c:pt idx="18">
                  <c:v>315.80645161290323</c:v>
                </c:pt>
                <c:pt idx="19">
                  <c:v>0</c:v>
                </c:pt>
                <c:pt idx="20">
                  <c:v>16707.202346041056</c:v>
                </c:pt>
              </c:numCache>
            </c:numRef>
          </c:val>
        </c:ser>
        <c:dLbls>
          <c:showLegendKey val="0"/>
          <c:showVal val="0"/>
          <c:showCatName val="0"/>
          <c:showSerName val="0"/>
          <c:showPercent val="0"/>
          <c:showBubbleSize val="0"/>
        </c:dLbls>
        <c:gapWidth val="75"/>
        <c:overlap val="100"/>
        <c:axId val="324268640"/>
        <c:axId val="324269032"/>
      </c:barChart>
      <c:catAx>
        <c:axId val="324268640"/>
        <c:scaling>
          <c:orientation val="minMax"/>
        </c:scaling>
        <c:delete val="0"/>
        <c:axPos val="l"/>
        <c:numFmt formatCode="General" sourceLinked="0"/>
        <c:majorTickMark val="none"/>
        <c:minorTickMark val="none"/>
        <c:tickLblPos val="nextTo"/>
        <c:crossAx val="324269032"/>
        <c:crosses val="autoZero"/>
        <c:auto val="1"/>
        <c:lblAlgn val="ctr"/>
        <c:lblOffset val="100"/>
        <c:noMultiLvlLbl val="0"/>
      </c:catAx>
      <c:valAx>
        <c:axId val="324269032"/>
        <c:scaling>
          <c:orientation val="minMax"/>
          <c:min val="0"/>
        </c:scaling>
        <c:delete val="0"/>
        <c:axPos val="b"/>
        <c:numFmt formatCode="#,##0" sourceLinked="0"/>
        <c:majorTickMark val="cross"/>
        <c:minorTickMark val="none"/>
        <c:tickLblPos val="low"/>
        <c:spPr>
          <a:ln w="9525">
            <a:solidFill>
              <a:schemeClr val="accent1"/>
            </a:solidFill>
          </a:ln>
        </c:spPr>
        <c:crossAx val="324268640"/>
        <c:crosses val="autoZero"/>
        <c:crossBetween val="between"/>
        <c:dispUnits>
          <c:builtInUnit val="thousands"/>
          <c:dispUnitsLbl/>
        </c:dispUnits>
      </c:valAx>
    </c:plotArea>
    <c:legend>
      <c:legendPos val="b"/>
      <c:layout>
        <c:manualLayout>
          <c:xMode val="edge"/>
          <c:yMode val="edge"/>
          <c:x val="0.37403278363789433"/>
          <c:y val="0.86115636330036516"/>
          <c:w val="0.27160766532401082"/>
          <c:h val="4.1467779513830266E-2"/>
        </c:manualLayout>
      </c:layout>
      <c:overlay val="0"/>
    </c:legend>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orientation="portrait"/>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january 2016.xlsx]Shelter Summary (by Agency)!PivotTable3</c:name>
    <c:fmtId val="5"/>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s>
    <c:plotArea>
      <c:layout>
        <c:manualLayout>
          <c:layoutTarget val="inner"/>
          <c:xMode val="edge"/>
          <c:yMode val="edge"/>
          <c:x val="0.21971330435638536"/>
          <c:y val="0.10400020189783968"/>
          <c:w val="0.75070251906783347"/>
          <c:h val="0.82603028467595385"/>
        </c:manualLayout>
      </c:layout>
      <c:barChart>
        <c:barDir val="bar"/>
        <c:grouping val="clustered"/>
        <c:varyColors val="0"/>
        <c:ser>
          <c:idx val="0"/>
          <c:order val="0"/>
          <c:tx>
            <c:strRef>
              <c:f>'Shelter Summary (by Agency)'!$F$7</c:f>
              <c:strCache>
                <c:ptCount val="1"/>
                <c:pt idx="0">
                  <c:v>Total</c:v>
                </c:pt>
              </c:strCache>
            </c:strRef>
          </c:tx>
          <c:invertIfNegative val="0"/>
          <c:cat>
            <c:strRef>
              <c:f>'Shelter Summary (by Agency)'!$E$8:$E$22</c:f>
              <c:strCache>
                <c:ptCount val="14"/>
                <c:pt idx="0">
                  <c:v>Caritas</c:v>
                </c:pt>
                <c:pt idx="1">
                  <c:v>CC</c:v>
                </c:pt>
                <c:pt idx="2">
                  <c:v>COC</c:v>
                </c:pt>
                <c:pt idx="3">
                  <c:v>DFID</c:v>
                </c:pt>
                <c:pt idx="4">
                  <c:v>DRC</c:v>
                </c:pt>
                <c:pt idx="5">
                  <c:v>FSD</c:v>
                </c:pt>
                <c:pt idx="6">
                  <c:v>IRRC</c:v>
                </c:pt>
                <c:pt idx="7">
                  <c:v>KBC Zonal</c:v>
                </c:pt>
                <c:pt idx="8">
                  <c:v>Metta</c:v>
                </c:pt>
                <c:pt idx="9">
                  <c:v>Misereor</c:v>
                </c:pt>
                <c:pt idx="10">
                  <c:v>Oxfam</c:v>
                </c:pt>
                <c:pt idx="11">
                  <c:v>UNHCR</c:v>
                </c:pt>
                <c:pt idx="12">
                  <c:v>World Vision</c:v>
                </c:pt>
                <c:pt idx="13">
                  <c:v>Yedai Foundation</c:v>
                </c:pt>
              </c:strCache>
            </c:strRef>
          </c:cat>
          <c:val>
            <c:numRef>
              <c:f>'Shelter Summary (by Agency)'!$F$8:$F$22</c:f>
              <c:numCache>
                <c:formatCode>_-* #,##0_-;\-* #,##0_-;_-* "-"??_-;_-@_-</c:formatCode>
                <c:ptCount val="14"/>
                <c:pt idx="0">
                  <c:v>1041</c:v>
                </c:pt>
                <c:pt idx="1">
                  <c:v>289</c:v>
                </c:pt>
                <c:pt idx="2">
                  <c:v>20</c:v>
                </c:pt>
                <c:pt idx="3">
                  <c:v>350</c:v>
                </c:pt>
                <c:pt idx="4">
                  <c:v>2368</c:v>
                </c:pt>
                <c:pt idx="5">
                  <c:v>269</c:v>
                </c:pt>
                <c:pt idx="6">
                  <c:v>32</c:v>
                </c:pt>
                <c:pt idx="7">
                  <c:v>205</c:v>
                </c:pt>
                <c:pt idx="8">
                  <c:v>933</c:v>
                </c:pt>
                <c:pt idx="9">
                  <c:v>12</c:v>
                </c:pt>
                <c:pt idx="10">
                  <c:v>420</c:v>
                </c:pt>
                <c:pt idx="11">
                  <c:v>7200</c:v>
                </c:pt>
                <c:pt idx="12">
                  <c:v>87</c:v>
                </c:pt>
                <c:pt idx="13">
                  <c:v>10</c:v>
                </c:pt>
              </c:numCache>
            </c:numRef>
          </c:val>
        </c:ser>
        <c:dLbls>
          <c:showLegendKey val="0"/>
          <c:showVal val="0"/>
          <c:showCatName val="0"/>
          <c:showSerName val="0"/>
          <c:showPercent val="0"/>
          <c:showBubbleSize val="0"/>
        </c:dLbls>
        <c:gapWidth val="55"/>
        <c:axId val="324269816"/>
        <c:axId val="324270208"/>
      </c:barChart>
      <c:catAx>
        <c:axId val="324269816"/>
        <c:scaling>
          <c:orientation val="minMax"/>
        </c:scaling>
        <c:delete val="0"/>
        <c:axPos val="l"/>
        <c:numFmt formatCode="General" sourceLinked="0"/>
        <c:majorTickMark val="out"/>
        <c:minorTickMark val="none"/>
        <c:tickLblPos val="nextTo"/>
        <c:spPr>
          <a:ln>
            <a:noFill/>
          </a:ln>
        </c:spPr>
        <c:crossAx val="324270208"/>
        <c:crosses val="autoZero"/>
        <c:auto val="1"/>
        <c:lblAlgn val="ctr"/>
        <c:lblOffset val="100"/>
        <c:noMultiLvlLbl val="0"/>
      </c:catAx>
      <c:valAx>
        <c:axId val="324270208"/>
        <c:scaling>
          <c:orientation val="minMax"/>
          <c:min val="0"/>
        </c:scaling>
        <c:delete val="0"/>
        <c:axPos val="b"/>
        <c:majorGridlines>
          <c:spPr>
            <a:ln>
              <a:solidFill>
                <a:schemeClr val="bg1">
                  <a:lumMod val="50000"/>
                  <a:alpha val="12000"/>
                </a:schemeClr>
              </a:solidFill>
            </a:ln>
          </c:spPr>
        </c:majorGridlines>
        <c:title>
          <c:tx>
            <c:rich>
              <a:bodyPr/>
              <a:lstStyle/>
              <a:p>
                <a:pPr>
                  <a:defRPr/>
                </a:pPr>
                <a:r>
                  <a:rPr lang="en-US"/>
                  <a:t># of HH</a:t>
                </a:r>
              </a:p>
              <a:p>
                <a:pPr>
                  <a:defRPr/>
                </a:pPr>
                <a:r>
                  <a:rPr lang="en-US"/>
                  <a:t>(in Thousands)</a:t>
                </a:r>
              </a:p>
            </c:rich>
          </c:tx>
          <c:layout>
            <c:manualLayout>
              <c:xMode val="edge"/>
              <c:yMode val="edge"/>
              <c:x val="5.4807767597606596E-2"/>
              <c:y val="0.91077615298087744"/>
            </c:manualLayout>
          </c:layout>
          <c:overlay val="0"/>
        </c:title>
        <c:numFmt formatCode="#,##0" sourceLinked="0"/>
        <c:majorTickMark val="out"/>
        <c:minorTickMark val="none"/>
        <c:tickLblPos val="nextTo"/>
        <c:crossAx val="324269816"/>
        <c:crosses val="autoZero"/>
        <c:crossBetween val="between"/>
        <c:majorUnit val="1000"/>
        <c:dispUnits>
          <c:builtInUnit val="thousands"/>
        </c:dispUnits>
      </c:valAx>
      <c:spPr>
        <a:noFill/>
        <a:ln>
          <a:noFill/>
        </a:ln>
      </c:spPr>
    </c:plotArea>
    <c:plotVisOnly val="1"/>
    <c:dispBlanksAs val="gap"/>
    <c:showDLblsOverMax val="0"/>
  </c:chart>
  <c:spPr>
    <a:solidFill>
      <a:schemeClr val="lt1"/>
    </a:solidFill>
    <a:ln w="25400" cap="flat" cmpd="sng" algn="ctr">
      <a:solidFill>
        <a:schemeClr val="accent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january 2016.xlsx]Shelter Summary (by Agency)!PivotTable3</c:name>
    <c:fmtId val="4"/>
  </c:pivotSource>
  <c:chart>
    <c:title>
      <c:tx>
        <c:rich>
          <a:bodyPr/>
          <a:lstStyle/>
          <a:p>
            <a:pPr>
              <a:defRPr/>
            </a:pPr>
            <a:r>
              <a:rPr lang="en-US"/>
              <a:t># Shelters built/Agency</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pivotFmt>
      <c:pivotFmt>
        <c:idx val="13"/>
      </c:pivotFmt>
      <c:pivotFmt>
        <c:idx val="14"/>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5.1282061635788741E-3"/>
              <c:y val="-0.24119857774587364"/>
            </c:manualLayout>
          </c:layout>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2.5641030817894371E-3"/>
              <c:y val="-6.641699966915361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0"/>
              <c:y val="-5.593010498455040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5.1282061635788741E-3"/>
              <c:y val="-6.641699966915361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0"/>
              <c:y val="-9.438205216142882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0"/>
              <c:y val="-5.593010498455040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1"/>
        <c:dLbl>
          <c:idx val="0"/>
          <c:layout>
            <c:manualLayout>
              <c:x val="-2.0189788045586118E-7"/>
              <c:y val="-4.893884186148160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2"/>
        <c:dLbl>
          <c:idx val="0"/>
          <c:layout>
            <c:manualLayout>
              <c:x val="-7.6923092453684049E-3"/>
              <c:y val="-6.991263123068801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3"/>
        <c:dLbl>
          <c:idx val="0"/>
          <c:layout>
            <c:manualLayout>
              <c:x val="-5.1282061635788741E-3"/>
              <c:y val="-4.544321029994721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4"/>
        <c:dLbl>
          <c:idx val="0"/>
          <c:layout>
            <c:manualLayout>
              <c:x val="0"/>
              <c:y val="-4.1947578738412809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4.7008013458890184E-17"/>
              <c:y val="-5.243447342301600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6"/>
        <c:dLbl>
          <c:idx val="0"/>
          <c:layout>
            <c:manualLayout>
              <c:x val="0"/>
              <c:y val="-0.13632963089984163"/>
            </c:manualLayout>
          </c:layout>
          <c:showLegendKey val="0"/>
          <c:showVal val="1"/>
          <c:showCatName val="0"/>
          <c:showSerName val="0"/>
          <c:showPercent val="0"/>
          <c:showBubbleSize val="0"/>
          <c:extLst>
            <c:ext xmlns:c15="http://schemas.microsoft.com/office/drawing/2012/chart" uri="{CE6537A1-D6FC-4f65-9D91-7224C49458BB}"/>
          </c:extLst>
        </c:dLbl>
      </c:pivotFmt>
      <c:pivotFmt>
        <c:idx val="27"/>
        <c:dLbl>
          <c:idx val="0"/>
          <c:layout>
            <c:manualLayout>
              <c:x val="0"/>
              <c:y val="-7.340826279222234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8"/>
        <c:dLbl>
          <c:idx val="0"/>
          <c:layout>
            <c:manualLayout>
              <c:x val="-2.5643049796698928E-3"/>
              <c:y val="-7.690389435375681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9"/>
        <c:dLbl>
          <c:idx val="0"/>
          <c:layout>
            <c:manualLayout>
              <c:x val="0"/>
              <c:y val="-2.962963827052734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0"/>
        <c:dLbl>
          <c:idx val="0"/>
          <c:layout>
            <c:manualLayout>
              <c:x val="0"/>
              <c:y val="-3.703704783815925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1"/>
        <c:dLbl>
          <c:idx val="0"/>
          <c:layout>
            <c:manualLayout>
              <c:x val="-2.5672373615106838E-3"/>
              <c:y val="-3.703704783815918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2"/>
        <c:dLbl>
          <c:idx val="0"/>
          <c:layout>
            <c:manualLayout>
              <c:x val="0"/>
              <c:y val="-4.814816218960693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3"/>
        <c:dLbl>
          <c:idx val="0"/>
          <c:layout>
            <c:manualLayout>
              <c:x val="-2.5672373615106838E-3"/>
              <c:y val="-3.333334305434326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4"/>
        <c:dLbl>
          <c:idx val="0"/>
          <c:layout>
            <c:manualLayout>
              <c:x val="0"/>
              <c:y val="-3.703704783815918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5"/>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6"/>
        <c:dLbl>
          <c:idx val="0"/>
          <c:layout>
            <c:manualLayout>
              <c:x val="2.5732932683053345E-3"/>
              <c:y val="-7.734808873075760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7"/>
        <c:dLbl>
          <c:idx val="0"/>
          <c:layout>
            <c:manualLayout>
              <c:x val="0"/>
              <c:y val="-4.419890784614719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8"/>
        <c:dLbl>
          <c:idx val="0"/>
          <c:layout>
            <c:manualLayout>
              <c:x val="0"/>
              <c:y val="-0.1325967235384416"/>
            </c:manualLayout>
          </c:layout>
          <c:showLegendKey val="0"/>
          <c:showVal val="1"/>
          <c:showCatName val="0"/>
          <c:showSerName val="0"/>
          <c:showPercent val="0"/>
          <c:showBubbleSize val="0"/>
          <c:extLst>
            <c:ext xmlns:c15="http://schemas.microsoft.com/office/drawing/2012/chart" uri="{CE6537A1-D6FC-4f65-9D91-7224C49458BB}"/>
          </c:extLst>
        </c:dLbl>
      </c:pivotFmt>
      <c:pivotFmt>
        <c:idx val="39"/>
        <c:dLbl>
          <c:idx val="0"/>
          <c:layout>
            <c:manualLayout>
              <c:x val="0"/>
              <c:y val="-3.683242320512266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0"/>
        <c:dLbl>
          <c:idx val="0"/>
          <c:layout>
            <c:manualLayout>
              <c:x val="0"/>
              <c:y val="-3.683242320512266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1"/>
        <c:dLbl>
          <c:idx val="0"/>
          <c:layout>
            <c:manualLayout>
              <c:x val="0"/>
              <c:y val="-6.629836176922079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2"/>
        <c:dLbl>
          <c:idx val="0"/>
          <c:layout>
            <c:manualLayout>
              <c:x val="0"/>
              <c:y val="-3.683242320512259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9.4352996530661547E-17"/>
              <c:y val="-4.788215016665953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4"/>
        <c:dLbl>
          <c:idx val="0"/>
          <c:layout>
            <c:manualLayout>
              <c:x val="-2.5732932683053345E-3"/>
              <c:y val="-0.24309399315380956"/>
            </c:manualLayout>
          </c:layout>
          <c:showLegendKey val="0"/>
          <c:showVal val="1"/>
          <c:showCatName val="0"/>
          <c:showSerName val="0"/>
          <c:showPercent val="0"/>
          <c:showBubbleSize val="0"/>
          <c:extLst>
            <c:ext xmlns:c15="http://schemas.microsoft.com/office/drawing/2012/chart" uri="{CE6537A1-D6FC-4f65-9D91-7224C49458BB}"/>
          </c:extLst>
        </c:dLbl>
      </c:pivotFmt>
      <c:pivotFmt>
        <c:idx val="45"/>
        <c:dLbl>
          <c:idx val="0"/>
          <c:layout>
            <c:manualLayout>
              <c:x val="-9.4352996530661547E-17"/>
              <c:y val="-4.419890784614719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6"/>
        <c:dLbl>
          <c:idx val="0"/>
          <c:layout>
            <c:manualLayout>
              <c:x val="0"/>
              <c:y val="-4.051566552563486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7"/>
        <c:marker>
          <c:symbol val="none"/>
        </c:marker>
      </c:pivotFmt>
    </c:pivotFmts>
    <c:plotArea>
      <c:layout/>
      <c:barChart>
        <c:barDir val="col"/>
        <c:grouping val="stacked"/>
        <c:varyColors val="0"/>
        <c:ser>
          <c:idx val="0"/>
          <c:order val="0"/>
          <c:tx>
            <c:strRef>
              <c:f>'Shelter Summary (by Agency)'!$F$7</c:f>
              <c:strCache>
                <c:ptCount val="1"/>
                <c:pt idx="0">
                  <c:v>Total</c:v>
                </c:pt>
              </c:strCache>
            </c:strRef>
          </c:tx>
          <c:invertIfNegative val="0"/>
          <c:cat>
            <c:strRef>
              <c:f>'Shelter Summary (by Agency)'!$E$8:$E$22</c:f>
              <c:strCache>
                <c:ptCount val="14"/>
                <c:pt idx="0">
                  <c:v>Caritas</c:v>
                </c:pt>
                <c:pt idx="1">
                  <c:v>CC</c:v>
                </c:pt>
                <c:pt idx="2">
                  <c:v>COC</c:v>
                </c:pt>
                <c:pt idx="3">
                  <c:v>DFID</c:v>
                </c:pt>
                <c:pt idx="4">
                  <c:v>DRC</c:v>
                </c:pt>
                <c:pt idx="5">
                  <c:v>FSD</c:v>
                </c:pt>
                <c:pt idx="6">
                  <c:v>IRRC</c:v>
                </c:pt>
                <c:pt idx="7">
                  <c:v>KBC Zonal</c:v>
                </c:pt>
                <c:pt idx="8">
                  <c:v>Metta</c:v>
                </c:pt>
                <c:pt idx="9">
                  <c:v>Misereor</c:v>
                </c:pt>
                <c:pt idx="10">
                  <c:v>Oxfam</c:v>
                </c:pt>
                <c:pt idx="11">
                  <c:v>UNHCR</c:v>
                </c:pt>
                <c:pt idx="12">
                  <c:v>World Vision</c:v>
                </c:pt>
                <c:pt idx="13">
                  <c:v>Yedai Foundation</c:v>
                </c:pt>
              </c:strCache>
            </c:strRef>
          </c:cat>
          <c:val>
            <c:numRef>
              <c:f>'Shelter Summary (by Agency)'!$F$8:$F$22</c:f>
              <c:numCache>
                <c:formatCode>_-* #,##0_-;\-* #,##0_-;_-* "-"??_-;_-@_-</c:formatCode>
                <c:ptCount val="14"/>
                <c:pt idx="0">
                  <c:v>1041</c:v>
                </c:pt>
                <c:pt idx="1">
                  <c:v>289</c:v>
                </c:pt>
                <c:pt idx="2">
                  <c:v>20</c:v>
                </c:pt>
                <c:pt idx="3">
                  <c:v>350</c:v>
                </c:pt>
                <c:pt idx="4">
                  <c:v>2368</c:v>
                </c:pt>
                <c:pt idx="5">
                  <c:v>269</c:v>
                </c:pt>
                <c:pt idx="6">
                  <c:v>32</c:v>
                </c:pt>
                <c:pt idx="7">
                  <c:v>205</c:v>
                </c:pt>
                <c:pt idx="8">
                  <c:v>933</c:v>
                </c:pt>
                <c:pt idx="9">
                  <c:v>12</c:v>
                </c:pt>
                <c:pt idx="10">
                  <c:v>420</c:v>
                </c:pt>
                <c:pt idx="11">
                  <c:v>7200</c:v>
                </c:pt>
                <c:pt idx="12">
                  <c:v>87</c:v>
                </c:pt>
                <c:pt idx="13">
                  <c:v>10</c:v>
                </c:pt>
              </c:numCache>
            </c:numRef>
          </c:val>
        </c:ser>
        <c:dLbls>
          <c:showLegendKey val="0"/>
          <c:showVal val="0"/>
          <c:showCatName val="0"/>
          <c:showSerName val="0"/>
          <c:showPercent val="0"/>
          <c:showBubbleSize val="0"/>
        </c:dLbls>
        <c:gapWidth val="150"/>
        <c:overlap val="100"/>
        <c:axId val="334503152"/>
        <c:axId val="334503544"/>
      </c:barChart>
      <c:catAx>
        <c:axId val="334503152"/>
        <c:scaling>
          <c:orientation val="minMax"/>
        </c:scaling>
        <c:delete val="0"/>
        <c:axPos val="b"/>
        <c:numFmt formatCode="General" sourceLinked="0"/>
        <c:majorTickMark val="out"/>
        <c:minorTickMark val="none"/>
        <c:tickLblPos val="nextTo"/>
        <c:crossAx val="334503544"/>
        <c:crosses val="autoZero"/>
        <c:auto val="1"/>
        <c:lblAlgn val="ctr"/>
        <c:lblOffset val="100"/>
        <c:noMultiLvlLbl val="0"/>
      </c:catAx>
      <c:valAx>
        <c:axId val="334503544"/>
        <c:scaling>
          <c:orientation val="minMax"/>
        </c:scaling>
        <c:delete val="0"/>
        <c:axPos val="l"/>
        <c:majorGridlines/>
        <c:title>
          <c:tx>
            <c:rich>
              <a:bodyPr rot="-5400000" vert="horz"/>
              <a:lstStyle/>
              <a:p>
                <a:pPr>
                  <a:defRPr/>
                </a:pPr>
                <a:r>
                  <a:rPr lang="en-US"/>
                  <a:t># of Individual Units</a:t>
                </a:r>
              </a:p>
            </c:rich>
          </c:tx>
          <c:overlay val="0"/>
        </c:title>
        <c:numFmt formatCode="_-* #,##0_-;\-* #,##0_-;_-* &quot;-&quot;??_-;_-@_-" sourceLinked="1"/>
        <c:majorTickMark val="out"/>
        <c:minorTickMark val="none"/>
        <c:tickLblPos val="nextTo"/>
        <c:crossAx val="334503152"/>
        <c:crosses val="autoZero"/>
        <c:crossBetween val="between"/>
        <c:majorUnit val="1000"/>
      </c:valAx>
    </c:plotArea>
    <c:plotVisOnly val="1"/>
    <c:dispBlanksAs val="gap"/>
    <c:showDLblsOverMax val="0"/>
  </c:chart>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Shelter Situation</a:t>
            </a:r>
          </a:p>
        </c:rich>
      </c:tx>
      <c:overlay val="0"/>
    </c:title>
    <c:autoTitleDeleted val="0"/>
    <c:plotArea>
      <c:layout/>
      <c:pieChart>
        <c:varyColors val="1"/>
        <c:ser>
          <c:idx val="0"/>
          <c:order val="0"/>
          <c:dPt>
            <c:idx val="0"/>
            <c:bubble3D val="0"/>
            <c:spPr>
              <a:solidFill>
                <a:schemeClr val="accent3">
                  <a:lumMod val="75000"/>
                </a:schemeClr>
              </a:solidFill>
            </c:spPr>
          </c:dPt>
          <c:dPt>
            <c:idx val="2"/>
            <c:bubble3D val="0"/>
            <c:spPr>
              <a:solidFill>
                <a:schemeClr val="tx1"/>
              </a:solidFill>
            </c:spPr>
          </c:dPt>
          <c:dLbls>
            <c:dLbl>
              <c:idx val="2"/>
              <c:layout>
                <c:manualLayout>
                  <c:x val="0.12752496154304624"/>
                  <c:y val="0.10181859507517793"/>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800">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('Shelter Coverage &amp; Gaps'!$S$7,'Shelter Coverage &amp; Gaps'!$S$9:$S$10)</c:f>
              <c:strCache>
                <c:ptCount val="3"/>
                <c:pt idx="0">
                  <c:v>#Covered</c:v>
                </c:pt>
                <c:pt idx="1">
                  <c:v>#Gap</c:v>
                </c:pt>
                <c:pt idx="2">
                  <c:v>#Land Issue</c:v>
                </c:pt>
              </c:strCache>
            </c:strRef>
          </c:cat>
          <c:val>
            <c:numRef>
              <c:f>('Shelter Coverage &amp; Gaps'!$T$7,'Shelter Coverage &amp; Gaps'!$T$9:$T$10)</c:f>
              <c:numCache>
                <c:formatCode>_-* #,##0_-;\-* #,##0_-;_-* "-"??_-;_-@_-</c:formatCode>
                <c:ptCount val="3"/>
                <c:pt idx="0">
                  <c:v>11764</c:v>
                </c:pt>
                <c:pt idx="1">
                  <c:v>5677</c:v>
                </c:pt>
                <c:pt idx="2">
                  <c:v>84</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55840681863257957"/>
          <c:y val="0.36150408145732416"/>
          <c:w val="0.43437583290758552"/>
          <c:h val="0.51831633036161839"/>
        </c:manualLayout>
      </c:layout>
      <c:overlay val="0"/>
    </c:legend>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NFI Distribution in Rakhine State by Agency</a:t>
            </a:r>
          </a:p>
        </c:rich>
      </c:tx>
      <c:overlay val="0"/>
    </c:title>
    <c:autoTitleDeleted val="0"/>
    <c:plotArea>
      <c:layout/>
      <c:barChart>
        <c:barDir val="bar"/>
        <c:grouping val="clustered"/>
        <c:varyColors val="0"/>
        <c:ser>
          <c:idx val="0"/>
          <c:order val="0"/>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1"/>
          <c:order val="1"/>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2"/>
          <c:order val="2"/>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3"/>
          <c:order val="3"/>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4"/>
          <c:order val="4"/>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5"/>
          <c:order val="5"/>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6"/>
          <c:order val="6"/>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7"/>
          <c:order val="7"/>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gapWidth val="150"/>
        <c:axId val="334505896"/>
        <c:axId val="334506288"/>
      </c:barChart>
      <c:catAx>
        <c:axId val="334505896"/>
        <c:scaling>
          <c:orientation val="minMax"/>
        </c:scaling>
        <c:delete val="0"/>
        <c:axPos val="l"/>
        <c:majorTickMark val="none"/>
        <c:minorTickMark val="none"/>
        <c:tickLblPos val="nextTo"/>
        <c:crossAx val="334506288"/>
        <c:crosses val="autoZero"/>
        <c:auto val="1"/>
        <c:lblAlgn val="ctr"/>
        <c:lblOffset val="100"/>
        <c:noMultiLvlLbl val="0"/>
      </c:catAx>
      <c:valAx>
        <c:axId val="334506288"/>
        <c:scaling>
          <c:orientation val="minMax"/>
        </c:scaling>
        <c:delete val="0"/>
        <c:axPos val="b"/>
        <c:majorGridlines/>
        <c:numFmt formatCode="General" sourceLinked="1"/>
        <c:majorTickMark val="none"/>
        <c:minorTickMark val="none"/>
        <c:tickLblPos val="nextTo"/>
        <c:crossAx val="3345058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b="1">
                <a:latin typeface="+mn-lt"/>
              </a:defRPr>
            </a:pPr>
            <a:r>
              <a:rPr lang="en-US" sz="1100" b="1">
                <a:latin typeface="+mn-lt"/>
              </a:rPr>
              <a:t>Coverage</a:t>
            </a:r>
            <a:r>
              <a:rPr lang="en-US" sz="1100" b="1" baseline="0">
                <a:latin typeface="+mn-lt"/>
              </a:rPr>
              <a:t> &amp; Gaps / Items</a:t>
            </a:r>
            <a:endParaRPr lang="en-US" sz="1100" b="1">
              <a:latin typeface="+mn-lt"/>
            </a:endParaRPr>
          </a:p>
        </c:rich>
      </c:tx>
      <c:layout>
        <c:manualLayout>
          <c:xMode val="edge"/>
          <c:yMode val="edge"/>
          <c:x val="0.2306514653125229"/>
          <c:y val="0"/>
        </c:manualLayout>
      </c:layout>
      <c:overlay val="0"/>
    </c:title>
    <c:autoTitleDeleted val="0"/>
    <c:plotArea>
      <c:layout>
        <c:manualLayout>
          <c:layoutTarget val="inner"/>
          <c:xMode val="edge"/>
          <c:yMode val="edge"/>
          <c:x val="0.14939203728374265"/>
          <c:y val="0.20269797903419415"/>
          <c:w val="0.6339556147360994"/>
          <c:h val="0.32959123111299371"/>
        </c:manualLayout>
      </c:layout>
      <c:barChart>
        <c:barDir val="col"/>
        <c:grouping val="stacked"/>
        <c:varyColors val="0"/>
        <c:ser>
          <c:idx val="1"/>
          <c:order val="0"/>
          <c:tx>
            <c:strRef>
              <c:f>'NFI Summary'!$G$12</c:f>
              <c:strCache>
                <c:ptCount val="1"/>
                <c:pt idx="0">
                  <c:v>% Distributed</c:v>
                </c:pt>
              </c:strCache>
            </c:strRef>
          </c:tx>
          <c:spPr>
            <a:solidFill>
              <a:srgbClr val="25FF88"/>
            </a:solidFill>
          </c:spPr>
          <c:invertIfNegative val="0"/>
          <c:cat>
            <c:strRef>
              <c:f>'NFI Summary'!$C$13:$C$19</c:f>
              <c:strCache>
                <c:ptCount val="7"/>
                <c:pt idx="0">
                  <c:v>Mosquito net</c:v>
                </c:pt>
                <c:pt idx="1">
                  <c:v>Tarpaulin</c:v>
                </c:pt>
                <c:pt idx="2">
                  <c:v>Blanket</c:v>
                </c:pt>
                <c:pt idx="3">
                  <c:v>Kitchen Set</c:v>
                </c:pt>
                <c:pt idx="4">
                  <c:v>Clothes Kit</c:v>
                </c:pt>
                <c:pt idx="5">
                  <c:v>Plastic Bucket</c:v>
                </c:pt>
                <c:pt idx="6">
                  <c:v>Plastic Mat</c:v>
                </c:pt>
              </c:strCache>
            </c:strRef>
          </c:cat>
          <c:val>
            <c:numRef>
              <c:f>'NFI Summary'!$G$13:$G$19</c:f>
              <c:numCache>
                <c:formatCode>0%</c:formatCode>
                <c:ptCount val="7"/>
                <c:pt idx="0">
                  <c:v>0</c:v>
                </c:pt>
                <c:pt idx="1">
                  <c:v>0</c:v>
                </c:pt>
                <c:pt idx="2">
                  <c:v>0</c:v>
                </c:pt>
                <c:pt idx="3">
                  <c:v>0</c:v>
                </c:pt>
                <c:pt idx="4">
                  <c:v>0</c:v>
                </c:pt>
                <c:pt idx="5">
                  <c:v>0</c:v>
                </c:pt>
                <c:pt idx="6">
                  <c:v>0</c:v>
                </c:pt>
              </c:numCache>
            </c:numRef>
          </c:val>
        </c:ser>
        <c:ser>
          <c:idx val="3"/>
          <c:order val="1"/>
          <c:tx>
            <c:strRef>
              <c:f>'NFI Summary'!$I$12</c:f>
              <c:strCache>
                <c:ptCount val="1"/>
                <c:pt idx="0">
                  <c:v>% In Stock</c:v>
                </c:pt>
              </c:strCache>
            </c:strRef>
          </c:tx>
          <c:spPr>
            <a:solidFill>
              <a:schemeClr val="accent1">
                <a:lumMod val="40000"/>
                <a:lumOff val="60000"/>
              </a:schemeClr>
            </a:solidFill>
            <a:ln>
              <a:noFill/>
            </a:ln>
          </c:spPr>
          <c:invertIfNegative val="0"/>
          <c:cat>
            <c:strRef>
              <c:f>'NFI Summary'!$C$13:$C$19</c:f>
              <c:strCache>
                <c:ptCount val="7"/>
                <c:pt idx="0">
                  <c:v>Mosquito net</c:v>
                </c:pt>
                <c:pt idx="1">
                  <c:v>Tarpaulin</c:v>
                </c:pt>
                <c:pt idx="2">
                  <c:v>Blanket</c:v>
                </c:pt>
                <c:pt idx="3">
                  <c:v>Kitchen Set</c:v>
                </c:pt>
                <c:pt idx="4">
                  <c:v>Clothes Kit</c:v>
                </c:pt>
                <c:pt idx="5">
                  <c:v>Plastic Bucket</c:v>
                </c:pt>
                <c:pt idx="6">
                  <c:v>Plastic Mat</c:v>
                </c:pt>
              </c:strCache>
            </c:strRef>
          </c:cat>
          <c:val>
            <c:numRef>
              <c:f>'NFI Summary'!$I$13:$I$19</c:f>
              <c:numCache>
                <c:formatCode>0%</c:formatCode>
                <c:ptCount val="7"/>
                <c:pt idx="0">
                  <c:v>3.0100364963503647</c:v>
                </c:pt>
                <c:pt idx="1">
                  <c:v>2.6751824817518246</c:v>
                </c:pt>
                <c:pt idx="2">
                  <c:v>4.2308394160583944</c:v>
                </c:pt>
                <c:pt idx="3">
                  <c:v>2.1423357664233578</c:v>
                </c:pt>
                <c:pt idx="4">
                  <c:v>0</c:v>
                </c:pt>
                <c:pt idx="5">
                  <c:v>1.7025547445255473</c:v>
                </c:pt>
                <c:pt idx="6">
                  <c:v>1.7587591240875913</c:v>
                </c:pt>
              </c:numCache>
            </c:numRef>
          </c:val>
        </c:ser>
        <c:ser>
          <c:idx val="0"/>
          <c:order val="2"/>
          <c:tx>
            <c:strRef>
              <c:f>'NFI Summary'!$J$12</c:f>
              <c:strCache>
                <c:ptCount val="1"/>
                <c:pt idx="0">
                  <c:v>% Gap</c:v>
                </c:pt>
              </c:strCache>
            </c:strRef>
          </c:tx>
          <c:spPr>
            <a:solidFill>
              <a:srgbClr val="FD2361"/>
            </a:solidFill>
          </c:spPr>
          <c:invertIfNegative val="0"/>
          <c:val>
            <c:numRef>
              <c:f>'NFI Summary'!$J$13:$J$19</c:f>
              <c:numCache>
                <c:formatCode>0%</c:formatCode>
                <c:ptCount val="7"/>
                <c:pt idx="0">
                  <c:v>0</c:v>
                </c:pt>
                <c:pt idx="1">
                  <c:v>0</c:v>
                </c:pt>
                <c:pt idx="2">
                  <c:v>0</c:v>
                </c:pt>
                <c:pt idx="3">
                  <c:v>0</c:v>
                </c:pt>
                <c:pt idx="4">
                  <c:v>1</c:v>
                </c:pt>
                <c:pt idx="5">
                  <c:v>0</c:v>
                </c:pt>
                <c:pt idx="6">
                  <c:v>0</c:v>
                </c:pt>
              </c:numCache>
            </c:numRef>
          </c:val>
        </c:ser>
        <c:dLbls>
          <c:showLegendKey val="0"/>
          <c:showVal val="0"/>
          <c:showCatName val="0"/>
          <c:showSerName val="0"/>
          <c:showPercent val="0"/>
          <c:showBubbleSize val="0"/>
        </c:dLbls>
        <c:gapWidth val="55"/>
        <c:overlap val="100"/>
        <c:axId val="335673840"/>
        <c:axId val="335674232"/>
      </c:barChart>
      <c:catAx>
        <c:axId val="335673840"/>
        <c:scaling>
          <c:orientation val="minMax"/>
        </c:scaling>
        <c:delete val="0"/>
        <c:axPos val="b"/>
        <c:numFmt formatCode="General" sourceLinked="1"/>
        <c:majorTickMark val="none"/>
        <c:minorTickMark val="none"/>
        <c:tickLblPos val="nextTo"/>
        <c:txPr>
          <a:bodyPr rot="-5400000" vert="horz" anchor="t" anchorCtr="0"/>
          <a:lstStyle/>
          <a:p>
            <a:pPr>
              <a:defRPr sz="800" b="0" i="0" u="none" strike="noStrike" baseline="0">
                <a:solidFill>
                  <a:srgbClr val="000000"/>
                </a:solidFill>
                <a:latin typeface="Calibri"/>
                <a:ea typeface="Calibri"/>
                <a:cs typeface="Calibri"/>
              </a:defRPr>
            </a:pPr>
            <a:endParaRPr lang="en-US"/>
          </a:p>
        </c:txPr>
        <c:crossAx val="335674232"/>
        <c:crosses val="autoZero"/>
        <c:auto val="1"/>
        <c:lblAlgn val="ctr"/>
        <c:lblOffset val="0"/>
        <c:noMultiLvlLbl val="0"/>
      </c:catAx>
      <c:valAx>
        <c:axId val="335674232"/>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335673840"/>
        <c:crosses val="autoZero"/>
        <c:crossBetween val="between"/>
        <c:majorUnit val="0.2"/>
      </c:valAx>
      <c:spPr>
        <a:noFill/>
        <a:ln w="25400">
          <a:noFill/>
        </a:ln>
      </c:spPr>
    </c:plotArea>
    <c:legend>
      <c:legendPos val="r"/>
      <c:overlay val="0"/>
      <c:txPr>
        <a:bodyPr/>
        <a:lstStyle/>
        <a:p>
          <a:pPr>
            <a:defRPr sz="80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january 2016.xlsx]NFI Distribution (by Tship)!PivotTable3</c:name>
    <c:fmtId val="5"/>
  </c:pivotSource>
  <c:chart>
    <c:title>
      <c:tx>
        <c:rich>
          <a:bodyPr/>
          <a:lstStyle/>
          <a:p>
            <a:pPr>
              <a:defRPr/>
            </a:pPr>
            <a:r>
              <a:rPr lang="en-US"/>
              <a:t>Per Oraganization</a:t>
            </a:r>
          </a:p>
        </c:rich>
      </c:tx>
      <c:layout>
        <c:manualLayout>
          <c:xMode val="edge"/>
          <c:yMode val="edge"/>
          <c:x val="0.30904386990904809"/>
          <c:y val="3.2689095681221664E-2"/>
        </c:manualLayout>
      </c:layout>
      <c:overlay val="1"/>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s>
    <c:plotArea>
      <c:layout>
        <c:manualLayout>
          <c:layoutTarget val="inner"/>
          <c:xMode val="edge"/>
          <c:yMode val="edge"/>
          <c:x val="0.13372460706783282"/>
          <c:y val="0.1712043664996421"/>
          <c:w val="0.56123337707786525"/>
          <c:h val="0.68340359530308714"/>
        </c:manualLayout>
      </c:layout>
      <c:barChart>
        <c:barDir val="col"/>
        <c:grouping val="clustered"/>
        <c:varyColors val="0"/>
        <c:ser>
          <c:idx val="0"/>
          <c:order val="0"/>
          <c:tx>
            <c:strRef>
              <c:f>'NFI Distribution (by Tship)'!$B$62</c:f>
              <c:strCache>
                <c:ptCount val="1"/>
                <c:pt idx="0">
                  <c:v>Mosquito net </c:v>
                </c:pt>
              </c:strCache>
            </c:strRef>
          </c:tx>
          <c:invertIfNegative val="0"/>
          <c:cat>
            <c:strRef>
              <c:f>'NFI Distribution (by Tship)'!$A$63:$A$64</c:f>
              <c:strCache>
                <c:ptCount val="1"/>
                <c:pt idx="0">
                  <c:v>UNHCR</c:v>
                </c:pt>
              </c:strCache>
            </c:strRef>
          </c:cat>
          <c:val>
            <c:numRef>
              <c:f>'NFI Distribution (by Tship)'!$B$63:$B$64</c:f>
              <c:numCache>
                <c:formatCode>_-* #,##0_-;\-* #,##0_-;_-* "-"??_-;_-@_-</c:formatCode>
                <c:ptCount val="1"/>
                <c:pt idx="0">
                  <c:v>540</c:v>
                </c:pt>
              </c:numCache>
            </c:numRef>
          </c:val>
        </c:ser>
        <c:ser>
          <c:idx val="1"/>
          <c:order val="1"/>
          <c:tx>
            <c:strRef>
              <c:f>'NFI Distribution (by Tship)'!$C$62</c:f>
              <c:strCache>
                <c:ptCount val="1"/>
                <c:pt idx="0">
                  <c:v>Tarpaulin</c:v>
                </c:pt>
              </c:strCache>
            </c:strRef>
          </c:tx>
          <c:invertIfNegative val="0"/>
          <c:cat>
            <c:strRef>
              <c:f>'NFI Distribution (by Tship)'!$A$63:$A$64</c:f>
              <c:strCache>
                <c:ptCount val="1"/>
                <c:pt idx="0">
                  <c:v>UNHCR</c:v>
                </c:pt>
              </c:strCache>
            </c:strRef>
          </c:cat>
          <c:val>
            <c:numRef>
              <c:f>'NFI Distribution (by Tship)'!$C$63:$C$64</c:f>
              <c:numCache>
                <c:formatCode>_-* #,##0_-;\-* #,##0_-;_-* "-"??_-;_-@_-</c:formatCode>
                <c:ptCount val="1"/>
                <c:pt idx="0">
                  <c:v>200</c:v>
                </c:pt>
              </c:numCache>
            </c:numRef>
          </c:val>
        </c:ser>
        <c:ser>
          <c:idx val="2"/>
          <c:order val="2"/>
          <c:tx>
            <c:strRef>
              <c:f>'NFI Distribution (by Tship)'!$D$62</c:f>
              <c:strCache>
                <c:ptCount val="1"/>
                <c:pt idx="0">
                  <c:v>Blanket</c:v>
                </c:pt>
              </c:strCache>
            </c:strRef>
          </c:tx>
          <c:invertIfNegative val="0"/>
          <c:cat>
            <c:strRef>
              <c:f>'NFI Distribution (by Tship)'!$A$63:$A$64</c:f>
              <c:strCache>
                <c:ptCount val="1"/>
                <c:pt idx="0">
                  <c:v>UNHCR</c:v>
                </c:pt>
              </c:strCache>
            </c:strRef>
          </c:cat>
          <c:val>
            <c:numRef>
              <c:f>'NFI Distribution (by Tship)'!$D$63:$D$64</c:f>
              <c:numCache>
                <c:formatCode>_-* #,##0_-;\-* #,##0_-;_-* "-"??_-;_-@_-</c:formatCode>
                <c:ptCount val="1"/>
                <c:pt idx="0">
                  <c:v>865</c:v>
                </c:pt>
              </c:numCache>
            </c:numRef>
          </c:val>
        </c:ser>
        <c:ser>
          <c:idx val="3"/>
          <c:order val="3"/>
          <c:tx>
            <c:strRef>
              <c:f>'NFI Distribution (by Tship)'!$E$62</c:f>
              <c:strCache>
                <c:ptCount val="1"/>
                <c:pt idx="0">
                  <c:v>Kitchen Set</c:v>
                </c:pt>
              </c:strCache>
            </c:strRef>
          </c:tx>
          <c:invertIfNegative val="0"/>
          <c:cat>
            <c:strRef>
              <c:f>'NFI Distribution (by Tship)'!$A$63:$A$64</c:f>
              <c:strCache>
                <c:ptCount val="1"/>
                <c:pt idx="0">
                  <c:v>UNHCR</c:v>
                </c:pt>
              </c:strCache>
            </c:strRef>
          </c:cat>
          <c:val>
            <c:numRef>
              <c:f>'NFI Distribution (by Tship)'!$E$63:$E$64</c:f>
              <c:numCache>
                <c:formatCode>_-* #,##0_-;\-* #,##0_-;_-* "-"??_-;_-@_-</c:formatCode>
                <c:ptCount val="1"/>
                <c:pt idx="0">
                  <c:v>200</c:v>
                </c:pt>
              </c:numCache>
            </c:numRef>
          </c:val>
        </c:ser>
        <c:ser>
          <c:idx val="4"/>
          <c:order val="4"/>
          <c:tx>
            <c:strRef>
              <c:f>'NFI Distribution (by Tship)'!$F$62</c:f>
              <c:strCache>
                <c:ptCount val="1"/>
                <c:pt idx="0">
                  <c:v>Plastic Bucket </c:v>
                </c:pt>
              </c:strCache>
            </c:strRef>
          </c:tx>
          <c:invertIfNegative val="0"/>
          <c:cat>
            <c:strRef>
              <c:f>'NFI Distribution (by Tship)'!$A$63:$A$64</c:f>
              <c:strCache>
                <c:ptCount val="1"/>
                <c:pt idx="0">
                  <c:v>UNHCR</c:v>
                </c:pt>
              </c:strCache>
            </c:strRef>
          </c:cat>
          <c:val>
            <c:numRef>
              <c:f>'NFI Distribution (by Tship)'!$F$63:$F$64</c:f>
              <c:numCache>
                <c:formatCode>_-* #,##0_-;\-* #,##0_-;_-* "-"??_-;_-@_-</c:formatCode>
                <c:ptCount val="1"/>
                <c:pt idx="0">
                  <c:v>200</c:v>
                </c:pt>
              </c:numCache>
            </c:numRef>
          </c:val>
        </c:ser>
        <c:ser>
          <c:idx val="5"/>
          <c:order val="5"/>
          <c:tx>
            <c:strRef>
              <c:f>'NFI Distribution (by Tship)'!$G$62</c:f>
              <c:strCache>
                <c:ptCount val="1"/>
                <c:pt idx="0">
                  <c:v>Plastic Mat </c:v>
                </c:pt>
              </c:strCache>
            </c:strRef>
          </c:tx>
          <c:invertIfNegative val="0"/>
          <c:cat>
            <c:strRef>
              <c:f>'NFI Distribution (by Tship)'!$A$63:$A$64</c:f>
              <c:strCache>
                <c:ptCount val="1"/>
                <c:pt idx="0">
                  <c:v>UNHCR</c:v>
                </c:pt>
              </c:strCache>
            </c:strRef>
          </c:cat>
          <c:val>
            <c:numRef>
              <c:f>'NFI Distribution (by Tship)'!$G$63:$G$64</c:f>
              <c:numCache>
                <c:formatCode>_-* #,##0_-;\-* #,##0_-;_-* "-"??_-;_-@_-</c:formatCode>
                <c:ptCount val="1"/>
                <c:pt idx="0">
                  <c:v>975</c:v>
                </c:pt>
              </c:numCache>
            </c:numRef>
          </c:val>
        </c:ser>
        <c:dLbls>
          <c:showLegendKey val="0"/>
          <c:showVal val="0"/>
          <c:showCatName val="0"/>
          <c:showSerName val="0"/>
          <c:showPercent val="0"/>
          <c:showBubbleSize val="0"/>
        </c:dLbls>
        <c:gapWidth val="150"/>
        <c:axId val="335675016"/>
        <c:axId val="335675408"/>
      </c:barChart>
      <c:catAx>
        <c:axId val="335675016"/>
        <c:scaling>
          <c:orientation val="minMax"/>
        </c:scaling>
        <c:delete val="0"/>
        <c:axPos val="b"/>
        <c:numFmt formatCode="General" sourceLinked="0"/>
        <c:majorTickMark val="out"/>
        <c:minorTickMark val="none"/>
        <c:tickLblPos val="nextTo"/>
        <c:crossAx val="335675408"/>
        <c:crosses val="autoZero"/>
        <c:auto val="1"/>
        <c:lblAlgn val="ctr"/>
        <c:lblOffset val="100"/>
        <c:noMultiLvlLbl val="0"/>
      </c:catAx>
      <c:valAx>
        <c:axId val="335675408"/>
        <c:scaling>
          <c:orientation val="minMax"/>
          <c:max val="1200"/>
          <c:min val="0"/>
        </c:scaling>
        <c:delete val="0"/>
        <c:axPos val="l"/>
        <c:majorGridlines/>
        <c:numFmt formatCode="_-* #,##0_-;\-* #,##0_-;_-* &quot;-&quot;??_-;_-@_-" sourceLinked="1"/>
        <c:majorTickMark val="out"/>
        <c:minorTickMark val="none"/>
        <c:tickLblPos val="nextTo"/>
        <c:crossAx val="335675016"/>
        <c:crosses val="autoZero"/>
        <c:crossBetween val="between"/>
      </c:valAx>
    </c:plotArea>
    <c:legend>
      <c:legendPos val="r"/>
      <c:layout>
        <c:manualLayout>
          <c:xMode val="edge"/>
          <c:yMode val="edge"/>
          <c:x val="0.70043357218032565"/>
          <c:y val="2.6869178193169082E-2"/>
          <c:w val="0.29690288713910762"/>
          <c:h val="0.9391539292882507"/>
        </c:manualLayout>
      </c:layout>
      <c:overlay val="0"/>
    </c:legend>
    <c:plotVisOnly val="1"/>
    <c:dispBlanksAs val="gap"/>
    <c:showDLblsOverMax val="0"/>
  </c:chart>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january 2016.xlsx]NFI Distribution (by Tship)!PivotTable4</c:name>
    <c:fmtId val="10"/>
  </c:pivotSource>
  <c:chart>
    <c:title>
      <c:tx>
        <c:rich>
          <a:bodyPr/>
          <a:lstStyle/>
          <a:p>
            <a:pPr algn="ctr" rtl="0">
              <a:defRPr lang="en-US" sz="960" b="1" i="0" u="none" strike="noStrike" kern="1200" baseline="0">
                <a:solidFill>
                  <a:sysClr val="windowText" lastClr="000000"/>
                </a:solidFill>
                <a:latin typeface="+mn-lt"/>
                <a:ea typeface="+mn-ea"/>
                <a:cs typeface="+mn-cs"/>
              </a:defRPr>
            </a:pPr>
            <a:r>
              <a:rPr lang="en-US" sz="960" b="1" i="0" u="none" strike="noStrike" kern="1200" baseline="0">
                <a:solidFill>
                  <a:sysClr val="windowText" lastClr="000000"/>
                </a:solidFill>
                <a:latin typeface="+mn-lt"/>
                <a:ea typeface="+mn-ea"/>
                <a:cs typeface="+mn-cs"/>
              </a:rPr>
              <a:t>Per Organization</a:t>
            </a:r>
          </a:p>
        </c:rich>
      </c:tx>
      <c:layout>
        <c:manualLayout>
          <c:xMode val="edge"/>
          <c:yMode val="edge"/>
          <c:x val="0.28193757716714046"/>
          <c:y val="1.8491995650205377E-3"/>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plotArea>
      <c:layout>
        <c:manualLayout>
          <c:layoutTarget val="inner"/>
          <c:xMode val="edge"/>
          <c:yMode val="edge"/>
          <c:x val="0.10722761076176529"/>
          <c:y val="0.12121204890715288"/>
          <c:w val="0.57053297728773655"/>
          <c:h val="0.51973841580862812"/>
        </c:manualLayout>
      </c:layout>
      <c:barChart>
        <c:barDir val="col"/>
        <c:grouping val="clustered"/>
        <c:varyColors val="0"/>
        <c:ser>
          <c:idx val="0"/>
          <c:order val="0"/>
          <c:tx>
            <c:strRef>
              <c:f>'NFI Distribution (by Tship)'!$B$72</c:f>
              <c:strCache>
                <c:ptCount val="1"/>
                <c:pt idx="0">
                  <c:v>Winter Clothes Adult </c:v>
                </c:pt>
              </c:strCache>
            </c:strRef>
          </c:tx>
          <c:invertIfNegative val="0"/>
          <c:cat>
            <c:strRef>
              <c:f>'NFI Distribution (by Tship)'!$A$73:$A$79</c:f>
              <c:strCache>
                <c:ptCount val="6"/>
                <c:pt idx="0">
                  <c:v>CRCS</c:v>
                </c:pt>
                <c:pt idx="1">
                  <c:v>DRC</c:v>
                </c:pt>
                <c:pt idx="2">
                  <c:v>ICRC</c:v>
                </c:pt>
                <c:pt idx="3">
                  <c:v>Plan-Myanmar</c:v>
                </c:pt>
                <c:pt idx="4">
                  <c:v>Solidarities</c:v>
                </c:pt>
                <c:pt idx="5">
                  <c:v>UNHCR</c:v>
                </c:pt>
              </c:strCache>
            </c:strRef>
          </c:cat>
          <c:val>
            <c:numRef>
              <c:f>'NFI Distribution (by Tship)'!$B$73:$B$79</c:f>
              <c:numCache>
                <c:formatCode>_-* #,##0_-;\-* #,##0_-;_-* "-"??_-;_-@_-</c:formatCode>
                <c:ptCount val="6"/>
                <c:pt idx="1">
                  <c:v>944</c:v>
                </c:pt>
                <c:pt idx="2">
                  <c:v>941</c:v>
                </c:pt>
                <c:pt idx="4">
                  <c:v>1155</c:v>
                </c:pt>
                <c:pt idx="5">
                  <c:v>1632</c:v>
                </c:pt>
              </c:numCache>
            </c:numRef>
          </c:val>
        </c:ser>
        <c:ser>
          <c:idx val="1"/>
          <c:order val="1"/>
          <c:tx>
            <c:strRef>
              <c:f>'NFI Distribution (by Tship)'!$C$72</c:f>
              <c:strCache>
                <c:ptCount val="1"/>
                <c:pt idx="0">
                  <c:v>Winter Clothes Children </c:v>
                </c:pt>
              </c:strCache>
            </c:strRef>
          </c:tx>
          <c:invertIfNegative val="0"/>
          <c:cat>
            <c:strRef>
              <c:f>'NFI Distribution (by Tship)'!$A$73:$A$79</c:f>
              <c:strCache>
                <c:ptCount val="6"/>
                <c:pt idx="0">
                  <c:v>CRCS</c:v>
                </c:pt>
                <c:pt idx="1">
                  <c:v>DRC</c:v>
                </c:pt>
                <c:pt idx="2">
                  <c:v>ICRC</c:v>
                </c:pt>
                <c:pt idx="3">
                  <c:v>Plan-Myanmar</c:v>
                </c:pt>
                <c:pt idx="4">
                  <c:v>Solidarities</c:v>
                </c:pt>
                <c:pt idx="5">
                  <c:v>UNHCR</c:v>
                </c:pt>
              </c:strCache>
            </c:strRef>
          </c:cat>
          <c:val>
            <c:numRef>
              <c:f>'NFI Distribution (by Tship)'!$C$73:$C$79</c:f>
              <c:numCache>
                <c:formatCode>_-* #,##0_-;\-* #,##0_-;_-* "-"??_-;_-@_-</c:formatCode>
                <c:ptCount val="6"/>
                <c:pt idx="1">
                  <c:v>553</c:v>
                </c:pt>
                <c:pt idx="2">
                  <c:v>619</c:v>
                </c:pt>
                <c:pt idx="3">
                  <c:v>1333</c:v>
                </c:pt>
                <c:pt idx="4">
                  <c:v>2263</c:v>
                </c:pt>
                <c:pt idx="5">
                  <c:v>2421</c:v>
                </c:pt>
              </c:numCache>
            </c:numRef>
          </c:val>
        </c:ser>
        <c:ser>
          <c:idx val="2"/>
          <c:order val="2"/>
          <c:tx>
            <c:strRef>
              <c:f>'NFI Distribution (by Tship)'!$D$72</c:f>
              <c:strCache>
                <c:ptCount val="1"/>
                <c:pt idx="0">
                  <c:v>Winter Blanket </c:v>
                </c:pt>
              </c:strCache>
            </c:strRef>
          </c:tx>
          <c:invertIfNegative val="0"/>
          <c:cat>
            <c:strRef>
              <c:f>'NFI Distribution (by Tship)'!$A$73:$A$79</c:f>
              <c:strCache>
                <c:ptCount val="6"/>
                <c:pt idx="0">
                  <c:v>CRCS</c:v>
                </c:pt>
                <c:pt idx="1">
                  <c:v>DRC</c:v>
                </c:pt>
                <c:pt idx="2">
                  <c:v>ICRC</c:v>
                </c:pt>
                <c:pt idx="3">
                  <c:v>Plan-Myanmar</c:v>
                </c:pt>
                <c:pt idx="4">
                  <c:v>Solidarities</c:v>
                </c:pt>
                <c:pt idx="5">
                  <c:v>UNHCR</c:v>
                </c:pt>
              </c:strCache>
            </c:strRef>
          </c:cat>
          <c:val>
            <c:numRef>
              <c:f>'NFI Distribution (by Tship)'!$D$73:$D$79</c:f>
              <c:numCache>
                <c:formatCode>_-* #,##0_-;\-* #,##0_-;_-* "-"??_-;_-@_-</c:formatCode>
                <c:ptCount val="6"/>
                <c:pt idx="0">
                  <c:v>684</c:v>
                </c:pt>
                <c:pt idx="2">
                  <c:v>549</c:v>
                </c:pt>
                <c:pt idx="4">
                  <c:v>3418</c:v>
                </c:pt>
                <c:pt idx="5">
                  <c:v>3070</c:v>
                </c:pt>
              </c:numCache>
            </c:numRef>
          </c:val>
        </c:ser>
        <c:dLbls>
          <c:showLegendKey val="0"/>
          <c:showVal val="0"/>
          <c:showCatName val="0"/>
          <c:showSerName val="0"/>
          <c:showPercent val="0"/>
          <c:showBubbleSize val="0"/>
        </c:dLbls>
        <c:gapWidth val="150"/>
        <c:axId val="335676192"/>
        <c:axId val="335676584"/>
      </c:barChart>
      <c:catAx>
        <c:axId val="335676192"/>
        <c:scaling>
          <c:orientation val="minMax"/>
        </c:scaling>
        <c:delete val="0"/>
        <c:axPos val="b"/>
        <c:numFmt formatCode="General" sourceLinked="0"/>
        <c:majorTickMark val="out"/>
        <c:minorTickMark val="none"/>
        <c:tickLblPos val="nextTo"/>
        <c:txPr>
          <a:bodyPr/>
          <a:lstStyle/>
          <a:p>
            <a:pPr>
              <a:defRPr sz="800"/>
            </a:pPr>
            <a:endParaRPr lang="en-US"/>
          </a:p>
        </c:txPr>
        <c:crossAx val="335676584"/>
        <c:crosses val="autoZero"/>
        <c:auto val="1"/>
        <c:lblAlgn val="ctr"/>
        <c:lblOffset val="100"/>
        <c:noMultiLvlLbl val="0"/>
      </c:catAx>
      <c:valAx>
        <c:axId val="335676584"/>
        <c:scaling>
          <c:orientation val="minMax"/>
        </c:scaling>
        <c:delete val="0"/>
        <c:axPos val="l"/>
        <c:majorGridlines/>
        <c:numFmt formatCode="_-* #,##0_-;\-* #,##0_-;_-* &quot;-&quot;??_-;_-@_-" sourceLinked="1"/>
        <c:majorTickMark val="out"/>
        <c:minorTickMark val="none"/>
        <c:tickLblPos val="nextTo"/>
        <c:txPr>
          <a:bodyPr/>
          <a:lstStyle/>
          <a:p>
            <a:pPr>
              <a:defRPr sz="800"/>
            </a:pPr>
            <a:endParaRPr lang="en-US"/>
          </a:p>
        </c:txPr>
        <c:crossAx val="335676192"/>
        <c:crosses val="autoZero"/>
        <c:crossBetween val="between"/>
        <c:majorUnit val="1000"/>
      </c:valAx>
    </c:plotArea>
    <c:legend>
      <c:legendPos val="r"/>
      <c:overlay val="0"/>
      <c:txPr>
        <a:bodyPr/>
        <a:lstStyle/>
        <a:p>
          <a:pPr>
            <a:defRPr sz="800"/>
          </a:pPr>
          <a:endParaRPr lang="en-US"/>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b="1">
                <a:latin typeface="+mn-lt"/>
              </a:defRPr>
            </a:pPr>
            <a:r>
              <a:rPr lang="en-US" sz="1100" b="1">
                <a:latin typeface="+mn-lt"/>
              </a:rPr>
              <a:t>Coverage</a:t>
            </a:r>
            <a:r>
              <a:rPr lang="en-US" sz="1100" b="1" baseline="0">
                <a:latin typeface="+mn-lt"/>
              </a:rPr>
              <a:t> &amp; Gaps / Items</a:t>
            </a:r>
            <a:endParaRPr lang="en-US" sz="1100" b="1">
              <a:latin typeface="+mn-lt"/>
            </a:endParaRPr>
          </a:p>
        </c:rich>
      </c:tx>
      <c:layout>
        <c:manualLayout>
          <c:xMode val="edge"/>
          <c:yMode val="edge"/>
          <c:x val="0.2306514653125229"/>
          <c:y val="0"/>
        </c:manualLayout>
      </c:layout>
      <c:overlay val="0"/>
    </c:title>
    <c:autoTitleDeleted val="0"/>
    <c:plotArea>
      <c:layout>
        <c:manualLayout>
          <c:layoutTarget val="inner"/>
          <c:xMode val="edge"/>
          <c:yMode val="edge"/>
          <c:x val="0.14939203728374265"/>
          <c:y val="0.20269797903419415"/>
          <c:w val="0.6339556147360994"/>
          <c:h val="0.32959123111299371"/>
        </c:manualLayout>
      </c:layout>
      <c:barChart>
        <c:barDir val="col"/>
        <c:grouping val="stacked"/>
        <c:varyColors val="0"/>
        <c:ser>
          <c:idx val="1"/>
          <c:order val="0"/>
          <c:tx>
            <c:strRef>
              <c:f>'NFI Summary'!$P$12</c:f>
              <c:strCache>
                <c:ptCount val="1"/>
                <c:pt idx="0">
                  <c:v>% Distributed</c:v>
                </c:pt>
              </c:strCache>
            </c:strRef>
          </c:tx>
          <c:spPr>
            <a:solidFill>
              <a:srgbClr val="25FF88"/>
            </a:solidFill>
          </c:spPr>
          <c:invertIfNegative val="0"/>
          <c:cat>
            <c:strRef>
              <c:f>'NFI Summary'!$L$13:$L$15</c:f>
              <c:strCache>
                <c:ptCount val="3"/>
                <c:pt idx="0">
                  <c:v>Winter Clothes Adult</c:v>
                </c:pt>
                <c:pt idx="1">
                  <c:v>Winter Clothes Children</c:v>
                </c:pt>
                <c:pt idx="2">
                  <c:v>Winter Blanket</c:v>
                </c:pt>
              </c:strCache>
            </c:strRef>
          </c:cat>
          <c:val>
            <c:numRef>
              <c:f>'NFI Summary'!$P$13:$P$15</c:f>
              <c:numCache>
                <c:formatCode>0%</c:formatCode>
                <c:ptCount val="3"/>
                <c:pt idx="0">
                  <c:v>0.25432432432432434</c:v>
                </c:pt>
                <c:pt idx="1">
                  <c:v>0.11153153153153153</c:v>
                </c:pt>
                <c:pt idx="2">
                  <c:v>0.14837837837837839</c:v>
                </c:pt>
              </c:numCache>
            </c:numRef>
          </c:val>
        </c:ser>
        <c:ser>
          <c:idx val="3"/>
          <c:order val="1"/>
          <c:tx>
            <c:strRef>
              <c:f>'NFI Summary'!$R$12</c:f>
              <c:strCache>
                <c:ptCount val="1"/>
                <c:pt idx="0">
                  <c:v>% In Stock</c:v>
                </c:pt>
              </c:strCache>
            </c:strRef>
          </c:tx>
          <c:spPr>
            <a:solidFill>
              <a:schemeClr val="accent1">
                <a:lumMod val="40000"/>
                <a:lumOff val="60000"/>
              </a:schemeClr>
            </a:solidFill>
            <a:ln>
              <a:noFill/>
            </a:ln>
          </c:spPr>
          <c:invertIfNegative val="0"/>
          <c:cat>
            <c:strRef>
              <c:f>'NFI Summary'!$L$13:$L$15</c:f>
              <c:strCache>
                <c:ptCount val="3"/>
                <c:pt idx="0">
                  <c:v>Winter Clothes Adult</c:v>
                </c:pt>
                <c:pt idx="1">
                  <c:v>Winter Clothes Children</c:v>
                </c:pt>
                <c:pt idx="2">
                  <c:v>Winter Blanket</c:v>
                </c:pt>
              </c:strCache>
            </c:strRef>
          </c:cat>
          <c:val>
            <c:numRef>
              <c:f>'NFI Summary'!$R$13:$R$15</c:f>
              <c:numCache>
                <c:formatCode>0%</c:formatCode>
                <c:ptCount val="3"/>
                <c:pt idx="0">
                  <c:v>0</c:v>
                </c:pt>
                <c:pt idx="1">
                  <c:v>0</c:v>
                </c:pt>
                <c:pt idx="2">
                  <c:v>0.18027027027027026</c:v>
                </c:pt>
              </c:numCache>
            </c:numRef>
          </c:val>
        </c:ser>
        <c:ser>
          <c:idx val="0"/>
          <c:order val="2"/>
          <c:tx>
            <c:strRef>
              <c:f>'NFI Summary'!$S$12</c:f>
              <c:strCache>
                <c:ptCount val="1"/>
                <c:pt idx="0">
                  <c:v>% Gap</c:v>
                </c:pt>
              </c:strCache>
            </c:strRef>
          </c:tx>
          <c:spPr>
            <a:solidFill>
              <a:srgbClr val="FD2361"/>
            </a:solidFill>
          </c:spPr>
          <c:invertIfNegative val="0"/>
          <c:cat>
            <c:strRef>
              <c:f>'NFI Summary'!$L$13:$L$15</c:f>
              <c:strCache>
                <c:ptCount val="3"/>
                <c:pt idx="0">
                  <c:v>Winter Clothes Adult</c:v>
                </c:pt>
                <c:pt idx="1">
                  <c:v>Winter Clothes Children</c:v>
                </c:pt>
                <c:pt idx="2">
                  <c:v>Winter Blanket</c:v>
                </c:pt>
              </c:strCache>
            </c:strRef>
          </c:cat>
          <c:val>
            <c:numRef>
              <c:f>'NFI Summary'!$S$13:$S$15</c:f>
              <c:numCache>
                <c:formatCode>0%</c:formatCode>
                <c:ptCount val="3"/>
                <c:pt idx="0">
                  <c:v>0.74567567567567572</c:v>
                </c:pt>
                <c:pt idx="1">
                  <c:v>0.8884684684684685</c:v>
                </c:pt>
                <c:pt idx="2">
                  <c:v>0.67135135135135138</c:v>
                </c:pt>
              </c:numCache>
            </c:numRef>
          </c:val>
        </c:ser>
        <c:dLbls>
          <c:showLegendKey val="0"/>
          <c:showVal val="0"/>
          <c:showCatName val="0"/>
          <c:showSerName val="0"/>
          <c:showPercent val="0"/>
          <c:showBubbleSize val="0"/>
        </c:dLbls>
        <c:gapWidth val="55"/>
        <c:overlap val="100"/>
        <c:axId val="353366096"/>
        <c:axId val="353366488"/>
      </c:barChart>
      <c:catAx>
        <c:axId val="353366096"/>
        <c:scaling>
          <c:orientation val="minMax"/>
        </c:scaling>
        <c:delete val="0"/>
        <c:axPos val="b"/>
        <c:numFmt formatCode="General" sourceLinked="1"/>
        <c:majorTickMark val="none"/>
        <c:minorTickMark val="none"/>
        <c:tickLblPos val="nextTo"/>
        <c:txPr>
          <a:bodyPr rot="-5400000" vert="horz" anchor="t" anchorCtr="0"/>
          <a:lstStyle/>
          <a:p>
            <a:pPr>
              <a:defRPr sz="800" b="0" i="0" u="none" strike="noStrike" baseline="0">
                <a:solidFill>
                  <a:srgbClr val="000000"/>
                </a:solidFill>
                <a:latin typeface="Calibri"/>
                <a:ea typeface="Calibri"/>
                <a:cs typeface="Calibri"/>
              </a:defRPr>
            </a:pPr>
            <a:endParaRPr lang="en-US"/>
          </a:p>
        </c:txPr>
        <c:crossAx val="353366488"/>
        <c:crosses val="autoZero"/>
        <c:auto val="1"/>
        <c:lblAlgn val="ctr"/>
        <c:lblOffset val="0"/>
        <c:noMultiLvlLbl val="0"/>
      </c:catAx>
      <c:valAx>
        <c:axId val="353366488"/>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353366096"/>
        <c:crosses val="autoZero"/>
        <c:crossBetween val="between"/>
        <c:majorUnit val="0.2"/>
      </c:valAx>
      <c:spPr>
        <a:noFill/>
        <a:ln w="25400">
          <a:noFill/>
        </a:ln>
      </c:spPr>
    </c:plotArea>
    <c:legend>
      <c:legendPos val="r"/>
      <c:overlay val="0"/>
      <c:txPr>
        <a:bodyPr/>
        <a:lstStyle/>
        <a:p>
          <a:pPr>
            <a:defRPr sz="80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8" Type="http://schemas.openxmlformats.org/officeDocument/2006/relationships/hyperlink" Target="#'NFI Tracking'!A1"/><Relationship Id="rId3" Type="http://schemas.openxmlformats.org/officeDocument/2006/relationships/hyperlink" Target="#'Shelter Tracking'!A1"/><Relationship Id="rId7" Type="http://schemas.openxmlformats.org/officeDocument/2006/relationships/image" Target="../media/image5.wmf"/><Relationship Id="rId12" Type="http://schemas.openxmlformats.org/officeDocument/2006/relationships/image" Target="../media/image7.png"/><Relationship Id="rId2" Type="http://schemas.openxmlformats.org/officeDocument/2006/relationships/hyperlink" Target="#'Camp List'!A1"/><Relationship Id="rId1" Type="http://schemas.openxmlformats.org/officeDocument/2006/relationships/hyperlink" Target="#'Camp Analysis'!A1"/><Relationship Id="rId6" Type="http://schemas.openxmlformats.org/officeDocument/2006/relationships/image" Target="../media/image4.wmf"/><Relationship Id="rId11" Type="http://schemas.openxmlformats.org/officeDocument/2006/relationships/image" Target="../media/image6.png"/><Relationship Id="rId5" Type="http://schemas.openxmlformats.org/officeDocument/2006/relationships/image" Target="../media/image3.wmf"/><Relationship Id="rId10" Type="http://schemas.openxmlformats.org/officeDocument/2006/relationships/hyperlink" Target="#'Shelter Summary (by Agency)'!A1"/><Relationship Id="rId4" Type="http://schemas.openxmlformats.org/officeDocument/2006/relationships/hyperlink" Target="#'Shelter Progress'!A1"/><Relationship Id="rId9" Type="http://schemas.openxmlformats.org/officeDocument/2006/relationships/hyperlink" Target="#'NFI Distribution (by Tship)'!A1"/></Relationships>
</file>

<file path=xl/drawings/_rels/drawing2.xml.rels><?xml version="1.0" encoding="UTF-8" standalone="yes"?>
<Relationships xmlns="http://schemas.openxmlformats.org/package/2006/relationships"><Relationship Id="rId3" Type="http://schemas.openxmlformats.org/officeDocument/2006/relationships/hyperlink" Target="#'CCCM Dashboard'!A1"/><Relationship Id="rId7" Type="http://schemas.openxmlformats.org/officeDocument/2006/relationships/hyperlink" Target="#'Camp Analysis'!A1"/><Relationship Id="rId2" Type="http://schemas.openxmlformats.org/officeDocument/2006/relationships/image" Target="../media/image8.png"/><Relationship Id="rId1" Type="http://schemas.openxmlformats.org/officeDocument/2006/relationships/image" Target="../media/image6.png"/><Relationship Id="rId6" Type="http://schemas.openxmlformats.org/officeDocument/2006/relationships/hyperlink" Target="#'Camp List (printable)'!A1"/><Relationship Id="rId5" Type="http://schemas.openxmlformats.org/officeDocument/2006/relationships/hyperlink" Target="#'Camp List'!A1"/><Relationship Id="rId4" Type="http://schemas.openxmlformats.org/officeDocument/2006/relationships/hyperlink" Target="#Home!A1"/></Relationships>
</file>

<file path=xl/drawings/_rels/drawing3.xml.rels><?xml version="1.0" encoding="UTF-8" standalone="yes"?>
<Relationships xmlns="http://schemas.openxmlformats.org/package/2006/relationships"><Relationship Id="rId8" Type="http://schemas.openxmlformats.org/officeDocument/2006/relationships/hyperlink" Target="#'Camp Analysis'!A1"/><Relationship Id="rId3" Type="http://schemas.openxmlformats.org/officeDocument/2006/relationships/image" Target="../media/image9.png"/><Relationship Id="rId7" Type="http://schemas.openxmlformats.org/officeDocument/2006/relationships/hyperlink" Target="#'Camp List (printable)'!A1"/><Relationship Id="rId2" Type="http://schemas.openxmlformats.org/officeDocument/2006/relationships/image" Target="../media/image6.png"/><Relationship Id="rId1" Type="http://schemas.openxmlformats.org/officeDocument/2006/relationships/chart" Target="../charts/chart1.xml"/><Relationship Id="rId6" Type="http://schemas.openxmlformats.org/officeDocument/2006/relationships/hyperlink" Target="#'Camp List'!A1"/><Relationship Id="rId5" Type="http://schemas.openxmlformats.org/officeDocument/2006/relationships/hyperlink" Target="#Home!A1"/><Relationship Id="rId4" Type="http://schemas.openxmlformats.org/officeDocument/2006/relationships/hyperlink" Target="#'CCCM Dashboard'!A1"/></Relationships>
</file>

<file path=xl/drawings/_rels/drawing4.xml.rels><?xml version="1.0" encoding="UTF-8" standalone="yes"?>
<Relationships xmlns="http://schemas.openxmlformats.org/package/2006/relationships"><Relationship Id="rId3" Type="http://schemas.openxmlformats.org/officeDocument/2006/relationships/hyperlink" Target="#'CCCM Dashboard'!A1"/><Relationship Id="rId7" Type="http://schemas.openxmlformats.org/officeDocument/2006/relationships/hyperlink" Target="#'Camp Analysis'!A1"/><Relationship Id="rId2" Type="http://schemas.openxmlformats.org/officeDocument/2006/relationships/image" Target="../media/image10.png"/><Relationship Id="rId1" Type="http://schemas.openxmlformats.org/officeDocument/2006/relationships/image" Target="../media/image6.png"/><Relationship Id="rId6" Type="http://schemas.openxmlformats.org/officeDocument/2006/relationships/hyperlink" Target="#'Camp List (printable)'!A1"/><Relationship Id="rId5" Type="http://schemas.openxmlformats.org/officeDocument/2006/relationships/hyperlink" Target="#'Camp List'!A1"/><Relationship Id="rId4" Type="http://schemas.openxmlformats.org/officeDocument/2006/relationships/hyperlink" Target="#Home!A1"/></Relationships>
</file>

<file path=xl/drawings/_rels/drawing5.xml.rels><?xml version="1.0" encoding="UTF-8" standalone="yes"?>
<Relationships xmlns="http://schemas.openxmlformats.org/package/2006/relationships"><Relationship Id="rId8" Type="http://schemas.openxmlformats.org/officeDocument/2006/relationships/hyperlink" Target="#'Camp List (printable)'!A1"/><Relationship Id="rId3" Type="http://schemas.openxmlformats.org/officeDocument/2006/relationships/image" Target="../media/image9.png"/><Relationship Id="rId7" Type="http://schemas.openxmlformats.org/officeDocument/2006/relationships/hyperlink" Target="#'Camp List'!A1"/><Relationship Id="rId2" Type="http://schemas.openxmlformats.org/officeDocument/2006/relationships/image" Target="../media/image6.png"/><Relationship Id="rId1" Type="http://schemas.openxmlformats.org/officeDocument/2006/relationships/chart" Target="../charts/chart2.xml"/><Relationship Id="rId6" Type="http://schemas.openxmlformats.org/officeDocument/2006/relationships/hyperlink" Target="#Home!A1"/><Relationship Id="rId5" Type="http://schemas.openxmlformats.org/officeDocument/2006/relationships/hyperlink" Target="#'CCCM Dashboard'!A1"/><Relationship Id="rId10" Type="http://schemas.openxmlformats.org/officeDocument/2006/relationships/image" Target="../media/image11.png"/><Relationship Id="rId4" Type="http://schemas.openxmlformats.org/officeDocument/2006/relationships/chart" Target="../charts/chart3.xml"/><Relationship Id="rId9" Type="http://schemas.openxmlformats.org/officeDocument/2006/relationships/hyperlink" Target="#'Camp Analysis'!A1"/></Relationships>
</file>

<file path=xl/drawings/_rels/drawing7.xml.rels><?xml version="1.0" encoding="UTF-8" standalone="yes"?>
<Relationships xmlns="http://schemas.openxmlformats.org/package/2006/relationships"><Relationship Id="rId3" Type="http://schemas.openxmlformats.org/officeDocument/2006/relationships/hyperlink" Target="#Home!A1"/><Relationship Id="rId7" Type="http://schemas.openxmlformats.org/officeDocument/2006/relationships/hyperlink" Target="#'Shelter Coverage &amp; Gaps'!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Shelter Summary (by Agency)'!A1"/><Relationship Id="rId5" Type="http://schemas.openxmlformats.org/officeDocument/2006/relationships/hyperlink" Target="#'Shelter Tracking'!A1"/><Relationship Id="rId4" Type="http://schemas.openxmlformats.org/officeDocument/2006/relationships/hyperlink" Target="#'Shelter Progress'!A1"/></Relationships>
</file>

<file path=xl/drawings/_rels/drawing8.xml.rels><?xml version="1.0" encoding="UTF-8" standalone="yes"?>
<Relationships xmlns="http://schemas.openxmlformats.org/package/2006/relationships"><Relationship Id="rId8" Type="http://schemas.openxmlformats.org/officeDocument/2006/relationships/hyperlink" Target="#'Shelter Tracking'!A1"/><Relationship Id="rId3" Type="http://schemas.openxmlformats.org/officeDocument/2006/relationships/chart" Target="../charts/chart6.xml"/><Relationship Id="rId7" Type="http://schemas.openxmlformats.org/officeDocument/2006/relationships/hyperlink" Target="#'Shelter Progress'!A1"/><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Home!A1"/><Relationship Id="rId11" Type="http://schemas.openxmlformats.org/officeDocument/2006/relationships/chart" Target="../charts/chart7.xml"/><Relationship Id="rId5" Type="http://schemas.openxmlformats.org/officeDocument/2006/relationships/image" Target="../media/image9.png"/><Relationship Id="rId10" Type="http://schemas.openxmlformats.org/officeDocument/2006/relationships/hyperlink" Target="#'Shelter Coverage &amp; Gaps'!A1"/><Relationship Id="rId4" Type="http://schemas.openxmlformats.org/officeDocument/2006/relationships/image" Target="../media/image6.png"/><Relationship Id="rId9" Type="http://schemas.openxmlformats.org/officeDocument/2006/relationships/hyperlink" Target="#'Shelter Summary (by Agency)'!A1"/></Relationships>
</file>

<file path=xl/drawings/_rels/drawing9.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chart" Target="../charts/chart8.xml"/><Relationship Id="rId7" Type="http://schemas.openxmlformats.org/officeDocument/2006/relationships/hyperlink" Target="#'Shelter Summary (by Agency)'!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Shelter Tracking'!A1"/><Relationship Id="rId5" Type="http://schemas.openxmlformats.org/officeDocument/2006/relationships/hyperlink" Target="#'Shelter Progress'!A1"/><Relationship Id="rId4" Type="http://schemas.openxmlformats.org/officeDocument/2006/relationships/hyperlink" Target="#Home!A1"/><Relationship Id="rId9"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image" Target="../media/image9.png"/><Relationship Id="rId7" Type="http://schemas.openxmlformats.org/officeDocument/2006/relationships/hyperlink" Target="#'Shelter Summary (by Agency)'!A1"/><Relationship Id="rId2" Type="http://schemas.openxmlformats.org/officeDocument/2006/relationships/image" Target="../media/image6.png"/><Relationship Id="rId1" Type="http://schemas.openxmlformats.org/officeDocument/2006/relationships/image" Target="../media/image13.jpg"/><Relationship Id="rId6" Type="http://schemas.openxmlformats.org/officeDocument/2006/relationships/hyperlink" Target="#'Shelter Tracking'!A1"/><Relationship Id="rId5" Type="http://schemas.openxmlformats.org/officeDocument/2006/relationships/hyperlink" Target="#'Shelter Progress'!A1"/><Relationship Id="rId10" Type="http://schemas.openxmlformats.org/officeDocument/2006/relationships/chart" Target="../charts/chart11.xml"/><Relationship Id="rId4" Type="http://schemas.openxmlformats.org/officeDocument/2006/relationships/hyperlink" Target="#Home!A1"/><Relationship Id="rId9"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NFI Distribution (by Tship)'!A1"/><Relationship Id="rId5" Type="http://schemas.openxmlformats.org/officeDocument/2006/relationships/hyperlink" Target="#'NFI Summary'!A1"/><Relationship Id="rId4" Type="http://schemas.openxmlformats.org/officeDocument/2006/relationships/hyperlink" Target="#'NFI Tracking'!A1"/></Relationships>
</file>

<file path=xl/drawings/_rels/drawing14.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hyperlink" Target="#'NFI Distribution (by Tship)'!A1"/><Relationship Id="rId2" Type="http://schemas.openxmlformats.org/officeDocument/2006/relationships/image" Target="../media/image6.png"/><Relationship Id="rId1" Type="http://schemas.openxmlformats.org/officeDocument/2006/relationships/hyperlink" Target="#NFIAnalysis!A1"/><Relationship Id="rId6" Type="http://schemas.openxmlformats.org/officeDocument/2006/relationships/hyperlink" Target="#'NFI Summary'!A1"/><Relationship Id="rId5" Type="http://schemas.openxmlformats.org/officeDocument/2006/relationships/hyperlink" Target="#'NFI Tracking'!A1"/><Relationship Id="rId4" Type="http://schemas.openxmlformats.org/officeDocument/2006/relationships/hyperlink" Target="#Home!A1"/></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hyperlink" Target="#'NFI Distribution (by Tship)'!A1"/><Relationship Id="rId2" Type="http://schemas.openxmlformats.org/officeDocument/2006/relationships/image" Target="../media/image6.png"/><Relationship Id="rId1" Type="http://schemas.openxmlformats.org/officeDocument/2006/relationships/chart" Target="../charts/chart12.xml"/><Relationship Id="rId6" Type="http://schemas.openxmlformats.org/officeDocument/2006/relationships/hyperlink" Target="#'NFI Summary'!A1"/><Relationship Id="rId5" Type="http://schemas.openxmlformats.org/officeDocument/2006/relationships/hyperlink" Target="#'NFI Tracking'!A1"/><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8" Type="http://schemas.openxmlformats.org/officeDocument/2006/relationships/hyperlink" Target="#'NFI Distribution (by Tship)'!A1"/><Relationship Id="rId3" Type="http://schemas.openxmlformats.org/officeDocument/2006/relationships/image" Target="../media/image9.png"/><Relationship Id="rId7" Type="http://schemas.openxmlformats.org/officeDocument/2006/relationships/hyperlink" Target="#'NFI Summary'!A1"/><Relationship Id="rId2" Type="http://schemas.openxmlformats.org/officeDocument/2006/relationships/image" Target="../media/image6.png"/><Relationship Id="rId1" Type="http://schemas.openxmlformats.org/officeDocument/2006/relationships/chart" Target="../charts/chart13.xml"/><Relationship Id="rId6" Type="http://schemas.openxmlformats.org/officeDocument/2006/relationships/hyperlink" Target="#'NFI Tracking'!A1"/><Relationship Id="rId11" Type="http://schemas.openxmlformats.org/officeDocument/2006/relationships/chart" Target="../charts/chart16.xml"/><Relationship Id="rId5" Type="http://schemas.openxmlformats.org/officeDocument/2006/relationships/hyperlink" Target="#Home!A1"/><Relationship Id="rId10" Type="http://schemas.openxmlformats.org/officeDocument/2006/relationships/chart" Target="../charts/chart15.xml"/><Relationship Id="rId4" Type="http://schemas.openxmlformats.org/officeDocument/2006/relationships/hyperlink" Target="http://www.sheltercluster.org/library/standards-and-guidelines-nfi" TargetMode="External"/><Relationship Id="rId9"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8.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66675</xdr:rowOff>
    </xdr:from>
    <xdr:to>
      <xdr:col>7</xdr:col>
      <xdr:colOff>180975</xdr:colOff>
      <xdr:row>8</xdr:row>
      <xdr:rowOff>95251</xdr:rowOff>
    </xdr:to>
    <xdr:sp macro="" textlink="">
      <xdr:nvSpPr>
        <xdr:cNvPr id="2" name="Rounded Rectangle 1">
          <a:hlinkClick xmlns:r="http://schemas.openxmlformats.org/officeDocument/2006/relationships" r:id="rId1"/>
        </xdr:cNvPr>
        <xdr:cNvSpPr/>
      </xdr:nvSpPr>
      <xdr:spPr>
        <a:xfrm>
          <a:off x="2181225" y="1009650"/>
          <a:ext cx="14001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 name="Rounded Rectangle 3"/>
        <xdr:cNvSpPr/>
      </xdr:nvSpPr>
      <xdr:spPr>
        <a:xfrm>
          <a:off x="133350" y="66675"/>
          <a:ext cx="12058649" cy="43529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 name="Rounded Rectangle 5">
          <a:hlinkClick xmlns:r="http://schemas.openxmlformats.org/officeDocument/2006/relationships" r:id="rId2"/>
        </xdr:cNvPr>
        <xdr:cNvSpPr/>
      </xdr:nvSpPr>
      <xdr:spPr>
        <a:xfrm>
          <a:off x="2190752" y="1562100"/>
          <a:ext cx="1390648"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 name="Rounded Rectangle 6">
          <a:hlinkClick xmlns:r="http://schemas.openxmlformats.org/officeDocument/2006/relationships" r:id="rId3"/>
        </xdr:cNvPr>
        <xdr:cNvSpPr/>
      </xdr:nvSpPr>
      <xdr:spPr>
        <a:xfrm>
          <a:off x="2219325" y="2886075"/>
          <a:ext cx="1381125"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 name="Rounded Rectangle 7">
          <a:hlinkClick xmlns:r="http://schemas.openxmlformats.org/officeDocument/2006/relationships" r:id="rId4"/>
        </xdr:cNvPr>
        <xdr:cNvSpPr/>
      </xdr:nvSpPr>
      <xdr:spPr>
        <a:xfrm>
          <a:off x="2209801" y="2238376"/>
          <a:ext cx="1371599"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48875"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58450" y="3143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6600"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3" name="Rounded Rectangle 1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6" name="Rounded Rectangle 15">
          <a:hlinkClick xmlns:r="http://schemas.openxmlformats.org/officeDocument/2006/relationships" r:id="rId9"/>
        </xdr:cNvPr>
        <xdr:cNvSpPr/>
      </xdr:nvSpPr>
      <xdr:spPr>
        <a:xfrm>
          <a:off x="2209800" y="3876675"/>
          <a:ext cx="13620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t>
          </a:r>
          <a:r>
            <a:rPr lang="en-US" sz="1100" b="1" i="1" baseline="0"/>
            <a:t>Township</a:t>
          </a:r>
          <a:endParaRPr lang="en-US" sz="1100" b="1" i="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5" name="Rounded Rectangle 14">
          <a:hlinkClick xmlns:r="http://schemas.openxmlformats.org/officeDocument/2006/relationships" r:id="rId10"/>
        </xdr:cNvPr>
        <xdr:cNvSpPr/>
      </xdr:nvSpPr>
      <xdr:spPr>
        <a:xfrm>
          <a:off x="2200275" y="2524124"/>
          <a:ext cx="141922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3</xdr:row>
      <xdr:rowOff>11906</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18" name="Picture 17"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25</xdr:col>
          <xdr:colOff>180975</xdr:colOff>
          <xdr:row>6</xdr:row>
          <xdr:rowOff>0</xdr:rowOff>
        </xdr:from>
        <xdr:to>
          <xdr:col>27</xdr:col>
          <xdr:colOff>476250</xdr:colOff>
          <xdr:row>8</xdr:row>
          <xdr:rowOff>57150</xdr:rowOff>
        </xdr:to>
        <xdr:sp macro="" textlink="">
          <xdr:nvSpPr>
            <xdr:cNvPr id="1025" name="Main_Export_Data"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10</xdr:row>
          <xdr:rowOff>9525</xdr:rowOff>
        </xdr:from>
        <xdr:to>
          <xdr:col>27</xdr:col>
          <xdr:colOff>504825</xdr:colOff>
          <xdr:row>11</xdr:row>
          <xdr:rowOff>142875</xdr:rowOff>
        </xdr:to>
        <xdr:sp macro="" textlink="">
          <xdr:nvSpPr>
            <xdr:cNvPr id="1026" name="Print_Report"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283633</xdr:colOff>
      <xdr:row>0</xdr:row>
      <xdr:rowOff>613833</xdr:rowOff>
    </xdr:from>
    <xdr:to>
      <xdr:col>8</xdr:col>
      <xdr:colOff>631032</xdr:colOff>
      <xdr:row>2</xdr:row>
      <xdr:rowOff>31750</xdr:rowOff>
    </xdr:to>
    <xdr:grpSp>
      <xdr:nvGrpSpPr>
        <xdr:cNvPr id="6" name="Group 5"/>
        <xdr:cNvGrpSpPr/>
      </xdr:nvGrpSpPr>
      <xdr:grpSpPr>
        <a:xfrm>
          <a:off x="6736821" y="528108"/>
          <a:ext cx="2597680" cy="218017"/>
          <a:chOff x="6500812" y="317500"/>
          <a:chExt cx="6186806" cy="575469"/>
        </a:xfrm>
      </xdr:grpSpPr>
      <xdr:pic>
        <xdr:nvPicPr>
          <xdr:cNvPr id="4" name="Picture 3"/>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5" name="Picture 4"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xdr:col>
      <xdr:colOff>5482</xdr:colOff>
      <xdr:row>0</xdr:row>
      <xdr:rowOff>16402</xdr:rowOff>
    </xdr:from>
    <xdr:to>
      <xdr:col>10</xdr:col>
      <xdr:colOff>267607</xdr:colOff>
      <xdr:row>0</xdr:row>
      <xdr:rowOff>376991</xdr:rowOff>
    </xdr:to>
    <xdr:sp macro="" textlink="">
      <xdr:nvSpPr>
        <xdr:cNvPr id="12" name="Rounded Rectangle 11">
          <a:hlinkClick xmlns:r="http://schemas.openxmlformats.org/officeDocument/2006/relationships" r:id="rId3"/>
        </xdr:cNvPr>
        <xdr:cNvSpPr/>
      </xdr:nvSpPr>
      <xdr:spPr>
        <a:xfrm>
          <a:off x="8577982" y="16402"/>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47626</xdr:colOff>
      <xdr:row>0</xdr:row>
      <xdr:rowOff>33262</xdr:rowOff>
    </xdr:from>
    <xdr:to>
      <xdr:col>5</xdr:col>
      <xdr:colOff>35907</xdr:colOff>
      <xdr:row>0</xdr:row>
      <xdr:rowOff>393851</xdr:rowOff>
    </xdr:to>
    <xdr:sp macro="" textlink="">
      <xdr:nvSpPr>
        <xdr:cNvPr id="13" name="Rounded Rectangle 12">
          <a:hlinkClick xmlns:r="http://schemas.openxmlformats.org/officeDocument/2006/relationships" r:id="rId4"/>
        </xdr:cNvPr>
        <xdr:cNvSpPr/>
      </xdr:nvSpPr>
      <xdr:spPr>
        <a:xfrm>
          <a:off x="47626" y="33262"/>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346793</xdr:colOff>
      <xdr:row>0</xdr:row>
      <xdr:rowOff>28310</xdr:rowOff>
    </xdr:from>
    <xdr:to>
      <xdr:col>6</xdr:col>
      <xdr:colOff>1047747</xdr:colOff>
      <xdr:row>0</xdr:row>
      <xdr:rowOff>388899</xdr:rowOff>
    </xdr:to>
    <xdr:sp macro="" textlink="">
      <xdr:nvSpPr>
        <xdr:cNvPr id="14" name="Rounded Rectangle 13">
          <a:hlinkClick xmlns:r="http://schemas.openxmlformats.org/officeDocument/2006/relationships" r:id="rId5"/>
        </xdr:cNvPr>
        <xdr:cNvSpPr/>
      </xdr:nvSpPr>
      <xdr:spPr>
        <a:xfrm>
          <a:off x="2001762" y="28310"/>
          <a:ext cx="1986829"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7</xdr:col>
      <xdr:colOff>71438</xdr:colOff>
      <xdr:row>0</xdr:row>
      <xdr:rowOff>28309</xdr:rowOff>
    </xdr:from>
    <xdr:to>
      <xdr:col>7</xdr:col>
      <xdr:colOff>1619438</xdr:colOff>
      <xdr:row>0</xdr:row>
      <xdr:rowOff>388898</xdr:rowOff>
    </xdr:to>
    <xdr:sp macro="" textlink="">
      <xdr:nvSpPr>
        <xdr:cNvPr id="15" name="Rounded Rectangle 14">
          <a:hlinkClick xmlns:r="http://schemas.openxmlformats.org/officeDocument/2006/relationships" r:id="rId6"/>
        </xdr:cNvPr>
        <xdr:cNvSpPr/>
      </xdr:nvSpPr>
      <xdr:spPr>
        <a:xfrm>
          <a:off x="4298157" y="28309"/>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7</xdr:col>
      <xdr:colOff>1993913</xdr:colOff>
      <xdr:row>0</xdr:row>
      <xdr:rowOff>28308</xdr:rowOff>
    </xdr:from>
    <xdr:to>
      <xdr:col>8</xdr:col>
      <xdr:colOff>869156</xdr:colOff>
      <xdr:row>0</xdr:row>
      <xdr:rowOff>388897</xdr:rowOff>
    </xdr:to>
    <xdr:sp macro="" textlink="">
      <xdr:nvSpPr>
        <xdr:cNvPr id="16" name="Rounded Rectangle 15">
          <a:hlinkClick xmlns:r="http://schemas.openxmlformats.org/officeDocument/2006/relationships" r:id="rId7"/>
        </xdr:cNvPr>
        <xdr:cNvSpPr/>
      </xdr:nvSpPr>
      <xdr:spPr>
        <a:xfrm>
          <a:off x="6220632" y="28308"/>
          <a:ext cx="1935149"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133071</xdr:colOff>
      <xdr:row>5</xdr:row>
      <xdr:rowOff>52667</xdr:rowOff>
    </xdr:from>
    <xdr:to>
      <xdr:col>10</xdr:col>
      <xdr:colOff>487176</xdr:colOff>
      <xdr:row>31</xdr:row>
      <xdr:rowOff>36978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127000</xdr:colOff>
      <xdr:row>1</xdr:row>
      <xdr:rowOff>412750</xdr:rowOff>
    </xdr:from>
    <xdr:to>
      <xdr:col>10</xdr:col>
      <xdr:colOff>714375</xdr:colOff>
      <xdr:row>2</xdr:row>
      <xdr:rowOff>31750</xdr:rowOff>
    </xdr:to>
    <xdr:grpSp>
      <xdr:nvGrpSpPr>
        <xdr:cNvPr id="7" name="Group 6"/>
        <xdr:cNvGrpSpPr/>
      </xdr:nvGrpSpPr>
      <xdr:grpSpPr>
        <a:xfrm>
          <a:off x="4004235" y="872191"/>
          <a:ext cx="4757084" cy="425824"/>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285145</xdr:colOff>
      <xdr:row>0</xdr:row>
      <xdr:rowOff>21166</xdr:rowOff>
    </xdr:from>
    <xdr:to>
      <xdr:col>10</xdr:col>
      <xdr:colOff>491657</xdr:colOff>
      <xdr:row>0</xdr:row>
      <xdr:rowOff>381755</xdr:rowOff>
    </xdr:to>
    <xdr:sp macro="" textlink="">
      <xdr:nvSpPr>
        <xdr:cNvPr id="10" name="Rounded Rectangle 9">
          <a:hlinkClick xmlns:r="http://schemas.openxmlformats.org/officeDocument/2006/relationships" r:id="rId4"/>
        </xdr:cNvPr>
        <xdr:cNvSpPr/>
      </xdr:nvSpPr>
      <xdr:spPr>
        <a:xfrm>
          <a:off x="7000270" y="21166"/>
          <a:ext cx="1444762"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0</xdr:colOff>
      <xdr:row>0</xdr:row>
      <xdr:rowOff>33262</xdr:rowOff>
    </xdr:from>
    <xdr:to>
      <xdr:col>1</xdr:col>
      <xdr:colOff>499406</xdr:colOff>
      <xdr:row>0</xdr:row>
      <xdr:rowOff>393851</xdr:rowOff>
    </xdr:to>
    <xdr:sp macro="" textlink="">
      <xdr:nvSpPr>
        <xdr:cNvPr id="11" name="Rounded Rectangle 10">
          <a:hlinkClick xmlns:r="http://schemas.openxmlformats.org/officeDocument/2006/relationships" r:id="rId5"/>
        </xdr:cNvPr>
        <xdr:cNvSpPr/>
      </xdr:nvSpPr>
      <xdr:spPr>
        <a:xfrm>
          <a:off x="0" y="33262"/>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777535</xdr:colOff>
      <xdr:row>0</xdr:row>
      <xdr:rowOff>30691</xdr:rowOff>
    </xdr:from>
    <xdr:to>
      <xdr:col>3</xdr:col>
      <xdr:colOff>707823</xdr:colOff>
      <xdr:row>0</xdr:row>
      <xdr:rowOff>391280</xdr:rowOff>
    </xdr:to>
    <xdr:sp macro="" textlink="">
      <xdr:nvSpPr>
        <xdr:cNvPr id="12" name="Rounded Rectangle 11">
          <a:hlinkClick xmlns:r="http://schemas.openxmlformats.org/officeDocument/2006/relationships" r:id="rId6"/>
        </xdr:cNvPr>
        <xdr:cNvSpPr/>
      </xdr:nvSpPr>
      <xdr:spPr>
        <a:xfrm>
          <a:off x="1749085" y="30691"/>
          <a:ext cx="1740038"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4</xdr:col>
      <xdr:colOff>47625</xdr:colOff>
      <xdr:row>0</xdr:row>
      <xdr:rowOff>11641</xdr:rowOff>
    </xdr:from>
    <xdr:to>
      <xdr:col>6</xdr:col>
      <xdr:colOff>35915</xdr:colOff>
      <xdr:row>0</xdr:row>
      <xdr:rowOff>372230</xdr:rowOff>
    </xdr:to>
    <xdr:sp macro="" textlink="">
      <xdr:nvSpPr>
        <xdr:cNvPr id="13" name="Rounded Rectangle 12">
          <a:hlinkClick xmlns:r="http://schemas.openxmlformats.org/officeDocument/2006/relationships" r:id="rId7"/>
        </xdr:cNvPr>
        <xdr:cNvSpPr/>
      </xdr:nvSpPr>
      <xdr:spPr>
        <a:xfrm>
          <a:off x="3724275" y="11641"/>
          <a:ext cx="120749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lang="en-US" sz="1100" b="1"/>
            <a:t>Camp List - Printable</a:t>
          </a:r>
        </a:p>
      </xdr:txBody>
    </xdr:sp>
    <xdr:clientData/>
  </xdr:twoCellAnchor>
  <xdr:twoCellAnchor>
    <xdr:from>
      <xdr:col>6</xdr:col>
      <xdr:colOff>229914</xdr:colOff>
      <xdr:row>0</xdr:row>
      <xdr:rowOff>21166</xdr:rowOff>
    </xdr:from>
    <xdr:to>
      <xdr:col>8</xdr:col>
      <xdr:colOff>176870</xdr:colOff>
      <xdr:row>0</xdr:row>
      <xdr:rowOff>381755</xdr:rowOff>
    </xdr:to>
    <xdr:sp macro="" textlink="">
      <xdr:nvSpPr>
        <xdr:cNvPr id="14" name="Rounded Rectangle 13">
          <a:hlinkClick xmlns:r="http://schemas.openxmlformats.org/officeDocument/2006/relationships" r:id="rId8"/>
        </xdr:cNvPr>
        <xdr:cNvSpPr/>
      </xdr:nvSpPr>
      <xdr:spPr>
        <a:xfrm>
          <a:off x="5449614" y="21166"/>
          <a:ext cx="1442381"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1009650</xdr:colOff>
      <xdr:row>1</xdr:row>
      <xdr:rowOff>333376</xdr:rowOff>
    </xdr:from>
    <xdr:to>
      <xdr:col>7</xdr:col>
      <xdr:colOff>428625</xdr:colOff>
      <xdr:row>2</xdr:row>
      <xdr:rowOff>295275</xdr:rowOff>
    </xdr:to>
    <xdr:grpSp>
      <xdr:nvGrpSpPr>
        <xdr:cNvPr id="2" name="Group 1"/>
        <xdr:cNvGrpSpPr/>
      </xdr:nvGrpSpPr>
      <xdr:grpSpPr>
        <a:xfrm>
          <a:off x="5740400" y="523876"/>
          <a:ext cx="3228975" cy="32173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599470</xdr:colOff>
      <xdr:row>0</xdr:row>
      <xdr:rowOff>21166</xdr:rowOff>
    </xdr:from>
    <xdr:to>
      <xdr:col>6</xdr:col>
      <xdr:colOff>382120</xdr:colOff>
      <xdr:row>1</xdr:row>
      <xdr:rowOff>755</xdr:rowOff>
    </xdr:to>
    <xdr:sp macro="" textlink="">
      <xdr:nvSpPr>
        <xdr:cNvPr id="5" name="Rounded Rectangle 4">
          <a:hlinkClick xmlns:r="http://schemas.openxmlformats.org/officeDocument/2006/relationships" r:id="rId3"/>
        </xdr:cNvPr>
        <xdr:cNvSpPr/>
      </xdr:nvSpPr>
      <xdr:spPr>
        <a:xfrm>
          <a:off x="6609745" y="21166"/>
          <a:ext cx="1582875" cy="1700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0</xdr:colOff>
      <xdr:row>0</xdr:row>
      <xdr:rowOff>33262</xdr:rowOff>
    </xdr:from>
    <xdr:to>
      <xdr:col>1</xdr:col>
      <xdr:colOff>687525</xdr:colOff>
      <xdr:row>0</xdr:row>
      <xdr:rowOff>393851</xdr:rowOff>
    </xdr:to>
    <xdr:sp macro="" textlink="">
      <xdr:nvSpPr>
        <xdr:cNvPr id="6" name="Rounded Rectangle 5">
          <a:hlinkClick xmlns:r="http://schemas.openxmlformats.org/officeDocument/2006/relationships" r:id="rId4"/>
        </xdr:cNvPr>
        <xdr:cNvSpPr/>
      </xdr:nvSpPr>
      <xdr:spPr>
        <a:xfrm>
          <a:off x="0" y="33262"/>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822779</xdr:colOff>
      <xdr:row>0</xdr:row>
      <xdr:rowOff>21166</xdr:rowOff>
    </xdr:from>
    <xdr:to>
      <xdr:col>2</xdr:col>
      <xdr:colOff>1524000</xdr:colOff>
      <xdr:row>1</xdr:row>
      <xdr:rowOff>9525</xdr:rowOff>
    </xdr:to>
    <xdr:sp macro="" textlink="">
      <xdr:nvSpPr>
        <xdr:cNvPr id="7" name="Rounded Rectangle 6">
          <a:hlinkClick xmlns:r="http://schemas.openxmlformats.org/officeDocument/2006/relationships" r:id="rId5"/>
        </xdr:cNvPr>
        <xdr:cNvSpPr/>
      </xdr:nvSpPr>
      <xdr:spPr>
        <a:xfrm>
          <a:off x="1575254" y="21166"/>
          <a:ext cx="1548946" cy="17885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2</xdr:col>
      <xdr:colOff>1700843</xdr:colOff>
      <xdr:row>0</xdr:row>
      <xdr:rowOff>21166</xdr:rowOff>
    </xdr:from>
    <xdr:to>
      <xdr:col>3</xdr:col>
      <xdr:colOff>7118</xdr:colOff>
      <xdr:row>1</xdr:row>
      <xdr:rowOff>755</xdr:rowOff>
    </xdr:to>
    <xdr:sp macro="" textlink="">
      <xdr:nvSpPr>
        <xdr:cNvPr id="8" name="Rounded Rectangle 7">
          <a:hlinkClick xmlns:r="http://schemas.openxmlformats.org/officeDocument/2006/relationships" r:id="rId6"/>
        </xdr:cNvPr>
        <xdr:cNvSpPr/>
      </xdr:nvSpPr>
      <xdr:spPr>
        <a:xfrm>
          <a:off x="3301043" y="21166"/>
          <a:ext cx="1440000" cy="1700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3</xdr:col>
      <xdr:colOff>178607</xdr:colOff>
      <xdr:row>0</xdr:row>
      <xdr:rowOff>21166</xdr:rowOff>
    </xdr:from>
    <xdr:to>
      <xdr:col>4</xdr:col>
      <xdr:colOff>408932</xdr:colOff>
      <xdr:row>1</xdr:row>
      <xdr:rowOff>755</xdr:rowOff>
    </xdr:to>
    <xdr:sp macro="" textlink="">
      <xdr:nvSpPr>
        <xdr:cNvPr id="9" name="Rounded Rectangle 8">
          <a:hlinkClick xmlns:r="http://schemas.openxmlformats.org/officeDocument/2006/relationships" r:id="rId7"/>
        </xdr:cNvPr>
        <xdr:cNvSpPr/>
      </xdr:nvSpPr>
      <xdr:spPr>
        <a:xfrm>
          <a:off x="4912532" y="21166"/>
          <a:ext cx="1506675" cy="1700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18</xdr:col>
      <xdr:colOff>504825</xdr:colOff>
      <xdr:row>10</xdr:row>
      <xdr:rowOff>0</xdr:rowOff>
    </xdr:from>
    <xdr:ext cx="184731" cy="264560"/>
    <xdr:sp macro="" textlink="">
      <xdr:nvSpPr>
        <xdr:cNvPr id="7" name="TextBox 6"/>
        <xdr:cNvSpPr txBox="1"/>
      </xdr:nvSpPr>
      <xdr:spPr>
        <a:xfrm>
          <a:off x="3914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104775</xdr:colOff>
      <xdr:row>5</xdr:row>
      <xdr:rowOff>41282</xdr:rowOff>
    </xdr:from>
    <xdr:to>
      <xdr:col>9</xdr:col>
      <xdr:colOff>85724</xdr:colOff>
      <xdr:row>10</xdr:row>
      <xdr:rowOff>9525</xdr:rowOff>
    </xdr:to>
    <xdr:grpSp>
      <xdr:nvGrpSpPr>
        <xdr:cNvPr id="2" name="Group 1"/>
        <xdr:cNvGrpSpPr/>
      </xdr:nvGrpSpPr>
      <xdr:grpSpPr>
        <a:xfrm>
          <a:off x="231775" y="1427699"/>
          <a:ext cx="5209116" cy="1090076"/>
          <a:chOff x="15065375" y="1682751"/>
          <a:chExt cx="3508375" cy="896015"/>
        </a:xfrm>
      </xdr:grpSpPr>
      <xdr:grpSp>
        <xdr:nvGrpSpPr>
          <xdr:cNvPr id="3" name="Group 2"/>
          <xdr:cNvGrpSpPr/>
        </xdr:nvGrpSpPr>
        <xdr:grpSpPr>
          <a:xfrm>
            <a:off x="15065376" y="2147039"/>
            <a:ext cx="3508374" cy="431727"/>
            <a:chOff x="3977473" y="11269983"/>
            <a:chExt cx="1965263" cy="249072"/>
          </a:xfrm>
          <a:effectLst>
            <a:outerShdw blurRad="63500" sx="102000" sy="102000" algn="ctr" rotWithShape="0">
              <a:prstClr val="black">
                <a:alpha val="40000"/>
              </a:prstClr>
            </a:outerShdw>
          </a:effectLst>
        </xdr:grpSpPr>
        <xdr:sp macro="" textlink="">
          <xdr:nvSpPr>
            <xdr:cNvPr id="4" name="Rectangle 3"/>
            <xdr:cNvSpPr/>
          </xdr:nvSpPr>
          <xdr:spPr>
            <a:xfrm>
              <a:off x="3988722" y="11300453"/>
              <a:ext cx="1348797"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5" name="TextBox 4"/>
            <xdr:cNvSpPr txBox="1"/>
          </xdr:nvSpPr>
          <xdr:spPr>
            <a:xfrm>
              <a:off x="3977473" y="11269983"/>
              <a:ext cx="1202466" cy="249072"/>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1100" b="1">
                  <a:solidFill>
                    <a:schemeClr val="dk1"/>
                  </a:solidFill>
                  <a:effectLst/>
                  <a:latin typeface="+mn-lt"/>
                  <a:ea typeface="+mn-ea"/>
                  <a:cs typeface="Calibri" pitchFamily="34" charset="0"/>
                </a:rPr>
                <a:t>Estimated</a:t>
              </a:r>
              <a:r>
                <a:rPr lang="en-GB" sz="1100" b="1" baseline="0">
                  <a:solidFill>
                    <a:schemeClr val="dk1"/>
                  </a:solidFill>
                  <a:effectLst/>
                  <a:latin typeface="+mn-lt"/>
                  <a:ea typeface="+mn-ea"/>
                  <a:cs typeface="Calibri" pitchFamily="34" charset="0"/>
                </a:rPr>
                <a:t> number of </a:t>
              </a:r>
              <a:r>
                <a:rPr lang="en-GB" sz="1100" b="1">
                  <a:solidFill>
                    <a:schemeClr val="dk1"/>
                  </a:solidFill>
                  <a:effectLst/>
                  <a:latin typeface="+mn-lt"/>
                  <a:ea typeface="+mn-ea"/>
                  <a:cs typeface="Calibri" pitchFamily="34" charset="0"/>
                </a:rPr>
                <a:t>IDPs</a:t>
              </a:r>
              <a:r>
                <a:rPr lang="en-GB" sz="1100" b="1" baseline="0">
                  <a:solidFill>
                    <a:schemeClr val="dk1"/>
                  </a:solidFill>
                  <a:effectLst/>
                  <a:latin typeface="+mn-lt"/>
                  <a:ea typeface="+mn-ea"/>
                  <a:cs typeface="Calibri" pitchFamily="34" charset="0"/>
                </a:rPr>
                <a:t> </a:t>
              </a:r>
              <a:endParaRPr lang="en-GB" sz="1100" b="1">
                <a:effectLst/>
                <a:latin typeface="+mn-lt"/>
                <a:cs typeface="Calibri" pitchFamily="34" charset="0"/>
              </a:endParaRPr>
            </a:p>
          </xdr:txBody>
        </xdr:sp>
        <xdr:sp macro="" textlink="$E$33">
          <xdr:nvSpPr>
            <xdr:cNvPr id="6" name="Rectangle 5"/>
            <xdr:cNvSpPr/>
          </xdr:nvSpPr>
          <xdr:spPr>
            <a:xfrm>
              <a:off x="5158544" y="11296634"/>
              <a:ext cx="784192"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6EB59508-310A-4848-8A83-84EE70A9C7EB}" type="TxLink">
                <a:rPr lang="en-US" sz="1800" b="1">
                  <a:latin typeface="+mn-lt"/>
                </a:rPr>
                <a:pPr algn="ctr"/>
                <a:t> 95,813 </a:t>
              </a:fld>
              <a:endParaRPr lang="en-US" sz="1800" b="1">
                <a:latin typeface="+mn-lt"/>
              </a:endParaRPr>
            </a:p>
          </xdr:txBody>
        </xdr:sp>
      </xdr:grpSp>
      <xdr:grpSp>
        <xdr:nvGrpSpPr>
          <xdr:cNvPr id="15" name="Group 14"/>
          <xdr:cNvGrpSpPr/>
        </xdr:nvGrpSpPr>
        <xdr:grpSpPr>
          <a:xfrm>
            <a:off x="15065375" y="1682751"/>
            <a:ext cx="3499842" cy="476259"/>
            <a:chOff x="3977473" y="11269985"/>
            <a:chExt cx="1978388" cy="234969"/>
          </a:xfrm>
          <a:effectLst>
            <a:outerShdw blurRad="63500" sx="102000" sy="102000" algn="ctr" rotWithShape="0">
              <a:prstClr val="black">
                <a:alpha val="40000"/>
              </a:prstClr>
            </a:outerShdw>
          </a:effectLst>
        </xdr:grpSpPr>
        <xdr:sp macro="" textlink="$F$33">
          <xdr:nvSpPr>
            <xdr:cNvPr id="16" name="Rectangle 15"/>
            <xdr:cNvSpPr/>
          </xdr:nvSpPr>
          <xdr:spPr>
            <a:xfrm>
              <a:off x="5174156" y="11296623"/>
              <a:ext cx="78170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90C0CD4D-F895-4D26-8AF1-0F097E483D17}" type="TxLink">
                <a:rPr lang="en-US" sz="1800" b="1">
                  <a:latin typeface="+mn-lt"/>
                </a:rPr>
                <a:pPr algn="ctr"/>
                <a:t> 165 </a:t>
              </a:fld>
              <a:endParaRPr lang="en-US" sz="1800" b="1">
                <a:latin typeface="+mn-lt"/>
              </a:endParaRPr>
            </a:p>
          </xdr:txBody>
        </xdr:sp>
        <xdr:sp macro="" textlink="">
          <xdr:nvSpPr>
            <xdr:cNvPr id="17" name="Rectangle 16"/>
            <xdr:cNvSpPr/>
          </xdr:nvSpPr>
          <xdr:spPr>
            <a:xfrm>
              <a:off x="3988722" y="11300449"/>
              <a:ext cx="1179821"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8" name="TextBox 17"/>
            <xdr:cNvSpPr txBox="1"/>
          </xdr:nvSpPr>
          <xdr:spPr>
            <a:xfrm>
              <a:off x="3977473" y="11269985"/>
              <a:ext cx="1208678" cy="23496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1100" b="1">
                  <a:solidFill>
                    <a:schemeClr val="dk1"/>
                  </a:solidFill>
                  <a:effectLst/>
                  <a:latin typeface="+mn-lt"/>
                  <a:ea typeface="+mn-ea"/>
                  <a:cs typeface="Calibri" pitchFamily="34" charset="0"/>
                </a:rPr>
                <a:t># of IDP</a:t>
              </a:r>
              <a:r>
                <a:rPr lang="en-GB" sz="1100" b="1" baseline="0">
                  <a:solidFill>
                    <a:schemeClr val="dk1"/>
                  </a:solidFill>
                  <a:effectLst/>
                  <a:latin typeface="+mn-lt"/>
                  <a:ea typeface="+mn-ea"/>
                  <a:cs typeface="Calibri" pitchFamily="34" charset="0"/>
                </a:rPr>
                <a:t> Locations</a:t>
              </a:r>
              <a:endParaRPr lang="en-GB" sz="1100" b="1">
                <a:solidFill>
                  <a:schemeClr val="dk1"/>
                </a:solidFill>
                <a:effectLst/>
                <a:latin typeface="+mn-lt"/>
                <a:ea typeface="+mn-ea"/>
                <a:cs typeface="Calibri" pitchFamily="34" charset="0"/>
              </a:endParaRPr>
            </a:p>
            <a:p>
              <a:r>
                <a:rPr lang="en-GB" sz="1100" b="1">
                  <a:solidFill>
                    <a:schemeClr val="dk1"/>
                  </a:solidFill>
                  <a:effectLst/>
                  <a:latin typeface="+mn-lt"/>
                  <a:ea typeface="+mn-ea"/>
                  <a:cs typeface="Calibri" pitchFamily="34" charset="0"/>
                </a:rPr>
                <a:t>(host families &amp; Camps)</a:t>
              </a:r>
              <a:endParaRPr lang="en-GB" sz="1100" b="1">
                <a:effectLst/>
                <a:latin typeface="+mn-lt"/>
                <a:cs typeface="Calibri" pitchFamily="34" charset="0"/>
              </a:endParaRPr>
            </a:p>
          </xdr:txBody>
        </xdr:sp>
      </xdr:grpSp>
    </xdr:grpSp>
    <xdr:clientData/>
  </xdr:twoCellAnchor>
  <xdr:twoCellAnchor>
    <xdr:from>
      <xdr:col>2</xdr:col>
      <xdr:colOff>0</xdr:colOff>
      <xdr:row>40</xdr:row>
      <xdr:rowOff>59529</xdr:rowOff>
    </xdr:from>
    <xdr:to>
      <xdr:col>19</xdr:col>
      <xdr:colOff>447675</xdr:colOff>
      <xdr:row>42</xdr:row>
      <xdr:rowOff>57150</xdr:rowOff>
    </xdr:to>
    <xdr:grpSp>
      <xdr:nvGrpSpPr>
        <xdr:cNvPr id="11" name="Group 10"/>
        <xdr:cNvGrpSpPr/>
      </xdr:nvGrpSpPr>
      <xdr:grpSpPr>
        <a:xfrm>
          <a:off x="243417" y="8303946"/>
          <a:ext cx="10882841" cy="378621"/>
          <a:chOff x="11907" y="7524748"/>
          <a:chExt cx="8977312" cy="452443"/>
        </a:xfrm>
      </xdr:grpSpPr>
      <xdr:sp macro="" textlink="">
        <xdr:nvSpPr>
          <xdr:cNvPr id="13"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19" name="Group 18"/>
          <xdr:cNvGrpSpPr/>
        </xdr:nvGrpSpPr>
        <xdr:grpSpPr>
          <a:xfrm>
            <a:off x="11907" y="7536611"/>
            <a:ext cx="8941593" cy="440580"/>
            <a:chOff x="6083301" y="9200285"/>
            <a:chExt cx="7309756" cy="333607"/>
          </a:xfrm>
        </xdr:grpSpPr>
        <xdr:sp macro="" textlink="">
          <xdr:nvSpPr>
            <xdr:cNvPr id="20" name="TextBox 19"/>
            <xdr:cNvSpPr txBox="1"/>
          </xdr:nvSpPr>
          <xdr:spPr>
            <a:xfrm>
              <a:off x="6083301" y="9200285"/>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21" name="TextBox 20"/>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22" name="TextBox 21"/>
            <xdr:cNvSpPr txBox="1"/>
          </xdr:nvSpPr>
          <xdr:spPr>
            <a:xfrm>
              <a:off x="12380786"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9</xdr:col>
      <xdr:colOff>212725</xdr:colOff>
      <xdr:row>5</xdr:row>
      <xdr:rowOff>23813</xdr:rowOff>
    </xdr:from>
    <xdr:to>
      <xdr:col>13</xdr:col>
      <xdr:colOff>19049</xdr:colOff>
      <xdr:row>10</xdr:row>
      <xdr:rowOff>76200</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380999</xdr:colOff>
      <xdr:row>3</xdr:row>
      <xdr:rowOff>111125</xdr:rowOff>
    </xdr:from>
    <xdr:to>
      <xdr:col>19</xdr:col>
      <xdr:colOff>327024</xdr:colOff>
      <xdr:row>4</xdr:row>
      <xdr:rowOff>120650</xdr:rowOff>
    </xdr:to>
    <xdr:grpSp>
      <xdr:nvGrpSpPr>
        <xdr:cNvPr id="223" name="Group 222"/>
        <xdr:cNvGrpSpPr/>
      </xdr:nvGrpSpPr>
      <xdr:grpSpPr>
        <a:xfrm>
          <a:off x="7302499" y="841375"/>
          <a:ext cx="3703108" cy="432858"/>
          <a:chOff x="6500812" y="317500"/>
          <a:chExt cx="6186806" cy="575469"/>
        </a:xfrm>
      </xdr:grpSpPr>
      <xdr:pic>
        <xdr:nvPicPr>
          <xdr:cNvPr id="224" name="Picture 223"/>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25" name="Picture 224"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13</xdr:col>
      <xdr:colOff>186530</xdr:colOff>
      <xdr:row>30</xdr:row>
      <xdr:rowOff>43657</xdr:rowOff>
    </xdr:from>
    <xdr:to>
      <xdr:col>19</xdr:col>
      <xdr:colOff>298449</xdr:colOff>
      <xdr:row>39</xdr:row>
      <xdr:rowOff>193675</xdr:rowOff>
    </xdr:to>
    <xdr:sp macro="" textlink="">
      <xdr:nvSpPr>
        <xdr:cNvPr id="8" name="Rounded Rectangle 7"/>
        <xdr:cNvSpPr/>
      </xdr:nvSpPr>
      <xdr:spPr>
        <a:xfrm>
          <a:off x="7600155" y="6377782"/>
          <a:ext cx="3366294" cy="1864518"/>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Displacement started in June 2011 due to the fighting between the Government and the Kachin Independence Organization. The majority of IDPs live in camps along the Myanmar-China Border. Approximately 55% of IDPs live in camps in non-Government Controlled areas (NGCA).</a:t>
          </a:r>
          <a:endParaRPr lang="en-US" sz="1100">
            <a:solidFill>
              <a:schemeClr val="lt1"/>
            </a:solidFill>
            <a:effectLst/>
            <a:latin typeface="+mn-lt"/>
            <a:ea typeface="+mn-ea"/>
            <a:cs typeface="+mn-cs"/>
          </a:endParaRPr>
        </a:p>
      </xdr:txBody>
    </xdr:sp>
    <xdr:clientData/>
  </xdr:twoCellAnchor>
  <xdr:twoCellAnchor>
    <xdr:from>
      <xdr:col>7</xdr:col>
      <xdr:colOff>55959</xdr:colOff>
      <xdr:row>10</xdr:row>
      <xdr:rowOff>0</xdr:rowOff>
    </xdr:from>
    <xdr:to>
      <xdr:col>13</xdr:col>
      <xdr:colOff>2382</xdr:colOff>
      <xdr:row>24</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285145</xdr:colOff>
      <xdr:row>2</xdr:row>
      <xdr:rowOff>21166</xdr:rowOff>
    </xdr:from>
    <xdr:to>
      <xdr:col>17</xdr:col>
      <xdr:colOff>429745</xdr:colOff>
      <xdr:row>2</xdr:row>
      <xdr:rowOff>381755</xdr:rowOff>
    </xdr:to>
    <xdr:sp macro="" textlink="">
      <xdr:nvSpPr>
        <xdr:cNvPr id="27" name="Rounded Rectangle 26">
          <a:hlinkClick xmlns:r="http://schemas.openxmlformats.org/officeDocument/2006/relationships" r:id="rId5"/>
        </xdr:cNvPr>
        <xdr:cNvSpPr/>
      </xdr:nvSpPr>
      <xdr:spPr>
        <a:xfrm>
          <a:off x="7457470" y="21166"/>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2</xdr:col>
      <xdr:colOff>0</xdr:colOff>
      <xdr:row>2</xdr:row>
      <xdr:rowOff>33262</xdr:rowOff>
    </xdr:from>
    <xdr:to>
      <xdr:col>4</xdr:col>
      <xdr:colOff>144600</xdr:colOff>
      <xdr:row>2</xdr:row>
      <xdr:rowOff>393851</xdr:rowOff>
    </xdr:to>
    <xdr:sp macro="" textlink="">
      <xdr:nvSpPr>
        <xdr:cNvPr id="28" name="Rounded Rectangle 27">
          <a:hlinkClick xmlns:r="http://schemas.openxmlformats.org/officeDocument/2006/relationships" r:id="rId6"/>
        </xdr:cNvPr>
        <xdr:cNvSpPr/>
      </xdr:nvSpPr>
      <xdr:spPr>
        <a:xfrm>
          <a:off x="0" y="33262"/>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537029</xdr:colOff>
      <xdr:row>2</xdr:row>
      <xdr:rowOff>21166</xdr:rowOff>
    </xdr:from>
    <xdr:to>
      <xdr:col>7</xdr:col>
      <xdr:colOff>395879</xdr:colOff>
      <xdr:row>2</xdr:row>
      <xdr:rowOff>381755</xdr:rowOff>
    </xdr:to>
    <xdr:sp macro="" textlink="">
      <xdr:nvSpPr>
        <xdr:cNvPr id="29" name="Rounded Rectangle 28">
          <a:hlinkClick xmlns:r="http://schemas.openxmlformats.org/officeDocument/2006/relationships" r:id="rId7"/>
        </xdr:cNvPr>
        <xdr:cNvSpPr/>
      </xdr:nvSpPr>
      <xdr:spPr>
        <a:xfrm>
          <a:off x="2070554" y="297391"/>
          <a:ext cx="12114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8</xdr:col>
      <xdr:colOff>300668</xdr:colOff>
      <xdr:row>2</xdr:row>
      <xdr:rowOff>21166</xdr:rowOff>
    </xdr:from>
    <xdr:to>
      <xdr:col>11</xdr:col>
      <xdr:colOff>254768</xdr:colOff>
      <xdr:row>2</xdr:row>
      <xdr:rowOff>381755</xdr:rowOff>
    </xdr:to>
    <xdr:sp macro="" textlink="">
      <xdr:nvSpPr>
        <xdr:cNvPr id="32" name="Rounded Rectangle 31">
          <a:hlinkClick xmlns:r="http://schemas.openxmlformats.org/officeDocument/2006/relationships" r:id="rId8"/>
        </xdr:cNvPr>
        <xdr:cNvSpPr/>
      </xdr:nvSpPr>
      <xdr:spPr>
        <a:xfrm>
          <a:off x="3672518" y="297391"/>
          <a:ext cx="1449525"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12</xdr:col>
      <xdr:colOff>150032</xdr:colOff>
      <xdr:row>2</xdr:row>
      <xdr:rowOff>21166</xdr:rowOff>
    </xdr:from>
    <xdr:to>
      <xdr:col>14</xdr:col>
      <xdr:colOff>427982</xdr:colOff>
      <xdr:row>2</xdr:row>
      <xdr:rowOff>381755</xdr:rowOff>
    </xdr:to>
    <xdr:sp macro="" textlink="">
      <xdr:nvSpPr>
        <xdr:cNvPr id="33" name="Rounded Rectangle 32">
          <a:hlinkClick xmlns:r="http://schemas.openxmlformats.org/officeDocument/2006/relationships" r:id="rId9"/>
        </xdr:cNvPr>
        <xdr:cNvSpPr/>
      </xdr:nvSpPr>
      <xdr:spPr>
        <a:xfrm>
          <a:off x="5531657" y="297391"/>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10</xdr:col>
      <xdr:colOff>66675</xdr:colOff>
      <xdr:row>31</xdr:row>
      <xdr:rowOff>19050</xdr:rowOff>
    </xdr:from>
    <xdr:to>
      <xdr:col>12</xdr:col>
      <xdr:colOff>409575</xdr:colOff>
      <xdr:row>39</xdr:row>
      <xdr:rowOff>171450</xdr:rowOff>
    </xdr:to>
    <xdr:sp macro="" textlink="">
      <xdr:nvSpPr>
        <xdr:cNvPr id="36" name="Rounded Rectangle 35"/>
        <xdr:cNvSpPr/>
      </xdr:nvSpPr>
      <xdr:spPr>
        <a:xfrm>
          <a:off x="4429125" y="6257925"/>
          <a:ext cx="1371600" cy="1704975"/>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a:t>
          </a:r>
          <a:r>
            <a:rPr lang="en-US" sz="1100" baseline="0">
              <a:solidFill>
                <a:sysClr val="windowText" lastClr="000000"/>
              </a:solidFill>
              <a:effectLst/>
              <a:latin typeface="+mn-lt"/>
              <a:ea typeface="+mn-ea"/>
              <a:cs typeface="+mn-cs"/>
            </a:rPr>
            <a:t> majority of IDP locations are in or near (less than 5km) urban areas.</a:t>
          </a:r>
          <a:endParaRPr lang="en-US" sz="1100">
            <a:solidFill>
              <a:sysClr val="windowText" lastClr="000000"/>
            </a:solidFill>
            <a:effectLst/>
            <a:latin typeface="+mn-lt"/>
            <a:ea typeface="+mn-ea"/>
            <a:cs typeface="+mn-cs"/>
          </a:endParaRPr>
        </a:p>
      </xdr:txBody>
    </xdr:sp>
    <xdr:clientData/>
  </xdr:twoCellAnchor>
  <xdr:twoCellAnchor>
    <xdr:from>
      <xdr:col>6</xdr:col>
      <xdr:colOff>57149</xdr:colOff>
      <xdr:row>29</xdr:row>
      <xdr:rowOff>180975</xdr:rowOff>
    </xdr:from>
    <xdr:to>
      <xdr:col>12</xdr:col>
      <xdr:colOff>504825</xdr:colOff>
      <xdr:row>30</xdr:row>
      <xdr:rowOff>180975</xdr:rowOff>
    </xdr:to>
    <xdr:sp macro="" textlink="">
      <xdr:nvSpPr>
        <xdr:cNvPr id="37" name="Rounded Rectangle 36"/>
        <xdr:cNvSpPr/>
      </xdr:nvSpPr>
      <xdr:spPr>
        <a:xfrm>
          <a:off x="2647949" y="6038850"/>
          <a:ext cx="3000376" cy="190500"/>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ysClr val="windowText" lastClr="000000"/>
              </a:solidFill>
              <a:effectLst/>
              <a:latin typeface="+mn-lt"/>
              <a:ea typeface="+mn-ea"/>
              <a:cs typeface="+mn-cs"/>
            </a:rPr>
            <a:t>Distance</a:t>
          </a:r>
          <a:r>
            <a:rPr lang="en-US" sz="900" b="1" baseline="0">
              <a:solidFill>
                <a:sysClr val="windowText" lastClr="000000"/>
              </a:solidFill>
              <a:effectLst/>
              <a:latin typeface="+mn-lt"/>
              <a:ea typeface="+mn-ea"/>
              <a:cs typeface="+mn-cs"/>
            </a:rPr>
            <a:t> to the nearest town</a:t>
          </a:r>
          <a:endParaRPr lang="en-US" sz="900" b="1">
            <a:solidFill>
              <a:sysClr val="windowText" lastClr="000000"/>
            </a:solidFill>
            <a:effectLst/>
            <a:latin typeface="+mn-lt"/>
            <a:ea typeface="+mn-ea"/>
            <a:cs typeface="+mn-cs"/>
          </a:endParaRPr>
        </a:p>
      </xdr:txBody>
    </xdr:sp>
    <xdr:clientData/>
  </xdr:twoCellAnchor>
  <xdr:twoCellAnchor>
    <xdr:from>
      <xdr:col>7</xdr:col>
      <xdr:colOff>190500</xdr:colOff>
      <xdr:row>10</xdr:row>
      <xdr:rowOff>66675</xdr:rowOff>
    </xdr:from>
    <xdr:to>
      <xdr:col>12</xdr:col>
      <xdr:colOff>466725</xdr:colOff>
      <xdr:row>11</xdr:row>
      <xdr:rowOff>104774</xdr:rowOff>
    </xdr:to>
    <xdr:sp macro="" textlink="">
      <xdr:nvSpPr>
        <xdr:cNvPr id="39" name="Rounded Rectangle 38"/>
        <xdr:cNvSpPr/>
      </xdr:nvSpPr>
      <xdr:spPr>
        <a:xfrm>
          <a:off x="2838450" y="2295525"/>
          <a:ext cx="2771775" cy="228599"/>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ysClr val="windowText" lastClr="000000"/>
              </a:solidFill>
              <a:effectLst/>
              <a:latin typeface="+mn-lt"/>
              <a:ea typeface="+mn-ea"/>
              <a:cs typeface="+mn-cs"/>
            </a:rPr>
            <a:t># of camps by size of population in different townships</a:t>
          </a:r>
        </a:p>
      </xdr:txBody>
    </xdr:sp>
    <xdr:clientData/>
  </xdr:twoCellAnchor>
  <xdr:twoCellAnchor>
    <xdr:from>
      <xdr:col>7</xdr:col>
      <xdr:colOff>0</xdr:colOff>
      <xdr:row>24</xdr:row>
      <xdr:rowOff>171450</xdr:rowOff>
    </xdr:from>
    <xdr:to>
      <xdr:col>13</xdr:col>
      <xdr:colOff>0</xdr:colOff>
      <xdr:row>25</xdr:row>
      <xdr:rowOff>190499</xdr:rowOff>
    </xdr:to>
    <xdr:sp macro="" textlink="">
      <xdr:nvSpPr>
        <xdr:cNvPr id="40" name="Rounded Rectangle 39"/>
        <xdr:cNvSpPr/>
      </xdr:nvSpPr>
      <xdr:spPr>
        <a:xfrm>
          <a:off x="2647950" y="5076825"/>
          <a:ext cx="3257550" cy="209549"/>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ysClr val="windowText" lastClr="000000"/>
              </a:solidFill>
              <a:effectLst/>
              <a:latin typeface="+mn-lt"/>
              <a:ea typeface="+mn-ea"/>
              <a:cs typeface="+mn-cs"/>
            </a:rPr>
            <a:t>Size of Locations</a:t>
          </a:r>
        </a:p>
      </xdr:txBody>
    </xdr:sp>
    <xdr:clientData/>
  </xdr:twoCellAnchor>
  <xdr:twoCellAnchor>
    <xdr:from>
      <xdr:col>13</xdr:col>
      <xdr:colOff>158750</xdr:colOff>
      <xdr:row>5</xdr:row>
      <xdr:rowOff>127000</xdr:rowOff>
    </xdr:from>
    <xdr:to>
      <xdr:col>19</xdr:col>
      <xdr:colOff>434975</xdr:colOff>
      <xdr:row>29</xdr:row>
      <xdr:rowOff>88900</xdr:rowOff>
    </xdr:to>
    <xdr:grpSp>
      <xdr:nvGrpSpPr>
        <xdr:cNvPr id="9" name="Group 8"/>
        <xdr:cNvGrpSpPr/>
      </xdr:nvGrpSpPr>
      <xdr:grpSpPr>
        <a:xfrm>
          <a:off x="7598833" y="1513417"/>
          <a:ext cx="3514725" cy="4713816"/>
          <a:chOff x="7800975" y="1524000"/>
          <a:chExt cx="3514725" cy="4714875"/>
        </a:xfrm>
      </xdr:grpSpPr>
      <xdr:pic>
        <xdr:nvPicPr>
          <xdr:cNvPr id="46" name="Picture 45"/>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800975" y="1524000"/>
            <a:ext cx="3514725" cy="47148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5" name="TextBox 1"/>
          <xdr:cNvSpPr txBox="1">
            <a:spLocks/>
          </xdr:cNvSpPr>
        </xdr:nvSpPr>
        <xdr:spPr>
          <a:xfrm>
            <a:off x="8934450" y="1562100"/>
            <a:ext cx="1955006" cy="385762"/>
          </a:xfrm>
          <a:prstGeom prst="rect">
            <a:avLst/>
          </a:prstGeom>
          <a:ln/>
        </xdr:spPr>
        <xdr:style>
          <a:lnRef idx="1">
            <a:schemeClr val="accent4"/>
          </a:lnRef>
          <a:fillRef idx="2">
            <a:schemeClr val="accent4"/>
          </a:fillRef>
          <a:effectRef idx="1">
            <a:schemeClr val="accent4"/>
          </a:effectRef>
          <a:fontRef idx="minor">
            <a:schemeClr val="dk1"/>
          </a:fontRef>
        </xdr:style>
        <xdr:txBody>
          <a:bodyPr wrap="square" t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000" b="1" baseline="0">
                <a:latin typeface="+mn-lt"/>
              </a:rPr>
              <a:t>Kachin and Northern Shan</a:t>
            </a:r>
          </a:p>
          <a:p>
            <a:pPr algn="ctr"/>
            <a:r>
              <a:rPr lang="en-GB" sz="1000" b="1" baseline="0">
                <a:latin typeface="+mn-lt"/>
              </a:rPr>
              <a:t># of IDPs by Towship</a:t>
            </a:r>
            <a:endParaRPr lang="en-GB" sz="1000" b="1">
              <a:latin typeface="+mn-lt"/>
            </a:endParaRPr>
          </a:p>
        </xdr:txBody>
      </xdr:sp>
    </xdr:grpSp>
    <xdr:clientData/>
  </xdr:twoCellAnchor>
</xdr:wsDr>
</file>

<file path=xl/drawings/drawing6.xml><?xml version="1.0" encoding="utf-8"?>
<c:userShapes xmlns:c="http://schemas.openxmlformats.org/drawingml/2006/chart">
  <cdr:absSizeAnchor xmlns:cdr="http://schemas.openxmlformats.org/drawingml/2006/chartDrawing">
    <cdr:from>
      <cdr:x>0</cdr:x>
      <cdr:y>0.01286</cdr:y>
    </cdr:from>
    <cdr:ext cx="2208211" cy="107056"/>
    <cdr:sp macro="" textlink="">
      <cdr:nvSpPr>
        <cdr:cNvPr id="4" name="TextBox 3"/>
        <cdr:cNvSpPr txBox="1">
          <a:spLocks xmlns:a="http://schemas.openxmlformats.org/drawingml/2006/main"/>
        </cdr:cNvSpPr>
      </cdr:nvSpPr>
      <cdr:spPr>
        <a:xfrm xmlns:a="http://schemas.openxmlformats.org/drawingml/2006/main">
          <a:off x="0" y="15975"/>
          <a:ext cx="2208211" cy="107056"/>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baseline="0">
              <a:latin typeface="Franklin Gothic Medium Cond" pitchFamily="34" charset="0"/>
            </a:rPr>
            <a:t>IDP Camp Sizes by %</a:t>
          </a:r>
          <a:endParaRPr lang="en-GB" sz="1000">
            <a:latin typeface="Franklin Gothic Medium Cond" pitchFamily="34" charset="0"/>
          </a:endParaRPr>
        </a:p>
      </cdr:txBody>
    </cdr:sp>
  </cdr:absSizeAnchor>
</c:userShapes>
</file>

<file path=xl/drawings/drawing7.xml><?xml version="1.0" encoding="utf-8"?>
<xdr:wsDr xmlns:xdr="http://schemas.openxmlformats.org/drawingml/2006/spreadsheetDrawing" xmlns:a="http://schemas.openxmlformats.org/drawingml/2006/main">
  <xdr:twoCellAnchor>
    <xdr:from>
      <xdr:col>9</xdr:col>
      <xdr:colOff>108857</xdr:colOff>
      <xdr:row>0</xdr:row>
      <xdr:rowOff>340179</xdr:rowOff>
    </xdr:from>
    <xdr:to>
      <xdr:col>15</xdr:col>
      <xdr:colOff>1288235</xdr:colOff>
      <xdr:row>1</xdr:row>
      <xdr:rowOff>453005</xdr:rowOff>
    </xdr:to>
    <xdr:grpSp>
      <xdr:nvGrpSpPr>
        <xdr:cNvPr id="5" name="Group 4"/>
        <xdr:cNvGrpSpPr/>
      </xdr:nvGrpSpPr>
      <xdr:grpSpPr>
        <a:xfrm>
          <a:off x="11975886" y="340179"/>
          <a:ext cx="8528756" cy="572267"/>
          <a:chOff x="6500812" y="317500"/>
          <a:chExt cx="6186806"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392250</xdr:colOff>
      <xdr:row>0</xdr:row>
      <xdr:rowOff>384810</xdr:rowOff>
    </xdr:to>
    <xdr:sp macro="" textlink="">
      <xdr:nvSpPr>
        <xdr:cNvPr id="8" name="Rounded Rectangle 7">
          <a:hlinkClick xmlns:r="http://schemas.openxmlformats.org/officeDocument/2006/relationships" r:id="rId3"/>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595311</xdr:colOff>
      <xdr:row>0</xdr:row>
      <xdr:rowOff>11907</xdr:rowOff>
    </xdr:from>
    <xdr:to>
      <xdr:col>3</xdr:col>
      <xdr:colOff>292236</xdr:colOff>
      <xdr:row>0</xdr:row>
      <xdr:rowOff>377667</xdr:rowOff>
    </xdr:to>
    <xdr:sp macro="" textlink="">
      <xdr:nvSpPr>
        <xdr:cNvPr id="9" name="Rounded Rectangle 8">
          <a:hlinkClick xmlns:r="http://schemas.openxmlformats.org/officeDocument/2006/relationships" r:id="rId4"/>
        </xdr:cNvPr>
        <xdr:cNvSpPr/>
      </xdr:nvSpPr>
      <xdr:spPr>
        <a:xfrm>
          <a:off x="2047874" y="11907"/>
          <a:ext cx="1732893"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5</xdr:col>
      <xdr:colOff>71437</xdr:colOff>
      <xdr:row>0</xdr:row>
      <xdr:rowOff>0</xdr:rowOff>
    </xdr:from>
    <xdr:to>
      <xdr:col>5</xdr:col>
      <xdr:colOff>1511437</xdr:colOff>
      <xdr:row>0</xdr:row>
      <xdr:rowOff>367738</xdr:rowOff>
    </xdr:to>
    <xdr:sp macro="" textlink="">
      <xdr:nvSpPr>
        <xdr:cNvPr id="10" name="Rounded Rectangle 9">
          <a:hlinkClick xmlns:r="http://schemas.openxmlformats.org/officeDocument/2006/relationships" r:id="rId5"/>
        </xdr:cNvPr>
        <xdr:cNvSpPr/>
      </xdr:nvSpPr>
      <xdr:spPr>
        <a:xfrm>
          <a:off x="5110162" y="0"/>
          <a:ext cx="1440000"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3</xdr:col>
      <xdr:colOff>552452</xdr:colOff>
      <xdr:row>0</xdr:row>
      <xdr:rowOff>11908</xdr:rowOff>
    </xdr:from>
    <xdr:to>
      <xdr:col>4</xdr:col>
      <xdr:colOff>1097102</xdr:colOff>
      <xdr:row>0</xdr:row>
      <xdr:rowOff>381002</xdr:rowOff>
    </xdr:to>
    <xdr:sp macro="" textlink="">
      <xdr:nvSpPr>
        <xdr:cNvPr id="11" name="Rounded Rectangle 10">
          <a:hlinkClick xmlns:r="http://schemas.openxmlformats.org/officeDocument/2006/relationships" r:id="rId6"/>
        </xdr:cNvPr>
        <xdr:cNvSpPr/>
      </xdr:nvSpPr>
      <xdr:spPr>
        <a:xfrm>
          <a:off x="3552827" y="11908"/>
          <a:ext cx="1440000"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5</xdr:col>
      <xdr:colOff>1633539</xdr:colOff>
      <xdr:row>0</xdr:row>
      <xdr:rowOff>0</xdr:rowOff>
    </xdr:from>
    <xdr:to>
      <xdr:col>6</xdr:col>
      <xdr:colOff>539889</xdr:colOff>
      <xdr:row>0</xdr:row>
      <xdr:rowOff>365760</xdr:rowOff>
    </xdr:to>
    <xdr:sp macro="" textlink="">
      <xdr:nvSpPr>
        <xdr:cNvPr id="12" name="Rounded Rectangle 11">
          <a:hlinkClick xmlns:r="http://schemas.openxmlformats.org/officeDocument/2006/relationships" r:id="rId7"/>
        </xdr:cNvPr>
        <xdr:cNvSpPr/>
      </xdr:nvSpPr>
      <xdr:spPr>
        <a:xfrm>
          <a:off x="6672264" y="0"/>
          <a:ext cx="23925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171450</xdr:colOff>
      <xdr:row>32</xdr:row>
      <xdr:rowOff>57149</xdr:rowOff>
    </xdr:from>
    <xdr:to>
      <xdr:col>16</xdr:col>
      <xdr:colOff>9525</xdr:colOff>
      <xdr:row>51</xdr:row>
      <xdr:rowOff>28574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107157</xdr:colOff>
      <xdr:row>56</xdr:row>
      <xdr:rowOff>357188</xdr:rowOff>
    </xdr:from>
    <xdr:to>
      <xdr:col>16</xdr:col>
      <xdr:colOff>11906</xdr:colOff>
      <xdr:row>74</xdr:row>
      <xdr:rowOff>114300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59531</xdr:colOff>
      <xdr:row>32</xdr:row>
      <xdr:rowOff>71437</xdr:rowOff>
    </xdr:from>
    <xdr:to>
      <xdr:col>7</xdr:col>
      <xdr:colOff>154781</xdr:colOff>
      <xdr:row>51</xdr:row>
      <xdr:rowOff>47625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2063750</xdr:colOff>
      <xdr:row>1</xdr:row>
      <xdr:rowOff>127000</xdr:rowOff>
    </xdr:from>
    <xdr:to>
      <xdr:col>14</xdr:col>
      <xdr:colOff>773431</xdr:colOff>
      <xdr:row>1</xdr:row>
      <xdr:rowOff>702469</xdr:rowOff>
    </xdr:to>
    <xdr:grpSp>
      <xdr:nvGrpSpPr>
        <xdr:cNvPr id="11" name="Group 10"/>
        <xdr:cNvGrpSpPr/>
      </xdr:nvGrpSpPr>
      <xdr:grpSpPr>
        <a:xfrm>
          <a:off x="9540875" y="579438"/>
          <a:ext cx="4960462" cy="327819"/>
          <a:chOff x="6500812" y="317500"/>
          <a:chExt cx="6186806" cy="575469"/>
        </a:xfrm>
      </xdr:grpSpPr>
      <xdr:pic>
        <xdr:nvPicPr>
          <xdr:cNvPr id="12" name="Picture 11"/>
          <xdr:cNvPicPr>
            <a:picLocks noChangeAspect="1"/>
          </xdr:cNvPicPr>
        </xdr:nvPicPr>
        <xdr:blipFill>
          <a:blip xmlns:r="http://schemas.openxmlformats.org/officeDocument/2006/relationships" r:embed="rId4"/>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122375</xdr:colOff>
      <xdr:row>0</xdr:row>
      <xdr:rowOff>384810</xdr:rowOff>
    </xdr:to>
    <xdr:sp macro="" textlink="">
      <xdr:nvSpPr>
        <xdr:cNvPr id="24" name="Rounded Rectangle 23">
          <a:hlinkClick xmlns:r="http://schemas.openxmlformats.org/officeDocument/2006/relationships" r:id="rId6"/>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670832</xdr:colOff>
      <xdr:row>0</xdr:row>
      <xdr:rowOff>19050</xdr:rowOff>
    </xdr:from>
    <xdr:to>
      <xdr:col>2</xdr:col>
      <xdr:colOff>569143</xdr:colOff>
      <xdr:row>0</xdr:row>
      <xdr:rowOff>384810</xdr:rowOff>
    </xdr:to>
    <xdr:sp macro="" textlink="">
      <xdr:nvSpPr>
        <xdr:cNvPr id="18" name="Rounded Rectangle 17">
          <a:hlinkClick xmlns:r="http://schemas.openxmlformats.org/officeDocument/2006/relationships" r:id="rId7"/>
        </xdr:cNvPr>
        <xdr:cNvSpPr/>
      </xdr:nvSpPr>
      <xdr:spPr>
        <a:xfrm>
          <a:off x="1895475" y="19050"/>
          <a:ext cx="1435918"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4</xdr:col>
      <xdr:colOff>519795</xdr:colOff>
      <xdr:row>0</xdr:row>
      <xdr:rowOff>0</xdr:rowOff>
    </xdr:from>
    <xdr:to>
      <xdr:col>6</xdr:col>
      <xdr:colOff>9891</xdr:colOff>
      <xdr:row>0</xdr:row>
      <xdr:rowOff>367738</xdr:rowOff>
    </xdr:to>
    <xdr:sp macro="" textlink="">
      <xdr:nvSpPr>
        <xdr:cNvPr id="19" name="Rounded Rectangle 18">
          <a:hlinkClick xmlns:r="http://schemas.openxmlformats.org/officeDocument/2006/relationships" r:id="rId8"/>
        </xdr:cNvPr>
        <xdr:cNvSpPr/>
      </xdr:nvSpPr>
      <xdr:spPr>
        <a:xfrm>
          <a:off x="5704116" y="0"/>
          <a:ext cx="1435918"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2</xdr:col>
      <xdr:colOff>1040270</xdr:colOff>
      <xdr:row>0</xdr:row>
      <xdr:rowOff>11908</xdr:rowOff>
    </xdr:from>
    <xdr:to>
      <xdr:col>4</xdr:col>
      <xdr:colOff>55477</xdr:colOff>
      <xdr:row>0</xdr:row>
      <xdr:rowOff>381002</xdr:rowOff>
    </xdr:to>
    <xdr:sp macro="" textlink="">
      <xdr:nvSpPr>
        <xdr:cNvPr id="20" name="Rounded Rectangle 19">
          <a:hlinkClick xmlns:r="http://schemas.openxmlformats.org/officeDocument/2006/relationships" r:id="rId9"/>
        </xdr:cNvPr>
        <xdr:cNvSpPr/>
      </xdr:nvSpPr>
      <xdr:spPr>
        <a:xfrm>
          <a:off x="3802520" y="11908"/>
          <a:ext cx="1437278"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6</xdr:col>
      <xdr:colOff>472171</xdr:colOff>
      <xdr:row>0</xdr:row>
      <xdr:rowOff>13608</xdr:rowOff>
    </xdr:from>
    <xdr:to>
      <xdr:col>8</xdr:col>
      <xdr:colOff>835846</xdr:colOff>
      <xdr:row>0</xdr:row>
      <xdr:rowOff>379368</xdr:rowOff>
    </xdr:to>
    <xdr:sp macro="" textlink="">
      <xdr:nvSpPr>
        <xdr:cNvPr id="21" name="Rounded Rectangle 20">
          <a:hlinkClick xmlns:r="http://schemas.openxmlformats.org/officeDocument/2006/relationships" r:id="rId10"/>
        </xdr:cNvPr>
        <xdr:cNvSpPr/>
      </xdr:nvSpPr>
      <xdr:spPr>
        <a:xfrm>
          <a:off x="7602314" y="13608"/>
          <a:ext cx="2363925"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0</xdr:col>
      <xdr:colOff>0</xdr:colOff>
      <xdr:row>57</xdr:row>
      <xdr:rowOff>13607</xdr:rowOff>
    </xdr:from>
    <xdr:to>
      <xdr:col>5</xdr:col>
      <xdr:colOff>59531</xdr:colOff>
      <xdr:row>74</xdr:row>
      <xdr:rowOff>180295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3190875</xdr:colOff>
      <xdr:row>1</xdr:row>
      <xdr:rowOff>269875</xdr:rowOff>
    </xdr:from>
    <xdr:to>
      <xdr:col>5</xdr:col>
      <xdr:colOff>646431</xdr:colOff>
      <xdr:row>1</xdr:row>
      <xdr:rowOff>845344</xdr:rowOff>
    </xdr:to>
    <xdr:grpSp>
      <xdr:nvGrpSpPr>
        <xdr:cNvPr id="6" name="Group 5"/>
        <xdr:cNvGrpSpPr/>
      </xdr:nvGrpSpPr>
      <xdr:grpSpPr>
        <a:xfrm>
          <a:off x="4569619" y="722313"/>
          <a:ext cx="4006375" cy="575469"/>
          <a:chOff x="6500812" y="317500"/>
          <a:chExt cx="6186806" cy="575469"/>
        </a:xfrm>
      </xdr:grpSpPr>
      <xdr:pic>
        <xdr:nvPicPr>
          <xdr:cNvPr id="7" name="Picture 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8" name="Picture 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95250</xdr:colOff>
      <xdr:row>25</xdr:row>
      <xdr:rowOff>174625</xdr:rowOff>
    </xdr:from>
    <xdr:to>
      <xdr:col>3</xdr:col>
      <xdr:colOff>11906</xdr:colOff>
      <xdr:row>54</xdr:row>
      <xdr:rowOff>5763</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19050</xdr:rowOff>
    </xdr:from>
    <xdr:to>
      <xdr:col>1</xdr:col>
      <xdr:colOff>46969</xdr:colOff>
      <xdr:row>0</xdr:row>
      <xdr:rowOff>384810</xdr:rowOff>
    </xdr:to>
    <xdr:sp macro="" textlink="">
      <xdr:nvSpPr>
        <xdr:cNvPr id="16" name="Rounded Rectangle 15">
          <a:hlinkClick xmlns:r="http://schemas.openxmlformats.org/officeDocument/2006/relationships" r:id="rId4"/>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266711</xdr:colOff>
      <xdr:row>0</xdr:row>
      <xdr:rowOff>19050</xdr:rowOff>
    </xdr:from>
    <xdr:to>
      <xdr:col>2</xdr:col>
      <xdr:colOff>373211</xdr:colOff>
      <xdr:row>0</xdr:row>
      <xdr:rowOff>384810</xdr:rowOff>
    </xdr:to>
    <xdr:sp macro="" textlink="">
      <xdr:nvSpPr>
        <xdr:cNvPr id="12" name="Rounded Rectangle 11">
          <a:hlinkClick xmlns:r="http://schemas.openxmlformats.org/officeDocument/2006/relationships" r:id="rId5"/>
        </xdr:cNvPr>
        <xdr:cNvSpPr/>
      </xdr:nvSpPr>
      <xdr:spPr>
        <a:xfrm>
          <a:off x="1659742" y="19050"/>
          <a:ext cx="1606688"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3</xdr:col>
      <xdr:colOff>752479</xdr:colOff>
      <xdr:row>0</xdr:row>
      <xdr:rowOff>11906</xdr:rowOff>
    </xdr:from>
    <xdr:to>
      <xdr:col>4</xdr:col>
      <xdr:colOff>516079</xdr:colOff>
      <xdr:row>0</xdr:row>
      <xdr:rowOff>379644</xdr:rowOff>
    </xdr:to>
    <xdr:sp macro="" textlink="">
      <xdr:nvSpPr>
        <xdr:cNvPr id="13" name="Rounded Rectangle 12">
          <a:hlinkClick xmlns:r="http://schemas.openxmlformats.org/officeDocument/2006/relationships" r:id="rId6"/>
        </xdr:cNvPr>
        <xdr:cNvSpPr/>
      </xdr:nvSpPr>
      <xdr:spPr>
        <a:xfrm>
          <a:off x="5324479" y="11906"/>
          <a:ext cx="1442381"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2</xdr:col>
      <xdr:colOff>645330</xdr:colOff>
      <xdr:row>0</xdr:row>
      <xdr:rowOff>11908</xdr:rowOff>
    </xdr:from>
    <xdr:to>
      <xdr:col>3</xdr:col>
      <xdr:colOff>408930</xdr:colOff>
      <xdr:row>0</xdr:row>
      <xdr:rowOff>381002</xdr:rowOff>
    </xdr:to>
    <xdr:sp macro="" textlink="">
      <xdr:nvSpPr>
        <xdr:cNvPr id="14" name="Rounded Rectangle 13">
          <a:hlinkClick xmlns:r="http://schemas.openxmlformats.org/officeDocument/2006/relationships" r:id="rId7"/>
        </xdr:cNvPr>
        <xdr:cNvSpPr/>
      </xdr:nvSpPr>
      <xdr:spPr>
        <a:xfrm>
          <a:off x="3538549" y="11908"/>
          <a:ext cx="1442381"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4</xdr:col>
      <xdr:colOff>821543</xdr:colOff>
      <xdr:row>0</xdr:row>
      <xdr:rowOff>0</xdr:rowOff>
    </xdr:from>
    <xdr:to>
      <xdr:col>5</xdr:col>
      <xdr:colOff>889946</xdr:colOff>
      <xdr:row>0</xdr:row>
      <xdr:rowOff>365760</xdr:rowOff>
    </xdr:to>
    <xdr:sp macro="" textlink="">
      <xdr:nvSpPr>
        <xdr:cNvPr id="15" name="Rounded Rectangle 14">
          <a:hlinkClick xmlns:r="http://schemas.openxmlformats.org/officeDocument/2006/relationships" r:id="rId8"/>
        </xdr:cNvPr>
        <xdr:cNvSpPr/>
      </xdr:nvSpPr>
      <xdr:spPr>
        <a:xfrm>
          <a:off x="7072324" y="0"/>
          <a:ext cx="1747185"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3</xdr:col>
      <xdr:colOff>785812</xdr:colOff>
      <xdr:row>26</xdr:row>
      <xdr:rowOff>11906</xdr:rowOff>
    </xdr:from>
    <xdr:to>
      <xdr:col>6</xdr:col>
      <xdr:colOff>396874</xdr:colOff>
      <xdr:row>54</xdr:row>
      <xdr:rowOff>11906</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0.00597</cdr:y>
    </cdr:from>
    <cdr:ext cx="4304506" cy="228598"/>
    <cdr:sp macro="" textlink="">
      <cdr:nvSpPr>
        <cdr:cNvPr id="4" name="TextBox 3"/>
        <cdr:cNvSpPr txBox="1">
          <a:spLocks xmlns:a="http://schemas.openxmlformats.org/drawingml/2006/main"/>
        </cdr:cNvSpPr>
      </cdr:nvSpPr>
      <cdr:spPr>
        <a:xfrm xmlns:a="http://schemas.openxmlformats.org/drawingml/2006/main">
          <a:off x="0" y="31859"/>
          <a:ext cx="4304506" cy="228598"/>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Shelter coverage by township (# of people)</a:t>
          </a:r>
          <a:endParaRPr lang="en-GB" sz="1400">
            <a:latin typeface="Franklin Gothic Medium Cond" pitchFamily="34" charset="0"/>
          </a:endParaRPr>
        </a:p>
      </cdr:txBody>
    </cdr:sp>
  </cdr:absSizeAnchor>
</c:userShapes>
</file>

<file path=xl/drawings/drawing11.xml><?xml version="1.0" encoding="utf-8"?>
<c:userShapes xmlns:c="http://schemas.openxmlformats.org/drawingml/2006/chart">
  <cdr:absSizeAnchor xmlns:cdr="http://schemas.openxmlformats.org/drawingml/2006/chartDrawing">
    <cdr:from>
      <cdr:x>0</cdr:x>
      <cdr:y>0.00923</cdr:y>
    </cdr:from>
    <cdr:ext cx="4416424" cy="240486"/>
    <cdr:sp macro="" textlink="">
      <cdr:nvSpPr>
        <cdr:cNvPr id="2" name="TextBox 3"/>
        <cdr:cNvSpPr txBox="1">
          <a:spLocks xmlns:a="http://schemas.openxmlformats.org/drawingml/2006/main"/>
        </cdr:cNvSpPr>
      </cdr:nvSpPr>
      <cdr:spPr>
        <a:xfrm xmlns:a="http://schemas.openxmlformats.org/drawingml/2006/main">
          <a:off x="0" y="49233"/>
          <a:ext cx="4416424" cy="240486"/>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Coverage by Shelter (# of HH) by Organization</a:t>
          </a:r>
          <a:endParaRPr lang="en-GB" sz="1400">
            <a:latin typeface="Franklin Gothic Medium Cond" pitchFamily="34" charset="0"/>
          </a:endParaRPr>
        </a:p>
      </cdr:txBody>
    </cdr:sp>
  </cdr:absSizeAnchor>
</c:userShapes>
</file>

<file path=xl/drawings/drawing12.xml><?xml version="1.0" encoding="utf-8"?>
<xdr:wsDr xmlns:xdr="http://schemas.openxmlformats.org/drawingml/2006/spreadsheetDrawing" xmlns:a="http://schemas.openxmlformats.org/drawingml/2006/main">
  <xdr:twoCellAnchor editAs="oneCell">
    <xdr:from>
      <xdr:col>8</xdr:col>
      <xdr:colOff>183599</xdr:colOff>
      <xdr:row>11</xdr:row>
      <xdr:rowOff>62700</xdr:rowOff>
    </xdr:from>
    <xdr:to>
      <xdr:col>14</xdr:col>
      <xdr:colOff>90859</xdr:colOff>
      <xdr:row>54</xdr:row>
      <xdr:rowOff>57359</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31774" y="2415375"/>
          <a:ext cx="4622135" cy="7100309"/>
        </a:xfrm>
        <a:prstGeom prst="rect">
          <a:avLst/>
        </a:prstGeom>
        <a:ln w="28575">
          <a:solidFill>
            <a:schemeClr val="tx2">
              <a:lumMod val="40000"/>
              <a:lumOff val="60000"/>
            </a:schemeClr>
          </a:solidFill>
        </a:ln>
      </xdr:spPr>
    </xdr:pic>
    <xdr:clientData/>
  </xdr:twoCellAnchor>
  <xdr:oneCellAnchor>
    <xdr:from>
      <xdr:col>9</xdr:col>
      <xdr:colOff>504825</xdr:colOff>
      <xdr:row>15</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9</xdr:col>
      <xdr:colOff>79648</xdr:colOff>
      <xdr:row>3</xdr:row>
      <xdr:rowOff>163114</xdr:rowOff>
    </xdr:from>
    <xdr:to>
      <xdr:col>13</xdr:col>
      <xdr:colOff>346576</xdr:colOff>
      <xdr:row>4</xdr:row>
      <xdr:rowOff>172639</xdr:rowOff>
    </xdr:to>
    <xdr:grpSp>
      <xdr:nvGrpSpPr>
        <xdr:cNvPr id="35" name="Group 34"/>
        <xdr:cNvGrpSpPr/>
      </xdr:nvGrpSpPr>
      <xdr:grpSpPr>
        <a:xfrm>
          <a:off x="5204098" y="867964"/>
          <a:ext cx="3591153" cy="428625"/>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139701</xdr:colOff>
      <xdr:row>6</xdr:row>
      <xdr:rowOff>47625</xdr:rowOff>
    </xdr:from>
    <xdr:to>
      <xdr:col>14</xdr:col>
      <xdr:colOff>90238</xdr:colOff>
      <xdr:row>10</xdr:row>
      <xdr:rowOff>44904</xdr:rowOff>
    </xdr:to>
    <xdr:sp macro="" textlink="">
      <xdr:nvSpPr>
        <xdr:cNvPr id="43" name="Rounded Rectangle 42"/>
        <xdr:cNvSpPr/>
      </xdr:nvSpPr>
      <xdr:spPr>
        <a:xfrm>
          <a:off x="6149976" y="1647825"/>
          <a:ext cx="4665412" cy="730704"/>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lIns="18000" tIns="18000" rIns="18000" bIns="18000" rtlCol="0" anchor="t"/>
        <a:lstStyle/>
        <a:p>
          <a:pPr algn="l"/>
          <a:r>
            <a:rPr lang="en-US" sz="950">
              <a:solidFill>
                <a:sysClr val="windowText" lastClr="000000"/>
              </a:solidFill>
              <a:effectLst/>
              <a:latin typeface="+mn-lt"/>
              <a:ea typeface="+mn-ea"/>
              <a:cs typeface="+mn-cs"/>
            </a:rPr>
            <a:t>Shelter Cluster coverage is approximately 60% in Kachin and Northern Shan States. Churches and private organizations also built shelters. Some managed to build their own shelters. Due to these reasons,  the dispersal of sites and access issues, the total numbers of shelters built is not deemed totally exhaustive.</a:t>
          </a:r>
        </a:p>
        <a:p>
          <a:pPr algn="l"/>
          <a:r>
            <a:rPr lang="en-US" sz="1000">
              <a:solidFill>
                <a:schemeClr val="lt1"/>
              </a:solidFill>
              <a:effectLst/>
              <a:latin typeface="+mn-lt"/>
              <a:ea typeface="+mn-ea"/>
              <a:cs typeface="+mn-cs"/>
            </a:rPr>
            <a:t>.</a:t>
          </a:r>
          <a:endParaRPr lang="en-US" sz="1000">
            <a:solidFill>
              <a:sysClr val="windowText" lastClr="000000"/>
            </a:solidFill>
          </a:endParaRPr>
        </a:p>
      </xdr:txBody>
    </xdr:sp>
    <xdr:clientData/>
  </xdr:twoCellAnchor>
  <xdr:twoCellAnchor>
    <xdr:from>
      <xdr:col>2</xdr:col>
      <xdr:colOff>94554</xdr:colOff>
      <xdr:row>50</xdr:row>
      <xdr:rowOff>93871</xdr:rowOff>
    </xdr:from>
    <xdr:to>
      <xdr:col>14</xdr:col>
      <xdr:colOff>136071</xdr:colOff>
      <xdr:row>52</xdr:row>
      <xdr:rowOff>190518</xdr:rowOff>
    </xdr:to>
    <xdr:grpSp>
      <xdr:nvGrpSpPr>
        <xdr:cNvPr id="6" name="Group 5"/>
        <xdr:cNvGrpSpPr/>
      </xdr:nvGrpSpPr>
      <xdr:grpSpPr>
        <a:xfrm>
          <a:off x="380304" y="8971171"/>
          <a:ext cx="8594967" cy="477647"/>
          <a:chOff x="57610" y="11352338"/>
          <a:chExt cx="9057815" cy="239019"/>
        </a:xfrm>
      </xdr:grpSpPr>
      <xdr:sp macro="" textlink="">
        <xdr:nvSpPr>
          <xdr:cNvPr id="45" name="Line 2"/>
          <xdr:cNvSpPr>
            <a:spLocks noChangeShapeType="1"/>
          </xdr:cNvSpPr>
        </xdr:nvSpPr>
        <xdr:spPr bwMode="auto">
          <a:xfrm flipV="1">
            <a:off x="196277" y="11352338"/>
            <a:ext cx="8919148" cy="20407"/>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5" name="Group 4"/>
          <xdr:cNvGrpSpPr/>
        </xdr:nvGrpSpPr>
        <xdr:grpSpPr>
          <a:xfrm>
            <a:off x="57610" y="11407456"/>
            <a:ext cx="8866397" cy="183901"/>
            <a:chOff x="57610" y="11302681"/>
            <a:chExt cx="8866397" cy="183901"/>
          </a:xfrm>
        </xdr:grpSpPr>
        <xdr:sp macro="" textlink="">
          <xdr:nvSpPr>
            <xdr:cNvPr id="48" name="TextBox 47"/>
            <xdr:cNvSpPr txBox="1"/>
          </xdr:nvSpPr>
          <xdr:spPr>
            <a:xfrm>
              <a:off x="57610" y="11302681"/>
              <a:ext cx="3288785" cy="18390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 &amp; other humanitarian organizations</a:t>
              </a:r>
              <a:endParaRPr lang="en-GB" sz="1000">
                <a:latin typeface="Franklin Gothic Book" pitchFamily="34" charset="0"/>
              </a:endParaRPr>
            </a:p>
          </xdr:txBody>
        </xdr:sp>
        <xdr:sp macro="" textlink="">
          <xdr:nvSpPr>
            <xdr:cNvPr id="49" name="TextBox 48"/>
            <xdr:cNvSpPr txBox="1">
              <a:spLocks/>
            </xdr:cNvSpPr>
          </xdr:nvSpPr>
          <xdr:spPr>
            <a:xfrm>
              <a:off x="3144146" y="11314991"/>
              <a:ext cx="3331043" cy="170753"/>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50" name="TextBox 49"/>
            <xdr:cNvSpPr txBox="1"/>
          </xdr:nvSpPr>
          <xdr:spPr>
            <a:xfrm>
              <a:off x="7328407" y="11314992"/>
              <a:ext cx="1595600" cy="161864"/>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0</xdr:colOff>
      <xdr:row>2</xdr:row>
      <xdr:rowOff>28575</xdr:rowOff>
    </xdr:from>
    <xdr:to>
      <xdr:col>3</xdr:col>
      <xdr:colOff>293775</xdr:colOff>
      <xdr:row>2</xdr:row>
      <xdr:rowOff>352575</xdr:rowOff>
    </xdr:to>
    <xdr:sp macro="" textlink="">
      <xdr:nvSpPr>
        <xdr:cNvPr id="60" name="Rounded Rectangle 59">
          <a:hlinkClick xmlns:r="http://schemas.openxmlformats.org/officeDocument/2006/relationships" r:id="rId4"/>
        </xdr:cNvPr>
        <xdr:cNvSpPr/>
      </xdr:nvSpPr>
      <xdr:spPr>
        <a:xfrm>
          <a:off x="0" y="28575"/>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293775</xdr:colOff>
      <xdr:row>2</xdr:row>
      <xdr:rowOff>28575</xdr:rowOff>
    </xdr:from>
    <xdr:to>
      <xdr:col>5</xdr:col>
      <xdr:colOff>139875</xdr:colOff>
      <xdr:row>2</xdr:row>
      <xdr:rowOff>352575</xdr:rowOff>
    </xdr:to>
    <xdr:sp macro="" textlink="">
      <xdr:nvSpPr>
        <xdr:cNvPr id="34" name="Rounded Rectangle 33">
          <a:hlinkClick xmlns:r="http://schemas.openxmlformats.org/officeDocument/2006/relationships" r:id="rId5"/>
        </xdr:cNvPr>
        <xdr:cNvSpPr/>
      </xdr:nvSpPr>
      <xdr:spPr>
        <a:xfrm>
          <a:off x="1332000" y="28575"/>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6</xdr:col>
      <xdr:colOff>643200</xdr:colOff>
      <xdr:row>2</xdr:row>
      <xdr:rowOff>26597</xdr:rowOff>
    </xdr:from>
    <xdr:to>
      <xdr:col>7</xdr:col>
      <xdr:colOff>689325</xdr:colOff>
      <xdr:row>2</xdr:row>
      <xdr:rowOff>350597</xdr:rowOff>
    </xdr:to>
    <xdr:sp macro="" textlink="">
      <xdr:nvSpPr>
        <xdr:cNvPr id="37" name="Rounded Rectangle 36">
          <a:hlinkClick xmlns:r="http://schemas.openxmlformats.org/officeDocument/2006/relationships" r:id="rId6"/>
        </xdr:cNvPr>
        <xdr:cNvSpPr/>
      </xdr:nvSpPr>
      <xdr:spPr>
        <a:xfrm>
          <a:off x="3996000" y="26597"/>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139875</xdr:colOff>
      <xdr:row>2</xdr:row>
      <xdr:rowOff>25241</xdr:rowOff>
    </xdr:from>
    <xdr:to>
      <xdr:col>6</xdr:col>
      <xdr:colOff>643200</xdr:colOff>
      <xdr:row>2</xdr:row>
      <xdr:rowOff>349241</xdr:rowOff>
    </xdr:to>
    <xdr:sp macro="" textlink="">
      <xdr:nvSpPr>
        <xdr:cNvPr id="38" name="Rounded Rectangle 37">
          <a:hlinkClick xmlns:r="http://schemas.openxmlformats.org/officeDocument/2006/relationships" r:id="rId7"/>
        </xdr:cNvPr>
        <xdr:cNvSpPr/>
      </xdr:nvSpPr>
      <xdr:spPr>
        <a:xfrm>
          <a:off x="2664000" y="25241"/>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7</xdr:col>
      <xdr:colOff>689325</xdr:colOff>
      <xdr:row>2</xdr:row>
      <xdr:rowOff>25241</xdr:rowOff>
    </xdr:from>
    <xdr:to>
      <xdr:col>8</xdr:col>
      <xdr:colOff>525900</xdr:colOff>
      <xdr:row>2</xdr:row>
      <xdr:rowOff>349241</xdr:rowOff>
    </xdr:to>
    <xdr:sp macro="" textlink="">
      <xdr:nvSpPr>
        <xdr:cNvPr id="39" name="Rounded Rectangle 38">
          <a:hlinkClick xmlns:r="http://schemas.openxmlformats.org/officeDocument/2006/relationships" r:id="rId8"/>
        </xdr:cNvPr>
        <xdr:cNvSpPr/>
      </xdr:nvSpPr>
      <xdr:spPr>
        <a:xfrm>
          <a:off x="5328000" y="25241"/>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1</xdr:col>
      <xdr:colOff>116418</xdr:colOff>
      <xdr:row>33</xdr:row>
      <xdr:rowOff>52920</xdr:rowOff>
    </xdr:from>
    <xdr:to>
      <xdr:col>7</xdr:col>
      <xdr:colOff>518585</xdr:colOff>
      <xdr:row>47</xdr:row>
      <xdr:rowOff>74084</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199041</xdr:colOff>
      <xdr:row>11</xdr:row>
      <xdr:rowOff>91648</xdr:rowOff>
    </xdr:from>
    <xdr:to>
      <xdr:col>9</xdr:col>
      <xdr:colOff>956296</xdr:colOff>
      <xdr:row>25</xdr:row>
      <xdr:rowOff>95811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95250</xdr:colOff>
      <xdr:row>6</xdr:row>
      <xdr:rowOff>45893</xdr:rowOff>
    </xdr:from>
    <xdr:to>
      <xdr:col>7</xdr:col>
      <xdr:colOff>482601</xdr:colOff>
      <xdr:row>14</xdr:row>
      <xdr:rowOff>9163</xdr:rowOff>
    </xdr:to>
    <xdr:grpSp>
      <xdr:nvGrpSpPr>
        <xdr:cNvPr id="4" name="Group 3"/>
        <xdr:cNvGrpSpPr/>
      </xdr:nvGrpSpPr>
      <xdr:grpSpPr>
        <a:xfrm>
          <a:off x="257175" y="1503218"/>
          <a:ext cx="3854451" cy="1344395"/>
          <a:chOff x="13464536" y="3170464"/>
          <a:chExt cx="5303561" cy="1295551"/>
        </a:xfrm>
      </xdr:grpSpPr>
      <xdr:grpSp>
        <xdr:nvGrpSpPr>
          <xdr:cNvPr id="3" name="Group 2"/>
          <xdr:cNvGrpSpPr/>
        </xdr:nvGrpSpPr>
        <xdr:grpSpPr>
          <a:xfrm>
            <a:off x="13464536" y="3170464"/>
            <a:ext cx="4320000" cy="1295551"/>
            <a:chOff x="13299490" y="3238499"/>
            <a:chExt cx="4320000" cy="1295551"/>
          </a:xfrm>
        </xdr:grpSpPr>
        <xdr:sp macro="" textlink="">
          <xdr:nvSpPr>
            <xdr:cNvPr id="54" name="Rectangle 53"/>
            <xdr:cNvSpPr/>
          </xdr:nvSpPr>
          <xdr:spPr>
            <a:xfrm>
              <a:off x="13299490" y="3238499"/>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Camps</a:t>
              </a:r>
            </a:p>
          </xdr:txBody>
        </xdr:sp>
        <xdr:sp macro="" textlink="">
          <xdr:nvSpPr>
            <xdr:cNvPr id="62" name="Rectangle 61"/>
            <xdr:cNvSpPr/>
          </xdr:nvSpPr>
          <xdr:spPr>
            <a:xfrm>
              <a:off x="13299490" y="3562349"/>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Households</a:t>
              </a:r>
            </a:p>
          </xdr:txBody>
        </xdr:sp>
        <xdr:sp macro="" textlink="">
          <xdr:nvSpPr>
            <xdr:cNvPr id="63" name="Rectangle 62"/>
            <xdr:cNvSpPr/>
          </xdr:nvSpPr>
          <xdr:spPr>
            <a:xfrm>
              <a:off x="13299490" y="3886199"/>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Ins="0" rtlCol="0" anchor="ctr"/>
            <a:lstStyle/>
            <a:p>
              <a:pPr marL="0" indent="0" algn="l"/>
              <a:r>
                <a:rPr lang="en-GB" sz="1400" b="1">
                  <a:solidFill>
                    <a:schemeClr val="dk1"/>
                  </a:solidFill>
                  <a:latin typeface="+mn-lt"/>
                  <a:ea typeface="+mn-ea"/>
                  <a:cs typeface="+mn-cs"/>
                </a:rPr>
                <a:t>#</a:t>
              </a:r>
              <a:r>
                <a:rPr lang="en-GB" sz="1400" b="1" baseline="0">
                  <a:solidFill>
                    <a:schemeClr val="dk1"/>
                  </a:solidFill>
                  <a:latin typeface="+mn-lt"/>
                  <a:ea typeface="+mn-ea"/>
                  <a:cs typeface="+mn-cs"/>
                </a:rPr>
                <a:t> Households still not covered by the Cluster</a:t>
              </a:r>
              <a:endParaRPr lang="en-GB" sz="1400" b="1">
                <a:solidFill>
                  <a:schemeClr val="dk1"/>
                </a:solidFill>
                <a:latin typeface="+mn-lt"/>
                <a:ea typeface="+mn-ea"/>
                <a:cs typeface="+mn-cs"/>
              </a:endParaRPr>
            </a:p>
          </xdr:txBody>
        </xdr:sp>
        <xdr:sp macro="" textlink="">
          <xdr:nvSpPr>
            <xdr:cNvPr id="64" name="Rectangle 63"/>
            <xdr:cNvSpPr/>
          </xdr:nvSpPr>
          <xdr:spPr>
            <a:xfrm>
              <a:off x="13299490" y="4210050"/>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Identified shelters to be built</a:t>
              </a:r>
              <a:r>
                <a:rPr lang="en-GB" sz="1400" b="1" baseline="0">
                  <a:solidFill>
                    <a:schemeClr val="dk1"/>
                  </a:solidFill>
                  <a:latin typeface="+mn-lt"/>
                  <a:ea typeface="+mn-ea"/>
                  <a:cs typeface="+mn-cs"/>
                </a:rPr>
                <a:t> </a:t>
              </a:r>
              <a:endParaRPr lang="en-GB" sz="1400" b="1">
                <a:solidFill>
                  <a:schemeClr val="dk1"/>
                </a:solidFill>
                <a:latin typeface="+mn-lt"/>
                <a:ea typeface="+mn-ea"/>
                <a:cs typeface="+mn-cs"/>
              </a:endParaRPr>
            </a:p>
          </xdr:txBody>
        </xdr:sp>
      </xdr:grpSp>
      <xdr:grpSp>
        <xdr:nvGrpSpPr>
          <xdr:cNvPr id="65" name="Group 64"/>
          <xdr:cNvGrpSpPr/>
        </xdr:nvGrpSpPr>
        <xdr:grpSpPr>
          <a:xfrm>
            <a:off x="17784536" y="3170464"/>
            <a:ext cx="983561" cy="1295551"/>
            <a:chOff x="13299490" y="3238499"/>
            <a:chExt cx="983561" cy="1295551"/>
          </a:xfrm>
        </xdr:grpSpPr>
        <xdr:sp macro="" textlink="$T$5">
          <xdr:nvSpPr>
            <xdr:cNvPr id="66" name="Rectangle 65"/>
            <xdr:cNvSpPr/>
          </xdr:nvSpPr>
          <xdr:spPr>
            <a:xfrm>
              <a:off x="13299490" y="3238499"/>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DBCCC494-A7D7-4F64-A0D4-1D5F0C8B219D}" type="TxLink">
                <a:rPr lang="en-GB" sz="1400" b="1">
                  <a:solidFill>
                    <a:schemeClr val="dk1"/>
                  </a:solidFill>
                  <a:latin typeface="+mn-lt"/>
                  <a:ea typeface="+mn-ea"/>
                  <a:cs typeface="+mn-cs"/>
                </a:rPr>
                <a:pPr marL="0" indent="0" algn="r"/>
                <a:t> 137 </a:t>
              </a:fld>
              <a:endParaRPr lang="en-GB" sz="1400" b="1">
                <a:solidFill>
                  <a:schemeClr val="dk1"/>
                </a:solidFill>
                <a:latin typeface="+mn-lt"/>
                <a:ea typeface="+mn-ea"/>
                <a:cs typeface="+mn-cs"/>
              </a:endParaRPr>
            </a:p>
          </xdr:txBody>
        </xdr:sp>
        <xdr:sp macro="" textlink="$T$4">
          <xdr:nvSpPr>
            <xdr:cNvPr id="67" name="Rectangle 66"/>
            <xdr:cNvSpPr/>
          </xdr:nvSpPr>
          <xdr:spPr>
            <a:xfrm>
              <a:off x="13299490" y="3562349"/>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F2E79470-5447-4600-A2E1-F8E30C0A7E02}" type="TxLink">
                <a:rPr lang="en-GB" sz="1400" b="1">
                  <a:solidFill>
                    <a:schemeClr val="dk1"/>
                  </a:solidFill>
                  <a:latin typeface="+mn-lt"/>
                  <a:ea typeface="+mn-ea"/>
                  <a:cs typeface="+mn-cs"/>
                </a:rPr>
                <a:pPr marL="0" indent="0" algn="r"/>
                <a:t> 17,525 </a:t>
              </a:fld>
              <a:endParaRPr lang="en-GB" sz="1400" b="1">
                <a:solidFill>
                  <a:schemeClr val="dk1"/>
                </a:solidFill>
                <a:latin typeface="+mn-lt"/>
                <a:ea typeface="+mn-ea"/>
                <a:cs typeface="+mn-cs"/>
              </a:endParaRPr>
            </a:p>
          </xdr:txBody>
        </xdr:sp>
        <xdr:sp macro="" textlink="$T$8">
          <xdr:nvSpPr>
            <xdr:cNvPr id="68" name="Rectangle 67"/>
            <xdr:cNvSpPr/>
          </xdr:nvSpPr>
          <xdr:spPr>
            <a:xfrm>
              <a:off x="13299490" y="3886199"/>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2F401146-2B21-436F-8867-1B210D59D5EE}" type="TxLink">
                <a:rPr lang="en-GB" sz="1400" b="1">
                  <a:solidFill>
                    <a:schemeClr val="dk1"/>
                  </a:solidFill>
                  <a:latin typeface="+mn-lt"/>
                  <a:ea typeface="+mn-ea"/>
                  <a:cs typeface="+mn-cs"/>
                </a:rPr>
                <a:pPr marL="0" indent="0" algn="r"/>
                <a:t> 5,761 </a:t>
              </a:fld>
              <a:endParaRPr lang="en-GB" sz="1400" b="1">
                <a:solidFill>
                  <a:schemeClr val="dk1"/>
                </a:solidFill>
                <a:latin typeface="+mn-lt"/>
                <a:ea typeface="+mn-ea"/>
                <a:cs typeface="+mn-cs"/>
              </a:endParaRPr>
            </a:p>
          </xdr:txBody>
        </xdr:sp>
        <xdr:sp macro="" textlink="$T$9">
          <xdr:nvSpPr>
            <xdr:cNvPr id="69" name="Rectangle 68"/>
            <xdr:cNvSpPr/>
          </xdr:nvSpPr>
          <xdr:spPr>
            <a:xfrm>
              <a:off x="13299490" y="4210050"/>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10044934-3A2E-4F32-A429-28F138646F7A}" type="TxLink">
                <a:rPr lang="en-GB" sz="1400" b="1">
                  <a:solidFill>
                    <a:schemeClr val="dk1"/>
                  </a:solidFill>
                  <a:latin typeface="+mn-lt"/>
                  <a:ea typeface="+mn-ea"/>
                  <a:cs typeface="+mn-cs"/>
                </a:rPr>
                <a:pPr marL="0" indent="0" algn="r"/>
                <a:t> 5,677 </a:t>
              </a:fld>
              <a:endParaRPr lang="en-GB" sz="1400" b="1">
                <a:solidFill>
                  <a:schemeClr val="dk1"/>
                </a:solidFill>
                <a:latin typeface="+mn-lt"/>
                <a:ea typeface="+mn-ea"/>
                <a:cs typeface="+mn-cs"/>
              </a:endParaRPr>
            </a:p>
          </xdr:txBody>
        </xdr:sp>
      </xdr:grpSp>
    </xdr:grpSp>
    <xdr:clientData/>
  </xdr:twoCellAnchor>
  <mc:AlternateContent xmlns:mc="http://schemas.openxmlformats.org/markup-compatibility/2006">
    <mc:Choice xmlns:a14="http://schemas.microsoft.com/office/drawing/2010/main" Requires="a14">
      <xdr:twoCellAnchor editAs="oneCell">
        <xdr:from>
          <xdr:col>18</xdr:col>
          <xdr:colOff>19050</xdr:colOff>
          <xdr:row>32</xdr:row>
          <xdr:rowOff>38100</xdr:rowOff>
        </xdr:from>
        <xdr:to>
          <xdr:col>19</xdr:col>
          <xdr:colOff>238125</xdr:colOff>
          <xdr:row>33</xdr:row>
          <xdr:rowOff>123825</xdr:rowOff>
        </xdr:to>
        <xdr:sp macro="" textlink="">
          <xdr:nvSpPr>
            <xdr:cNvPr id="9217" name="CommandButton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974527</xdr:colOff>
      <xdr:row>41</xdr:row>
      <xdr:rowOff>22013</xdr:rowOff>
    </xdr:from>
    <xdr:to>
      <xdr:col>10</xdr:col>
      <xdr:colOff>142235</xdr:colOff>
      <xdr:row>43</xdr:row>
      <xdr:rowOff>39371</xdr:rowOff>
    </xdr:to>
    <xdr:grpSp>
      <xdr:nvGrpSpPr>
        <xdr:cNvPr id="78" name="Bhamo"/>
        <xdr:cNvGrpSpPr/>
      </xdr:nvGrpSpPr>
      <xdr:grpSpPr>
        <a:xfrm>
          <a:off x="6098977" y="7184813"/>
          <a:ext cx="234508" cy="398358"/>
          <a:chOff x="13959520" y="6632248"/>
          <a:chExt cx="235841" cy="398358"/>
        </a:xfrm>
      </xdr:grpSpPr>
      <xdr:sp macro="" textlink="">
        <xdr:nvSpPr>
          <xdr:cNvPr id="79" name="V_1"/>
          <xdr:cNvSpPr/>
        </xdr:nvSpPr>
        <xdr:spPr>
          <a:xfrm>
            <a:off x="13959520" y="6632248"/>
            <a:ext cx="54000" cy="398357"/>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0" name="V_2"/>
          <xdr:cNvSpPr/>
        </xdr:nvSpPr>
        <xdr:spPr>
          <a:xfrm flipH="1">
            <a:off x="14050441" y="6898524"/>
            <a:ext cx="54000" cy="13208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1" name="V_3"/>
          <xdr:cNvSpPr/>
        </xdr:nvSpPr>
        <xdr:spPr>
          <a:xfrm>
            <a:off x="14141361" y="6995046"/>
            <a:ext cx="54000" cy="355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464237</xdr:colOff>
      <xdr:row>27</xdr:row>
      <xdr:rowOff>36818</xdr:rowOff>
    </xdr:from>
    <xdr:to>
      <xdr:col>12</xdr:col>
      <xdr:colOff>90478</xdr:colOff>
      <xdr:row>28</xdr:row>
      <xdr:rowOff>26524</xdr:rowOff>
    </xdr:to>
    <xdr:grpSp>
      <xdr:nvGrpSpPr>
        <xdr:cNvPr id="82" name="Chipwi"/>
        <xdr:cNvGrpSpPr/>
      </xdr:nvGrpSpPr>
      <xdr:grpSpPr>
        <a:xfrm>
          <a:off x="7722287" y="4580243"/>
          <a:ext cx="235841" cy="151631"/>
          <a:chOff x="13959520" y="7732444"/>
          <a:chExt cx="235841" cy="152977"/>
        </a:xfrm>
      </xdr:grpSpPr>
      <xdr:sp macro="" textlink="">
        <xdr:nvSpPr>
          <xdr:cNvPr id="83" name="V_1"/>
          <xdr:cNvSpPr/>
        </xdr:nvSpPr>
        <xdr:spPr>
          <a:xfrm>
            <a:off x="13959520" y="7792662"/>
            <a:ext cx="54000" cy="76876"/>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4" name="V_2"/>
          <xdr:cNvSpPr/>
        </xdr:nvSpPr>
        <xdr:spPr>
          <a:xfrm flipH="1">
            <a:off x="14050441" y="7732444"/>
            <a:ext cx="54000" cy="13709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5" name="V_3"/>
          <xdr:cNvSpPr/>
        </xdr:nvSpPr>
        <xdr:spPr>
          <a:xfrm>
            <a:off x="14141361" y="7885421"/>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9</xdr:col>
      <xdr:colOff>91838</xdr:colOff>
      <xdr:row>29</xdr:row>
      <xdr:rowOff>97293</xdr:rowOff>
    </xdr:from>
    <xdr:to>
      <xdr:col>9</xdr:col>
      <xdr:colOff>344134</xdr:colOff>
      <xdr:row>30</xdr:row>
      <xdr:rowOff>89636</xdr:rowOff>
    </xdr:to>
    <xdr:grpSp>
      <xdr:nvGrpSpPr>
        <xdr:cNvPr id="86" name="Hpakant"/>
        <xdr:cNvGrpSpPr/>
      </xdr:nvGrpSpPr>
      <xdr:grpSpPr>
        <a:xfrm>
          <a:off x="5216288" y="4964568"/>
          <a:ext cx="252296" cy="182843"/>
          <a:chOff x="13959520" y="11625955"/>
          <a:chExt cx="235841" cy="184114"/>
        </a:xfrm>
      </xdr:grpSpPr>
      <xdr:sp macro="" textlink="">
        <xdr:nvSpPr>
          <xdr:cNvPr id="87" name="V_1"/>
          <xdr:cNvSpPr/>
        </xdr:nvSpPr>
        <xdr:spPr>
          <a:xfrm>
            <a:off x="13959520" y="11625955"/>
            <a:ext cx="54000" cy="17477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8" name="V_2"/>
          <xdr:cNvSpPr/>
        </xdr:nvSpPr>
        <xdr:spPr>
          <a:xfrm flipH="1">
            <a:off x="14050441" y="11666876"/>
            <a:ext cx="54000" cy="133851"/>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9" name="V_3"/>
          <xdr:cNvSpPr/>
        </xdr:nvSpPr>
        <xdr:spPr>
          <a:xfrm>
            <a:off x="14141361" y="11810069"/>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213811</xdr:colOff>
      <xdr:row>47</xdr:row>
      <xdr:rowOff>71204</xdr:rowOff>
    </xdr:from>
    <xdr:to>
      <xdr:col>11</xdr:col>
      <xdr:colOff>445346</xdr:colOff>
      <xdr:row>48</xdr:row>
      <xdr:rowOff>54592</xdr:rowOff>
    </xdr:to>
    <xdr:grpSp>
      <xdr:nvGrpSpPr>
        <xdr:cNvPr id="90" name="Kutkai"/>
        <xdr:cNvGrpSpPr/>
      </xdr:nvGrpSpPr>
      <xdr:grpSpPr>
        <a:xfrm>
          <a:off x="7471861" y="8377004"/>
          <a:ext cx="231535" cy="173888"/>
          <a:chOff x="13959520" y="4220331"/>
          <a:chExt cx="235841" cy="173888"/>
        </a:xfrm>
      </xdr:grpSpPr>
      <xdr:sp macro="" textlink="">
        <xdr:nvSpPr>
          <xdr:cNvPr id="91" name="V_1"/>
          <xdr:cNvSpPr/>
        </xdr:nvSpPr>
        <xdr:spPr>
          <a:xfrm>
            <a:off x="13959520" y="4220331"/>
            <a:ext cx="54000" cy="159597"/>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92" name="V_2"/>
          <xdr:cNvSpPr/>
        </xdr:nvSpPr>
        <xdr:spPr>
          <a:xfrm flipH="1">
            <a:off x="14050442" y="4243194"/>
            <a:ext cx="54000" cy="136737"/>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93" name="V_3"/>
          <xdr:cNvSpPr/>
        </xdr:nvSpPr>
        <xdr:spPr>
          <a:xfrm>
            <a:off x="14141361" y="4394219"/>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141048</xdr:colOff>
      <xdr:row>42</xdr:row>
      <xdr:rowOff>28533</xdr:rowOff>
    </xdr:from>
    <xdr:to>
      <xdr:col>10</xdr:col>
      <xdr:colOff>380367</xdr:colOff>
      <xdr:row>45</xdr:row>
      <xdr:rowOff>73830</xdr:rowOff>
    </xdr:to>
    <xdr:grpSp>
      <xdr:nvGrpSpPr>
        <xdr:cNvPr id="94" name="mansi"/>
        <xdr:cNvGrpSpPr/>
      </xdr:nvGrpSpPr>
      <xdr:grpSpPr>
        <a:xfrm>
          <a:off x="6332298" y="7381833"/>
          <a:ext cx="239319" cy="616797"/>
          <a:chOff x="13959520" y="7759868"/>
          <a:chExt cx="235841" cy="612624"/>
        </a:xfrm>
      </xdr:grpSpPr>
      <xdr:sp macro="" textlink="">
        <xdr:nvSpPr>
          <xdr:cNvPr id="95" name="V_1"/>
          <xdr:cNvSpPr/>
        </xdr:nvSpPr>
        <xdr:spPr>
          <a:xfrm>
            <a:off x="13959520" y="7759868"/>
            <a:ext cx="54000" cy="61262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96" name="V_2"/>
          <xdr:cNvSpPr/>
        </xdr:nvSpPr>
        <xdr:spPr>
          <a:xfrm flipH="1">
            <a:off x="14050441" y="7919645"/>
            <a:ext cx="54000" cy="45284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97" name="V_3"/>
          <xdr:cNvSpPr/>
        </xdr:nvSpPr>
        <xdr:spPr>
          <a:xfrm>
            <a:off x="14141361" y="8372492"/>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385125</xdr:colOff>
      <xdr:row>31</xdr:row>
      <xdr:rowOff>30762</xdr:rowOff>
    </xdr:from>
    <xdr:to>
      <xdr:col>10</xdr:col>
      <xdr:colOff>628757</xdr:colOff>
      <xdr:row>39</xdr:row>
      <xdr:rowOff>31399</xdr:rowOff>
    </xdr:to>
    <xdr:grpSp>
      <xdr:nvGrpSpPr>
        <xdr:cNvPr id="98" name="Momauk"/>
        <xdr:cNvGrpSpPr/>
      </xdr:nvGrpSpPr>
      <xdr:grpSpPr>
        <a:xfrm>
          <a:off x="6576375" y="5279037"/>
          <a:ext cx="243632" cy="1534162"/>
          <a:chOff x="13959520" y="7380769"/>
          <a:chExt cx="235841" cy="1507642"/>
        </a:xfrm>
      </xdr:grpSpPr>
      <xdr:sp macro="" textlink="">
        <xdr:nvSpPr>
          <xdr:cNvPr id="99" name="V_1"/>
          <xdr:cNvSpPr/>
        </xdr:nvSpPr>
        <xdr:spPr>
          <a:xfrm>
            <a:off x="13959520" y="7380769"/>
            <a:ext cx="54000" cy="150764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0" name="V_2"/>
          <xdr:cNvSpPr/>
        </xdr:nvSpPr>
        <xdr:spPr>
          <a:xfrm flipH="1">
            <a:off x="14050441" y="8563503"/>
            <a:ext cx="54000" cy="324908"/>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1" name="V_3"/>
          <xdr:cNvSpPr/>
        </xdr:nvSpPr>
        <xdr:spPr>
          <a:xfrm>
            <a:off x="14141361" y="8888407"/>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112102</xdr:colOff>
      <xdr:row>30</xdr:row>
      <xdr:rowOff>109033</xdr:rowOff>
    </xdr:from>
    <xdr:to>
      <xdr:col>10</xdr:col>
      <xdr:colOff>350926</xdr:colOff>
      <xdr:row>32</xdr:row>
      <xdr:rowOff>173276</xdr:rowOff>
    </xdr:to>
    <xdr:grpSp>
      <xdr:nvGrpSpPr>
        <xdr:cNvPr id="102" name="Myitkyina"/>
        <xdr:cNvGrpSpPr/>
      </xdr:nvGrpSpPr>
      <xdr:grpSpPr>
        <a:xfrm>
          <a:off x="6303352" y="5166808"/>
          <a:ext cx="238824" cy="445243"/>
          <a:chOff x="13959520" y="12538794"/>
          <a:chExt cx="235841" cy="445243"/>
        </a:xfrm>
      </xdr:grpSpPr>
      <xdr:sp macro="" textlink="">
        <xdr:nvSpPr>
          <xdr:cNvPr id="103" name="V_1"/>
          <xdr:cNvSpPr/>
        </xdr:nvSpPr>
        <xdr:spPr>
          <a:xfrm>
            <a:off x="13959520" y="12538794"/>
            <a:ext cx="54000" cy="43095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4" name="V_2"/>
          <xdr:cNvSpPr/>
        </xdr:nvSpPr>
        <xdr:spPr>
          <a:xfrm flipH="1">
            <a:off x="14050441" y="12761044"/>
            <a:ext cx="54000" cy="208703"/>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5" name="V_3"/>
          <xdr:cNvSpPr/>
        </xdr:nvSpPr>
        <xdr:spPr>
          <a:xfrm>
            <a:off x="14141361" y="12984037"/>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472208</xdr:colOff>
      <xdr:row>46</xdr:row>
      <xdr:rowOff>184743</xdr:rowOff>
    </xdr:from>
    <xdr:to>
      <xdr:col>10</xdr:col>
      <xdr:colOff>708049</xdr:colOff>
      <xdr:row>47</xdr:row>
      <xdr:rowOff>87802</xdr:rowOff>
    </xdr:to>
    <xdr:grpSp>
      <xdr:nvGrpSpPr>
        <xdr:cNvPr id="106" name="Namhkan"/>
        <xdr:cNvGrpSpPr/>
      </xdr:nvGrpSpPr>
      <xdr:grpSpPr>
        <a:xfrm>
          <a:off x="6663458" y="8300043"/>
          <a:ext cx="235841" cy="93559"/>
          <a:chOff x="13959520" y="4459551"/>
          <a:chExt cx="235841" cy="93559"/>
        </a:xfrm>
      </xdr:grpSpPr>
      <xdr:sp macro="" textlink="">
        <xdr:nvSpPr>
          <xdr:cNvPr id="107" name="V_1"/>
          <xdr:cNvSpPr/>
        </xdr:nvSpPr>
        <xdr:spPr>
          <a:xfrm>
            <a:off x="13959520" y="4459551"/>
            <a:ext cx="54000" cy="93557"/>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8" name="V_2"/>
          <xdr:cNvSpPr/>
        </xdr:nvSpPr>
        <xdr:spPr>
          <a:xfrm flipH="1">
            <a:off x="14050441" y="4485797"/>
            <a:ext cx="54000" cy="6731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9" name="V_3"/>
          <xdr:cNvSpPr/>
        </xdr:nvSpPr>
        <xdr:spPr>
          <a:xfrm>
            <a:off x="14141361" y="4553110"/>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641433</xdr:colOff>
      <xdr:row>26</xdr:row>
      <xdr:rowOff>62375</xdr:rowOff>
    </xdr:from>
    <xdr:to>
      <xdr:col>10</xdr:col>
      <xdr:colOff>877274</xdr:colOff>
      <xdr:row>33</xdr:row>
      <xdr:rowOff>135614</xdr:rowOff>
    </xdr:to>
    <xdr:grpSp>
      <xdr:nvGrpSpPr>
        <xdr:cNvPr id="110" name="Waingmaw"/>
        <xdr:cNvGrpSpPr/>
      </xdr:nvGrpSpPr>
      <xdr:grpSpPr>
        <a:xfrm>
          <a:off x="6832683" y="4443875"/>
          <a:ext cx="235841" cy="1330539"/>
          <a:chOff x="13959520" y="9781027"/>
          <a:chExt cx="235841" cy="1304855"/>
        </a:xfrm>
      </xdr:grpSpPr>
      <xdr:sp macro="" textlink="">
        <xdr:nvSpPr>
          <xdr:cNvPr id="111" name="V_1"/>
          <xdr:cNvSpPr/>
        </xdr:nvSpPr>
        <xdr:spPr>
          <a:xfrm>
            <a:off x="13959520" y="9781027"/>
            <a:ext cx="54000" cy="130485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2" name="V_2"/>
          <xdr:cNvSpPr/>
        </xdr:nvSpPr>
        <xdr:spPr>
          <a:xfrm flipH="1">
            <a:off x="14050441" y="10408753"/>
            <a:ext cx="54000" cy="677129"/>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13" name="V_3"/>
          <xdr:cNvSpPr/>
        </xdr:nvSpPr>
        <xdr:spPr>
          <a:xfrm>
            <a:off x="14141361" y="11085881"/>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19</xdr:col>
      <xdr:colOff>560916</xdr:colOff>
      <xdr:row>36</xdr:row>
      <xdr:rowOff>179917</xdr:rowOff>
    </xdr:from>
    <xdr:to>
      <xdr:col>19</xdr:col>
      <xdr:colOff>796757</xdr:colOff>
      <xdr:row>38</xdr:row>
      <xdr:rowOff>158918</xdr:rowOff>
    </xdr:to>
    <xdr:grpSp>
      <xdr:nvGrpSpPr>
        <xdr:cNvPr id="70" name="Shelter_Situation_Group"/>
        <xdr:cNvGrpSpPr/>
      </xdr:nvGrpSpPr>
      <xdr:grpSpPr>
        <a:xfrm>
          <a:off x="11257491" y="6390217"/>
          <a:ext cx="235841" cy="360001"/>
          <a:chOff x="13959520" y="5708810"/>
          <a:chExt cx="235841" cy="360001"/>
        </a:xfrm>
      </xdr:grpSpPr>
      <xdr:sp macro="" textlink="">
        <xdr:nvSpPr>
          <xdr:cNvPr id="71"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72"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73"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207885</xdr:colOff>
      <xdr:row>50</xdr:row>
      <xdr:rowOff>45376</xdr:rowOff>
    </xdr:from>
    <xdr:to>
      <xdr:col>11</xdr:col>
      <xdr:colOff>443726</xdr:colOff>
      <xdr:row>50</xdr:row>
      <xdr:rowOff>61778</xdr:rowOff>
    </xdr:to>
    <xdr:grpSp>
      <xdr:nvGrpSpPr>
        <xdr:cNvPr id="74" name="Hseni"/>
        <xdr:cNvGrpSpPr/>
      </xdr:nvGrpSpPr>
      <xdr:grpSpPr>
        <a:xfrm>
          <a:off x="7465935" y="8922676"/>
          <a:ext cx="235841" cy="16402"/>
          <a:chOff x="13959520" y="6053996"/>
          <a:chExt cx="235841" cy="16402"/>
        </a:xfrm>
      </xdr:grpSpPr>
      <xdr:sp macro="" textlink="">
        <xdr:nvSpPr>
          <xdr:cNvPr id="75" name="V_1"/>
          <xdr:cNvSpPr/>
        </xdr:nvSpPr>
        <xdr:spPr>
          <a:xfrm>
            <a:off x="13959520" y="6053996"/>
            <a:ext cx="54000" cy="14817"/>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76" name="V_2"/>
          <xdr:cNvSpPr/>
        </xdr:nvSpPr>
        <xdr:spPr>
          <a:xfrm flipH="1">
            <a:off x="14050441" y="6064996"/>
            <a:ext cx="54000" cy="381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77" name="V_3"/>
          <xdr:cNvSpPr/>
        </xdr:nvSpPr>
        <xdr:spPr>
          <a:xfrm>
            <a:off x="14141361" y="6070398"/>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19</xdr:col>
      <xdr:colOff>713316</xdr:colOff>
      <xdr:row>37</xdr:row>
      <xdr:rowOff>141817</xdr:rowOff>
    </xdr:from>
    <xdr:to>
      <xdr:col>20</xdr:col>
      <xdr:colOff>25232</xdr:colOff>
      <xdr:row>39</xdr:row>
      <xdr:rowOff>120818</xdr:rowOff>
    </xdr:to>
    <xdr:grpSp>
      <xdr:nvGrpSpPr>
        <xdr:cNvPr id="114" name="Mansi"/>
        <xdr:cNvGrpSpPr/>
      </xdr:nvGrpSpPr>
      <xdr:grpSpPr>
        <a:xfrm>
          <a:off x="11409891" y="6542617"/>
          <a:ext cx="235841" cy="360001"/>
          <a:chOff x="13959520" y="5708810"/>
          <a:chExt cx="235841" cy="360001"/>
        </a:xfrm>
      </xdr:grpSpPr>
      <xdr:sp macro="" textlink="">
        <xdr:nvSpPr>
          <xdr:cNvPr id="115"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6"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17"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1942042</xdr:colOff>
      <xdr:row>0</xdr:row>
      <xdr:rowOff>285750</xdr:rowOff>
    </xdr:from>
    <xdr:to>
      <xdr:col>17</xdr:col>
      <xdr:colOff>105833</xdr:colOff>
      <xdr:row>2</xdr:row>
      <xdr:rowOff>95250</xdr:rowOff>
    </xdr:to>
    <xdr:grpSp>
      <xdr:nvGrpSpPr>
        <xdr:cNvPr id="10" name="Group 9"/>
        <xdr:cNvGrpSpPr/>
      </xdr:nvGrpSpPr>
      <xdr:grpSpPr>
        <a:xfrm>
          <a:off x="7381875" y="285750"/>
          <a:ext cx="6524625" cy="687917"/>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9525</xdr:rowOff>
    </xdr:from>
    <xdr:to>
      <xdr:col>1</xdr:col>
      <xdr:colOff>658939</xdr:colOff>
      <xdr:row>1</xdr:row>
      <xdr:rowOff>50863</xdr:rowOff>
    </xdr:to>
    <xdr:sp macro="" textlink="">
      <xdr:nvSpPr>
        <xdr:cNvPr id="19" name="Rounded Rectangle 18">
          <a:hlinkClick xmlns:r="http://schemas.openxmlformats.org/officeDocument/2006/relationships" r:id="rId3"/>
        </xdr:cNvPr>
        <xdr:cNvSpPr/>
      </xdr:nvSpPr>
      <xdr:spPr>
        <a:xfrm>
          <a:off x="0" y="9525"/>
          <a:ext cx="1439989" cy="4985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661181</xdr:colOff>
      <xdr:row>0</xdr:row>
      <xdr:rowOff>9525</xdr:rowOff>
    </xdr:from>
    <xdr:to>
      <xdr:col>6</xdr:col>
      <xdr:colOff>1079487</xdr:colOff>
      <xdr:row>1</xdr:row>
      <xdr:rowOff>50863</xdr:rowOff>
    </xdr:to>
    <xdr:sp macro="" textlink="">
      <xdr:nvSpPr>
        <xdr:cNvPr id="20" name="Rounded Rectangle 19">
          <a:hlinkClick xmlns:r="http://schemas.openxmlformats.org/officeDocument/2006/relationships" r:id="rId4"/>
        </xdr:cNvPr>
        <xdr:cNvSpPr/>
      </xdr:nvSpPr>
      <xdr:spPr>
        <a:xfrm>
          <a:off x="5275514" y="9525"/>
          <a:ext cx="1339056" cy="496421"/>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2</xdr:col>
      <xdr:colOff>47095</xdr:colOff>
      <xdr:row>0</xdr:row>
      <xdr:rowOff>9525</xdr:rowOff>
    </xdr:from>
    <xdr:to>
      <xdr:col>3</xdr:col>
      <xdr:colOff>479816</xdr:colOff>
      <xdr:row>1</xdr:row>
      <xdr:rowOff>50863</xdr:rowOff>
    </xdr:to>
    <xdr:sp macro="" textlink="">
      <xdr:nvSpPr>
        <xdr:cNvPr id="21" name="Rounded Rectangle 20">
          <a:hlinkClick xmlns:r="http://schemas.openxmlformats.org/officeDocument/2006/relationships" r:id="rId5"/>
        </xdr:cNvPr>
        <xdr:cNvSpPr/>
      </xdr:nvSpPr>
      <xdr:spPr>
        <a:xfrm>
          <a:off x="1828270" y="9525"/>
          <a:ext cx="1442371" cy="4985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4</xdr:col>
      <xdr:colOff>263</xdr:colOff>
      <xdr:row>0</xdr:row>
      <xdr:rowOff>9525</xdr:rowOff>
    </xdr:from>
    <xdr:to>
      <xdr:col>5</xdr:col>
      <xdr:colOff>275166</xdr:colOff>
      <xdr:row>1</xdr:row>
      <xdr:rowOff>50863</xdr:rowOff>
    </xdr:to>
    <xdr:sp macro="" textlink="">
      <xdr:nvSpPr>
        <xdr:cNvPr id="22" name="Rounded Rectangle 21">
          <a:hlinkClick xmlns:r="http://schemas.openxmlformats.org/officeDocument/2006/relationships" r:id="rId6"/>
        </xdr:cNvPr>
        <xdr:cNvSpPr/>
      </xdr:nvSpPr>
      <xdr:spPr>
        <a:xfrm>
          <a:off x="3662096" y="9525"/>
          <a:ext cx="1227403" cy="496421"/>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279398</xdr:colOff>
      <xdr:row>0</xdr:row>
      <xdr:rowOff>25403</xdr:rowOff>
    </xdr:from>
    <xdr:to>
      <xdr:col>7</xdr:col>
      <xdr:colOff>549400</xdr:colOff>
      <xdr:row>1</xdr:row>
      <xdr:rowOff>3940</xdr:rowOff>
    </xdr:to>
    <xdr:sp macro="" textlink="">
      <xdr:nvSpPr>
        <xdr:cNvPr id="7" name="Rounded Rectangle 6">
          <a:hlinkClick xmlns:r="http://schemas.openxmlformats.org/officeDocument/2006/relationships" r:id="rId1"/>
        </xdr:cNvPr>
        <xdr:cNvSpPr/>
      </xdr:nvSpPr>
      <xdr:spPr>
        <a:xfrm>
          <a:off x="4597398" y="25403"/>
          <a:ext cx="1444752" cy="438912"/>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15</xdr:col>
      <xdr:colOff>202406</xdr:colOff>
      <xdr:row>1</xdr:row>
      <xdr:rowOff>257969</xdr:rowOff>
    </xdr:from>
    <xdr:to>
      <xdr:col>25</xdr:col>
      <xdr:colOff>91281</xdr:colOff>
      <xdr:row>2</xdr:row>
      <xdr:rowOff>37307</xdr:rowOff>
    </xdr:to>
    <xdr:grpSp>
      <xdr:nvGrpSpPr>
        <xdr:cNvPr id="10" name="Group 9"/>
        <xdr:cNvGrpSpPr/>
      </xdr:nvGrpSpPr>
      <xdr:grpSpPr>
        <a:xfrm>
          <a:off x="7643812" y="710407"/>
          <a:ext cx="5449094" cy="612775"/>
          <a:chOff x="6500812" y="317500"/>
          <a:chExt cx="6186806" cy="575469"/>
        </a:xfrm>
      </xdr:grpSpPr>
      <xdr:pic>
        <xdr:nvPicPr>
          <xdr:cNvPr id="11" name="Picture 10"/>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2" name="Picture 11"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692277</xdr:colOff>
      <xdr:row>1</xdr:row>
      <xdr:rowOff>64770</xdr:rowOff>
    </xdr:to>
    <xdr:sp macro="" textlink="">
      <xdr:nvSpPr>
        <xdr:cNvPr id="17" name="Rounded Rectangle 16">
          <a:hlinkClick xmlns:r="http://schemas.openxmlformats.org/officeDocument/2006/relationships" r:id="rId4"/>
        </xdr:cNvPr>
        <xdr:cNvSpPr/>
      </xdr:nvSpPr>
      <xdr:spPr>
        <a:xfrm>
          <a:off x="0" y="19050"/>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16</xdr:col>
      <xdr:colOff>380206</xdr:colOff>
      <xdr:row>0</xdr:row>
      <xdr:rowOff>19050</xdr:rowOff>
    </xdr:from>
    <xdr:to>
      <xdr:col>19</xdr:col>
      <xdr:colOff>53308</xdr:colOff>
      <xdr:row>1</xdr:row>
      <xdr:rowOff>64770</xdr:rowOff>
    </xdr:to>
    <xdr:sp macro="" textlink="">
      <xdr:nvSpPr>
        <xdr:cNvPr id="13" name="Rounded Rectangle 12">
          <a:hlinkClick xmlns:r="http://schemas.openxmlformats.org/officeDocument/2006/relationships" r:id="rId5"/>
        </xdr:cNvPr>
        <xdr:cNvSpPr/>
      </xdr:nvSpPr>
      <xdr:spPr>
        <a:xfrm>
          <a:off x="5609431" y="19050"/>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2</xdr:col>
      <xdr:colOff>286277</xdr:colOff>
      <xdr:row>0</xdr:row>
      <xdr:rowOff>19050</xdr:rowOff>
    </xdr:from>
    <xdr:to>
      <xdr:col>4</xdr:col>
      <xdr:colOff>87967</xdr:colOff>
      <xdr:row>1</xdr:row>
      <xdr:rowOff>64770</xdr:rowOff>
    </xdr:to>
    <xdr:sp macro="" textlink="">
      <xdr:nvSpPr>
        <xdr:cNvPr id="14" name="Rounded Rectangle 13">
          <a:hlinkClick xmlns:r="http://schemas.openxmlformats.org/officeDocument/2006/relationships" r:id="rId6"/>
        </xdr:cNvPr>
        <xdr:cNvSpPr/>
      </xdr:nvSpPr>
      <xdr:spPr>
        <a:xfrm>
          <a:off x="1607871" y="19050"/>
          <a:ext cx="956596" cy="49815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4</xdr:col>
      <xdr:colOff>386817</xdr:colOff>
      <xdr:row>0</xdr:row>
      <xdr:rowOff>19050</xdr:rowOff>
    </xdr:from>
    <xdr:to>
      <xdr:col>16</xdr:col>
      <xdr:colOff>81350</xdr:colOff>
      <xdr:row>1</xdr:row>
      <xdr:rowOff>64770</xdr:rowOff>
    </xdr:to>
    <xdr:sp macro="" textlink="">
      <xdr:nvSpPr>
        <xdr:cNvPr id="15" name="Rounded Rectangle 14">
          <a:hlinkClick xmlns:r="http://schemas.openxmlformats.org/officeDocument/2006/relationships" r:id="rId7"/>
        </xdr:cNvPr>
        <xdr:cNvSpPr/>
      </xdr:nvSpPr>
      <xdr:spPr>
        <a:xfrm>
          <a:off x="2863317" y="19050"/>
          <a:ext cx="1623346" cy="49815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23</xdr:col>
      <xdr:colOff>79375</xdr:colOff>
      <xdr:row>4</xdr:row>
      <xdr:rowOff>0</xdr:rowOff>
    </xdr:from>
    <xdr:to>
      <xdr:col>33</xdr:col>
      <xdr:colOff>431799</xdr:colOff>
      <xdr:row>4</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889000</xdr:colOff>
      <xdr:row>0</xdr:row>
      <xdr:rowOff>317500</xdr:rowOff>
    </xdr:from>
    <xdr:to>
      <xdr:col>13</xdr:col>
      <xdr:colOff>360362</xdr:colOff>
      <xdr:row>2</xdr:row>
      <xdr:rowOff>136071</xdr:rowOff>
    </xdr:to>
    <xdr:grpSp>
      <xdr:nvGrpSpPr>
        <xdr:cNvPr id="16" name="Group 15"/>
        <xdr:cNvGrpSpPr/>
      </xdr:nvGrpSpPr>
      <xdr:grpSpPr>
        <a:xfrm>
          <a:off x="11271250" y="317500"/>
          <a:ext cx="2492148" cy="716642"/>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9525</xdr:rowOff>
    </xdr:from>
    <xdr:to>
      <xdr:col>1</xdr:col>
      <xdr:colOff>130302</xdr:colOff>
      <xdr:row>1</xdr:row>
      <xdr:rowOff>55245</xdr:rowOff>
    </xdr:to>
    <xdr:sp macro="" textlink="">
      <xdr:nvSpPr>
        <xdr:cNvPr id="20" name="Rounded Rectangle 19">
          <a:hlinkClick xmlns:r="http://schemas.openxmlformats.org/officeDocument/2006/relationships" r:id="rId4"/>
        </xdr:cNvPr>
        <xdr:cNvSpPr/>
      </xdr:nvSpPr>
      <xdr:spPr>
        <a:xfrm>
          <a:off x="0"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208756</xdr:colOff>
      <xdr:row>0</xdr:row>
      <xdr:rowOff>9525</xdr:rowOff>
    </xdr:from>
    <xdr:to>
      <xdr:col>5</xdr:col>
      <xdr:colOff>1653508</xdr:colOff>
      <xdr:row>1</xdr:row>
      <xdr:rowOff>55245</xdr:rowOff>
    </xdr:to>
    <xdr:sp macro="" textlink="">
      <xdr:nvSpPr>
        <xdr:cNvPr id="13" name="Rounded Rectangle 12">
          <a:hlinkClick xmlns:r="http://schemas.openxmlformats.org/officeDocument/2006/relationships" r:id="rId5"/>
        </xdr:cNvPr>
        <xdr:cNvSpPr/>
      </xdr:nvSpPr>
      <xdr:spPr>
        <a:xfrm>
          <a:off x="5657056"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1</xdr:col>
      <xdr:colOff>571235</xdr:colOff>
      <xdr:row>0</xdr:row>
      <xdr:rowOff>9525</xdr:rowOff>
    </xdr:from>
    <xdr:to>
      <xdr:col>2</xdr:col>
      <xdr:colOff>739637</xdr:colOff>
      <xdr:row>1</xdr:row>
      <xdr:rowOff>55245</xdr:rowOff>
    </xdr:to>
    <xdr:sp macro="" textlink="">
      <xdr:nvSpPr>
        <xdr:cNvPr id="14" name="Rounded Rectangle 13">
          <a:hlinkClick xmlns:r="http://schemas.openxmlformats.org/officeDocument/2006/relationships" r:id="rId6"/>
        </xdr:cNvPr>
        <xdr:cNvSpPr/>
      </xdr:nvSpPr>
      <xdr:spPr>
        <a:xfrm>
          <a:off x="1885685"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3</xdr:col>
      <xdr:colOff>247120</xdr:colOff>
      <xdr:row>0</xdr:row>
      <xdr:rowOff>9525</xdr:rowOff>
    </xdr:from>
    <xdr:to>
      <xdr:col>4</xdr:col>
      <xdr:colOff>891772</xdr:colOff>
      <xdr:row>1</xdr:row>
      <xdr:rowOff>55245</xdr:rowOff>
    </xdr:to>
    <xdr:sp macro="" textlink="">
      <xdr:nvSpPr>
        <xdr:cNvPr id="15" name="Rounded Rectangle 14">
          <a:hlinkClick xmlns:r="http://schemas.openxmlformats.org/officeDocument/2006/relationships" r:id="rId7"/>
        </xdr:cNvPr>
        <xdr:cNvSpPr/>
      </xdr:nvSpPr>
      <xdr:spPr>
        <a:xfrm>
          <a:off x="3771370"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19</xdr:row>
      <xdr:rowOff>47625</xdr:rowOff>
    </xdr:from>
    <xdr:to>
      <xdr:col>10</xdr:col>
      <xdr:colOff>276676</xdr:colOff>
      <xdr:row>27</xdr:row>
      <xdr:rowOff>152401</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1050925</xdr:colOff>
      <xdr:row>3</xdr:row>
      <xdr:rowOff>92075</xdr:rowOff>
    </xdr:from>
    <xdr:to>
      <xdr:col>18</xdr:col>
      <xdr:colOff>438150</xdr:colOff>
      <xdr:row>4</xdr:row>
      <xdr:rowOff>110671</xdr:rowOff>
    </xdr:to>
    <xdr:grpSp>
      <xdr:nvGrpSpPr>
        <xdr:cNvPr id="22" name="Group 21"/>
        <xdr:cNvGrpSpPr/>
      </xdr:nvGrpSpPr>
      <xdr:grpSpPr>
        <a:xfrm>
          <a:off x="5832475" y="873125"/>
          <a:ext cx="3321050" cy="437696"/>
          <a:chOff x="6500812" y="317500"/>
          <a:chExt cx="6186806" cy="575469"/>
        </a:xfrm>
      </xdr:grpSpPr>
      <xdr:pic>
        <xdr:nvPicPr>
          <xdr:cNvPr id="23" name="Picture 22"/>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0</xdr:colOff>
      <xdr:row>5</xdr:row>
      <xdr:rowOff>9525</xdr:rowOff>
    </xdr:from>
    <xdr:to>
      <xdr:col>18</xdr:col>
      <xdr:colOff>438150</xdr:colOff>
      <xdr:row>5</xdr:row>
      <xdr:rowOff>504825</xdr:rowOff>
    </xdr:to>
    <xdr:sp macro="" textlink="">
      <xdr:nvSpPr>
        <xdr:cNvPr id="31" name="Rounded Rectangle 30">
          <a:hlinkClick xmlns:r="http://schemas.openxmlformats.org/officeDocument/2006/relationships" r:id="rId4"/>
        </xdr:cNvPr>
        <xdr:cNvSpPr/>
      </xdr:nvSpPr>
      <xdr:spPr>
        <a:xfrm>
          <a:off x="139700" y="1047750"/>
          <a:ext cx="9518650" cy="4953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NFI Standards please consult the</a:t>
          </a:r>
          <a:r>
            <a:rPr lang="en-US" sz="1100" baseline="0">
              <a:solidFill>
                <a:sysClr val="windowText" lastClr="000000"/>
              </a:solidFill>
            </a:rPr>
            <a:t> </a:t>
          </a:r>
          <a:r>
            <a:rPr lang="en-US" sz="1100">
              <a:solidFill>
                <a:sysClr val="windowText" lastClr="000000"/>
              </a:solidFill>
            </a:rPr>
            <a:t>Standard sand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100" u="sng">
              <a:solidFill>
                <a:schemeClr val="lt1"/>
              </a:solidFill>
              <a:effectLst/>
              <a:latin typeface="+mn-lt"/>
              <a:ea typeface="+mn-ea"/>
              <a:cs typeface="+mn-cs"/>
              <a:hlinkClick xmlns:r="http://schemas.openxmlformats.org/officeDocument/2006/relationships" r:id=""/>
            </a:rPr>
            <a:t>http://www.sheltercluster.org/library/standards-and-guidelines-nfi</a:t>
          </a:r>
          <a:endParaRPr lang="en-US" sz="1100">
            <a:solidFill>
              <a:schemeClr val="lt1"/>
            </a:solidFill>
            <a:effectLst/>
            <a:latin typeface="+mn-lt"/>
            <a:ea typeface="+mn-ea"/>
            <a:cs typeface="+mn-cs"/>
          </a:endParaRPr>
        </a:p>
      </xdr:txBody>
    </xdr:sp>
    <xdr:clientData/>
  </xdr:twoCellAnchor>
  <xdr:twoCellAnchor>
    <xdr:from>
      <xdr:col>2</xdr:col>
      <xdr:colOff>0</xdr:colOff>
      <xdr:row>37</xdr:row>
      <xdr:rowOff>63520</xdr:rowOff>
    </xdr:from>
    <xdr:to>
      <xdr:col>18</xdr:col>
      <xdr:colOff>352425</xdr:colOff>
      <xdr:row>38</xdr:row>
      <xdr:rowOff>225825</xdr:rowOff>
    </xdr:to>
    <xdr:grpSp>
      <xdr:nvGrpSpPr>
        <xdr:cNvPr id="32" name="Group 31"/>
        <xdr:cNvGrpSpPr/>
      </xdr:nvGrpSpPr>
      <xdr:grpSpPr>
        <a:xfrm>
          <a:off x="304800" y="7750195"/>
          <a:ext cx="8763000" cy="352805"/>
          <a:chOff x="11907" y="7524748"/>
          <a:chExt cx="8977312" cy="270043"/>
        </a:xfrm>
        <a:solidFill>
          <a:srgbClr val="FFFFFF"/>
        </a:solidFill>
        <a:effectLst/>
      </xdr:grpSpPr>
      <xdr:sp macro="" textlink="">
        <xdr:nvSpPr>
          <xdr:cNvPr id="33" name="Line 2"/>
          <xdr:cNvSpPr>
            <a:spLocks noChangeShapeType="1"/>
          </xdr:cNvSpPr>
        </xdr:nvSpPr>
        <xdr:spPr bwMode="auto">
          <a:xfrm>
            <a:off x="47625" y="7524748"/>
            <a:ext cx="8941594" cy="1"/>
          </a:xfrm>
          <a:prstGeom prst="line">
            <a:avLst/>
          </a:prstGeom>
          <a:grpFill/>
          <a:ln w="12700">
            <a:solidFill>
              <a:srgbClr val="808080"/>
            </a:solidFill>
            <a:round/>
            <a:headEnd/>
            <a:tailEnd/>
          </a:ln>
          <a:extLst/>
        </xdr:spPr>
      </xdr:sp>
      <xdr:grpSp>
        <xdr:nvGrpSpPr>
          <xdr:cNvPr id="34" name="Group 33"/>
          <xdr:cNvGrpSpPr/>
        </xdr:nvGrpSpPr>
        <xdr:grpSpPr>
          <a:xfrm>
            <a:off x="11907" y="7536625"/>
            <a:ext cx="8941593" cy="258166"/>
            <a:chOff x="6083301" y="9200286"/>
            <a:chExt cx="7309756" cy="195483"/>
          </a:xfrm>
          <a:grpFill/>
        </xdr:grpSpPr>
        <xdr:sp macro="" textlink="">
          <xdr:nvSpPr>
            <xdr:cNvPr id="35" name="TextBox 34"/>
            <xdr:cNvSpPr txBox="1"/>
          </xdr:nvSpPr>
          <xdr:spPr>
            <a:xfrm>
              <a:off x="6083301" y="9200286"/>
              <a:ext cx="3601345" cy="19548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36" name="TextBox 35"/>
            <xdr:cNvSpPr txBox="1">
              <a:spLocks/>
            </xdr:cNvSpPr>
          </xdr:nvSpPr>
          <xdr:spPr>
            <a:xfrm>
              <a:off x="9178511" y="9207942"/>
              <a:ext cx="3212009" cy="12648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37" name="TextBox 36"/>
            <xdr:cNvSpPr txBox="1"/>
          </xdr:nvSpPr>
          <xdr:spPr>
            <a:xfrm>
              <a:off x="12380786" y="9207943"/>
              <a:ext cx="1012271" cy="12318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0</xdr:colOff>
      <xdr:row>2</xdr:row>
      <xdr:rowOff>13575</xdr:rowOff>
    </xdr:from>
    <xdr:to>
      <xdr:col>2</xdr:col>
      <xdr:colOff>1263777</xdr:colOff>
      <xdr:row>2</xdr:row>
      <xdr:rowOff>379335</xdr:rowOff>
    </xdr:to>
    <xdr:sp macro="" textlink="">
      <xdr:nvSpPr>
        <xdr:cNvPr id="40" name="Rounded Rectangle 39">
          <a:hlinkClick xmlns:r="http://schemas.openxmlformats.org/officeDocument/2006/relationships" r:id="rId5"/>
        </xdr:cNvPr>
        <xdr:cNvSpPr/>
      </xdr:nvSpPr>
      <xdr:spPr>
        <a:xfrm>
          <a:off x="0" y="13575"/>
          <a:ext cx="144475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9</xdr:col>
      <xdr:colOff>342106</xdr:colOff>
      <xdr:row>2</xdr:row>
      <xdr:rowOff>14979</xdr:rowOff>
    </xdr:from>
    <xdr:to>
      <xdr:col>12</xdr:col>
      <xdr:colOff>424783</xdr:colOff>
      <xdr:row>2</xdr:row>
      <xdr:rowOff>380739</xdr:rowOff>
    </xdr:to>
    <xdr:sp macro="" textlink="">
      <xdr:nvSpPr>
        <xdr:cNvPr id="18" name="Rounded Rectangle 17">
          <a:hlinkClick xmlns:r="http://schemas.openxmlformats.org/officeDocument/2006/relationships" r:id="rId6"/>
        </xdr:cNvPr>
        <xdr:cNvSpPr/>
      </xdr:nvSpPr>
      <xdr:spPr>
        <a:xfrm>
          <a:off x="4266406" y="405504"/>
          <a:ext cx="213055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3</xdr:col>
      <xdr:colOff>344145</xdr:colOff>
      <xdr:row>2</xdr:row>
      <xdr:rowOff>21075</xdr:rowOff>
    </xdr:from>
    <xdr:to>
      <xdr:col>5</xdr:col>
      <xdr:colOff>360147</xdr:colOff>
      <xdr:row>2</xdr:row>
      <xdr:rowOff>386835</xdr:rowOff>
    </xdr:to>
    <xdr:sp macro="" textlink="">
      <xdr:nvSpPr>
        <xdr:cNvPr id="19" name="Rounded Rectangle 18">
          <a:hlinkClick xmlns:r="http://schemas.openxmlformats.org/officeDocument/2006/relationships" r:id="rId7"/>
        </xdr:cNvPr>
        <xdr:cNvSpPr/>
      </xdr:nvSpPr>
      <xdr:spPr>
        <a:xfrm>
          <a:off x="1525245" y="411600"/>
          <a:ext cx="93040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6</xdr:col>
      <xdr:colOff>216919</xdr:colOff>
      <xdr:row>2</xdr:row>
      <xdr:rowOff>14979</xdr:rowOff>
    </xdr:from>
    <xdr:to>
      <xdr:col>8</xdr:col>
      <xdr:colOff>423421</xdr:colOff>
      <xdr:row>2</xdr:row>
      <xdr:rowOff>380739</xdr:rowOff>
    </xdr:to>
    <xdr:sp macro="" textlink="">
      <xdr:nvSpPr>
        <xdr:cNvPr id="20" name="Rounded Rectangle 19">
          <a:hlinkClick xmlns:r="http://schemas.openxmlformats.org/officeDocument/2006/relationships" r:id="rId8"/>
        </xdr:cNvPr>
        <xdr:cNvSpPr/>
      </xdr:nvSpPr>
      <xdr:spPr>
        <a:xfrm>
          <a:off x="2769619" y="405504"/>
          <a:ext cx="112090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twoCellAnchor>
    <xdr:from>
      <xdr:col>2</xdr:col>
      <xdr:colOff>1</xdr:colOff>
      <xdr:row>28</xdr:row>
      <xdr:rowOff>19050</xdr:rowOff>
    </xdr:from>
    <xdr:to>
      <xdr:col>10</xdr:col>
      <xdr:colOff>276676</xdr:colOff>
      <xdr:row>36</xdr:row>
      <xdr:rowOff>171450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38101</xdr:colOff>
      <xdr:row>28</xdr:row>
      <xdr:rowOff>19049</xdr:rowOff>
    </xdr:from>
    <xdr:to>
      <xdr:col>19</xdr:col>
      <xdr:colOff>451</xdr:colOff>
      <xdr:row>36</xdr:row>
      <xdr:rowOff>171450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38100</xdr:colOff>
      <xdr:row>7</xdr:row>
      <xdr:rowOff>9524</xdr:rowOff>
    </xdr:from>
    <xdr:to>
      <xdr:col>10</xdr:col>
      <xdr:colOff>0</xdr:colOff>
      <xdr:row>10</xdr:row>
      <xdr:rowOff>67349</xdr:rowOff>
    </xdr:to>
    <xdr:sp macro="" textlink="">
      <xdr:nvSpPr>
        <xdr:cNvPr id="25" name="Rounded Rectangle 24"/>
        <xdr:cNvSpPr/>
      </xdr:nvSpPr>
      <xdr:spPr>
        <a:xfrm>
          <a:off x="38100" y="1609724"/>
          <a:ext cx="3981450" cy="5436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800">
              <a:solidFill>
                <a:schemeClr val="tx2">
                  <a:lumMod val="40000"/>
                  <a:lumOff val="60000"/>
                </a:schemeClr>
              </a:solidFill>
              <a:latin typeface="Franklin Gothic Demi" pitchFamily="34" charset="0"/>
            </a:rPr>
            <a:t>NFI Core Kit : #  targetted households</a:t>
          </a:r>
          <a:r>
            <a:rPr lang="en-US" sz="800" baseline="0">
              <a:solidFill>
                <a:schemeClr val="tx2">
                  <a:lumMod val="40000"/>
                  <a:lumOff val="60000"/>
                </a:schemeClr>
              </a:solidFill>
              <a:latin typeface="Franklin Gothic Demi" pitchFamily="34" charset="0"/>
            </a:rPr>
            <a:t> </a:t>
          </a:r>
          <a:endParaRPr lang="en-US" sz="800">
            <a:solidFill>
              <a:schemeClr val="tx2">
                <a:lumMod val="40000"/>
                <a:lumOff val="60000"/>
              </a:schemeClr>
            </a:solidFill>
            <a:latin typeface="Franklin Gothic Demi" pitchFamily="34" charset="0"/>
          </a:endParaRPr>
        </a:p>
      </xdr:txBody>
    </xdr:sp>
    <xdr:clientData/>
  </xdr:twoCellAnchor>
  <xdr:twoCellAnchor>
    <xdr:from>
      <xdr:col>11</xdr:col>
      <xdr:colOff>9525</xdr:colOff>
      <xdr:row>7</xdr:row>
      <xdr:rowOff>38100</xdr:rowOff>
    </xdr:from>
    <xdr:to>
      <xdr:col>18</xdr:col>
      <xdr:colOff>447675</xdr:colOff>
      <xdr:row>10</xdr:row>
      <xdr:rowOff>95925</xdr:rowOff>
    </xdr:to>
    <xdr:sp macro="" textlink="">
      <xdr:nvSpPr>
        <xdr:cNvPr id="28" name="Rounded Rectangle 27"/>
        <xdr:cNvSpPr/>
      </xdr:nvSpPr>
      <xdr:spPr>
        <a:xfrm>
          <a:off x="4486275" y="1638300"/>
          <a:ext cx="4314825" cy="5436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800">
              <a:solidFill>
                <a:schemeClr val="tx2">
                  <a:lumMod val="40000"/>
                  <a:lumOff val="60000"/>
                </a:schemeClr>
              </a:solidFill>
              <a:latin typeface="Franklin Gothic Demi" pitchFamily="34" charset="0"/>
            </a:rPr>
            <a:t>Winter</a:t>
          </a:r>
          <a:r>
            <a:rPr lang="en-US" sz="800" baseline="0">
              <a:solidFill>
                <a:schemeClr val="tx2">
                  <a:lumMod val="40000"/>
                  <a:lumOff val="60000"/>
                </a:schemeClr>
              </a:solidFill>
              <a:latin typeface="Franklin Gothic Demi" pitchFamily="34" charset="0"/>
            </a:rPr>
            <a:t> Items : # targetted households</a:t>
          </a:r>
          <a:endParaRPr lang="en-US" sz="800">
            <a:solidFill>
              <a:schemeClr val="tx2">
                <a:lumMod val="40000"/>
                <a:lumOff val="60000"/>
              </a:schemeClr>
            </a:solidFill>
            <a:latin typeface="Franklin Gothic Demi" pitchFamily="34" charset="0"/>
          </a:endParaRPr>
        </a:p>
      </xdr:txBody>
    </xdr:sp>
    <xdr:clientData/>
  </xdr:twoCellAnchor>
  <xdr:twoCellAnchor>
    <xdr:from>
      <xdr:col>11</xdr:col>
      <xdr:colOff>38101</xdr:colOff>
      <xdr:row>19</xdr:row>
      <xdr:rowOff>38100</xdr:rowOff>
    </xdr:from>
    <xdr:to>
      <xdr:col>18</xdr:col>
      <xdr:colOff>476250</xdr:colOff>
      <xdr:row>27</xdr:row>
      <xdr:rowOff>142876</xdr:rowOff>
    </xdr:to>
    <xdr:graphicFrame macro="">
      <xdr:nvGraphicFramePr>
        <xdr:cNvPr id="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152401</xdr:colOff>
      <xdr:row>7</xdr:row>
      <xdr:rowOff>9524</xdr:rowOff>
    </xdr:from>
    <xdr:to>
      <xdr:col>6</xdr:col>
      <xdr:colOff>247651</xdr:colOff>
      <xdr:row>10</xdr:row>
      <xdr:rowOff>67349</xdr:rowOff>
    </xdr:to>
    <xdr:sp macro="" textlink="$W$4">
      <xdr:nvSpPr>
        <xdr:cNvPr id="39" name="Rounded Rectangle 38"/>
        <xdr:cNvSpPr/>
      </xdr:nvSpPr>
      <xdr:spPr>
        <a:xfrm>
          <a:off x="1885951" y="1609724"/>
          <a:ext cx="552450" cy="543600"/>
        </a:xfrm>
        <a:prstGeom prst="roundRect">
          <a:avLst/>
        </a:prstGeom>
        <a:no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fld id="{866AAD63-F696-4B61-B8A1-8F667A21ADA1}" type="TxLink">
            <a:rPr lang="en-US" sz="800">
              <a:solidFill>
                <a:schemeClr val="tx2">
                  <a:lumMod val="40000"/>
                  <a:lumOff val="60000"/>
                </a:schemeClr>
              </a:solidFill>
              <a:latin typeface="Franklin Gothic Demi" pitchFamily="34" charset="0"/>
            </a:rPr>
            <a:pPr algn="l"/>
            <a:t> 548 </a:t>
          </a:fld>
          <a:endParaRPr lang="en-US" sz="800">
            <a:solidFill>
              <a:schemeClr val="tx2">
                <a:lumMod val="40000"/>
                <a:lumOff val="60000"/>
              </a:schemeClr>
            </a:solidFill>
            <a:latin typeface="Franklin Gothic Demi" pitchFamily="34" charset="0"/>
          </a:endParaRPr>
        </a:p>
      </xdr:txBody>
    </xdr:sp>
    <xdr:clientData/>
  </xdr:twoCellAnchor>
  <xdr:twoCellAnchor>
    <xdr:from>
      <xdr:col>13</xdr:col>
      <xdr:colOff>342900</xdr:colOff>
      <xdr:row>7</xdr:row>
      <xdr:rowOff>38100</xdr:rowOff>
    </xdr:from>
    <xdr:to>
      <xdr:col>14</xdr:col>
      <xdr:colOff>438150</xdr:colOff>
      <xdr:row>10</xdr:row>
      <xdr:rowOff>95925</xdr:rowOff>
    </xdr:to>
    <xdr:sp macro="" textlink="$W$5">
      <xdr:nvSpPr>
        <xdr:cNvPr id="41" name="Rounded Rectangle 40"/>
        <xdr:cNvSpPr/>
      </xdr:nvSpPr>
      <xdr:spPr>
        <a:xfrm>
          <a:off x="6410325" y="1638300"/>
          <a:ext cx="552450" cy="543600"/>
        </a:xfrm>
        <a:prstGeom prst="roundRect">
          <a:avLst/>
        </a:prstGeom>
        <a:no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marL="0" indent="0" algn="l"/>
          <a:fld id="{51CE7971-745A-4014-873E-EC6C604327F5}" type="TxLink">
            <a:rPr lang="en-US" sz="800">
              <a:solidFill>
                <a:schemeClr val="tx2">
                  <a:lumMod val="40000"/>
                  <a:lumOff val="60000"/>
                </a:schemeClr>
              </a:solidFill>
              <a:latin typeface="Franklin Gothic Demi" pitchFamily="34" charset="0"/>
              <a:ea typeface="+mn-ea"/>
              <a:cs typeface="+mn-cs"/>
            </a:rPr>
            <a:pPr marL="0" indent="0" algn="l"/>
            <a:t> 1,850 </a:t>
          </a:fld>
          <a:endParaRPr lang="en-US" sz="800">
            <a:solidFill>
              <a:schemeClr val="tx2">
                <a:lumMod val="40000"/>
                <a:lumOff val="60000"/>
              </a:schemeClr>
            </a:solidFill>
            <a:latin typeface="Franklin Gothic Demi" pitchFamily="34" charset="0"/>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11</xdr:col>
      <xdr:colOff>212725</xdr:colOff>
      <xdr:row>38</xdr:row>
      <xdr:rowOff>86483</xdr:rowOff>
    </xdr:to>
    <xdr:pic>
      <xdr:nvPicPr>
        <xdr:cNvPr id="9" name="Kachin_Backgroun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57150"/>
          <a:ext cx="7032625" cy="9440033"/>
        </a:xfrm>
        <a:prstGeom prst="rect">
          <a:avLst/>
        </a:prstGeom>
        <a:ln>
          <a:solidFill>
            <a:srgbClr val="C00000"/>
          </a:solidFill>
        </a:ln>
      </xdr:spPr>
    </xdr:pic>
    <xdr:clientData/>
  </xdr:twoCellAnchor>
  <xdr:twoCellAnchor>
    <xdr:from>
      <xdr:col>24</xdr:col>
      <xdr:colOff>581458</xdr:colOff>
      <xdr:row>27</xdr:row>
      <xdr:rowOff>37056</xdr:rowOff>
    </xdr:from>
    <xdr:to>
      <xdr:col>27</xdr:col>
      <xdr:colOff>174530</xdr:colOff>
      <xdr:row>32</xdr:row>
      <xdr:rowOff>156445</xdr:rowOff>
    </xdr:to>
    <xdr:grpSp>
      <xdr:nvGrpSpPr>
        <xdr:cNvPr id="3" name="Group 2"/>
        <xdr:cNvGrpSpPr/>
      </xdr:nvGrpSpPr>
      <xdr:grpSpPr>
        <a:xfrm>
          <a:off x="14697508" y="6723606"/>
          <a:ext cx="2926822" cy="135763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8" name="TextBox 7"/>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mc:AlternateContent xmlns:mc="http://schemas.openxmlformats.org/markup-compatibility/2006">
    <mc:Choice xmlns:a14="http://schemas.microsoft.com/office/drawing/2010/main" Requires="a14">
      <xdr:twoCellAnchor editAs="oneCell">
        <xdr:from>
          <xdr:col>15</xdr:col>
          <xdr:colOff>0</xdr:colOff>
          <xdr:row>0</xdr:row>
          <xdr:rowOff>133350</xdr:rowOff>
        </xdr:from>
        <xdr:to>
          <xdr:col>19</xdr:col>
          <xdr:colOff>457200</xdr:colOff>
          <xdr:row>5</xdr:row>
          <xdr:rowOff>47625</xdr:rowOff>
        </xdr:to>
        <xdr:sp macro="" textlink="">
          <xdr:nvSpPr>
            <xdr:cNvPr id="64513" name="CommandButton1" hidden="1">
              <a:extLst>
                <a:ext uri="{63B3BB69-23CF-44E3-9099-C40C66FF867C}">
                  <a14:compatExt spid="_x0000_s64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881413</xdr:colOff>
      <xdr:row>24</xdr:row>
      <xdr:rowOff>26908</xdr:rowOff>
    </xdr:from>
    <xdr:to>
      <xdr:col>20</xdr:col>
      <xdr:colOff>227363</xdr:colOff>
      <xdr:row>25</xdr:row>
      <xdr:rowOff>169783</xdr:rowOff>
    </xdr:to>
    <xdr:grpSp>
      <xdr:nvGrpSpPr>
        <xdr:cNvPr id="10" name="Location"/>
        <xdr:cNvGrpSpPr/>
      </xdr:nvGrpSpPr>
      <xdr:grpSpPr>
        <a:xfrm>
          <a:off x="9873013" y="5970508"/>
          <a:ext cx="1289050" cy="390525"/>
          <a:chOff x="12380951" y="1905577"/>
          <a:chExt cx="1893717" cy="1135005"/>
        </a:xfrm>
      </xdr:grpSpPr>
      <xdr:sp macro="" textlink="">
        <xdr:nvSpPr>
          <xdr:cNvPr id="11"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2" name="Pop"/>
          <xdr:cNvSpPr txBox="1"/>
        </xdr:nvSpPr>
        <xdr:spPr>
          <a:xfrm>
            <a:off x="12959414" y="2665372"/>
            <a:ext cx="708965" cy="366811"/>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3" name="N_Camp"/>
          <xdr:cNvSpPr txBox="1"/>
        </xdr:nvSpPr>
        <xdr:spPr>
          <a:xfrm>
            <a:off x="13337143" y="2673771"/>
            <a:ext cx="836058" cy="36681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4" name="Site"/>
          <xdr:cNvSpPr txBox="1"/>
        </xdr:nvSpPr>
        <xdr:spPr>
          <a:xfrm>
            <a:off x="12380951" y="1905577"/>
            <a:ext cx="1893717" cy="54041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5" name="Cluster"/>
          <xdr:cNvGrpSpPr/>
        </xdr:nvGrpSpPr>
        <xdr:grpSpPr>
          <a:xfrm>
            <a:off x="12477748" y="2348604"/>
            <a:ext cx="1732609" cy="380242"/>
            <a:chOff x="12477748" y="2348604"/>
            <a:chExt cx="1732609" cy="380242"/>
          </a:xfrm>
        </xdr:grpSpPr>
        <xdr:grpSp>
          <xdr:nvGrpSpPr>
            <xdr:cNvPr id="16" name="Shelter_G"/>
            <xdr:cNvGrpSpPr/>
          </xdr:nvGrpSpPr>
          <xdr:grpSpPr>
            <a:xfrm>
              <a:off x="12477748" y="2367654"/>
              <a:ext cx="332972" cy="361192"/>
              <a:chOff x="8585625" y="4782769"/>
              <a:chExt cx="147154" cy="166659"/>
            </a:xfrm>
          </xdr:grpSpPr>
          <xdr:pic>
            <xdr:nvPicPr>
              <xdr:cNvPr id="20" name="Shelter_I"/>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7" name="NFI_G"/>
            <xdr:cNvGrpSpPr/>
          </xdr:nvGrpSpPr>
          <xdr:grpSpPr>
            <a:xfrm>
              <a:off x="13877376" y="2348604"/>
              <a:ext cx="332981" cy="361192"/>
              <a:chOff x="8250078" y="5375644"/>
              <a:chExt cx="147158" cy="166659"/>
            </a:xfrm>
          </xdr:grpSpPr>
          <xdr:pic>
            <xdr:nvPicPr>
              <xdr:cNvPr id="18" name="NFI_I"/>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9"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0</xdr:col>
      <xdr:colOff>113243</xdr:colOff>
      <xdr:row>0</xdr:row>
      <xdr:rowOff>97367</xdr:rowOff>
    </xdr:from>
    <xdr:to>
      <xdr:col>2</xdr:col>
      <xdr:colOff>456143</xdr:colOff>
      <xdr:row>6</xdr:row>
      <xdr:rowOff>30692</xdr:rowOff>
    </xdr:to>
    <xdr:grpSp>
      <xdr:nvGrpSpPr>
        <xdr:cNvPr id="7" name="Group 6"/>
        <xdr:cNvGrpSpPr/>
      </xdr:nvGrpSpPr>
      <xdr:grpSpPr>
        <a:xfrm>
          <a:off x="113243" y="97367"/>
          <a:ext cx="2019300" cy="1419225"/>
          <a:chOff x="8172450" y="9248775"/>
          <a:chExt cx="2009775" cy="1362075"/>
        </a:xfrm>
      </xdr:grpSpPr>
      <xdr:sp macro="" textlink="">
        <xdr:nvSpPr>
          <xdr:cNvPr id="2" name="Rounded Rectangle 1"/>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705"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6"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7"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4514" name="Label 2" hidden="1">
                <a:extLst>
                  <a:ext uri="{63B3BB69-23CF-44E3-9099-C40C66FF867C}">
                    <a14:compatExt spid="_x0000_s64514"/>
                  </a:ext>
                </a:extLst>
              </xdr:cNvPr>
              <xdr:cNvSpPr/>
            </xdr:nvSpPr>
            <xdr:spPr bwMode="auto">
              <a:xfrm>
                <a:off x="8286750"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1,000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5" name="Label 3" hidden="1">
                <a:extLst>
                  <a:ext uri="{63B3BB69-23CF-44E3-9099-C40C66FF867C}">
                    <a14:compatExt spid="_x0000_s64515"/>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6" name="Label 4" hidden="1">
                <a:extLst>
                  <a:ext uri="{63B3BB69-23CF-44E3-9099-C40C66FF867C}">
                    <a14:compatExt spid="_x0000_s64516"/>
                  </a:ext>
                </a:extLst>
              </xdr:cNvPr>
              <xdr:cNvSpPr/>
            </xdr:nvSpPr>
            <xdr:spPr bwMode="auto">
              <a:xfrm>
                <a:off x="9553575" y="1032510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25,000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8" name="Label 6" hidden="1">
                <a:extLst>
                  <a:ext uri="{63B3BB69-23CF-44E3-9099-C40C66FF867C}">
                    <a14:compatExt spid="_x0000_s64518"/>
                  </a:ext>
                </a:extLst>
              </xdr:cNvPr>
              <xdr:cNvSpPr/>
            </xdr:nvSpPr>
            <xdr:spPr bwMode="auto">
              <a:xfrm>
                <a:off x="8696325" y="9334500"/>
                <a:ext cx="9334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IDPs By Township</a:t>
                </a:r>
              </a:p>
            </xdr:txBody>
          </xdr:sp>
        </mc:Choice>
        <mc:Fallback/>
      </mc:AlternateContent>
    </xdr:grpSp>
    <xdr:clientData/>
  </xdr:twoCellAnchor>
  <xdr:twoCellAnchor>
    <xdr:from>
      <xdr:col>3</xdr:col>
      <xdr:colOff>60325</xdr:colOff>
      <xdr:row>26</xdr:row>
      <xdr:rowOff>147149</xdr:rowOff>
    </xdr:from>
    <xdr:to>
      <xdr:col>5</xdr:col>
      <xdr:colOff>120650</xdr:colOff>
      <xdr:row>29</xdr:row>
      <xdr:rowOff>108147</xdr:rowOff>
    </xdr:to>
    <xdr:grpSp>
      <xdr:nvGrpSpPr>
        <xdr:cNvPr id="825" name="Bhamo_G"/>
        <xdr:cNvGrpSpPr/>
      </xdr:nvGrpSpPr>
      <xdr:grpSpPr>
        <a:xfrm>
          <a:off x="2308225" y="6586049"/>
          <a:ext cx="1260475" cy="703948"/>
          <a:chOff x="12380951" y="1792148"/>
          <a:chExt cx="1893717" cy="2097455"/>
        </a:xfrm>
      </xdr:grpSpPr>
      <xdr:sp macro="" textlink="">
        <xdr:nvSpPr>
          <xdr:cNvPr id="826" name="Oval"/>
          <xdr:cNvSpPr/>
        </xdr:nvSpPr>
        <xdr:spPr>
          <a:xfrm>
            <a:off x="13044964" y="2266824"/>
            <a:ext cx="565691" cy="116390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3">
        <xdr:nvSpPr>
          <xdr:cNvPr id="827" name="Pop" hidden="1"/>
          <xdr:cNvSpPr txBox="1"/>
        </xdr:nvSpPr>
        <xdr:spPr>
          <a:xfrm>
            <a:off x="12959414" y="1807955"/>
            <a:ext cx="708964" cy="2081648"/>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DCD6F17-A8C4-4C7E-800E-B5A0280E2BDD}"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8,110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3">
        <xdr:nvSpPr>
          <xdr:cNvPr id="828" name="N_Camp" hidden="1"/>
          <xdr:cNvSpPr txBox="1"/>
        </xdr:nvSpPr>
        <xdr:spPr>
          <a:xfrm>
            <a:off x="13337141" y="2473538"/>
            <a:ext cx="836058" cy="76728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8711B49-D646-4171-800C-B8B6E23FBB0C}" type="TxLink">
              <a:rPr lang="en-US" sz="1200" b="0" i="0" u="none" strike="noStrike">
                <a:solidFill>
                  <a:srgbClr val="000000"/>
                </a:solidFill>
                <a:latin typeface="Arial Black" panose="020B0A04020102020204" pitchFamily="34" charset="0"/>
                <a:cs typeface="Arial" pitchFamily="34" charset="0"/>
              </a:rPr>
              <a:pPr algn="r"/>
              <a:t>11 cps</a:t>
            </a:fld>
            <a:endParaRPr lang="en-US" sz="1200" i="1">
              <a:solidFill>
                <a:schemeClr val="tx1"/>
              </a:solidFill>
              <a:latin typeface="Arial Black" panose="020B0A04020102020204" pitchFamily="34" charset="0"/>
              <a:cs typeface="Arial" pitchFamily="34" charset="0"/>
            </a:endParaRPr>
          </a:p>
        </xdr:txBody>
      </xdr:sp>
      <xdr:sp macro="" textlink="U3">
        <xdr:nvSpPr>
          <xdr:cNvPr id="829" name="Site"/>
          <xdr:cNvSpPr txBox="1"/>
        </xdr:nvSpPr>
        <xdr:spPr>
          <a:xfrm>
            <a:off x="12380951" y="1792148"/>
            <a:ext cx="1893717" cy="76728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523348A7-8759-4643-83F6-B3C034435650}"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Bhamo</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830" name="Cluster"/>
          <xdr:cNvGrpSpPr/>
        </xdr:nvGrpSpPr>
        <xdr:grpSpPr>
          <a:xfrm>
            <a:off x="12477748" y="2348604"/>
            <a:ext cx="1732609" cy="380242"/>
            <a:chOff x="12477748" y="2348604"/>
            <a:chExt cx="1732609" cy="380242"/>
          </a:xfrm>
        </xdr:grpSpPr>
        <xdr:grpSp>
          <xdr:nvGrpSpPr>
            <xdr:cNvPr id="831" name="Shelter_G"/>
            <xdr:cNvGrpSpPr/>
          </xdr:nvGrpSpPr>
          <xdr:grpSpPr>
            <a:xfrm>
              <a:off x="12477748" y="2367654"/>
              <a:ext cx="332972" cy="361192"/>
              <a:chOff x="8585625" y="4782769"/>
              <a:chExt cx="147154" cy="166659"/>
            </a:xfrm>
          </xdr:grpSpPr>
          <xdr:pic>
            <xdr:nvPicPr>
              <xdr:cNvPr id="83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83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832" name="NFI_G"/>
            <xdr:cNvGrpSpPr/>
          </xdr:nvGrpSpPr>
          <xdr:grpSpPr>
            <a:xfrm>
              <a:off x="13877376" y="2348604"/>
              <a:ext cx="332981" cy="361192"/>
              <a:chOff x="8250078" y="5375644"/>
              <a:chExt cx="147158" cy="166659"/>
            </a:xfrm>
          </xdr:grpSpPr>
          <xdr:pic>
            <xdr:nvPicPr>
              <xdr:cNvPr id="83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83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6</xdr:col>
      <xdr:colOff>184150</xdr:colOff>
      <xdr:row>15</xdr:row>
      <xdr:rowOff>99524</xdr:rowOff>
    </xdr:from>
    <xdr:to>
      <xdr:col>8</xdr:col>
      <xdr:colOff>339725</xdr:colOff>
      <xdr:row>18</xdr:row>
      <xdr:rowOff>60522</xdr:rowOff>
    </xdr:to>
    <xdr:grpSp>
      <xdr:nvGrpSpPr>
        <xdr:cNvPr id="837" name="Chipwi_G"/>
        <xdr:cNvGrpSpPr/>
      </xdr:nvGrpSpPr>
      <xdr:grpSpPr>
        <a:xfrm>
          <a:off x="4298950" y="3814274"/>
          <a:ext cx="1279525" cy="703948"/>
          <a:chOff x="12380951" y="1792148"/>
          <a:chExt cx="1893717" cy="2097457"/>
        </a:xfrm>
      </xdr:grpSpPr>
      <xdr:sp macro="" textlink="">
        <xdr:nvSpPr>
          <xdr:cNvPr id="838" name="Oval"/>
          <xdr:cNvSpPr/>
        </xdr:nvSpPr>
        <xdr:spPr>
          <a:xfrm>
            <a:off x="13175855" y="2536131"/>
            <a:ext cx="303910" cy="62529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4">
        <xdr:nvSpPr>
          <xdr:cNvPr id="839" name="Pop" hidden="1"/>
          <xdr:cNvSpPr txBox="1"/>
        </xdr:nvSpPr>
        <xdr:spPr>
          <a:xfrm>
            <a:off x="12959413" y="1807955"/>
            <a:ext cx="708965" cy="208165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EE897D33-1CF4-4F8C-B64F-4EC8F17E278A}"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2,570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4">
        <xdr:nvSpPr>
          <xdr:cNvPr id="840" name="N_Camp" hidden="1"/>
          <xdr:cNvSpPr txBox="1"/>
        </xdr:nvSpPr>
        <xdr:spPr>
          <a:xfrm>
            <a:off x="13337142" y="2473539"/>
            <a:ext cx="836057" cy="767283"/>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62BC12A-C9BA-44F7-85F4-A5E4BCB4C4B9}" type="TxLink">
              <a:rPr lang="en-US" sz="1200" b="0" i="0" u="none" strike="noStrike">
                <a:solidFill>
                  <a:srgbClr val="000000"/>
                </a:solidFill>
                <a:latin typeface="Arial Black" panose="020B0A04020102020204" pitchFamily="34" charset="0"/>
                <a:cs typeface="Arial" pitchFamily="34" charset="0"/>
              </a:rPr>
              <a:pPr algn="r"/>
              <a:t>6 cps</a:t>
            </a:fld>
            <a:endParaRPr lang="en-US" sz="1200" i="1">
              <a:solidFill>
                <a:schemeClr val="tx1"/>
              </a:solidFill>
              <a:latin typeface="Arial Black" panose="020B0A04020102020204" pitchFamily="34" charset="0"/>
              <a:cs typeface="Arial" pitchFamily="34" charset="0"/>
            </a:endParaRPr>
          </a:p>
        </xdr:txBody>
      </xdr:sp>
      <xdr:sp macro="" textlink="U4">
        <xdr:nvSpPr>
          <xdr:cNvPr id="841" name="Site"/>
          <xdr:cNvSpPr txBox="1"/>
        </xdr:nvSpPr>
        <xdr:spPr>
          <a:xfrm>
            <a:off x="12380951" y="1792148"/>
            <a:ext cx="1893717" cy="767283"/>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B90CA978-C6A8-41C7-B9E3-E817B2ADE5C6}"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Chipwi</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842" name="Cluster"/>
          <xdr:cNvGrpSpPr/>
        </xdr:nvGrpSpPr>
        <xdr:grpSpPr>
          <a:xfrm>
            <a:off x="12477748" y="2348604"/>
            <a:ext cx="1732609" cy="380242"/>
            <a:chOff x="12477748" y="2348604"/>
            <a:chExt cx="1732609" cy="380242"/>
          </a:xfrm>
        </xdr:grpSpPr>
        <xdr:grpSp>
          <xdr:nvGrpSpPr>
            <xdr:cNvPr id="843" name="Shelter_G"/>
            <xdr:cNvGrpSpPr/>
          </xdr:nvGrpSpPr>
          <xdr:grpSpPr>
            <a:xfrm>
              <a:off x="12477748" y="2367654"/>
              <a:ext cx="332972" cy="361192"/>
              <a:chOff x="8585625" y="4782769"/>
              <a:chExt cx="147154" cy="166659"/>
            </a:xfrm>
          </xdr:grpSpPr>
          <xdr:pic>
            <xdr:nvPicPr>
              <xdr:cNvPr id="84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84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844" name="NFI_G"/>
            <xdr:cNvGrpSpPr/>
          </xdr:nvGrpSpPr>
          <xdr:grpSpPr>
            <a:xfrm>
              <a:off x="13877376" y="2348604"/>
              <a:ext cx="332981" cy="361192"/>
              <a:chOff x="8250078" y="5375644"/>
              <a:chExt cx="147158" cy="166659"/>
            </a:xfrm>
          </xdr:grpSpPr>
          <xdr:pic>
            <xdr:nvPicPr>
              <xdr:cNvPr id="84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84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1</xdr:col>
      <xdr:colOff>219075</xdr:colOff>
      <xdr:row>15</xdr:row>
      <xdr:rowOff>124924</xdr:rowOff>
    </xdr:from>
    <xdr:to>
      <xdr:col>3</xdr:col>
      <xdr:colOff>88900</xdr:colOff>
      <xdr:row>18</xdr:row>
      <xdr:rowOff>85922</xdr:rowOff>
    </xdr:to>
    <xdr:grpSp>
      <xdr:nvGrpSpPr>
        <xdr:cNvPr id="849" name="Hpakant_G"/>
        <xdr:cNvGrpSpPr/>
      </xdr:nvGrpSpPr>
      <xdr:grpSpPr>
        <a:xfrm>
          <a:off x="1076325" y="3839674"/>
          <a:ext cx="1260475" cy="703948"/>
          <a:chOff x="12380951" y="1790714"/>
          <a:chExt cx="1893717" cy="2132006"/>
        </a:xfrm>
      </xdr:grpSpPr>
      <xdr:sp macro="" textlink="">
        <xdr:nvSpPr>
          <xdr:cNvPr id="850" name="Oval"/>
          <xdr:cNvSpPr/>
        </xdr:nvSpPr>
        <xdr:spPr>
          <a:xfrm>
            <a:off x="13147604" y="2478008"/>
            <a:ext cx="360410" cy="74154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5">
        <xdr:nvSpPr>
          <xdr:cNvPr id="851" name="Pop" hidden="1"/>
          <xdr:cNvSpPr txBox="1"/>
        </xdr:nvSpPr>
        <xdr:spPr>
          <a:xfrm>
            <a:off x="12959413" y="1806781"/>
            <a:ext cx="708963" cy="211593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12B2265-0C4E-47DD-8655-3A7AE1935757}"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3,566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5">
        <xdr:nvSpPr>
          <xdr:cNvPr id="852" name="N_Camp" hidden="1"/>
          <xdr:cNvSpPr txBox="1"/>
        </xdr:nvSpPr>
        <xdr:spPr>
          <a:xfrm>
            <a:off x="13337142" y="2483329"/>
            <a:ext cx="836058" cy="77992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5B931AB-4DF0-459B-BED1-6771C559C67B}" type="TxLink">
              <a:rPr lang="en-US" sz="1200" b="0" i="0" u="none" strike="noStrike">
                <a:solidFill>
                  <a:srgbClr val="000000"/>
                </a:solidFill>
                <a:latin typeface="Arial Black" panose="020B0A04020102020204" pitchFamily="34" charset="0"/>
                <a:cs typeface="Arial" pitchFamily="34" charset="0"/>
              </a:rPr>
              <a:pPr algn="r"/>
              <a:t>20 cps</a:t>
            </a:fld>
            <a:endParaRPr lang="en-US" sz="1200" i="1">
              <a:solidFill>
                <a:schemeClr val="tx1"/>
              </a:solidFill>
              <a:latin typeface="Arial Black" panose="020B0A04020102020204" pitchFamily="34" charset="0"/>
              <a:cs typeface="Arial" pitchFamily="34" charset="0"/>
            </a:endParaRPr>
          </a:p>
        </xdr:txBody>
      </xdr:sp>
      <xdr:sp macro="" textlink="U5">
        <xdr:nvSpPr>
          <xdr:cNvPr id="853" name="Site"/>
          <xdr:cNvSpPr txBox="1"/>
        </xdr:nvSpPr>
        <xdr:spPr>
          <a:xfrm>
            <a:off x="12380951" y="1790714"/>
            <a:ext cx="1893717" cy="77992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4A27E1-2EBF-4D3D-BC29-2CE389CBE597}"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Hpakant</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854" name="Cluster"/>
          <xdr:cNvGrpSpPr/>
        </xdr:nvGrpSpPr>
        <xdr:grpSpPr>
          <a:xfrm>
            <a:off x="12477748" y="2348604"/>
            <a:ext cx="1732609" cy="380242"/>
            <a:chOff x="12477748" y="2348604"/>
            <a:chExt cx="1732609" cy="380242"/>
          </a:xfrm>
        </xdr:grpSpPr>
        <xdr:grpSp>
          <xdr:nvGrpSpPr>
            <xdr:cNvPr id="855" name="Shelter_G"/>
            <xdr:cNvGrpSpPr/>
          </xdr:nvGrpSpPr>
          <xdr:grpSpPr>
            <a:xfrm>
              <a:off x="12477748" y="2367654"/>
              <a:ext cx="332972" cy="361192"/>
              <a:chOff x="8585625" y="4782769"/>
              <a:chExt cx="147154" cy="166659"/>
            </a:xfrm>
          </xdr:grpSpPr>
          <xdr:pic>
            <xdr:nvPicPr>
              <xdr:cNvPr id="85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86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856" name="NFI_G"/>
            <xdr:cNvGrpSpPr/>
          </xdr:nvGrpSpPr>
          <xdr:grpSpPr>
            <a:xfrm>
              <a:off x="13877376" y="2348604"/>
              <a:ext cx="332981" cy="361192"/>
              <a:chOff x="8250078" y="5375644"/>
              <a:chExt cx="147158" cy="166659"/>
            </a:xfrm>
          </xdr:grpSpPr>
          <xdr:pic>
            <xdr:nvPicPr>
              <xdr:cNvPr id="85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85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5</xdr:col>
      <xdr:colOff>354965</xdr:colOff>
      <xdr:row>34</xdr:row>
      <xdr:rowOff>28901</xdr:rowOff>
    </xdr:from>
    <xdr:to>
      <xdr:col>7</xdr:col>
      <xdr:colOff>384810</xdr:colOff>
      <xdr:row>36</xdr:row>
      <xdr:rowOff>128635</xdr:rowOff>
    </xdr:to>
    <xdr:grpSp>
      <xdr:nvGrpSpPr>
        <xdr:cNvPr id="861" name="Hseni_G"/>
        <xdr:cNvGrpSpPr/>
      </xdr:nvGrpSpPr>
      <xdr:grpSpPr>
        <a:xfrm>
          <a:off x="3803015" y="8449001"/>
          <a:ext cx="1249045" cy="595034"/>
          <a:chOff x="12380951" y="1797809"/>
          <a:chExt cx="1893717" cy="1781112"/>
        </a:xfrm>
      </xdr:grpSpPr>
      <xdr:sp macro="" textlink="">
        <xdr:nvSpPr>
          <xdr:cNvPr id="862" name="Oval"/>
          <xdr:cNvSpPr/>
        </xdr:nvSpPr>
        <xdr:spPr>
          <a:xfrm>
            <a:off x="13250012" y="2539798"/>
            <a:ext cx="155594" cy="31801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6">
        <xdr:nvSpPr>
          <xdr:cNvPr id="863" name="Pop" hidden="1"/>
          <xdr:cNvSpPr txBox="1"/>
        </xdr:nvSpPr>
        <xdr:spPr>
          <a:xfrm>
            <a:off x="12959414" y="2152862"/>
            <a:ext cx="708964" cy="142605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67F2B92-BA90-4358-A7FF-4D1CA0B1DC42}"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665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6">
        <xdr:nvSpPr>
          <xdr:cNvPr id="864" name="N_Camp" hidden="1"/>
          <xdr:cNvSpPr txBox="1"/>
        </xdr:nvSpPr>
        <xdr:spPr>
          <a:xfrm>
            <a:off x="13337142" y="2490358"/>
            <a:ext cx="836058" cy="76814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233296D-F4AA-4321-845A-15BAFB6FB27F}" type="TxLink">
              <a:rPr lang="en-US" sz="1200" b="0" i="0" u="none" strike="noStrike">
                <a:solidFill>
                  <a:srgbClr val="000000"/>
                </a:solidFill>
                <a:latin typeface="Arial Black" panose="020B0A04020102020204" pitchFamily="34" charset="0"/>
                <a:cs typeface="Arial" pitchFamily="34" charset="0"/>
              </a:rPr>
              <a:pPr algn="r"/>
              <a:t>2 cps</a:t>
            </a:fld>
            <a:endParaRPr lang="en-US" sz="1200" i="1">
              <a:solidFill>
                <a:schemeClr val="tx1"/>
              </a:solidFill>
              <a:latin typeface="Arial Black" panose="020B0A04020102020204" pitchFamily="34" charset="0"/>
              <a:cs typeface="Arial" pitchFamily="34" charset="0"/>
            </a:endParaRPr>
          </a:p>
        </xdr:txBody>
      </xdr:sp>
      <xdr:sp macro="" textlink="U6">
        <xdr:nvSpPr>
          <xdr:cNvPr id="865" name="Site"/>
          <xdr:cNvSpPr txBox="1"/>
        </xdr:nvSpPr>
        <xdr:spPr>
          <a:xfrm>
            <a:off x="12380951" y="1797809"/>
            <a:ext cx="1893717" cy="76814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7C07D38-0D4E-4B31-86E1-D4002BB6AFA5}"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Hseni</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866" name="Cluster"/>
          <xdr:cNvGrpSpPr/>
        </xdr:nvGrpSpPr>
        <xdr:grpSpPr>
          <a:xfrm>
            <a:off x="12477748" y="2348604"/>
            <a:ext cx="1732609" cy="380242"/>
            <a:chOff x="12477748" y="2348604"/>
            <a:chExt cx="1732609" cy="380242"/>
          </a:xfrm>
        </xdr:grpSpPr>
        <xdr:grpSp>
          <xdr:nvGrpSpPr>
            <xdr:cNvPr id="867" name="Shelter_G"/>
            <xdr:cNvGrpSpPr/>
          </xdr:nvGrpSpPr>
          <xdr:grpSpPr>
            <a:xfrm>
              <a:off x="12477748" y="2367654"/>
              <a:ext cx="332972" cy="361192"/>
              <a:chOff x="8585625" y="4782769"/>
              <a:chExt cx="147154" cy="166659"/>
            </a:xfrm>
          </xdr:grpSpPr>
          <xdr:pic>
            <xdr:nvPicPr>
              <xdr:cNvPr id="87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87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868" name="NFI_G"/>
            <xdr:cNvGrpSpPr/>
          </xdr:nvGrpSpPr>
          <xdr:grpSpPr>
            <a:xfrm>
              <a:off x="13877376" y="2348604"/>
              <a:ext cx="332981" cy="361192"/>
              <a:chOff x="8250078" y="5375644"/>
              <a:chExt cx="147158" cy="166659"/>
            </a:xfrm>
          </xdr:grpSpPr>
          <xdr:pic>
            <xdr:nvPicPr>
              <xdr:cNvPr id="86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87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5</xdr:col>
      <xdr:colOff>130175</xdr:colOff>
      <xdr:row>13</xdr:row>
      <xdr:rowOff>30609</xdr:rowOff>
    </xdr:from>
    <xdr:to>
      <xdr:col>7</xdr:col>
      <xdr:colOff>190500</xdr:colOff>
      <xdr:row>15</xdr:row>
      <xdr:rowOff>21378</xdr:rowOff>
    </xdr:to>
    <xdr:grpSp>
      <xdr:nvGrpSpPr>
        <xdr:cNvPr id="873" name="Injangyang_G"/>
        <xdr:cNvGrpSpPr/>
      </xdr:nvGrpSpPr>
      <xdr:grpSpPr>
        <a:xfrm>
          <a:off x="3578225" y="3250059"/>
          <a:ext cx="1279525" cy="486069"/>
          <a:chOff x="12380951" y="1792386"/>
          <a:chExt cx="1893717" cy="1448197"/>
        </a:xfrm>
      </xdr:grpSpPr>
      <xdr:sp macro="" textlink="">
        <xdr:nvSpPr>
          <xdr:cNvPr id="874" name="Oval"/>
          <xdr:cNvSpPr/>
        </xdr:nvSpPr>
        <xdr:spPr>
          <a:xfrm>
            <a:off x="13327810" y="2516484"/>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7">
        <xdr:nvSpPr>
          <xdr:cNvPr id="875" name="Pop" hidden="1"/>
          <xdr:cNvSpPr txBox="1"/>
        </xdr:nvSpPr>
        <xdr:spPr>
          <a:xfrm>
            <a:off x="12959414" y="2465378"/>
            <a:ext cx="708964" cy="766806"/>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43D69DC9-B7AA-4B3F-89B8-8332ED56AB70}"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7">
        <xdr:nvSpPr>
          <xdr:cNvPr id="876" name="N_Camp" hidden="1"/>
          <xdr:cNvSpPr txBox="1"/>
        </xdr:nvSpPr>
        <xdr:spPr>
          <a:xfrm>
            <a:off x="13337141" y="2473777"/>
            <a:ext cx="836058" cy="76680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B040A4B3-774C-4F6A-AA9A-B350E0603B2F}" type="TxLink">
              <a:rPr lang="en-US" sz="1200" b="0" i="0" u="none" strike="noStrike">
                <a:solidFill>
                  <a:srgbClr val="000000"/>
                </a:solidFill>
                <a:latin typeface="Arial Black" panose="020B0A04020102020204" pitchFamily="34" charset="0"/>
                <a:cs typeface="Arial" pitchFamily="34" charset="0"/>
              </a:rPr>
              <a:pPr algn="r"/>
              <a:t>0 cp</a:t>
            </a:fld>
            <a:endParaRPr lang="en-US" sz="1200" i="1">
              <a:solidFill>
                <a:schemeClr val="tx1"/>
              </a:solidFill>
              <a:latin typeface="Arial Black" panose="020B0A04020102020204" pitchFamily="34" charset="0"/>
              <a:cs typeface="Arial" pitchFamily="34" charset="0"/>
            </a:endParaRPr>
          </a:p>
        </xdr:txBody>
      </xdr:sp>
      <xdr:sp macro="" textlink="U7">
        <xdr:nvSpPr>
          <xdr:cNvPr id="877" name="Site"/>
          <xdr:cNvSpPr txBox="1"/>
        </xdr:nvSpPr>
        <xdr:spPr>
          <a:xfrm>
            <a:off x="12380951" y="1792386"/>
            <a:ext cx="1893717" cy="76680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B8DF6A06-5617-49EC-9D2A-0C9130CA870A}"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Injangyang</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878" name="Cluster"/>
          <xdr:cNvGrpSpPr/>
        </xdr:nvGrpSpPr>
        <xdr:grpSpPr>
          <a:xfrm>
            <a:off x="12477748" y="2348604"/>
            <a:ext cx="1732609" cy="380242"/>
            <a:chOff x="12477748" y="2348604"/>
            <a:chExt cx="1732609" cy="380242"/>
          </a:xfrm>
        </xdr:grpSpPr>
        <xdr:grpSp>
          <xdr:nvGrpSpPr>
            <xdr:cNvPr id="879" name="Shelter_G"/>
            <xdr:cNvGrpSpPr/>
          </xdr:nvGrpSpPr>
          <xdr:grpSpPr>
            <a:xfrm>
              <a:off x="12477748" y="2367654"/>
              <a:ext cx="332972" cy="361192"/>
              <a:chOff x="8585625" y="4782769"/>
              <a:chExt cx="147154" cy="166659"/>
            </a:xfrm>
          </xdr:grpSpPr>
          <xdr:pic>
            <xdr:nvPicPr>
              <xdr:cNvPr id="88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88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880" name="NFI_G"/>
            <xdr:cNvGrpSpPr/>
          </xdr:nvGrpSpPr>
          <xdr:grpSpPr>
            <a:xfrm>
              <a:off x="13877376" y="2348604"/>
              <a:ext cx="332981" cy="361192"/>
              <a:chOff x="8250078" y="5375644"/>
              <a:chExt cx="147158" cy="166659"/>
            </a:xfrm>
          </xdr:grpSpPr>
          <xdr:pic>
            <xdr:nvPicPr>
              <xdr:cNvPr id="88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88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6</xdr:col>
      <xdr:colOff>237490</xdr:colOff>
      <xdr:row>7</xdr:row>
      <xdr:rowOff>174163</xdr:rowOff>
    </xdr:from>
    <xdr:to>
      <xdr:col>10</xdr:col>
      <xdr:colOff>182880</xdr:colOff>
      <xdr:row>9</xdr:row>
      <xdr:rowOff>165149</xdr:rowOff>
    </xdr:to>
    <xdr:grpSp>
      <xdr:nvGrpSpPr>
        <xdr:cNvPr id="885" name="Khaunglanhpu_G"/>
        <xdr:cNvGrpSpPr/>
      </xdr:nvGrpSpPr>
      <xdr:grpSpPr>
        <a:xfrm>
          <a:off x="4352290" y="1907713"/>
          <a:ext cx="2021840" cy="486286"/>
          <a:chOff x="12380951" y="1792747"/>
          <a:chExt cx="1893717" cy="1447469"/>
        </a:xfrm>
      </xdr:grpSpPr>
      <xdr:sp macro="" textlink="">
        <xdr:nvSpPr>
          <xdr:cNvPr id="886" name="Oval"/>
          <xdr:cNvSpPr/>
        </xdr:nvSpPr>
        <xdr:spPr>
          <a:xfrm>
            <a:off x="13315371" y="2304143"/>
            <a:ext cx="24878" cy="5163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8">
        <xdr:nvSpPr>
          <xdr:cNvPr id="887" name="Pop" hidden="1"/>
          <xdr:cNvSpPr txBox="1"/>
        </xdr:nvSpPr>
        <xdr:spPr>
          <a:xfrm>
            <a:off x="12959414" y="2465742"/>
            <a:ext cx="708964" cy="76607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C25C5EEF-56E7-43B0-824F-23FA1ECC2BB1}"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17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8">
        <xdr:nvSpPr>
          <xdr:cNvPr id="888" name="N_Camp" hidden="1"/>
          <xdr:cNvSpPr txBox="1"/>
        </xdr:nvSpPr>
        <xdr:spPr>
          <a:xfrm>
            <a:off x="13337142" y="2474143"/>
            <a:ext cx="836058" cy="766073"/>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DCA2372F-7AD7-4127-9FB2-2CAFF724F76D}" type="TxLink">
              <a:rPr lang="en-US" sz="1200" b="0" i="0" u="none" strike="noStrike">
                <a:solidFill>
                  <a:srgbClr val="000000"/>
                </a:solidFill>
                <a:latin typeface="Arial Black" panose="020B0A04020102020204" pitchFamily="34" charset="0"/>
                <a:cs typeface="Arial" pitchFamily="34" charset="0"/>
              </a:rPr>
              <a:pPr algn="r"/>
              <a:t>1 cp</a:t>
            </a:fld>
            <a:endParaRPr lang="en-US" sz="1200" i="1">
              <a:solidFill>
                <a:schemeClr val="tx1"/>
              </a:solidFill>
              <a:latin typeface="Arial Black" panose="020B0A04020102020204" pitchFamily="34" charset="0"/>
              <a:cs typeface="Arial" pitchFamily="34" charset="0"/>
            </a:endParaRPr>
          </a:p>
        </xdr:txBody>
      </xdr:sp>
      <xdr:sp macro="" textlink="U8">
        <xdr:nvSpPr>
          <xdr:cNvPr id="889" name="Site"/>
          <xdr:cNvSpPr txBox="1"/>
        </xdr:nvSpPr>
        <xdr:spPr>
          <a:xfrm>
            <a:off x="12380951" y="1792747"/>
            <a:ext cx="1893717" cy="766073"/>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9885536-BEEF-4FC9-8F64-F77F9A2C2C4A}"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Khaunglanhpu</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890" name="Cluster"/>
          <xdr:cNvGrpSpPr/>
        </xdr:nvGrpSpPr>
        <xdr:grpSpPr>
          <a:xfrm>
            <a:off x="12477748" y="2348604"/>
            <a:ext cx="1732609" cy="380242"/>
            <a:chOff x="12477748" y="2348604"/>
            <a:chExt cx="1732609" cy="380242"/>
          </a:xfrm>
        </xdr:grpSpPr>
        <xdr:grpSp>
          <xdr:nvGrpSpPr>
            <xdr:cNvPr id="891" name="Shelter_G"/>
            <xdr:cNvGrpSpPr/>
          </xdr:nvGrpSpPr>
          <xdr:grpSpPr>
            <a:xfrm>
              <a:off x="12477748" y="2367654"/>
              <a:ext cx="332972" cy="361192"/>
              <a:chOff x="8585625" y="4782769"/>
              <a:chExt cx="147154" cy="166659"/>
            </a:xfrm>
          </xdr:grpSpPr>
          <xdr:pic>
            <xdr:nvPicPr>
              <xdr:cNvPr id="89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89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892" name="NFI_G"/>
            <xdr:cNvGrpSpPr/>
          </xdr:nvGrpSpPr>
          <xdr:grpSpPr>
            <a:xfrm>
              <a:off x="13877376" y="2348604"/>
              <a:ext cx="332981" cy="361192"/>
              <a:chOff x="8250078" y="5375644"/>
              <a:chExt cx="147158" cy="166659"/>
            </a:xfrm>
          </xdr:grpSpPr>
          <xdr:pic>
            <xdr:nvPicPr>
              <xdr:cNvPr id="89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89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5</xdr:col>
      <xdr:colOff>473075</xdr:colOff>
      <xdr:row>31</xdr:row>
      <xdr:rowOff>188424</xdr:rowOff>
    </xdr:from>
    <xdr:to>
      <xdr:col>7</xdr:col>
      <xdr:colOff>533400</xdr:colOff>
      <xdr:row>34</xdr:row>
      <xdr:rowOff>149422</xdr:rowOff>
    </xdr:to>
    <xdr:grpSp>
      <xdr:nvGrpSpPr>
        <xdr:cNvPr id="897" name="Kutkai_G"/>
        <xdr:cNvGrpSpPr/>
      </xdr:nvGrpSpPr>
      <xdr:grpSpPr>
        <a:xfrm>
          <a:off x="3921125" y="7865574"/>
          <a:ext cx="1279525" cy="703948"/>
          <a:chOff x="12380951" y="1792148"/>
          <a:chExt cx="1893717" cy="2097455"/>
        </a:xfrm>
      </xdr:grpSpPr>
      <xdr:sp macro="" textlink="">
        <xdr:nvSpPr>
          <xdr:cNvPr id="898" name="Oval"/>
          <xdr:cNvSpPr/>
        </xdr:nvSpPr>
        <xdr:spPr>
          <a:xfrm>
            <a:off x="13168485" y="2520972"/>
            <a:ext cx="318647" cy="65561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9">
        <xdr:nvSpPr>
          <xdr:cNvPr id="899" name="Pop" hidden="1"/>
          <xdr:cNvSpPr txBox="1"/>
        </xdr:nvSpPr>
        <xdr:spPr>
          <a:xfrm>
            <a:off x="12959414" y="1807955"/>
            <a:ext cx="708964" cy="2081648"/>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80ADA6E-6C08-47A9-BDCC-1154BA2263F5}"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3,409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9">
        <xdr:nvSpPr>
          <xdr:cNvPr id="900" name="N_Camp" hidden="1"/>
          <xdr:cNvSpPr txBox="1"/>
        </xdr:nvSpPr>
        <xdr:spPr>
          <a:xfrm>
            <a:off x="13337141" y="2473538"/>
            <a:ext cx="836058" cy="76728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39FE5A7D-1CCE-49DA-A199-4F253D78C4B5}" type="TxLink">
              <a:rPr lang="en-US" sz="1200" b="0" i="0" u="none" strike="noStrike">
                <a:solidFill>
                  <a:srgbClr val="000000"/>
                </a:solidFill>
                <a:latin typeface="Arial Black" panose="020B0A04020102020204" pitchFamily="34" charset="0"/>
                <a:cs typeface="Arial" pitchFamily="34" charset="0"/>
              </a:rPr>
              <a:pPr algn="r"/>
              <a:t>9 cps</a:t>
            </a:fld>
            <a:endParaRPr lang="en-US" sz="1200" i="1">
              <a:solidFill>
                <a:schemeClr val="tx1"/>
              </a:solidFill>
              <a:latin typeface="Arial Black" panose="020B0A04020102020204" pitchFamily="34" charset="0"/>
              <a:cs typeface="Arial" pitchFamily="34" charset="0"/>
            </a:endParaRPr>
          </a:p>
        </xdr:txBody>
      </xdr:sp>
      <xdr:sp macro="" textlink="U9">
        <xdr:nvSpPr>
          <xdr:cNvPr id="901" name="Site"/>
          <xdr:cNvSpPr txBox="1"/>
        </xdr:nvSpPr>
        <xdr:spPr>
          <a:xfrm>
            <a:off x="12380951" y="1792148"/>
            <a:ext cx="1893717" cy="76728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84EE349-EF60-4490-8690-D92A00CD7D89}"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Kutkai</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902" name="Cluster"/>
          <xdr:cNvGrpSpPr/>
        </xdr:nvGrpSpPr>
        <xdr:grpSpPr>
          <a:xfrm>
            <a:off x="12477748" y="2348604"/>
            <a:ext cx="1732609" cy="380242"/>
            <a:chOff x="12477748" y="2348604"/>
            <a:chExt cx="1732609" cy="380242"/>
          </a:xfrm>
        </xdr:grpSpPr>
        <xdr:grpSp>
          <xdr:nvGrpSpPr>
            <xdr:cNvPr id="903" name="Shelter_G"/>
            <xdr:cNvGrpSpPr/>
          </xdr:nvGrpSpPr>
          <xdr:grpSpPr>
            <a:xfrm>
              <a:off x="12477748" y="2367654"/>
              <a:ext cx="332972" cy="361192"/>
              <a:chOff x="8585625" y="4782769"/>
              <a:chExt cx="147154" cy="166659"/>
            </a:xfrm>
          </xdr:grpSpPr>
          <xdr:pic>
            <xdr:nvPicPr>
              <xdr:cNvPr id="90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0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904" name="NFI_G"/>
            <xdr:cNvGrpSpPr/>
          </xdr:nvGrpSpPr>
          <xdr:grpSpPr>
            <a:xfrm>
              <a:off x="13877376" y="2348604"/>
              <a:ext cx="332981" cy="361192"/>
              <a:chOff x="8250078" y="5375644"/>
              <a:chExt cx="147158" cy="166659"/>
            </a:xfrm>
          </xdr:grpSpPr>
          <xdr:pic>
            <xdr:nvPicPr>
              <xdr:cNvPr id="90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0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5</xdr:col>
      <xdr:colOff>104775</xdr:colOff>
      <xdr:row>6</xdr:row>
      <xdr:rowOff>97652</xdr:rowOff>
    </xdr:from>
    <xdr:to>
      <xdr:col>7</xdr:col>
      <xdr:colOff>165100</xdr:colOff>
      <xdr:row>8</xdr:row>
      <xdr:rowOff>195561</xdr:rowOff>
    </xdr:to>
    <xdr:grpSp>
      <xdr:nvGrpSpPr>
        <xdr:cNvPr id="909" name="Machanbaw_G"/>
        <xdr:cNvGrpSpPr/>
      </xdr:nvGrpSpPr>
      <xdr:grpSpPr>
        <a:xfrm>
          <a:off x="3552825" y="1583552"/>
          <a:ext cx="1279525" cy="593209"/>
          <a:chOff x="12380951" y="1793515"/>
          <a:chExt cx="1893717" cy="1762251"/>
        </a:xfrm>
      </xdr:grpSpPr>
      <xdr:sp macro="" textlink="">
        <xdr:nvSpPr>
          <xdr:cNvPr id="910" name="Oval"/>
          <xdr:cNvSpPr/>
        </xdr:nvSpPr>
        <xdr:spPr>
          <a:xfrm>
            <a:off x="13327810" y="2703009"/>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10">
        <xdr:nvSpPr>
          <xdr:cNvPr id="911" name="Pop" hidden="1"/>
          <xdr:cNvSpPr txBox="1"/>
        </xdr:nvSpPr>
        <xdr:spPr>
          <a:xfrm>
            <a:off x="12959414" y="2466507"/>
            <a:ext cx="708964" cy="764551"/>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C93176D7-D636-4FE8-8F5A-8EFBA2999D9E}"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10">
        <xdr:nvSpPr>
          <xdr:cNvPr id="912" name="N_Camp" hidden="1"/>
          <xdr:cNvSpPr txBox="1"/>
        </xdr:nvSpPr>
        <xdr:spPr>
          <a:xfrm>
            <a:off x="13337142" y="2158591"/>
            <a:ext cx="836058" cy="139717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22A029B-2269-4E3A-AD57-D86345788CBB}" type="TxLink">
              <a:rPr lang="en-US" sz="1200" b="0" i="0" u="none" strike="noStrike">
                <a:solidFill>
                  <a:srgbClr val="000000"/>
                </a:solidFill>
                <a:latin typeface="Arial Black" panose="020B0A04020102020204" pitchFamily="34" charset="0"/>
                <a:cs typeface="Arial" pitchFamily="34" charset="0"/>
              </a:rPr>
              <a:pPr algn="r"/>
              <a:t>Bhamo</a:t>
            </a:fld>
            <a:endParaRPr lang="en-US" sz="1200" i="1">
              <a:solidFill>
                <a:schemeClr val="tx1"/>
              </a:solidFill>
              <a:latin typeface="Arial Black" panose="020B0A04020102020204" pitchFamily="34" charset="0"/>
              <a:cs typeface="Arial" pitchFamily="34" charset="0"/>
            </a:endParaRPr>
          </a:p>
        </xdr:txBody>
      </xdr:sp>
      <xdr:sp macro="" textlink="U10">
        <xdr:nvSpPr>
          <xdr:cNvPr id="913" name="Site"/>
          <xdr:cNvSpPr txBox="1"/>
        </xdr:nvSpPr>
        <xdr:spPr>
          <a:xfrm>
            <a:off x="12380951" y="1793515"/>
            <a:ext cx="1893717" cy="76455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0A9CB4E-C33C-43A7-804C-9C796CB16006}"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Machanbaw</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914" name="Cluster"/>
          <xdr:cNvGrpSpPr/>
        </xdr:nvGrpSpPr>
        <xdr:grpSpPr>
          <a:xfrm>
            <a:off x="12477748" y="2348604"/>
            <a:ext cx="1732609" cy="380242"/>
            <a:chOff x="12477748" y="2348604"/>
            <a:chExt cx="1732609" cy="380242"/>
          </a:xfrm>
        </xdr:grpSpPr>
        <xdr:grpSp>
          <xdr:nvGrpSpPr>
            <xdr:cNvPr id="915" name="Shelter_G"/>
            <xdr:cNvGrpSpPr/>
          </xdr:nvGrpSpPr>
          <xdr:grpSpPr>
            <a:xfrm>
              <a:off x="12477748" y="2367654"/>
              <a:ext cx="332972" cy="361192"/>
              <a:chOff x="8585625" y="4782769"/>
              <a:chExt cx="147154" cy="166659"/>
            </a:xfrm>
          </xdr:grpSpPr>
          <xdr:pic>
            <xdr:nvPicPr>
              <xdr:cNvPr id="91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2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916" name="NFI_G"/>
            <xdr:cNvGrpSpPr/>
          </xdr:nvGrpSpPr>
          <xdr:grpSpPr>
            <a:xfrm>
              <a:off x="13877376" y="2348604"/>
              <a:ext cx="332981" cy="361192"/>
              <a:chOff x="8250078" y="5375644"/>
              <a:chExt cx="147158" cy="166659"/>
            </a:xfrm>
          </xdr:grpSpPr>
          <xdr:pic>
            <xdr:nvPicPr>
              <xdr:cNvPr id="91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1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3</xdr:col>
      <xdr:colOff>466725</xdr:colOff>
      <xdr:row>28</xdr:row>
      <xdr:rowOff>166199</xdr:rowOff>
    </xdr:from>
    <xdr:to>
      <xdr:col>5</xdr:col>
      <xdr:colOff>527050</xdr:colOff>
      <xdr:row>31</xdr:row>
      <xdr:rowOff>127197</xdr:rowOff>
    </xdr:to>
    <xdr:grpSp>
      <xdr:nvGrpSpPr>
        <xdr:cNvPr id="921" name="Mansi_G"/>
        <xdr:cNvGrpSpPr/>
      </xdr:nvGrpSpPr>
      <xdr:grpSpPr>
        <a:xfrm>
          <a:off x="2714625" y="7100399"/>
          <a:ext cx="1260475" cy="703948"/>
          <a:chOff x="12380951" y="1792148"/>
          <a:chExt cx="1893717" cy="2097454"/>
        </a:xfrm>
      </xdr:grpSpPr>
      <xdr:sp macro="" textlink="">
        <xdr:nvSpPr>
          <xdr:cNvPr id="922" name="Oval"/>
          <xdr:cNvSpPr/>
        </xdr:nvSpPr>
        <xdr:spPr>
          <a:xfrm>
            <a:off x="12972947" y="2118653"/>
            <a:ext cx="709725" cy="146025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11">
        <xdr:nvSpPr>
          <xdr:cNvPr id="923" name="Pop" hidden="1"/>
          <xdr:cNvSpPr txBox="1"/>
        </xdr:nvSpPr>
        <xdr:spPr>
          <a:xfrm>
            <a:off x="12959414" y="1807955"/>
            <a:ext cx="708964" cy="2081647"/>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CEADD31-539E-439B-AB72-59DE303C45EE}"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12,558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11">
        <xdr:nvSpPr>
          <xdr:cNvPr id="924" name="N_Camp" hidden="1"/>
          <xdr:cNvSpPr txBox="1"/>
        </xdr:nvSpPr>
        <xdr:spPr>
          <a:xfrm>
            <a:off x="13337141" y="2473538"/>
            <a:ext cx="836058" cy="76728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44E2ACE-82EC-420A-A5B4-8EF44E1DF6B3}" type="TxLink">
              <a:rPr lang="en-US" sz="1200" b="0" i="0" u="none" strike="noStrike">
                <a:solidFill>
                  <a:srgbClr val="000000"/>
                </a:solidFill>
                <a:latin typeface="Arial Black" panose="020B0A04020102020204" pitchFamily="34" charset="0"/>
                <a:cs typeface="Arial" pitchFamily="34" charset="0"/>
              </a:rPr>
              <a:pPr algn="r"/>
              <a:t>12 cps</a:t>
            </a:fld>
            <a:endParaRPr lang="en-US" sz="1200" i="1">
              <a:solidFill>
                <a:schemeClr val="tx1"/>
              </a:solidFill>
              <a:latin typeface="Arial Black" panose="020B0A04020102020204" pitchFamily="34" charset="0"/>
              <a:cs typeface="Arial" pitchFamily="34" charset="0"/>
            </a:endParaRPr>
          </a:p>
        </xdr:txBody>
      </xdr:sp>
      <xdr:sp macro="" textlink="U11">
        <xdr:nvSpPr>
          <xdr:cNvPr id="925" name="Site"/>
          <xdr:cNvSpPr txBox="1"/>
        </xdr:nvSpPr>
        <xdr:spPr>
          <a:xfrm>
            <a:off x="12380951" y="1792148"/>
            <a:ext cx="1893717" cy="76728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A4F36F19-B8DB-4B42-A9B8-FC06A9E13A6E}"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Mansi</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926" name="Cluster"/>
          <xdr:cNvGrpSpPr/>
        </xdr:nvGrpSpPr>
        <xdr:grpSpPr>
          <a:xfrm>
            <a:off x="12477748" y="2348604"/>
            <a:ext cx="1732609" cy="380242"/>
            <a:chOff x="12477748" y="2348604"/>
            <a:chExt cx="1732609" cy="380242"/>
          </a:xfrm>
        </xdr:grpSpPr>
        <xdr:grpSp>
          <xdr:nvGrpSpPr>
            <xdr:cNvPr id="927" name="Shelter_G"/>
            <xdr:cNvGrpSpPr/>
          </xdr:nvGrpSpPr>
          <xdr:grpSpPr>
            <a:xfrm>
              <a:off x="12477748" y="2367654"/>
              <a:ext cx="332972" cy="361192"/>
              <a:chOff x="8585625" y="4782769"/>
              <a:chExt cx="147154" cy="166659"/>
            </a:xfrm>
          </xdr:grpSpPr>
          <xdr:pic>
            <xdr:nvPicPr>
              <xdr:cNvPr id="93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3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928" name="NFI_G"/>
            <xdr:cNvGrpSpPr/>
          </xdr:nvGrpSpPr>
          <xdr:grpSpPr>
            <a:xfrm>
              <a:off x="13877376" y="2348604"/>
              <a:ext cx="332981" cy="361192"/>
              <a:chOff x="8250078" y="5375644"/>
              <a:chExt cx="147158" cy="166659"/>
            </a:xfrm>
          </xdr:grpSpPr>
          <xdr:pic>
            <xdr:nvPicPr>
              <xdr:cNvPr id="92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3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3</xdr:col>
      <xdr:colOff>301625</xdr:colOff>
      <xdr:row>33</xdr:row>
      <xdr:rowOff>30969</xdr:rowOff>
    </xdr:from>
    <xdr:to>
      <xdr:col>5</xdr:col>
      <xdr:colOff>361950</xdr:colOff>
      <xdr:row>35</xdr:row>
      <xdr:rowOff>128095</xdr:rowOff>
    </xdr:to>
    <xdr:grpSp>
      <xdr:nvGrpSpPr>
        <xdr:cNvPr id="933" name="Manton_G"/>
        <xdr:cNvGrpSpPr/>
      </xdr:nvGrpSpPr>
      <xdr:grpSpPr>
        <a:xfrm>
          <a:off x="2549525" y="8203419"/>
          <a:ext cx="1260475" cy="592426"/>
          <a:chOff x="12380951" y="1793489"/>
          <a:chExt cx="1893717" cy="1765029"/>
        </a:xfrm>
      </xdr:grpSpPr>
      <xdr:sp macro="" textlink="">
        <xdr:nvSpPr>
          <xdr:cNvPr id="934" name="Oval"/>
          <xdr:cNvSpPr/>
        </xdr:nvSpPr>
        <xdr:spPr>
          <a:xfrm>
            <a:off x="13270968" y="2582628"/>
            <a:ext cx="113684" cy="23235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12">
        <xdr:nvSpPr>
          <xdr:cNvPr id="935" name="Pop" hidden="1"/>
          <xdr:cNvSpPr txBox="1"/>
        </xdr:nvSpPr>
        <xdr:spPr>
          <a:xfrm>
            <a:off x="12959414" y="2139033"/>
            <a:ext cx="708964" cy="1419485"/>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EA2E6DEE-BFAE-488E-B37D-A319E155256A}"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347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12">
        <xdr:nvSpPr>
          <xdr:cNvPr id="936" name="N_Camp" hidden="1"/>
          <xdr:cNvSpPr txBox="1"/>
        </xdr:nvSpPr>
        <xdr:spPr>
          <a:xfrm>
            <a:off x="13337141" y="2474881"/>
            <a:ext cx="836058" cy="76459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26D4BA6-71A5-4C15-AD21-62A34420356F}" type="TxLink">
              <a:rPr lang="en-US" sz="1200" b="0" i="0" u="none" strike="noStrike">
                <a:solidFill>
                  <a:srgbClr val="000000"/>
                </a:solidFill>
                <a:latin typeface="Arial Black" panose="020B0A04020102020204" pitchFamily="34" charset="0"/>
                <a:cs typeface="Arial" pitchFamily="34" charset="0"/>
              </a:rPr>
              <a:pPr algn="r"/>
              <a:t>2 cps</a:t>
            </a:fld>
            <a:endParaRPr lang="en-US" sz="1200" i="1">
              <a:solidFill>
                <a:schemeClr val="tx1"/>
              </a:solidFill>
              <a:latin typeface="Arial Black" panose="020B0A04020102020204" pitchFamily="34" charset="0"/>
              <a:cs typeface="Arial" pitchFamily="34" charset="0"/>
            </a:endParaRPr>
          </a:p>
        </xdr:txBody>
      </xdr:sp>
      <xdr:sp macro="" textlink="U12">
        <xdr:nvSpPr>
          <xdr:cNvPr id="937" name="Site"/>
          <xdr:cNvSpPr txBox="1"/>
        </xdr:nvSpPr>
        <xdr:spPr>
          <a:xfrm>
            <a:off x="12380951" y="1793489"/>
            <a:ext cx="1893717" cy="76459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0B84F97-6347-4C24-A327-9AD9C3E25EA1}"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Manton</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938" name="Cluster"/>
          <xdr:cNvGrpSpPr/>
        </xdr:nvGrpSpPr>
        <xdr:grpSpPr>
          <a:xfrm>
            <a:off x="12477748" y="2348604"/>
            <a:ext cx="1732609" cy="380242"/>
            <a:chOff x="12477748" y="2348604"/>
            <a:chExt cx="1732609" cy="380242"/>
          </a:xfrm>
        </xdr:grpSpPr>
        <xdr:grpSp>
          <xdr:nvGrpSpPr>
            <xdr:cNvPr id="939" name="Shelter_G"/>
            <xdr:cNvGrpSpPr/>
          </xdr:nvGrpSpPr>
          <xdr:grpSpPr>
            <a:xfrm>
              <a:off x="12477748" y="2367654"/>
              <a:ext cx="332972" cy="361192"/>
              <a:chOff x="8585625" y="4782769"/>
              <a:chExt cx="147154" cy="166659"/>
            </a:xfrm>
          </xdr:grpSpPr>
          <xdr:pic>
            <xdr:nvPicPr>
              <xdr:cNvPr id="94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4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940" name="NFI_G"/>
            <xdr:cNvGrpSpPr/>
          </xdr:nvGrpSpPr>
          <xdr:grpSpPr>
            <a:xfrm>
              <a:off x="13877376" y="2348604"/>
              <a:ext cx="332981" cy="361192"/>
              <a:chOff x="8250078" y="5375644"/>
              <a:chExt cx="147158" cy="166659"/>
            </a:xfrm>
          </xdr:grpSpPr>
          <xdr:pic>
            <xdr:nvPicPr>
              <xdr:cNvPr id="94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4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2</xdr:col>
      <xdr:colOff>263525</xdr:colOff>
      <xdr:row>18</xdr:row>
      <xdr:rowOff>213278</xdr:rowOff>
    </xdr:from>
    <xdr:to>
      <xdr:col>4</xdr:col>
      <xdr:colOff>381000</xdr:colOff>
      <xdr:row>21</xdr:row>
      <xdr:rowOff>68432</xdr:rowOff>
    </xdr:to>
    <xdr:grpSp>
      <xdr:nvGrpSpPr>
        <xdr:cNvPr id="945" name="Mogaung_G"/>
        <xdr:cNvGrpSpPr/>
      </xdr:nvGrpSpPr>
      <xdr:grpSpPr>
        <a:xfrm>
          <a:off x="1939925" y="4670978"/>
          <a:ext cx="1260475" cy="598104"/>
          <a:chOff x="12380951" y="1796667"/>
          <a:chExt cx="1893717" cy="1755953"/>
        </a:xfrm>
      </xdr:grpSpPr>
      <xdr:sp macro="" textlink="">
        <xdr:nvSpPr>
          <xdr:cNvPr id="946" name="Oval"/>
          <xdr:cNvSpPr/>
        </xdr:nvSpPr>
        <xdr:spPr>
          <a:xfrm>
            <a:off x="13269545" y="2579720"/>
            <a:ext cx="116531" cy="23817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13">
        <xdr:nvSpPr>
          <xdr:cNvPr id="947" name="Pop" hidden="1"/>
          <xdr:cNvSpPr txBox="1"/>
        </xdr:nvSpPr>
        <xdr:spPr>
          <a:xfrm>
            <a:off x="12959414" y="2144931"/>
            <a:ext cx="708964" cy="140768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87C5C63-46EA-4648-8C2D-BF15DA99E544}"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477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13">
        <xdr:nvSpPr>
          <xdr:cNvPr id="948" name="N_Camp" hidden="1"/>
          <xdr:cNvSpPr txBox="1"/>
        </xdr:nvSpPr>
        <xdr:spPr>
          <a:xfrm>
            <a:off x="13337143" y="2478056"/>
            <a:ext cx="836059" cy="75824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A500BA3-45AD-45E6-8EC6-D340F9709E28}" type="TxLink">
              <a:rPr lang="en-US" sz="1200" b="0" i="0" u="none" strike="noStrike">
                <a:solidFill>
                  <a:srgbClr val="000000"/>
                </a:solidFill>
                <a:latin typeface="Arial Black" panose="020B0A04020102020204" pitchFamily="34" charset="0"/>
                <a:cs typeface="Arial" pitchFamily="34" charset="0"/>
              </a:rPr>
              <a:pPr algn="r"/>
              <a:t>6 cps</a:t>
            </a:fld>
            <a:endParaRPr lang="en-US" sz="1200" i="1">
              <a:solidFill>
                <a:schemeClr val="tx1"/>
              </a:solidFill>
              <a:latin typeface="Arial Black" panose="020B0A04020102020204" pitchFamily="34" charset="0"/>
              <a:cs typeface="Arial" pitchFamily="34" charset="0"/>
            </a:endParaRPr>
          </a:p>
        </xdr:txBody>
      </xdr:sp>
      <xdr:sp macro="" textlink="U13">
        <xdr:nvSpPr>
          <xdr:cNvPr id="949" name="Site"/>
          <xdr:cNvSpPr txBox="1"/>
        </xdr:nvSpPr>
        <xdr:spPr>
          <a:xfrm>
            <a:off x="12380951" y="1796667"/>
            <a:ext cx="1893717" cy="75824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A1C367A6-AEB3-45A1-911D-E47E312E0E26}"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Mogaung</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950" name="Cluster"/>
          <xdr:cNvGrpSpPr/>
        </xdr:nvGrpSpPr>
        <xdr:grpSpPr>
          <a:xfrm>
            <a:off x="12477748" y="2348604"/>
            <a:ext cx="1732609" cy="380242"/>
            <a:chOff x="12477748" y="2348604"/>
            <a:chExt cx="1732609" cy="380242"/>
          </a:xfrm>
        </xdr:grpSpPr>
        <xdr:grpSp>
          <xdr:nvGrpSpPr>
            <xdr:cNvPr id="951" name="Shelter_G"/>
            <xdr:cNvGrpSpPr/>
          </xdr:nvGrpSpPr>
          <xdr:grpSpPr>
            <a:xfrm>
              <a:off x="12477748" y="2367654"/>
              <a:ext cx="332972" cy="361192"/>
              <a:chOff x="8585625" y="4782769"/>
              <a:chExt cx="147154" cy="166659"/>
            </a:xfrm>
          </xdr:grpSpPr>
          <xdr:pic>
            <xdr:nvPicPr>
              <xdr:cNvPr id="95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5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952" name="NFI_G"/>
            <xdr:cNvGrpSpPr/>
          </xdr:nvGrpSpPr>
          <xdr:grpSpPr>
            <a:xfrm>
              <a:off x="13877376" y="2348604"/>
              <a:ext cx="332981" cy="361192"/>
              <a:chOff x="8250078" y="5375644"/>
              <a:chExt cx="147158" cy="166659"/>
            </a:xfrm>
          </xdr:grpSpPr>
          <xdr:pic>
            <xdr:nvPicPr>
              <xdr:cNvPr id="95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5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1</xdr:col>
      <xdr:colOff>219075</xdr:colOff>
      <xdr:row>21</xdr:row>
      <xdr:rowOff>235503</xdr:rowOff>
    </xdr:from>
    <xdr:to>
      <xdr:col>3</xdr:col>
      <xdr:colOff>88900</xdr:colOff>
      <xdr:row>24</xdr:row>
      <xdr:rowOff>90657</xdr:rowOff>
    </xdr:to>
    <xdr:grpSp>
      <xdr:nvGrpSpPr>
        <xdr:cNvPr id="957" name="Mohnyin_G"/>
        <xdr:cNvGrpSpPr/>
      </xdr:nvGrpSpPr>
      <xdr:grpSpPr>
        <a:xfrm>
          <a:off x="1076325" y="5436153"/>
          <a:ext cx="1260475" cy="598104"/>
          <a:chOff x="12380951" y="1796667"/>
          <a:chExt cx="1893717" cy="1755957"/>
        </a:xfrm>
      </xdr:grpSpPr>
      <xdr:sp macro="" textlink="">
        <xdr:nvSpPr>
          <xdr:cNvPr id="958" name="Oval"/>
          <xdr:cNvSpPr/>
        </xdr:nvSpPr>
        <xdr:spPr>
          <a:xfrm>
            <a:off x="13260081" y="2560381"/>
            <a:ext cx="135456" cy="27685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14">
        <xdr:nvSpPr>
          <xdr:cNvPr id="959" name="Pop" hidden="1"/>
          <xdr:cNvSpPr txBox="1"/>
        </xdr:nvSpPr>
        <xdr:spPr>
          <a:xfrm>
            <a:off x="12959413" y="2144932"/>
            <a:ext cx="708963" cy="1407692"/>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E5618769-8276-4C66-82A1-E0F5E71491B2}"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416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14">
        <xdr:nvSpPr>
          <xdr:cNvPr id="960" name="N_Camp" hidden="1"/>
          <xdr:cNvSpPr txBox="1"/>
        </xdr:nvSpPr>
        <xdr:spPr>
          <a:xfrm>
            <a:off x="13337142" y="2478057"/>
            <a:ext cx="836058" cy="75824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E612516F-0C7A-4366-9650-07DA4A9358D0}" type="TxLink">
              <a:rPr lang="en-US" sz="1200" b="0" i="0" u="none" strike="noStrike">
                <a:solidFill>
                  <a:srgbClr val="000000"/>
                </a:solidFill>
                <a:latin typeface="Arial Black" panose="020B0A04020102020204" pitchFamily="34" charset="0"/>
                <a:cs typeface="Arial" pitchFamily="34" charset="0"/>
              </a:rPr>
              <a:pPr algn="r"/>
              <a:t>4 cps</a:t>
            </a:fld>
            <a:endParaRPr lang="en-US" sz="1200" i="1">
              <a:solidFill>
                <a:schemeClr val="tx1"/>
              </a:solidFill>
              <a:latin typeface="Arial Black" panose="020B0A04020102020204" pitchFamily="34" charset="0"/>
              <a:cs typeface="Arial" pitchFamily="34" charset="0"/>
            </a:endParaRPr>
          </a:p>
        </xdr:txBody>
      </xdr:sp>
      <xdr:sp macro="" textlink="U14">
        <xdr:nvSpPr>
          <xdr:cNvPr id="961" name="Site"/>
          <xdr:cNvSpPr txBox="1"/>
        </xdr:nvSpPr>
        <xdr:spPr>
          <a:xfrm>
            <a:off x="12380951" y="1796667"/>
            <a:ext cx="1893717" cy="75824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AB936AA9-9F2F-49EF-B88D-257A1E5FD3B7}"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Mohnyin</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962" name="Cluster"/>
          <xdr:cNvGrpSpPr/>
        </xdr:nvGrpSpPr>
        <xdr:grpSpPr>
          <a:xfrm>
            <a:off x="12477748" y="2348604"/>
            <a:ext cx="1732609" cy="380242"/>
            <a:chOff x="12477748" y="2348604"/>
            <a:chExt cx="1732609" cy="380242"/>
          </a:xfrm>
        </xdr:grpSpPr>
        <xdr:grpSp>
          <xdr:nvGrpSpPr>
            <xdr:cNvPr id="963" name="Shelter_G"/>
            <xdr:cNvGrpSpPr/>
          </xdr:nvGrpSpPr>
          <xdr:grpSpPr>
            <a:xfrm>
              <a:off x="12477748" y="2367654"/>
              <a:ext cx="332972" cy="361192"/>
              <a:chOff x="8585625" y="4782769"/>
              <a:chExt cx="147154" cy="166659"/>
            </a:xfrm>
          </xdr:grpSpPr>
          <xdr:pic>
            <xdr:nvPicPr>
              <xdr:cNvPr id="96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6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964" name="NFI_G"/>
            <xdr:cNvGrpSpPr/>
          </xdr:nvGrpSpPr>
          <xdr:grpSpPr>
            <a:xfrm>
              <a:off x="13877376" y="2348604"/>
              <a:ext cx="332981" cy="361192"/>
              <a:chOff x="8250078" y="5375644"/>
              <a:chExt cx="147158" cy="166659"/>
            </a:xfrm>
          </xdr:grpSpPr>
          <xdr:pic>
            <xdr:nvPicPr>
              <xdr:cNvPr id="96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6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4</xdr:col>
      <xdr:colOff>22225</xdr:colOff>
      <xdr:row>24</xdr:row>
      <xdr:rowOff>128099</xdr:rowOff>
    </xdr:from>
    <xdr:to>
      <xdr:col>5</xdr:col>
      <xdr:colOff>654050</xdr:colOff>
      <xdr:row>27</xdr:row>
      <xdr:rowOff>89097</xdr:rowOff>
    </xdr:to>
    <xdr:grpSp>
      <xdr:nvGrpSpPr>
        <xdr:cNvPr id="969" name="Momauk_G"/>
        <xdr:cNvGrpSpPr/>
      </xdr:nvGrpSpPr>
      <xdr:grpSpPr>
        <a:xfrm>
          <a:off x="2841625" y="6071699"/>
          <a:ext cx="1260475" cy="703948"/>
          <a:chOff x="12380951" y="1792146"/>
          <a:chExt cx="1893717" cy="2097455"/>
        </a:xfrm>
      </xdr:grpSpPr>
      <xdr:sp macro="" textlink="">
        <xdr:nvSpPr>
          <xdr:cNvPr id="970" name="Oval"/>
          <xdr:cNvSpPr/>
        </xdr:nvSpPr>
        <xdr:spPr>
          <a:xfrm>
            <a:off x="12859021" y="1884248"/>
            <a:ext cx="937578" cy="192906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15">
        <xdr:nvSpPr>
          <xdr:cNvPr id="971" name="Pop" hidden="1"/>
          <xdr:cNvSpPr txBox="1"/>
        </xdr:nvSpPr>
        <xdr:spPr>
          <a:xfrm>
            <a:off x="12959414" y="1807953"/>
            <a:ext cx="708963" cy="2081648"/>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83B96152-AEAE-4D34-A16A-A8737E27154D}"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24,578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15">
        <xdr:nvSpPr>
          <xdr:cNvPr id="972" name="N_Camp" hidden="1"/>
          <xdr:cNvSpPr txBox="1"/>
        </xdr:nvSpPr>
        <xdr:spPr>
          <a:xfrm>
            <a:off x="13337142" y="2473536"/>
            <a:ext cx="836058" cy="76728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DD167953-18B7-46D9-9533-942CDB971178}" type="TxLink">
              <a:rPr lang="en-US" sz="1200" b="0" i="0" u="none" strike="noStrike">
                <a:solidFill>
                  <a:srgbClr val="000000"/>
                </a:solidFill>
                <a:latin typeface="Arial Black" panose="020B0A04020102020204" pitchFamily="34" charset="0"/>
                <a:cs typeface="Arial" pitchFamily="34" charset="0"/>
              </a:rPr>
              <a:pPr algn="r"/>
              <a:t>22 cps</a:t>
            </a:fld>
            <a:endParaRPr lang="en-US" sz="1200" i="1">
              <a:solidFill>
                <a:schemeClr val="tx1"/>
              </a:solidFill>
              <a:latin typeface="Arial Black" panose="020B0A04020102020204" pitchFamily="34" charset="0"/>
              <a:cs typeface="Arial" pitchFamily="34" charset="0"/>
            </a:endParaRPr>
          </a:p>
        </xdr:txBody>
      </xdr:sp>
      <xdr:sp macro="" textlink="U15">
        <xdr:nvSpPr>
          <xdr:cNvPr id="973" name="Site"/>
          <xdr:cNvSpPr txBox="1"/>
        </xdr:nvSpPr>
        <xdr:spPr>
          <a:xfrm>
            <a:off x="12380951" y="1792146"/>
            <a:ext cx="1893717" cy="76728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3EAFAF6-4D4C-4DD9-9AE3-2F5A69003281}"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Momauk</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974" name="Cluster"/>
          <xdr:cNvGrpSpPr/>
        </xdr:nvGrpSpPr>
        <xdr:grpSpPr>
          <a:xfrm>
            <a:off x="12477748" y="2348604"/>
            <a:ext cx="1732609" cy="380242"/>
            <a:chOff x="12477748" y="2348604"/>
            <a:chExt cx="1732609" cy="380242"/>
          </a:xfrm>
        </xdr:grpSpPr>
        <xdr:grpSp>
          <xdr:nvGrpSpPr>
            <xdr:cNvPr id="975" name="Shelter_G"/>
            <xdr:cNvGrpSpPr/>
          </xdr:nvGrpSpPr>
          <xdr:grpSpPr>
            <a:xfrm>
              <a:off x="12477748" y="2367654"/>
              <a:ext cx="332972" cy="361192"/>
              <a:chOff x="8585625" y="4782769"/>
              <a:chExt cx="147154" cy="166659"/>
            </a:xfrm>
          </xdr:grpSpPr>
          <xdr:pic>
            <xdr:nvPicPr>
              <xdr:cNvPr id="97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8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976" name="NFI_G"/>
            <xdr:cNvGrpSpPr/>
          </xdr:nvGrpSpPr>
          <xdr:grpSpPr>
            <a:xfrm>
              <a:off x="13877376" y="2348604"/>
              <a:ext cx="332981" cy="361192"/>
              <a:chOff x="8250078" y="5375644"/>
              <a:chExt cx="147158" cy="166659"/>
            </a:xfrm>
          </xdr:grpSpPr>
          <xdr:pic>
            <xdr:nvPicPr>
              <xdr:cNvPr id="97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7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5</xdr:col>
      <xdr:colOff>511175</xdr:colOff>
      <xdr:row>28</xdr:row>
      <xdr:rowOff>217000</xdr:rowOff>
    </xdr:from>
    <xdr:to>
      <xdr:col>8</xdr:col>
      <xdr:colOff>9525</xdr:colOff>
      <xdr:row>31</xdr:row>
      <xdr:rowOff>177997</xdr:rowOff>
    </xdr:to>
    <xdr:grpSp>
      <xdr:nvGrpSpPr>
        <xdr:cNvPr id="981" name="Muse_G"/>
        <xdr:cNvGrpSpPr/>
      </xdr:nvGrpSpPr>
      <xdr:grpSpPr>
        <a:xfrm>
          <a:off x="3959225" y="7151200"/>
          <a:ext cx="1289050" cy="703947"/>
          <a:chOff x="12380951" y="1792149"/>
          <a:chExt cx="1893717" cy="2097452"/>
        </a:xfrm>
      </xdr:grpSpPr>
      <xdr:sp macro="" textlink="">
        <xdr:nvSpPr>
          <xdr:cNvPr id="982" name="Oval"/>
          <xdr:cNvSpPr/>
        </xdr:nvSpPr>
        <xdr:spPr>
          <a:xfrm>
            <a:off x="13217457" y="2621728"/>
            <a:ext cx="220705" cy="45409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16">
        <xdr:nvSpPr>
          <xdr:cNvPr id="983" name="Pop" hidden="1"/>
          <xdr:cNvSpPr txBox="1"/>
        </xdr:nvSpPr>
        <xdr:spPr>
          <a:xfrm>
            <a:off x="12959414" y="1807953"/>
            <a:ext cx="708965" cy="2081648"/>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D6B90F1-4C1F-44C0-A8CD-9B582EB93477}"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1,090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16">
        <xdr:nvSpPr>
          <xdr:cNvPr id="984" name="N_Camp" hidden="1"/>
          <xdr:cNvSpPr txBox="1"/>
        </xdr:nvSpPr>
        <xdr:spPr>
          <a:xfrm>
            <a:off x="13337143" y="2473539"/>
            <a:ext cx="836058" cy="76728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D9FA0E8-E242-440A-8D4D-7C8888C9AAEC}" type="TxLink">
              <a:rPr lang="en-US" sz="1200" b="0" i="0" u="none" strike="noStrike">
                <a:solidFill>
                  <a:srgbClr val="000000"/>
                </a:solidFill>
                <a:latin typeface="Arial Black" panose="020B0A04020102020204" pitchFamily="34" charset="0"/>
                <a:cs typeface="Arial" pitchFamily="34" charset="0"/>
              </a:rPr>
              <a:pPr algn="r"/>
              <a:t>7 cps</a:t>
            </a:fld>
            <a:endParaRPr lang="en-US" sz="1200" i="1">
              <a:solidFill>
                <a:schemeClr val="tx1"/>
              </a:solidFill>
              <a:latin typeface="Arial Black" panose="020B0A04020102020204" pitchFamily="34" charset="0"/>
              <a:cs typeface="Arial" pitchFamily="34" charset="0"/>
            </a:endParaRPr>
          </a:p>
        </xdr:txBody>
      </xdr:sp>
      <xdr:sp macro="" textlink="U16">
        <xdr:nvSpPr>
          <xdr:cNvPr id="985" name="Site"/>
          <xdr:cNvSpPr txBox="1"/>
        </xdr:nvSpPr>
        <xdr:spPr>
          <a:xfrm>
            <a:off x="12380951" y="1792149"/>
            <a:ext cx="1893717" cy="76728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D316DD5-FC82-4BF4-B33B-75869D9E26FB}"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Muse</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986" name="Cluster"/>
          <xdr:cNvGrpSpPr/>
        </xdr:nvGrpSpPr>
        <xdr:grpSpPr>
          <a:xfrm>
            <a:off x="12477748" y="2348604"/>
            <a:ext cx="1732609" cy="380242"/>
            <a:chOff x="12477748" y="2348604"/>
            <a:chExt cx="1732609" cy="380242"/>
          </a:xfrm>
        </xdr:grpSpPr>
        <xdr:grpSp>
          <xdr:nvGrpSpPr>
            <xdr:cNvPr id="987" name="Shelter_G"/>
            <xdr:cNvGrpSpPr/>
          </xdr:nvGrpSpPr>
          <xdr:grpSpPr>
            <a:xfrm>
              <a:off x="12477748" y="2367654"/>
              <a:ext cx="332972" cy="361192"/>
              <a:chOff x="8585625" y="4782769"/>
              <a:chExt cx="147154" cy="166659"/>
            </a:xfrm>
          </xdr:grpSpPr>
          <xdr:pic>
            <xdr:nvPicPr>
              <xdr:cNvPr id="99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9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988" name="NFI_G"/>
            <xdr:cNvGrpSpPr/>
          </xdr:nvGrpSpPr>
          <xdr:grpSpPr>
            <a:xfrm>
              <a:off x="13877376" y="2348604"/>
              <a:ext cx="332981" cy="361192"/>
              <a:chOff x="8250078" y="5375644"/>
              <a:chExt cx="147158" cy="166659"/>
            </a:xfrm>
          </xdr:grpSpPr>
          <xdr:pic>
            <xdr:nvPicPr>
              <xdr:cNvPr id="98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9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3</xdr:col>
      <xdr:colOff>352425</xdr:colOff>
      <xdr:row>20</xdr:row>
      <xdr:rowOff>19703</xdr:rowOff>
    </xdr:from>
    <xdr:to>
      <xdr:col>5</xdr:col>
      <xdr:colOff>412750</xdr:colOff>
      <xdr:row>22</xdr:row>
      <xdr:rowOff>228489</xdr:rowOff>
    </xdr:to>
    <xdr:grpSp>
      <xdr:nvGrpSpPr>
        <xdr:cNvPr id="993" name="Myitkyina_G"/>
        <xdr:cNvGrpSpPr/>
      </xdr:nvGrpSpPr>
      <xdr:grpSpPr>
        <a:xfrm>
          <a:off x="2600325" y="4972703"/>
          <a:ext cx="1260475" cy="704086"/>
          <a:chOff x="12380951" y="1798845"/>
          <a:chExt cx="1893717" cy="2072588"/>
        </a:xfrm>
      </xdr:grpSpPr>
      <xdr:sp macro="" textlink="">
        <xdr:nvSpPr>
          <xdr:cNvPr id="994" name="Oval"/>
          <xdr:cNvSpPr/>
        </xdr:nvSpPr>
        <xdr:spPr>
          <a:xfrm>
            <a:off x="13076558" y="2331828"/>
            <a:ext cx="502504" cy="103390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17">
        <xdr:nvSpPr>
          <xdr:cNvPr id="995" name="Pop" hidden="1"/>
          <xdr:cNvSpPr txBox="1"/>
        </xdr:nvSpPr>
        <xdr:spPr>
          <a:xfrm>
            <a:off x="12959414" y="1826125"/>
            <a:ext cx="708964" cy="2045308"/>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D719019-EFC5-4418-B124-1735F2CDF95B}"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7,415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17">
        <xdr:nvSpPr>
          <xdr:cNvPr id="996" name="N_Camp" hidden="1"/>
          <xdr:cNvSpPr txBox="1"/>
        </xdr:nvSpPr>
        <xdr:spPr>
          <a:xfrm>
            <a:off x="13337141" y="2480231"/>
            <a:ext cx="836058" cy="75388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3CD4433E-C71C-4853-8AA5-C6427D79DF42}" type="TxLink">
              <a:rPr lang="en-US" sz="1200" b="0" i="0" u="none" strike="noStrike">
                <a:solidFill>
                  <a:srgbClr val="000000"/>
                </a:solidFill>
                <a:latin typeface="Arial Black" panose="020B0A04020102020204" pitchFamily="34" charset="0"/>
                <a:cs typeface="Arial" pitchFamily="34" charset="0"/>
              </a:rPr>
              <a:pPr algn="r"/>
              <a:t>24 cps</a:t>
            </a:fld>
            <a:endParaRPr lang="en-US" sz="1200" i="1">
              <a:solidFill>
                <a:schemeClr val="tx1"/>
              </a:solidFill>
              <a:latin typeface="Arial Black" panose="020B0A04020102020204" pitchFamily="34" charset="0"/>
              <a:cs typeface="Arial" pitchFamily="34" charset="0"/>
            </a:endParaRPr>
          </a:p>
        </xdr:txBody>
      </xdr:sp>
      <xdr:sp macro="" textlink="U17">
        <xdr:nvSpPr>
          <xdr:cNvPr id="997" name="Site"/>
          <xdr:cNvSpPr txBox="1"/>
        </xdr:nvSpPr>
        <xdr:spPr>
          <a:xfrm>
            <a:off x="12380951" y="1798845"/>
            <a:ext cx="1893717" cy="75388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8452BBF-2957-45DC-B07D-4A8AAD66CAA9}"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Myitkyina</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998" name="Cluster"/>
          <xdr:cNvGrpSpPr/>
        </xdr:nvGrpSpPr>
        <xdr:grpSpPr>
          <a:xfrm>
            <a:off x="12477748" y="2348604"/>
            <a:ext cx="1732609" cy="380242"/>
            <a:chOff x="12477748" y="2348604"/>
            <a:chExt cx="1732609" cy="380242"/>
          </a:xfrm>
        </xdr:grpSpPr>
        <xdr:grpSp>
          <xdr:nvGrpSpPr>
            <xdr:cNvPr id="999" name="Shelter_G"/>
            <xdr:cNvGrpSpPr/>
          </xdr:nvGrpSpPr>
          <xdr:grpSpPr>
            <a:xfrm>
              <a:off x="12477748" y="2367654"/>
              <a:ext cx="332972" cy="361192"/>
              <a:chOff x="8585625" y="4782769"/>
              <a:chExt cx="147154" cy="166659"/>
            </a:xfrm>
          </xdr:grpSpPr>
          <xdr:pic>
            <xdr:nvPicPr>
              <xdr:cNvPr id="100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0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1000" name="NFI_G"/>
            <xdr:cNvGrpSpPr/>
          </xdr:nvGrpSpPr>
          <xdr:grpSpPr>
            <a:xfrm>
              <a:off x="13877376" y="2348604"/>
              <a:ext cx="332981" cy="361192"/>
              <a:chOff x="8250078" y="5375644"/>
              <a:chExt cx="147158" cy="166659"/>
            </a:xfrm>
          </xdr:grpSpPr>
          <xdr:pic>
            <xdr:nvPicPr>
              <xdr:cNvPr id="100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0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4</xdr:col>
      <xdr:colOff>314325</xdr:colOff>
      <xdr:row>30</xdr:row>
      <xdr:rowOff>185249</xdr:rowOff>
    </xdr:from>
    <xdr:to>
      <xdr:col>6</xdr:col>
      <xdr:colOff>288925</xdr:colOff>
      <xdr:row>33</xdr:row>
      <xdr:rowOff>146247</xdr:rowOff>
    </xdr:to>
    <xdr:grpSp>
      <xdr:nvGrpSpPr>
        <xdr:cNvPr id="1005" name="Namhkan_G"/>
        <xdr:cNvGrpSpPr/>
      </xdr:nvGrpSpPr>
      <xdr:grpSpPr>
        <a:xfrm>
          <a:off x="3133725" y="7614749"/>
          <a:ext cx="1270000" cy="703948"/>
          <a:chOff x="12380951" y="1792148"/>
          <a:chExt cx="1893717" cy="2097456"/>
        </a:xfrm>
      </xdr:grpSpPr>
      <xdr:sp macro="" textlink="">
        <xdr:nvSpPr>
          <xdr:cNvPr id="1006" name="Oval"/>
          <xdr:cNvSpPr/>
        </xdr:nvSpPr>
        <xdr:spPr>
          <a:xfrm>
            <a:off x="13199035" y="2583828"/>
            <a:ext cx="257548" cy="52990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18">
        <xdr:nvSpPr>
          <xdr:cNvPr id="1007" name="Pop" hidden="1"/>
          <xdr:cNvSpPr txBox="1"/>
        </xdr:nvSpPr>
        <xdr:spPr>
          <a:xfrm>
            <a:off x="12959415" y="1807955"/>
            <a:ext cx="708964" cy="208164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84AD68D1-33DF-434A-A91C-49D0C33F6ED5}"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1,896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18">
        <xdr:nvSpPr>
          <xdr:cNvPr id="1008" name="N_Camp" hidden="1"/>
          <xdr:cNvSpPr txBox="1"/>
        </xdr:nvSpPr>
        <xdr:spPr>
          <a:xfrm>
            <a:off x="13337142" y="2473539"/>
            <a:ext cx="836058" cy="767283"/>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2C3B7838-B7A8-4B09-A073-76E98731080F}" type="TxLink">
              <a:rPr lang="en-US" sz="1200" b="0" i="0" u="none" strike="noStrike">
                <a:solidFill>
                  <a:srgbClr val="000000"/>
                </a:solidFill>
                <a:latin typeface="Arial Black" panose="020B0A04020102020204" pitchFamily="34" charset="0"/>
                <a:cs typeface="Arial" pitchFamily="34" charset="0"/>
              </a:rPr>
              <a:pPr algn="r"/>
              <a:t>5 cps</a:t>
            </a:fld>
            <a:endParaRPr lang="en-US" sz="1200" i="1">
              <a:solidFill>
                <a:schemeClr val="tx1"/>
              </a:solidFill>
              <a:latin typeface="Arial Black" panose="020B0A04020102020204" pitchFamily="34" charset="0"/>
              <a:cs typeface="Arial" pitchFamily="34" charset="0"/>
            </a:endParaRPr>
          </a:p>
        </xdr:txBody>
      </xdr:sp>
      <xdr:sp macro="" textlink="U18">
        <xdr:nvSpPr>
          <xdr:cNvPr id="1009" name="Site"/>
          <xdr:cNvSpPr txBox="1"/>
        </xdr:nvSpPr>
        <xdr:spPr>
          <a:xfrm>
            <a:off x="12380951" y="1792148"/>
            <a:ext cx="1893717" cy="76728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F043CB7-4704-4D8B-82D3-ECE87093C471}"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Namhkan</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1010" name="Cluster"/>
          <xdr:cNvGrpSpPr/>
        </xdr:nvGrpSpPr>
        <xdr:grpSpPr>
          <a:xfrm>
            <a:off x="12477748" y="2348604"/>
            <a:ext cx="1732609" cy="380242"/>
            <a:chOff x="12477748" y="2348604"/>
            <a:chExt cx="1732609" cy="380242"/>
          </a:xfrm>
        </xdr:grpSpPr>
        <xdr:grpSp>
          <xdr:nvGrpSpPr>
            <xdr:cNvPr id="1011" name="Shelter_G"/>
            <xdr:cNvGrpSpPr/>
          </xdr:nvGrpSpPr>
          <xdr:grpSpPr>
            <a:xfrm>
              <a:off x="12477748" y="2367654"/>
              <a:ext cx="332972" cy="361192"/>
              <a:chOff x="8585625" y="4782769"/>
              <a:chExt cx="147154" cy="166659"/>
            </a:xfrm>
          </xdr:grpSpPr>
          <xdr:pic>
            <xdr:nvPicPr>
              <xdr:cNvPr id="101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1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1012" name="NFI_G"/>
            <xdr:cNvGrpSpPr/>
          </xdr:nvGrpSpPr>
          <xdr:grpSpPr>
            <a:xfrm>
              <a:off x="13877376" y="2348604"/>
              <a:ext cx="332981" cy="361192"/>
              <a:chOff x="8250078" y="5375644"/>
              <a:chExt cx="147158" cy="166659"/>
            </a:xfrm>
          </xdr:grpSpPr>
          <xdr:pic>
            <xdr:nvPicPr>
              <xdr:cNvPr id="101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1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4</xdr:col>
      <xdr:colOff>73025</xdr:colOff>
      <xdr:row>35</xdr:row>
      <xdr:rowOff>100819</xdr:rowOff>
    </xdr:from>
    <xdr:to>
      <xdr:col>6</xdr:col>
      <xdr:colOff>47625</xdr:colOff>
      <xdr:row>37</xdr:row>
      <xdr:rowOff>197945</xdr:rowOff>
    </xdr:to>
    <xdr:grpSp>
      <xdr:nvGrpSpPr>
        <xdr:cNvPr id="1017" name="Namtu_G"/>
        <xdr:cNvGrpSpPr/>
      </xdr:nvGrpSpPr>
      <xdr:grpSpPr>
        <a:xfrm>
          <a:off x="2892425" y="8768569"/>
          <a:ext cx="1270000" cy="592426"/>
          <a:chOff x="12380951" y="1793490"/>
          <a:chExt cx="1893717" cy="1765028"/>
        </a:xfrm>
      </xdr:grpSpPr>
      <xdr:sp macro="" textlink="">
        <xdr:nvSpPr>
          <xdr:cNvPr id="1018" name="Oval"/>
          <xdr:cNvSpPr/>
        </xdr:nvSpPr>
        <xdr:spPr>
          <a:xfrm>
            <a:off x="13255657" y="2551334"/>
            <a:ext cx="144305" cy="29494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19">
        <xdr:nvSpPr>
          <xdr:cNvPr id="1019" name="Pop" hidden="1"/>
          <xdr:cNvSpPr txBox="1"/>
        </xdr:nvSpPr>
        <xdr:spPr>
          <a:xfrm>
            <a:off x="12959415" y="2139034"/>
            <a:ext cx="708964" cy="141948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A065460C-69F6-4BC8-89D2-60787DB6EE61}"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561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19">
        <xdr:nvSpPr>
          <xdr:cNvPr id="1020" name="N_Camp" hidden="1"/>
          <xdr:cNvSpPr txBox="1"/>
        </xdr:nvSpPr>
        <xdr:spPr>
          <a:xfrm>
            <a:off x="13337142" y="2474881"/>
            <a:ext cx="836058" cy="76459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1CFF99B-E33E-40C4-9670-2FE1F807379C}" type="TxLink">
              <a:rPr lang="en-US" sz="1200" b="0" i="0" u="none" strike="noStrike">
                <a:solidFill>
                  <a:srgbClr val="000000"/>
                </a:solidFill>
                <a:latin typeface="Arial Black" panose="020B0A04020102020204" pitchFamily="34" charset="0"/>
                <a:cs typeface="Arial" pitchFamily="34" charset="0"/>
              </a:rPr>
              <a:pPr algn="r"/>
              <a:t>2 cps</a:t>
            </a:fld>
            <a:endParaRPr lang="en-US" sz="1200" i="1">
              <a:solidFill>
                <a:schemeClr val="tx1"/>
              </a:solidFill>
              <a:latin typeface="Arial Black" panose="020B0A04020102020204" pitchFamily="34" charset="0"/>
              <a:cs typeface="Arial" pitchFamily="34" charset="0"/>
            </a:endParaRPr>
          </a:p>
        </xdr:txBody>
      </xdr:sp>
      <xdr:sp macro="" textlink="U19">
        <xdr:nvSpPr>
          <xdr:cNvPr id="1021" name="Site"/>
          <xdr:cNvSpPr txBox="1"/>
        </xdr:nvSpPr>
        <xdr:spPr>
          <a:xfrm>
            <a:off x="12380951" y="1793490"/>
            <a:ext cx="1893717" cy="76459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A4F13A73-9DA6-4769-9BC3-C8F37BB674B3}"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Namtu</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1022" name="Cluster"/>
          <xdr:cNvGrpSpPr/>
        </xdr:nvGrpSpPr>
        <xdr:grpSpPr>
          <a:xfrm>
            <a:off x="12477748" y="2348604"/>
            <a:ext cx="1732609" cy="380242"/>
            <a:chOff x="12477748" y="2348604"/>
            <a:chExt cx="1732609" cy="380242"/>
          </a:xfrm>
        </xdr:grpSpPr>
        <xdr:grpSp>
          <xdr:nvGrpSpPr>
            <xdr:cNvPr id="1023" name="Shelter_G"/>
            <xdr:cNvGrpSpPr/>
          </xdr:nvGrpSpPr>
          <xdr:grpSpPr>
            <a:xfrm>
              <a:off x="12477748" y="2367654"/>
              <a:ext cx="332972" cy="361192"/>
              <a:chOff x="8585625" y="4782769"/>
              <a:chExt cx="147154" cy="166659"/>
            </a:xfrm>
          </xdr:grpSpPr>
          <xdr:pic>
            <xdr:nvPicPr>
              <xdr:cNvPr id="102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2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1024" name="NFI_G"/>
            <xdr:cNvGrpSpPr/>
          </xdr:nvGrpSpPr>
          <xdr:grpSpPr>
            <a:xfrm>
              <a:off x="13877376" y="2348604"/>
              <a:ext cx="332981" cy="361192"/>
              <a:chOff x="8250078" y="5375644"/>
              <a:chExt cx="147158" cy="166659"/>
            </a:xfrm>
          </xdr:grpSpPr>
          <xdr:pic>
            <xdr:nvPicPr>
              <xdr:cNvPr id="102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2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4</xdr:col>
      <xdr:colOff>9525</xdr:colOff>
      <xdr:row>5</xdr:row>
      <xdr:rowOff>122019</xdr:rowOff>
    </xdr:from>
    <xdr:to>
      <xdr:col>5</xdr:col>
      <xdr:colOff>641350</xdr:colOff>
      <xdr:row>7</xdr:row>
      <xdr:rowOff>222492</xdr:rowOff>
    </xdr:to>
    <xdr:grpSp>
      <xdr:nvGrpSpPr>
        <xdr:cNvPr id="1029" name="Puta-O_G"/>
        <xdr:cNvGrpSpPr/>
      </xdr:nvGrpSpPr>
      <xdr:grpSpPr>
        <a:xfrm>
          <a:off x="2828925" y="1360269"/>
          <a:ext cx="1260475" cy="595773"/>
          <a:chOff x="12380951" y="1799142"/>
          <a:chExt cx="1893717" cy="1748886"/>
        </a:xfrm>
      </xdr:grpSpPr>
      <xdr:sp macro="" textlink="">
        <xdr:nvSpPr>
          <xdr:cNvPr id="1030" name="Oval"/>
          <xdr:cNvSpPr/>
        </xdr:nvSpPr>
        <xdr:spPr>
          <a:xfrm>
            <a:off x="13259015" y="2558201"/>
            <a:ext cx="137590" cy="28121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20">
        <xdr:nvSpPr>
          <xdr:cNvPr id="1031" name="Pop" hidden="1"/>
          <xdr:cNvSpPr txBox="1"/>
        </xdr:nvSpPr>
        <xdr:spPr>
          <a:xfrm>
            <a:off x="12959414" y="2149530"/>
            <a:ext cx="708963" cy="1398498"/>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AC81C24-5EDF-4597-A809-9A461C7ADBFC}"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344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20">
        <xdr:nvSpPr>
          <xdr:cNvPr id="1032" name="N_Camp" hidden="1"/>
          <xdr:cNvSpPr txBox="1"/>
        </xdr:nvSpPr>
        <xdr:spPr>
          <a:xfrm>
            <a:off x="13337142" y="2480533"/>
            <a:ext cx="836058" cy="753294"/>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3085E9C8-1112-40CD-87F5-E7339186B7CF}" type="TxLink">
              <a:rPr lang="en-US" sz="1200" b="0" i="0" u="none" strike="noStrike">
                <a:solidFill>
                  <a:srgbClr val="000000"/>
                </a:solidFill>
                <a:latin typeface="Arial Black" panose="020B0A04020102020204" pitchFamily="34" charset="0"/>
                <a:cs typeface="Arial" pitchFamily="34" charset="0"/>
              </a:rPr>
              <a:pPr algn="r"/>
              <a:t>3 cps</a:t>
            </a:fld>
            <a:endParaRPr lang="en-US" sz="1200" i="1">
              <a:solidFill>
                <a:schemeClr val="tx1"/>
              </a:solidFill>
              <a:latin typeface="Arial Black" panose="020B0A04020102020204" pitchFamily="34" charset="0"/>
              <a:cs typeface="Arial" pitchFamily="34" charset="0"/>
            </a:endParaRPr>
          </a:p>
        </xdr:txBody>
      </xdr:sp>
      <xdr:sp macro="" textlink="U20">
        <xdr:nvSpPr>
          <xdr:cNvPr id="1033" name="Site"/>
          <xdr:cNvSpPr txBox="1"/>
        </xdr:nvSpPr>
        <xdr:spPr>
          <a:xfrm>
            <a:off x="12380951" y="1799142"/>
            <a:ext cx="1893717" cy="753294"/>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BA4B954-0F02-4524-9AFB-1501C7B4A1E5}"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Puta-O</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1034" name="Cluster"/>
          <xdr:cNvGrpSpPr/>
        </xdr:nvGrpSpPr>
        <xdr:grpSpPr>
          <a:xfrm>
            <a:off x="12477748" y="2348604"/>
            <a:ext cx="1732609" cy="380242"/>
            <a:chOff x="12477748" y="2348604"/>
            <a:chExt cx="1732609" cy="380242"/>
          </a:xfrm>
        </xdr:grpSpPr>
        <xdr:grpSp>
          <xdr:nvGrpSpPr>
            <xdr:cNvPr id="1035" name="Shelter_G"/>
            <xdr:cNvGrpSpPr/>
          </xdr:nvGrpSpPr>
          <xdr:grpSpPr>
            <a:xfrm>
              <a:off x="12477748" y="2367654"/>
              <a:ext cx="332972" cy="361192"/>
              <a:chOff x="8585625" y="4782769"/>
              <a:chExt cx="147154" cy="166659"/>
            </a:xfrm>
          </xdr:grpSpPr>
          <xdr:pic>
            <xdr:nvPicPr>
              <xdr:cNvPr id="103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4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1036" name="NFI_G"/>
            <xdr:cNvGrpSpPr/>
          </xdr:nvGrpSpPr>
          <xdr:grpSpPr>
            <a:xfrm>
              <a:off x="13877376" y="2348604"/>
              <a:ext cx="332981" cy="361192"/>
              <a:chOff x="8250078" y="5375644"/>
              <a:chExt cx="147158" cy="166659"/>
            </a:xfrm>
          </xdr:grpSpPr>
          <xdr:pic>
            <xdr:nvPicPr>
              <xdr:cNvPr id="103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3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2</xdr:col>
      <xdr:colOff>22225</xdr:colOff>
      <xdr:row>25</xdr:row>
      <xdr:rowOff>220174</xdr:rowOff>
    </xdr:from>
    <xdr:to>
      <xdr:col>4</xdr:col>
      <xdr:colOff>139700</xdr:colOff>
      <xdr:row>28</xdr:row>
      <xdr:rowOff>181172</xdr:rowOff>
    </xdr:to>
    <xdr:grpSp>
      <xdr:nvGrpSpPr>
        <xdr:cNvPr id="1041" name="Shwegu_G"/>
        <xdr:cNvGrpSpPr/>
      </xdr:nvGrpSpPr>
      <xdr:grpSpPr>
        <a:xfrm>
          <a:off x="1698625" y="6411424"/>
          <a:ext cx="1260475" cy="703948"/>
          <a:chOff x="12380951" y="1792149"/>
          <a:chExt cx="1893717" cy="2097455"/>
        </a:xfrm>
      </xdr:grpSpPr>
      <xdr:sp macro="" textlink="">
        <xdr:nvSpPr>
          <xdr:cNvPr id="1042" name="Oval"/>
          <xdr:cNvSpPr/>
        </xdr:nvSpPr>
        <xdr:spPr>
          <a:xfrm>
            <a:off x="13186081" y="2557176"/>
            <a:ext cx="283456" cy="58321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21">
        <xdr:nvSpPr>
          <xdr:cNvPr id="1043" name="Pop" hidden="1"/>
          <xdr:cNvSpPr txBox="1"/>
        </xdr:nvSpPr>
        <xdr:spPr>
          <a:xfrm>
            <a:off x="12959414" y="1807956"/>
            <a:ext cx="708964" cy="2081648"/>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8E15A00-9F69-4C42-88BB-CB8121E40D89}"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2,166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21">
        <xdr:nvSpPr>
          <xdr:cNvPr id="1044" name="N_Camp" hidden="1"/>
          <xdr:cNvSpPr txBox="1"/>
        </xdr:nvSpPr>
        <xdr:spPr>
          <a:xfrm>
            <a:off x="13337143" y="2473539"/>
            <a:ext cx="836059" cy="76728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512B691-96AA-4619-B267-735E0DDC0D2E}" type="TxLink">
              <a:rPr lang="en-US" sz="1200" b="0" i="0" u="none" strike="noStrike">
                <a:solidFill>
                  <a:srgbClr val="000000"/>
                </a:solidFill>
                <a:latin typeface="Arial Black" panose="020B0A04020102020204" pitchFamily="34" charset="0"/>
                <a:cs typeface="Arial" pitchFamily="34" charset="0"/>
              </a:rPr>
              <a:pPr algn="r"/>
              <a:t>4 cps</a:t>
            </a:fld>
            <a:endParaRPr lang="en-US" sz="1200" i="1">
              <a:solidFill>
                <a:schemeClr val="tx1"/>
              </a:solidFill>
              <a:latin typeface="Arial Black" panose="020B0A04020102020204" pitchFamily="34" charset="0"/>
              <a:cs typeface="Arial" pitchFamily="34" charset="0"/>
            </a:endParaRPr>
          </a:p>
        </xdr:txBody>
      </xdr:sp>
      <xdr:sp macro="" textlink="U21">
        <xdr:nvSpPr>
          <xdr:cNvPr id="1045" name="Site"/>
          <xdr:cNvSpPr txBox="1"/>
        </xdr:nvSpPr>
        <xdr:spPr>
          <a:xfrm>
            <a:off x="12380951" y="1792149"/>
            <a:ext cx="1893717" cy="76728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88125FB-E168-406E-A73E-C45683E46B0A}"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Shwegu</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1046" name="Cluster"/>
          <xdr:cNvGrpSpPr/>
        </xdr:nvGrpSpPr>
        <xdr:grpSpPr>
          <a:xfrm>
            <a:off x="12477748" y="2348604"/>
            <a:ext cx="1732609" cy="380242"/>
            <a:chOff x="12477748" y="2348604"/>
            <a:chExt cx="1732609" cy="380242"/>
          </a:xfrm>
        </xdr:grpSpPr>
        <xdr:grpSp>
          <xdr:nvGrpSpPr>
            <xdr:cNvPr id="1047" name="Shelter_G"/>
            <xdr:cNvGrpSpPr/>
          </xdr:nvGrpSpPr>
          <xdr:grpSpPr>
            <a:xfrm>
              <a:off x="12477748" y="2367654"/>
              <a:ext cx="332972" cy="361192"/>
              <a:chOff x="8585625" y="4782769"/>
              <a:chExt cx="147154" cy="166659"/>
            </a:xfrm>
          </xdr:grpSpPr>
          <xdr:pic>
            <xdr:nvPicPr>
              <xdr:cNvPr id="105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5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1048" name="NFI_G"/>
            <xdr:cNvGrpSpPr/>
          </xdr:nvGrpSpPr>
          <xdr:grpSpPr>
            <a:xfrm>
              <a:off x="13877376" y="2348604"/>
              <a:ext cx="332981" cy="361192"/>
              <a:chOff x="8250078" y="5375644"/>
              <a:chExt cx="147158" cy="166659"/>
            </a:xfrm>
          </xdr:grpSpPr>
          <xdr:pic>
            <xdr:nvPicPr>
              <xdr:cNvPr id="104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5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4</xdr:col>
      <xdr:colOff>111125</xdr:colOff>
      <xdr:row>11</xdr:row>
      <xdr:rowOff>86824</xdr:rowOff>
    </xdr:from>
    <xdr:to>
      <xdr:col>6</xdr:col>
      <xdr:colOff>85725</xdr:colOff>
      <xdr:row>14</xdr:row>
      <xdr:rowOff>47822</xdr:rowOff>
    </xdr:to>
    <xdr:grpSp>
      <xdr:nvGrpSpPr>
        <xdr:cNvPr id="1053" name="Sumprabum_G"/>
        <xdr:cNvGrpSpPr/>
      </xdr:nvGrpSpPr>
      <xdr:grpSpPr>
        <a:xfrm>
          <a:off x="2930525" y="2810974"/>
          <a:ext cx="1270000" cy="703948"/>
          <a:chOff x="12380951" y="1792148"/>
          <a:chExt cx="1893717" cy="2097455"/>
        </a:xfrm>
      </xdr:grpSpPr>
      <xdr:sp macro="" textlink="">
        <xdr:nvSpPr>
          <xdr:cNvPr id="1054" name="Oval"/>
          <xdr:cNvSpPr/>
        </xdr:nvSpPr>
        <xdr:spPr>
          <a:xfrm>
            <a:off x="13221918" y="2630909"/>
            <a:ext cx="211782" cy="43574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22">
        <xdr:nvSpPr>
          <xdr:cNvPr id="1055" name="Pop" hidden="1"/>
          <xdr:cNvSpPr txBox="1"/>
        </xdr:nvSpPr>
        <xdr:spPr>
          <a:xfrm>
            <a:off x="12959415" y="1807955"/>
            <a:ext cx="708964" cy="2081648"/>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61E26CF-16A7-49F8-A55C-14FFF6EDFFE1}"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1,232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22">
        <xdr:nvSpPr>
          <xdr:cNvPr id="1056" name="N_Camp" hidden="1"/>
          <xdr:cNvSpPr txBox="1"/>
        </xdr:nvSpPr>
        <xdr:spPr>
          <a:xfrm>
            <a:off x="13337142" y="2473538"/>
            <a:ext cx="836058" cy="76728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DC4A5072-FE42-4E35-B3DB-55BFE29F4251}" type="TxLink">
              <a:rPr lang="en-US" sz="1200" b="0" i="0" u="none" strike="noStrike">
                <a:solidFill>
                  <a:srgbClr val="000000"/>
                </a:solidFill>
                <a:latin typeface="Arial Black" panose="020B0A04020102020204" pitchFamily="34" charset="0"/>
                <a:cs typeface="Arial" pitchFamily="34" charset="0"/>
              </a:rPr>
              <a:pPr algn="r"/>
              <a:t>3 cps</a:t>
            </a:fld>
            <a:endParaRPr lang="en-US" sz="1200" i="1">
              <a:solidFill>
                <a:schemeClr val="tx1"/>
              </a:solidFill>
              <a:latin typeface="Arial Black" panose="020B0A04020102020204" pitchFamily="34" charset="0"/>
              <a:cs typeface="Arial" pitchFamily="34" charset="0"/>
            </a:endParaRPr>
          </a:p>
        </xdr:txBody>
      </xdr:sp>
      <xdr:sp macro="" textlink="U22">
        <xdr:nvSpPr>
          <xdr:cNvPr id="1057" name="Site"/>
          <xdr:cNvSpPr txBox="1"/>
        </xdr:nvSpPr>
        <xdr:spPr>
          <a:xfrm>
            <a:off x="12380951" y="1792148"/>
            <a:ext cx="1893717" cy="76728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DBC7EDD-E9FA-47A5-8032-8811FF9D8684}"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Sumprabum</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1058" name="Cluster"/>
          <xdr:cNvGrpSpPr/>
        </xdr:nvGrpSpPr>
        <xdr:grpSpPr>
          <a:xfrm>
            <a:off x="12477748" y="2348604"/>
            <a:ext cx="1732609" cy="380242"/>
            <a:chOff x="12477748" y="2348604"/>
            <a:chExt cx="1732609" cy="380242"/>
          </a:xfrm>
        </xdr:grpSpPr>
        <xdr:grpSp>
          <xdr:nvGrpSpPr>
            <xdr:cNvPr id="1059" name="Shelter_G"/>
            <xdr:cNvGrpSpPr/>
          </xdr:nvGrpSpPr>
          <xdr:grpSpPr>
            <a:xfrm>
              <a:off x="12477748" y="2367654"/>
              <a:ext cx="332972" cy="361192"/>
              <a:chOff x="8585625" y="4782769"/>
              <a:chExt cx="147154" cy="166659"/>
            </a:xfrm>
          </xdr:grpSpPr>
          <xdr:pic>
            <xdr:nvPicPr>
              <xdr:cNvPr id="106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6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1060" name="NFI_G"/>
            <xdr:cNvGrpSpPr/>
          </xdr:nvGrpSpPr>
          <xdr:grpSpPr>
            <a:xfrm>
              <a:off x="13877376" y="2348604"/>
              <a:ext cx="332981" cy="361192"/>
              <a:chOff x="8250078" y="5375644"/>
              <a:chExt cx="147158" cy="166659"/>
            </a:xfrm>
          </xdr:grpSpPr>
          <xdr:pic>
            <xdr:nvPicPr>
              <xdr:cNvPr id="106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6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4</xdr:col>
      <xdr:colOff>606425</xdr:colOff>
      <xdr:row>18</xdr:row>
      <xdr:rowOff>70949</xdr:rowOff>
    </xdr:from>
    <xdr:to>
      <xdr:col>7</xdr:col>
      <xdr:colOff>38100</xdr:colOff>
      <xdr:row>21</xdr:row>
      <xdr:rowOff>31947</xdr:rowOff>
    </xdr:to>
    <xdr:grpSp>
      <xdr:nvGrpSpPr>
        <xdr:cNvPr id="1065" name="Waingmaw_G"/>
        <xdr:cNvGrpSpPr/>
      </xdr:nvGrpSpPr>
      <xdr:grpSpPr>
        <a:xfrm>
          <a:off x="3425825" y="4528649"/>
          <a:ext cx="1279525" cy="703948"/>
          <a:chOff x="12380951" y="1792148"/>
          <a:chExt cx="1893717" cy="2097455"/>
        </a:xfrm>
      </xdr:grpSpPr>
      <xdr:sp macro="" textlink="">
        <xdr:nvSpPr>
          <xdr:cNvPr id="1066" name="Oval"/>
          <xdr:cNvSpPr/>
        </xdr:nvSpPr>
        <xdr:spPr>
          <a:xfrm>
            <a:off x="12859196" y="1884607"/>
            <a:ext cx="937227" cy="192834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23">
        <xdr:nvSpPr>
          <xdr:cNvPr id="1067" name="Pop" hidden="1"/>
          <xdr:cNvSpPr txBox="1"/>
        </xdr:nvSpPr>
        <xdr:spPr>
          <a:xfrm>
            <a:off x="12959415" y="1807955"/>
            <a:ext cx="708964" cy="2081648"/>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61D19EB-8524-4328-89E0-481AC7D2C52C}"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24,396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23">
        <xdr:nvSpPr>
          <xdr:cNvPr id="1068" name="N_Camp" hidden="1"/>
          <xdr:cNvSpPr txBox="1"/>
        </xdr:nvSpPr>
        <xdr:spPr>
          <a:xfrm>
            <a:off x="13337142" y="2473538"/>
            <a:ext cx="836058" cy="76728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6E43D7F-6D0E-4945-8F5E-2619C0E383EF}" type="TxLink">
              <a:rPr lang="en-US" sz="1200" b="0" i="0" u="none" strike="noStrike">
                <a:solidFill>
                  <a:srgbClr val="000000"/>
                </a:solidFill>
                <a:latin typeface="Arial Black" panose="020B0A04020102020204" pitchFamily="34" charset="0"/>
                <a:cs typeface="Arial" pitchFamily="34" charset="0"/>
              </a:rPr>
              <a:pPr algn="r"/>
              <a:t>22 cps</a:t>
            </a:fld>
            <a:endParaRPr lang="en-US" sz="1200" i="1">
              <a:solidFill>
                <a:schemeClr val="tx1"/>
              </a:solidFill>
              <a:latin typeface="Arial Black" panose="020B0A04020102020204" pitchFamily="34" charset="0"/>
              <a:cs typeface="Arial" pitchFamily="34" charset="0"/>
            </a:endParaRPr>
          </a:p>
        </xdr:txBody>
      </xdr:sp>
      <xdr:sp macro="" textlink="U23">
        <xdr:nvSpPr>
          <xdr:cNvPr id="1069" name="Site"/>
          <xdr:cNvSpPr txBox="1"/>
        </xdr:nvSpPr>
        <xdr:spPr>
          <a:xfrm>
            <a:off x="12380951" y="1792148"/>
            <a:ext cx="1893717" cy="76728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FE8880B-1179-4FA2-9E01-4552E90AB54F}"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Waingmaw</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1070" name="Cluster"/>
          <xdr:cNvGrpSpPr/>
        </xdr:nvGrpSpPr>
        <xdr:grpSpPr>
          <a:xfrm>
            <a:off x="12477748" y="2348604"/>
            <a:ext cx="1732609" cy="380242"/>
            <a:chOff x="12477748" y="2348604"/>
            <a:chExt cx="1732609" cy="380242"/>
          </a:xfrm>
        </xdr:grpSpPr>
        <xdr:grpSp>
          <xdr:nvGrpSpPr>
            <xdr:cNvPr id="1071" name="Shelter_G"/>
            <xdr:cNvGrpSpPr/>
          </xdr:nvGrpSpPr>
          <xdr:grpSpPr>
            <a:xfrm>
              <a:off x="12477748" y="2367654"/>
              <a:ext cx="332972" cy="361192"/>
              <a:chOff x="8585625" y="4782769"/>
              <a:chExt cx="147154" cy="166659"/>
            </a:xfrm>
          </xdr:grpSpPr>
          <xdr:pic>
            <xdr:nvPicPr>
              <xdr:cNvPr id="107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7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1072" name="NFI_G"/>
            <xdr:cNvGrpSpPr/>
          </xdr:nvGrpSpPr>
          <xdr:grpSpPr>
            <a:xfrm>
              <a:off x="13877376" y="2348604"/>
              <a:ext cx="332981" cy="361192"/>
              <a:chOff x="8250078" y="5375644"/>
              <a:chExt cx="147158" cy="166659"/>
            </a:xfrm>
          </xdr:grpSpPr>
          <xdr:pic>
            <xdr:nvPicPr>
              <xdr:cNvPr id="107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7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0</xdr:col>
      <xdr:colOff>444500</xdr:colOff>
      <xdr:row>28</xdr:row>
      <xdr:rowOff>116993</xdr:rowOff>
    </xdr:from>
    <xdr:to>
      <xdr:col>1</xdr:col>
      <xdr:colOff>817245</xdr:colOff>
      <xdr:row>33</xdr:row>
      <xdr:rowOff>191928</xdr:rowOff>
    </xdr:to>
    <xdr:grpSp>
      <xdr:nvGrpSpPr>
        <xdr:cNvPr id="1077" name="Kachin/Shan_G"/>
        <xdr:cNvGrpSpPr/>
      </xdr:nvGrpSpPr>
      <xdr:grpSpPr>
        <a:xfrm>
          <a:off x="444500" y="7051193"/>
          <a:ext cx="1229995" cy="1313185"/>
          <a:chOff x="12380951" y="922205"/>
          <a:chExt cx="1893717" cy="3853149"/>
        </a:xfrm>
      </xdr:grpSpPr>
      <xdr:sp macro="" textlink="">
        <xdr:nvSpPr>
          <xdr:cNvPr id="1078" name="Oval"/>
          <xdr:cNvSpPr/>
        </xdr:nvSpPr>
        <xdr:spPr>
          <a:xfrm>
            <a:off x="12391439" y="922205"/>
            <a:ext cx="1872736" cy="385314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24">
        <xdr:nvSpPr>
          <xdr:cNvPr id="1079" name="Pop" hidden="1"/>
          <xdr:cNvSpPr txBox="1"/>
        </xdr:nvSpPr>
        <xdr:spPr>
          <a:xfrm>
            <a:off x="12959414" y="1825597"/>
            <a:ext cx="708964" cy="204636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CAA38321-96C4-4A24-A2D0-10318BAB153A}"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95,813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24">
        <xdr:nvSpPr>
          <xdr:cNvPr id="1080" name="N_Camp" hidden="1"/>
          <xdr:cNvSpPr txBox="1"/>
        </xdr:nvSpPr>
        <xdr:spPr>
          <a:xfrm>
            <a:off x="13337142" y="1848840"/>
            <a:ext cx="836058" cy="2016674"/>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355481FD-565F-493F-AC14-9D0DD7EC0DF3}" type="TxLink">
              <a:rPr lang="en-US" sz="1200" b="0" i="0" u="none" strike="noStrike">
                <a:solidFill>
                  <a:srgbClr val="000000"/>
                </a:solidFill>
                <a:latin typeface="Arial Black" panose="020B0A04020102020204" pitchFamily="34" charset="0"/>
                <a:cs typeface="Arial" pitchFamily="34" charset="0"/>
              </a:rPr>
              <a:pPr algn="r"/>
              <a:t>165 camps</a:t>
            </a:fld>
            <a:endParaRPr lang="en-US" sz="1200" i="1">
              <a:solidFill>
                <a:schemeClr val="tx1"/>
              </a:solidFill>
              <a:latin typeface="Arial Black" panose="020B0A04020102020204" pitchFamily="34" charset="0"/>
              <a:cs typeface="Arial" pitchFamily="34" charset="0"/>
            </a:endParaRPr>
          </a:p>
        </xdr:txBody>
      </xdr:sp>
      <xdr:sp macro="" textlink="U24">
        <xdr:nvSpPr>
          <xdr:cNvPr id="1081" name="Site"/>
          <xdr:cNvSpPr txBox="1"/>
        </xdr:nvSpPr>
        <xdr:spPr>
          <a:xfrm>
            <a:off x="12380951" y="1485786"/>
            <a:ext cx="1893717" cy="138000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2E3C856-61BE-4916-B6E2-274A8ED26DBA}"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Kachin/Shan</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1082" name="Cluster"/>
          <xdr:cNvGrpSpPr/>
        </xdr:nvGrpSpPr>
        <xdr:grpSpPr>
          <a:xfrm>
            <a:off x="12477748" y="2348604"/>
            <a:ext cx="1732609" cy="380242"/>
            <a:chOff x="12477748" y="2348604"/>
            <a:chExt cx="1732609" cy="380242"/>
          </a:xfrm>
        </xdr:grpSpPr>
        <xdr:grpSp>
          <xdr:nvGrpSpPr>
            <xdr:cNvPr id="1083" name="Shelter_G"/>
            <xdr:cNvGrpSpPr/>
          </xdr:nvGrpSpPr>
          <xdr:grpSpPr>
            <a:xfrm>
              <a:off x="12477748" y="2367654"/>
              <a:ext cx="332972" cy="361192"/>
              <a:chOff x="8585625" y="4782769"/>
              <a:chExt cx="147154" cy="166659"/>
            </a:xfrm>
          </xdr:grpSpPr>
          <xdr:pic>
            <xdr:nvPicPr>
              <xdr:cNvPr id="108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8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1084" name="NFI_G"/>
            <xdr:cNvGrpSpPr/>
          </xdr:nvGrpSpPr>
          <xdr:grpSpPr>
            <a:xfrm>
              <a:off x="13877376" y="2348604"/>
              <a:ext cx="332981" cy="361192"/>
              <a:chOff x="8250078" y="5375644"/>
              <a:chExt cx="147158" cy="166659"/>
            </a:xfrm>
          </xdr:grpSpPr>
          <xdr:pic>
            <xdr:nvPicPr>
              <xdr:cNvPr id="108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8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Ricouart" refreshedDate="42100.473941087963" createdVersion="4" refreshedVersion="4" minRefreshableVersion="3" recordCount="167">
  <cacheSource type="worksheet">
    <worksheetSource name="Table10"/>
  </cacheSource>
  <cacheFields count="14">
    <cacheField name="Pcode" numFmtId="0">
      <sharedItems/>
    </cacheField>
    <cacheField name="Priority" numFmtId="0">
      <sharedItems count="4">
        <s v="P1"/>
        <s v="P2"/>
        <s v="P3"/>
        <s v="P4"/>
      </sharedItems>
    </cacheField>
    <cacheField name="Camp" numFmtId="0">
      <sharedItems/>
    </cacheField>
    <cacheField name="Township" numFmtId="0">
      <sharedItems/>
    </cacheField>
    <cacheField name="HH" numFmtId="0">
      <sharedItems containsSemiMixedTypes="0" containsString="0" containsNumber="1" containsInteger="1" minValue="0" maxValue="1658"/>
    </cacheField>
    <cacheField name="Ind" numFmtId="0">
      <sharedItems containsSemiMixedTypes="0" containsString="0" containsNumber="1" containsInteger="1" minValue="0" maxValue="8585"/>
    </cacheField>
    <cacheField name="Winter Clothes Adult " numFmtId="0">
      <sharedItems containsSemiMixedTypes="0" containsString="0" containsNumber="1" containsInteger="1" minValue="0" maxValue="2910"/>
    </cacheField>
    <cacheField name="Winter Clothes Children " numFmtId="0">
      <sharedItems containsSemiMixedTypes="0" containsString="0" containsNumber="1" containsInteger="1" minValue="0" maxValue="5160"/>
    </cacheField>
    <cacheField name="Winter Items Other " numFmtId="0">
      <sharedItems containsSemiMixedTypes="0" containsString="0" containsNumber="1" containsInteger="1" minValue="0" maxValue="0"/>
    </cacheField>
    <cacheField name="WC_Adult_Gap" numFmtId="0">
      <sharedItems containsSemiMixedTypes="0" containsString="0" containsNumber="1" containsInteger="1" minValue="0" maxValue="1680"/>
    </cacheField>
    <cacheField name="WC_Child_Gap" numFmtId="0">
      <sharedItems containsSemiMixedTypes="0" containsString="0" containsNumber="1" containsInteger="1" minValue="0" maxValue="2520"/>
    </cacheField>
    <cacheField name="WI_Other_Gap" numFmtId="0">
      <sharedItems containsSemiMixedTypes="0" containsString="0" containsNumber="1" containsInteger="1" minValue="0" maxValue="3316"/>
    </cacheField>
    <cacheField name="Planned Distribution" numFmtId="0">
      <sharedItems/>
    </cacheField>
    <cacheField name="Check1"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hi Thi Lwin" refreshedDate="42432.582242476848" missingItemsLimit="0" createdVersion="4" refreshedVersion="5" minRefreshableVersion="3" recordCount="320">
  <cacheSource type="worksheet">
    <worksheetSource name="Table_Shelter"/>
  </cacheSource>
  <cacheFields count="23">
    <cacheField name="Update Date" numFmtId="15">
      <sharedItems containsNonDate="0" containsDate="1" containsString="0" containsBlank="1" minDate="2013-12-01T00:00:00" maxDate="2016-02-23T00:00:00"/>
    </cacheField>
    <cacheField name="Organization" numFmtId="0">
      <sharedItems containsBlank="1" count="16">
        <s v="UNHCR"/>
        <s v="ACTED"/>
        <s v="IRRC"/>
        <m/>
        <s v="DRC"/>
        <s v="Metta"/>
        <s v="CC"/>
        <s v="Oxfam"/>
        <s v="Caritas"/>
        <s v="FSD"/>
        <s v="KBC Zonal"/>
        <s v="World Vision"/>
        <s v="Yedai Foundation"/>
        <s v="COC"/>
        <s v="DFID"/>
        <s v="Misereor"/>
      </sharedItems>
    </cacheField>
    <cacheField name="Implementing  Partner" numFmtId="0">
      <sharedItems containsBlank="1"/>
    </cacheField>
    <cacheField name="State" numFmtId="0">
      <sharedItems count="2">
        <s v="Kachin"/>
        <s v="Shan_North"/>
      </sharedItems>
    </cacheField>
    <cacheField name="Township" numFmtId="0">
      <sharedItems count="17">
        <s v="Hpakant"/>
        <s v="Bhamo"/>
        <s v="Waingmaw"/>
        <s v="Mansi"/>
        <s v="Chipwi"/>
        <s v="Myitkyina"/>
        <s v="Momauk"/>
        <s v="Manton"/>
        <s v="Kutkai"/>
        <s v="Mogaung"/>
        <s v="Puta-O"/>
        <s v="Muse"/>
        <s v="Namhkan"/>
        <s v="Hseni"/>
        <s v="Namtu"/>
        <s v="Mohnyin"/>
        <s v="Shwegu"/>
      </sharedItems>
    </cacheField>
    <cacheField name="CampName" numFmtId="0">
      <sharedItems containsBlank="1" count="142">
        <s v="5 Ward Baptist Church(lon Khin)"/>
        <s v="5 Ward RC Church(lon Khin)"/>
        <s v="AD-2000 Tharthana Compound"/>
        <s v="AG Church, Hmaw Si Sa"/>
        <s v="AG Church, Maw Wan"/>
        <s v="Aung Thar Church"/>
        <s v="Baptist Church, Hmaw Si Sar(Lon Khin)"/>
        <s v="Baptist Church, Naung Hmee VT"/>
        <s v="Border Post 8"/>
        <s v="Bum Tsit Pa "/>
        <s v="Bum Tsit Pa Camp II"/>
        <s v="Chin Church, Seik Mu"/>
        <s v="Chipwi KBC Camp"/>
        <s v="Dhama Rakhita, Nyein Chan Tar Yar Ward(Lon Khin)"/>
        <s v="Du Kahtawng Qtr. 14"/>
        <s v="Du Kahtawng Qtr. 4"/>
        <s v="Du Kahtawng Qtr. 5"/>
        <s v="Dum Bung "/>
        <s v="Hkat Cho "/>
        <s v="Hkau Shau (BP 12)"/>
        <s v="Hmaw Wan, Anglican"/>
        <s v="Howa"/>
        <s v="Hpun Lum Yang "/>
        <s v="Htoi San Church"/>
        <s v="Jan Mai Kawng Baptist Church"/>
        <s v="Jan Mai Kawng Catholic Church"/>
        <s v="Je Yang Hka "/>
        <s v="Kone Khem Camp"/>
        <s v="Ku Day Maw KBC"/>
        <s v="Kutkai downtown (KBC Church)"/>
        <s v="Kutkai downtown (RC Church)"/>
        <s v="Kyun Pin Thar Baptist Church"/>
        <s v="Kyun Taw Baptist Church "/>
        <s v="Lagatyan "/>
        <s v="Lana Zup Ja "/>
        <s v="Le Kone Bethlehem Church"/>
        <s v="Le Kone Ziun Baptist Church "/>
        <s v="Lhaovao Baptist Church (LBC)"/>
        <s v="Lisu Baptist Church, Maw Shan Vil,. Seik Mu"/>
        <s v="Lisu Baptist Church, Maw Wan Ward"/>
        <s v="Lisu Boarding-House"/>
        <s v="Loi Je Baptist Church"/>
        <s v="Loi Je Catholic Church"/>
        <s v="Loi Je Lisu Camp"/>
        <s v="Lung Kawk  ( Hka Hkye Zup)"/>
        <s v="Lung Sut"/>
        <s v="Mading Baptist Church"/>
        <s v="Maga Yang "/>
        <s v="Mai Khat "/>
        <s v="Maina AG Church"/>
        <s v="Maina Catholic Church (St. Joseph)"/>
        <s v="Maina KBC (Bawng Ring)"/>
        <s v="Maina Lawang Baptist Church"/>
        <s v="Maing Khaung"/>
        <s v="Maing Khaung Catholic Church"/>
        <s v="Maliyang Baptist Church"/>
        <s v="Man Bung Catholic compound"/>
        <s v="Man Hkring Baptist Church"/>
        <s v="Man Kawng Baptist Church"/>
        <s v="Man Wing Baptist Church"/>
        <s v="Man Wing Catholic Church"/>
        <s v="Mandalay Monestry"/>
        <s v="Mandung - Jinghpaw"/>
        <s v="Mandung - RC"/>
        <s v="Mang Hawng Baptist Church"/>
        <s v="Mansi Baptist Church"/>
        <s v="Mashi Kahtawng Baptist  Church"/>
        <s v="Maw Hpawng Hka Nan Baptist Church"/>
        <s v="Maw Hpawng Lhaovo Baptist Church"/>
        <s v="Maw Wan, Mu-yin Baptist Church"/>
        <s v="Mine Yu Lay village"/>
        <s v="Momauk Baptist Church"/>
        <s v="Momauk Catholic Church (St. Patrick)"/>
        <s v="Mung Baw "/>
        <s v="Mung Ding Pa  (Boarder)"/>
        <s v="Mungji Pa Dabang (Baptist Church)         "/>
        <s v="Muse Baptist Church"/>
        <s v="Muse Catholic Church"/>
        <s v="Mu-yin Baptist Church"/>
        <s v="Nam Hkam - Nay Win Ni (Palawng)"/>
        <s v="Nam Hkam (KBC Jaw Wang)"/>
        <s v="Nam Hkam (KBC Jaw Wang) II"/>
        <s v="Nam Hkawng"/>
        <s v="Nam Hpak Ka Mare "/>
        <s v="Nam Lim Pa"/>
        <s v="Nam Ma Phyit, COC"/>
        <s v="Nam Sa Larp"/>
        <s v="Nam Tu Baptist"/>
        <s v="Namhkan - Pang Long KBC"/>
        <s v="Nan Kway St. John Catholic Church"/>
        <s v="Nant Hlaing Church"/>
        <s v="Nant Ma Hpit Catholic Church"/>
        <s v="Nat Gyi Kone Baptist Church "/>
        <s v="Nawng Hee Village"/>
        <s v="Nawng Ing (Indawgyi) Baptist Church  "/>
        <s v="Nga Pyaw Taw Baptist Nursery School "/>
        <s v="Nhkawng Pa "/>
        <s v="Ni Thaw Ka Monestry"/>
        <s v="Njang Dung Baptist Church "/>
        <s v="Nyaung Na Pin "/>
        <s v="Pa Dauk Myaing(Pa La Na)"/>
        <s v="Pa Kahtawng "/>
        <s v="Pajau - Jan Mai"/>
        <s v="Pan Wa"/>
        <s v="Phan Khar Kone"/>
        <s v="Post 6 Camp"/>
        <s v="Qtr. 2 Lhaovo Baptist Church"/>
        <s v="Qtr. 2 Myoma Baptist Church"/>
        <s v="Qtr. 3 Mu-yin  Baptist Church"/>
        <s v="Qtr. 4 Monestry (Thargaya Thayett Taw)"/>
        <s v="Rawan Baptist Church, Maw Shan Vil., Seik Mu"/>
        <s v="Robert Church"/>
        <s v="RRD Office"/>
        <s v="Sai Nai Baptish Church, Maw Shan Vil., Seki Mu"/>
        <s v="Sar Hmaw - KBC"/>
        <s v="Seng Ja "/>
        <s v="Shatapru Sut Ngai Tawng"/>
        <s v="Shing Jai"/>
        <s v="Shwe Gu Baptist Church"/>
        <s v="Shwe Gu Catholic Church"/>
        <s v="Shwe Zet Baptist Church"/>
        <s v="St. Patrick Catholic Church "/>
        <s v="Ta Gun Taing Monastery (Shwe Kyi Na)"/>
        <s v="Tat Kone Baptist Church"/>
        <s v="Tat Kone COC Baptist - Tat Kone Htoi San"/>
        <s v="Tat Kone Emanuel Church"/>
        <s v="Tat Kone Galile Baptist Church"/>
        <s v="Tat Kone San Pya Baptist Church"/>
        <s v="Thargaya Lisu Baptist Church"/>
        <s v="Tharthana Ahlin Yaung New Monastery"/>
        <s v="Waingmaw AG Church"/>
        <s v="Waingmaw Baptist Zonal Office"/>
        <s v="Ward 2 Cahotlic Church, Seik Mu"/>
        <s v="Ward 2 Sai Taung Baptist Church, Seik Mu "/>
        <s v="Warra Zup"/>
        <s v="Woi Chyai "/>
        <s v="Wun Tho Buddhist Monastery"/>
        <s v="Yoe Kyi Monastery"/>
        <s v="Yumar Baptist Church"/>
        <s v="Zai Awng - Mung Ga Zup"/>
        <s v="Zup Aung Camp"/>
        <m/>
      </sharedItems>
    </cacheField>
    <cacheField name="HH per Shelter" numFmtId="0">
      <sharedItems containsSemiMixedTypes="0" containsString="0" containsNumber="1" containsInteger="1" minValue="1" maxValue="1"/>
    </cacheField>
    <cacheField name="# of Family Tent Planned(Target)" numFmtId="0">
      <sharedItems containsString="0" containsBlank="1" containsNumber="1" containsInteger="1" minValue="1" maxValue="207"/>
    </cacheField>
    <cacheField name="# of Family Tent Distributed" numFmtId="0">
      <sharedItems containsString="0" containsBlank="1" containsNumber="1" containsInteger="1" minValue="1" maxValue="207"/>
    </cacheField>
    <cacheField name="# of Temporary Shelter Units Planned (Target)" numFmtId="0">
      <sharedItems containsString="0" containsBlank="1" containsNumber="1" containsInteger="1" minValue="2" maxValue="700"/>
    </cacheField>
    <cacheField name="# of Temporary Shelter Units Built" numFmtId="0">
      <sharedItems containsString="0" containsBlank="1" containsNumber="1" containsInteger="1" minValue="2" maxValue="700"/>
    </cacheField>
    <cacheField name="# of Temporary Shelter Under  Construction" numFmtId="0">
      <sharedItems containsNonDate="0" containsString="0" containsBlank="1"/>
    </cacheField>
    <cacheField name="# of Permanent House Planned (Target)" numFmtId="0">
      <sharedItems containsNonDate="0" containsString="0" containsBlank="1"/>
    </cacheField>
    <cacheField name="# of Permanent House Built" numFmtId="0">
      <sharedItems containsNonDate="0" containsString="0" containsBlank="1"/>
    </cacheField>
    <cacheField name="# of Permanent House Under Construction" numFmtId="0">
      <sharedItems containsNonDate="0" containsString="0" containsBlank="1"/>
    </cacheField>
    <cacheField name="HH Covered" numFmtId="0">
      <sharedItems containsSemiMixedTypes="0" containsString="0" containsNumber="1" containsInteger="1" minValue="0" maxValue="700"/>
    </cacheField>
    <cacheField name="Planned Renovation" numFmtId="0">
      <sharedItems containsString="0" containsBlank="1" containsNumber="1" containsInteger="1" minValue="5" maxValue="338"/>
    </cacheField>
    <cacheField name="Renovated" numFmtId="0">
      <sharedItems containsString="0" containsBlank="1" containsNumber="1" containsInteger="1" minValue="5" maxValue="338"/>
    </cacheField>
    <cacheField name="Pcode" numFmtId="0">
      <sharedItems count="140">
        <s v="MMR001CMP179"/>
        <s v="MMR001CMP168"/>
        <s v="MMR001CMP050"/>
        <s v="MMR001CMP176"/>
        <s v="MMR001CMP190"/>
        <s v="MMR001CMP194"/>
        <s v="MMR001CMP169"/>
        <s v="MMR001CMP188"/>
        <s v="MMR001CMP113"/>
        <s v="MMR001CMP129"/>
        <s v="MMR001CMP226"/>
        <s v="MMR001CMP109"/>
        <s v="MMR001CMP042"/>
        <s v="MMR001CMP174"/>
        <s v="MMR001CMP012"/>
        <s v="MMR001CMP010"/>
        <s v="MMR001CMP011"/>
        <s v="MMR001CMP123"/>
        <s v="MMR001CMP028"/>
        <s v="MMR001CMP115"/>
        <s v="MMR001CMP191"/>
        <s v="MMR015CMP010"/>
        <s v="MMR001CMP122"/>
        <s v="MMR001CMP052"/>
        <s v="MMR001CMP018"/>
        <s v="MMR001CMP019"/>
        <s v="MMR001CMP121"/>
        <s v="MMR015CMP015"/>
        <s v="MMR001CMP231"/>
        <s v="MMR015CMP016"/>
        <s v="MMR015CMP017"/>
        <s v="MMR001CMP013"/>
        <s v="MMR001CMP078"/>
        <s v="MMR001CMP202"/>
        <s v="MMR001CMP128"/>
        <s v="MMR001CMP015"/>
        <s v="MMR001CMP014"/>
        <s v="MMR001CMP195"/>
        <s v="MMR001CMP181"/>
        <s v="MMR001CMP167"/>
        <s v="MMR001CMP049"/>
        <s v="MMR001CMP071"/>
        <s v="MMR001CMP069"/>
        <s v="MMR001CMP070"/>
        <s v="MMR001CMP135"/>
        <s v="MMR001CMP234"/>
        <s v="MMR001CMP027"/>
        <s v="MMR001CMP119"/>
        <s v="MMR001CMP064"/>
        <s v="MMR001CMP031"/>
        <s v="MMR001CMP029"/>
        <s v="MMR001CMP040"/>
        <s v="MMR001CMP039"/>
        <s v="MMR001CMP218"/>
        <s v="MMR001CMP223"/>
        <s v="MMR001CMP016"/>
        <s v="MMR001CMP062"/>
        <s v="MMR001CMP008"/>
        <s v="MMR001CMP212"/>
        <s v="MMR001CMP133"/>
        <s v="MMR001CMP132"/>
        <s v="MMR001CMP058"/>
        <s v="MMR015CMP009"/>
        <s v="MMR015CMP209"/>
        <s v="MMR001CMP077"/>
        <s v="MMR001CMP066"/>
        <s v="MMR001CMP094"/>
        <s v="MMR001CMP020"/>
        <s v="MMR001CMP021"/>
        <s v="MMR001CMP091"/>
        <s v="MMR015CMP018"/>
        <s v="MMR001CMP056"/>
        <s v="MMR001CMP057"/>
        <s v="MMR015CMP005"/>
        <s v="MMR001CMP203"/>
        <s v="MMR015CMP006"/>
        <s v="MMR015CMP213"/>
        <s v="MMR015CMP216"/>
        <s v="MMR001CMP051"/>
        <s v="MMR015CMP004"/>
        <s v="MMR015CMP001"/>
        <s v="MMR015CMP214"/>
        <s v="MMR015CMP139"/>
        <s v="MMR015CMP007"/>
        <s v="MMR001CMP204"/>
        <s v="MMR001CMP192"/>
        <s v="MMR015CMP218"/>
        <s v="MMR015CMP014"/>
        <s v="MMR015CMP215"/>
        <s v="MMR001CMP024"/>
        <s v="MMR001CMP054"/>
        <s v="MMR001CMP103"/>
        <s v="MMR001CMP079"/>
        <s v="MMR001CMP033"/>
        <s v="MMR001CMP152"/>
        <s v="MMR001CMP082"/>
        <s v="MMR001CMP131"/>
        <s v="MMR001CMP059"/>
        <s v="MMR001CMP002"/>
        <s v="MMR001CMP072"/>
        <s v="MMR001CMP162"/>
        <s v="MMR001CMP126"/>
        <s v="MMR001CMP120"/>
        <s v="MMR001CMP210"/>
        <s v="MMR001CMP193"/>
        <s v="MMR001CMP160"/>
        <s v="MMR001CMP032"/>
        <s v="MMR001CMP025"/>
        <s v="MMR001CMP030"/>
        <s v="MMR001CMP026"/>
        <s v="MMR001CMP182"/>
        <s v="MMR001CMP047"/>
        <s v=""/>
        <s v="MMR001CMP183"/>
        <s v="MMR001CMP236"/>
        <s v="MMR001CMP073"/>
        <s v="MMR001CMP006"/>
        <s v="MMR001CMP041"/>
        <s v="MMR001CMP067"/>
        <s v="MMR001CMP068"/>
        <s v="MMR001CMP009"/>
        <s v="MMR001CMP080"/>
        <s v="MMR001CMP055"/>
        <s v="MMR001CMP001"/>
        <s v="MMR001CMP023"/>
        <s v="MMR001CMP004"/>
        <s v="MMR001CMP003"/>
        <s v="MMR001CMP005"/>
        <s v="MMR001CMP037"/>
        <s v="MMR001CMP224"/>
        <s v="MMR001CMP038"/>
        <s v="MMR001CMP036"/>
        <s v="MMR001CMP185"/>
        <s v="MMR001CMP184"/>
        <s v="MMR001CMP116"/>
        <s v="MMR001CMP022"/>
        <s v="MMR001CMP053"/>
        <s v="MMR001CMP105"/>
        <s v="MMR001CMP111"/>
        <s v="MMR015CMP020"/>
      </sharedItems>
    </cacheField>
    <cacheField name="Status" numFmtId="0">
      <sharedItems count="3">
        <s v="Open"/>
        <s v="Closed"/>
        <s v=""/>
      </sharedItems>
    </cacheField>
    <cacheField name="Coverage" numFmtId="9">
      <sharedItems containsMixedTypes="1" containsNumber="1" minValue="0" maxValue="46"/>
    </cacheField>
    <cacheField name="Replacement (YES/NO)" numFmtId="0">
      <sharedItems/>
    </cacheField>
    <cacheField name="Comments" numFmtId="0">
      <sharedItems containsBlank="1"/>
    </cacheField>
  </cacheFields>
  <extLst>
    <ext xmlns:x14="http://schemas.microsoft.com/office/spreadsheetml/2009/9/main" uri="{725AE2AE-9491-48be-B2B4-4EB974FC3084}">
      <x14:pivotCacheDefinition pivotCacheId="2"/>
    </ext>
  </extLst>
</pivotCacheDefinition>
</file>

<file path=xl/pivotCache/pivotCacheDefinition3.xml><?xml version="1.0" encoding="utf-8"?>
<pivotCacheDefinition xmlns="http://schemas.openxmlformats.org/spreadsheetml/2006/main" xmlns:r="http://schemas.openxmlformats.org/officeDocument/2006/relationships" r:id="rId1" refreshOnLoad="1" refreshedBy="Thi Thi Lwin" refreshedDate="42718.414275347219" missingItemsLimit="0" createdVersion="4" refreshedVersion="5" minRefreshableVersion="3" recordCount="984">
  <cacheSource type="worksheet">
    <worksheetSource name="Table_NFI"/>
  </cacheSource>
  <cacheFields count="47">
    <cacheField name="Months" numFmtId="1">
      <sharedItems containsMixedTypes="1" containsNumber="1" minValue="-1.5333333333333334" maxValue="50.7"/>
    </cacheField>
    <cacheField name="Distribution Date" numFmtId="169">
      <sharedItems containsNonDate="0" containsDate="1" containsString="0" containsBlank="1" minDate="2011-11-02T00:00:00" maxDate="2016-02-17T00:00:00"/>
    </cacheField>
    <cacheField name="Organization" numFmtId="0">
      <sharedItems containsBlank="1" count="13">
        <s v="UNHCR"/>
        <s v="ICRC"/>
        <s v="Plan-Myanmar"/>
        <s v="CRCS"/>
        <s v="DRC"/>
        <s v="Solidarities"/>
        <s v="CRC"/>
        <s v="Save the Children"/>
        <s v="FSD"/>
        <s v="MRCS"/>
        <s v="DFID"/>
        <s v="World Vision"/>
        <m/>
      </sharedItems>
    </cacheField>
    <cacheField name="Implementing Partner" numFmtId="0">
      <sharedItems containsBlank="1"/>
    </cacheField>
    <cacheField name="State" numFmtId="0">
      <sharedItems containsBlank="1"/>
    </cacheField>
    <cacheField name="Township" numFmtId="0">
      <sharedItems containsBlank="1"/>
    </cacheField>
    <cacheField name="Camp Name" numFmtId="0">
      <sharedItems containsBlank="1"/>
    </cacheField>
    <cacheField name="Hygiene Kit" numFmtId="0">
      <sharedItems containsString="0" containsBlank="1" containsNumber="1" containsInteger="1" minValue="1" maxValue="5228"/>
    </cacheField>
    <cacheField name="NFI Core Kit" numFmtId="0">
      <sharedItems containsString="0" containsBlank="1" containsNumber="1" containsInteger="1" minValue="11" maxValue="200"/>
    </cacheField>
    <cacheField name="Sanitary Kit" numFmtId="0">
      <sharedItems containsString="0" containsBlank="1" containsNumber="1" containsInteger="1" minValue="1" maxValue="6005"/>
    </cacheField>
    <cacheField name="Mosquito net" numFmtId="0">
      <sharedItems containsString="0" containsBlank="1" containsNumber="1" containsInteger="1" minValue="0" maxValue="3256"/>
    </cacheField>
    <cacheField name="Tarpaulin" numFmtId="0">
      <sharedItems containsString="0" containsBlank="1" containsNumber="1" containsInteger="1" minValue="0" maxValue="1628"/>
    </cacheField>
    <cacheField name="Blanket" numFmtId="0">
      <sharedItems containsString="0" containsBlank="1" containsNumber="1" containsInteger="1" minValue="0" maxValue="3256"/>
    </cacheField>
    <cacheField name="Kitchen Set" numFmtId="0">
      <sharedItems containsString="0" containsBlank="1" containsNumber="1" containsInteger="1" minValue="0" maxValue="1628"/>
    </cacheField>
    <cacheField name="Clothes Kit" numFmtId="0">
      <sharedItems containsString="0" containsBlank="1" containsNumber="1" containsInteger="1" minValue="0" maxValue="760"/>
    </cacheField>
    <cacheField name="Plastic Bucket" numFmtId="0">
      <sharedItems containsString="0" containsBlank="1" containsNumber="1" containsInteger="1" minValue="0" maxValue="1628"/>
    </cacheField>
    <cacheField name="Plastic Mat" numFmtId="0">
      <sharedItems containsString="0" containsBlank="1" containsNumber="1" containsInteger="1" minValue="0" maxValue="5268"/>
    </cacheField>
    <cacheField name="Winter Clothes Adult" numFmtId="0">
      <sharedItems containsString="0" containsBlank="1" containsNumber="1" containsInteger="1" minValue="2" maxValue="2676"/>
    </cacheField>
    <cacheField name="Winter Clothes Children" numFmtId="0">
      <sharedItems containsString="0" containsBlank="1" containsNumber="1" containsInteger="1" minValue="8" maxValue="3600"/>
    </cacheField>
    <cacheField name="Winter Items Other" numFmtId="0">
      <sharedItems containsString="0" containsBlank="1" containsNumber="1" containsInteger="1" minValue="0" maxValue="3816"/>
    </cacheField>
    <cacheField name="Winter Blanket" numFmtId="0">
      <sharedItems containsString="0" containsBlank="1" containsNumber="1" containsInteger="1" minValue="10" maxValue="3186"/>
    </cacheField>
    <cacheField name="Jerry Can" numFmtId="0">
      <sharedItems containsString="0" containsBlank="1" containsNumber="1" containsInteger="1" minValue="3" maxValue="405"/>
    </cacheField>
    <cacheField name="Shelter Tool kit" numFmtId="0">
      <sharedItems containsString="0" containsBlank="1" containsNumber="1" containsInteger="1" minValue="7" maxValue="10"/>
    </cacheField>
    <cacheField name="Tent" numFmtId="0">
      <sharedItems containsString="0" containsBlank="1" containsNumber="1" containsInteger="1" minValue="6" maxValue="90"/>
    </cacheField>
    <cacheField name="Hygiene Kit_LS" numFmtId="0">
      <sharedItems containsSemiMixedTypes="0" containsString="0" containsNumber="1" containsInteger="1" minValue="0" maxValue="0"/>
    </cacheField>
    <cacheField name="NFI Core Kit_LS" numFmtId="0">
      <sharedItems containsSemiMixedTypes="0" containsString="0" containsNumber="1" containsInteger="1" minValue="0" maxValue="200"/>
    </cacheField>
    <cacheField name="Sanitary Kit_LS" numFmtId="0">
      <sharedItems containsSemiMixedTypes="0" containsString="0" containsNumber="1" containsInteger="1" minValue="0" maxValue="232"/>
    </cacheField>
    <cacheField name="Mosquito net_LS" numFmtId="0">
      <sharedItems containsSemiMixedTypes="0" containsString="0" containsNumber="1" containsInteger="1" minValue="0" maxValue="1621"/>
    </cacheField>
    <cacheField name="Tarpaulin_LS" numFmtId="0">
      <sharedItems containsSemiMixedTypes="0" containsString="0" containsNumber="1" containsInteger="1" minValue="0" maxValue="250"/>
    </cacheField>
    <cacheField name="Blanket_LS" numFmtId="0">
      <sharedItems containsString="0" containsBlank="1" containsNumber="1" containsInteger="1" minValue="0" maxValue="829"/>
    </cacheField>
    <cacheField name="Kitchen Set_LS" numFmtId="0">
      <sharedItems containsString="0" containsBlank="1" containsNumber="1" containsInteger="1" minValue="0" maxValue="200"/>
    </cacheField>
    <cacheField name="Clothes Kit_LS" numFmtId="0">
      <sharedItems containsSemiMixedTypes="0" containsString="0" containsNumber="1" containsInteger="1" minValue="0" maxValue="54"/>
    </cacheField>
    <cacheField name="Plastic Bucket _LS" numFmtId="0">
      <sharedItems containsSemiMixedTypes="0" containsString="0" containsNumber="1" containsInteger="1" minValue="0" maxValue="200"/>
    </cacheField>
    <cacheField name="Plastic  Mat_LS" numFmtId="0">
      <sharedItems containsSemiMixedTypes="0" containsString="0" containsNumber="1" minValue="0" maxValue="3000"/>
    </cacheField>
    <cacheField name="Winter Clothes Adult_LS" numFmtId="0">
      <sharedItems containsSemiMixedTypes="0" containsString="0" containsNumber="1" containsInteger="1" minValue="0" maxValue="2676"/>
    </cacheField>
    <cacheField name="Winter Clothes Children_LS" numFmtId="0">
      <sharedItems containsSemiMixedTypes="0" containsString="0" containsNumber="1" containsInteger="1" minValue="0" maxValue="3600"/>
    </cacheField>
    <cacheField name="Winter Items Other_LS" numFmtId="0">
      <sharedItems containsSemiMixedTypes="0" containsString="0" containsNumber="1" containsInteger="1" minValue="0" maxValue="0"/>
    </cacheField>
    <cacheField name="Winter Blanket_LS" numFmtId="0">
      <sharedItems containsSemiMixedTypes="0" containsString="0" containsNumber="1" containsInteger="1" minValue="0" maxValue="3186"/>
    </cacheField>
    <cacheField name="Winter" numFmtId="0">
      <sharedItems containsSemiMixedTypes="0" containsString="0" containsNumber="1" containsInteger="1" minValue="0" maxValue="1" count="2">
        <n v="1"/>
        <n v="0"/>
      </sharedItems>
    </cacheField>
    <cacheField name="Jerry Can_LS" numFmtId="0">
      <sharedItems containsSemiMixedTypes="0" containsString="0" containsNumber="1" containsInteger="1" minValue="0" maxValue="405"/>
    </cacheField>
    <cacheField name="Pcode" numFmtId="0">
      <sharedItems/>
    </cacheField>
    <cacheField name="opening_date" numFmtId="1">
      <sharedItems containsMixedTypes="1" containsNumber="1" containsInteger="1" minValue="0" maxValue="1" count="3">
        <s v=""/>
        <n v="0"/>
        <n v="1"/>
      </sharedItems>
    </cacheField>
    <cacheField name="Status" numFmtId="0">
      <sharedItems count="3">
        <s v=""/>
        <s v="Open"/>
        <s v="Closed"/>
      </sharedItems>
    </cacheField>
    <cacheField name="Priority" numFmtId="0">
      <sharedItems count="5">
        <s v=""/>
        <s v="P4"/>
        <s v="P3"/>
        <s v="P1"/>
        <s v="P2"/>
      </sharedItems>
    </cacheField>
    <cacheField name="Coverage" numFmtId="9">
      <sharedItems containsMixedTypes="1" containsNumber="1" minValue="0" maxValue="3.4"/>
    </cacheField>
    <cacheField name="Planned Distribution" numFmtId="0">
      <sharedItems containsBlank="1"/>
    </cacheField>
    <cacheField name="Comment"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OnLoad="1" refreshedBy="Thi Thi Lwin" refreshedDate="42718.414275810188" missingItemsLimit="0" createdVersion="4" refreshedVersion="5" minRefreshableVersion="3" recordCount="243">
  <cacheSource type="worksheet">
    <worksheetSource name="AllData_CampList"/>
  </cacheSource>
  <cacheFields count="42">
    <cacheField name="Status" numFmtId="0">
      <sharedItems count="2">
        <s v="Closed"/>
        <s v="Open"/>
      </sharedItems>
    </cacheField>
    <cacheField name="State" numFmtId="0">
      <sharedItems count="2">
        <s v="Kachin"/>
        <s v="Shan_North"/>
      </sharedItems>
    </cacheField>
    <cacheField name="S_Pcode" numFmtId="0">
      <sharedItems containsBlank="1"/>
    </cacheField>
    <cacheField name="District" numFmtId="0">
      <sharedItems containsBlank="1"/>
    </cacheField>
    <cacheField name="D_Pcode" numFmtId="0">
      <sharedItems containsBlank="1"/>
    </cacheField>
    <cacheField name="Township" numFmtId="0">
      <sharedItems count="21">
        <s v="Hpakant"/>
        <s v="Bhamo"/>
        <s v="Mansi"/>
        <s v="Waingmaw"/>
        <s v="Chipwi"/>
        <s v="Momauk"/>
        <s v="Myitkyina"/>
        <s v="Kutkai"/>
        <s v="Mohnyin"/>
        <s v="Shwegu"/>
        <s v="Muse"/>
        <s v="Puta-O"/>
        <s v="Mogaung"/>
        <s v="Khaunglanhpu"/>
        <s v="Injangyang"/>
        <s v="Machanbaw"/>
        <s v="Manton"/>
        <s v="Namhkan"/>
        <s v="Hseni"/>
        <s v="Namtu"/>
        <s v="Sumprabum"/>
      </sharedItems>
      <fieldGroup par="38"/>
    </cacheField>
    <cacheField name="T_Pcode" numFmtId="0">
      <sharedItems/>
    </cacheField>
    <cacheField name="VillageTracKTown" numFmtId="0">
      <sharedItems containsBlank="1"/>
    </cacheField>
    <cacheField name="VTT_Pcode" numFmtId="0">
      <sharedItems containsBlank="1" containsMixedTypes="1" containsNumber="1" containsInteger="1" minValue="167301" maxValue="167301"/>
    </cacheField>
    <cacheField name="VillageWard_Name" numFmtId="0">
      <sharedItems containsBlank="1"/>
    </cacheField>
    <cacheField name="VW_Pcode" numFmtId="0">
      <sharedItems containsBlank="1" containsMixedTypes="1" containsNumber="1" containsInteger="1" minValue="165685" maxValue="217032"/>
    </cacheField>
    <cacheField name="Camp" numFmtId="0">
      <sharedItems count="240">
        <s v="1 Ward, Sein Yadanar Company(Lon Khin)"/>
        <s v="5 Ward Baptist Church(lon Khin)"/>
        <s v="5 Ward RC Church(lon Khin)"/>
        <s v="AD-2000 Tharthana Compound"/>
        <s v="AG Church, Hmaw Si Sa"/>
        <s v="AG Church, Maw Wan"/>
        <s v="Anglican Church, Hmaw Si Sar"/>
        <s v="Aung Thar Church"/>
        <s v="Away Yar Rama Monastery, Ka Day village"/>
        <s v="Aye Mya Tharyar Church of Christ "/>
        <s v="Ban Hkung (School)"/>
        <s v="Ban Hkung Yang"/>
        <s v="Ban Hkung Yang (Boarding School)"/>
        <s v="Baptist Church, Hmaw Si Sar(Lon Khin)"/>
        <s v="Baptist Church, Naung Hmee VT"/>
        <s v="Baptist Church, Sai Ra village"/>
        <s v="Border Post 10"/>
        <s v="Border Post 8"/>
        <s v="Bum Tsit Pa "/>
        <s v="Bum Tsit Pa Camp II"/>
        <s v="Chin Church, Seik Mu"/>
        <s v="Chin(Zomi) Baptist Church"/>
        <s v="Chipwi KBC camp"/>
        <s v="Daw Hpum Yang Ninghtawn"/>
        <s v="Dawthponeyan Boarding School"/>
        <s v="Dhama Rakhita, Nyein Chan Tar Yar Ward(Lon Khin)"/>
        <s v="Du Kahtawng Qtr. 14"/>
        <s v="Du Kahtawng Qtr. 4"/>
        <s v="Du Kahtawng Qtr. 5"/>
        <s v="Dum Bung "/>
        <s v="Ei Wan Gali Asso., Ward 1, Seik Mu"/>
        <s v="Free Christian Asso., Ward 1, Seik Mu"/>
        <s v="Galeng (Kachin)"/>
        <s v="Galeng (Palaung)"/>
        <s v="Gant Gwin"/>
        <s v="Hkat Cho "/>
        <s v="Hkau Shau (BP 12)"/>
        <s v="Hlaing Naung Baptist"/>
        <s v="Hmaw Wan, Anglican"/>
        <s v="Hmaw Wan, Baptist Christian Church"/>
        <s v="Hopin Host Families"/>
        <s v="Host Families"/>
        <s v="Howa"/>
        <s v="Hpai Kawng Mare"/>
        <s v="Hpakant Baptist Church, Nam Ma Hpit"/>
        <s v="Hpare Hkyer - BP6"/>
        <s v="Hpun Lum Yang "/>
        <s v="Htoi San Church"/>
        <s v="IDP Boarding School, A Len Bum"/>
        <s v="IDPs scattered in South Mansi"/>
        <s v="Inn Lel Yan - Host Families"/>
        <s v="Jan Mai Kawng Baptist Church"/>
        <s v="Jan Mai Kawng Catholic Church"/>
        <s v="Je Yang Hka "/>
        <s v="Kannar Yeik Thar"/>
        <s v="Khun Sint Village"/>
        <s v="Kone Khem Camp"/>
        <s v="Ku Day Maw KBC"/>
        <s v="Kutkai downtown (KBC Church)"/>
        <s v="Kutkai downtown (RC Church)"/>
        <s v="Kyun Pin Thar Baptist Church"/>
        <s v="Kyun Taw Baptist Church "/>
        <s v="La Ja"/>
        <s v="Lagatyan "/>
        <s v="Laiza Market 3 - Laiza Gat"/>
        <s v="Laiza Muklum Hpyen  Yen Mungshawa ni"/>
        <s v="Lan Jaw "/>
        <s v="Lana Zup Ja "/>
        <s v="Lawk Awng Mare D. (Sinbo Area)"/>
        <s v="Lawk Hkawng Ginwang"/>
        <s v="Le Kone Bethlehem Church"/>
        <s v="Le Kone Ziun Baptist Church "/>
        <s v="Lhaovao Baptist Church (LBC)"/>
        <s v="Lisu Baptist Church, Maw Shan Vil,. Seik Mu"/>
        <s v="Lisu Baptist Church, Maw Wan Ward"/>
        <s v="Lisu Boarding-House"/>
        <s v="Loi Je Baptist Church"/>
        <s v="Loi Je Catholic Church"/>
        <s v="Loi Je Lisu Camp"/>
        <s v="Lung Kawk  ( Hka Hkye Zup)"/>
        <s v="Lung Sut"/>
        <s v="Ma Hawng RC "/>
        <s v="Ma Mon Buddhist Monastery"/>
        <s v="Machanbaw - KBC"/>
        <s v="Mading Baptist Church"/>
        <s v="Maga Yang "/>
        <s v="Mai Khat "/>
        <s v="Maina AG Church"/>
        <s v="Maina Catholic Church (St. Joseph)"/>
        <s v="Maina KBC (Bawng Ring)"/>
        <s v="Maina Lawang Baptist Church"/>
        <s v="Maing Khaung"/>
        <s v="Maing Khaung Catholic Church"/>
        <s v="Maliyang Baptist Church"/>
        <s v="Man Bung Catholic compound"/>
        <s v="Man Hkring Baptist Church"/>
        <s v="Man Kawng Baptist Church"/>
        <s v="Man Kawng Catholic Church"/>
        <s v="Man Nawng "/>
        <s v="Man Ting"/>
        <s v="Man Wing Baptist Church"/>
        <s v="Man Wing Baptist Church Cultural Compound"/>
        <s v="Man Wing Catholic Church"/>
        <s v="Man Wing Catholic Church II"/>
        <s v="Man Wing Host Families"/>
        <s v="Manau Compound"/>
        <s v="Mandalay Monestry"/>
        <s v="Mandung - Jinghpaw"/>
        <s v="Mandung - RC"/>
        <s v="Mang Hawng Baptist Church"/>
        <s v="Mansi Baptist Church"/>
        <s v="Mashi Kahtawng Baptist  Church"/>
        <s v="Mashi Kahtawng Catholic Church"/>
        <s v="Mashi Kahtawng Evangelical Church"/>
        <s v="Mashi Kahtawng Municipal Dammar Yone"/>
        <s v="Mashi Kahtawng Myo Oo Taw Ya Monestry"/>
        <s v="Mashi Kahtawng Rakhine traditional group"/>
        <s v="Mashi Kahtawng Shan Traditional Monestry"/>
        <s v="Mashi Kahtawng Yaung Chi Oo Thi la shin Monestry"/>
        <s v="Maw Hpawng Hka Nan Baptist Church"/>
        <s v="Maw Hpawng Lhaovo Baptist Church"/>
        <s v="Maw Si Zar, Thiriyardanar Sein, Damma Compound, Lone Khin"/>
        <s v="Maw Wan, Catholic Church"/>
        <s v="Maw Wan, Kachin Baptist Church"/>
        <s v="Maw Wan, Kyauk Hlaing Gu Pagoda Compound"/>
        <s v="Maw Wan, Mu-yin Baptist Church"/>
        <s v="Maw Wan, Myo Oo Pagoda"/>
        <s v="May Di Ka Rama Monastery(Lon Khin)"/>
        <s v="Mine Yu Lay village"/>
        <s v="Moenyin Host Families"/>
        <s v="Moke Lwe Village - Hkar Shi"/>
        <s v="Momauk Baptist Church"/>
        <s v="Momauk Catholic Church (St. Patrick)"/>
        <s v="Munekoe Pa (Giwang) - Hka San (Mung  Go  Pa ) "/>
        <s v="Mung Baw "/>
        <s v="Mung Ding Pa "/>
        <s v="Mung Ding Pa  (Boarder)"/>
        <s v="Mungji Pa Dabang (Baptist Church)         "/>
        <s v="Mungji Pa Dabang (Catholic Church)"/>
        <s v="Mungji Pa Dabang (RC Church)         "/>
        <s v="Muring Baptist Church, Awng Ra, Wa Ra Zut VT"/>
        <s v="Muse Baptist Church"/>
        <s v="Muse Catholic Church"/>
        <s v="Mu-yin Baptist Church"/>
        <s v="Myay Myint Baptist Church"/>
        <s v="Myo Thit "/>
        <s v="Nam Hka Mare (west of Man Wing)"/>
        <s v="Nam Hkam - Nay Win Ni (Palawng)"/>
        <s v="Nam Hkam (KBC Jaw Wang)"/>
        <s v="Nam Hkam (KBC Jaw Wang) II"/>
        <s v="Nam Hkam Catholic Church ( St. Thomas I)"/>
        <s v="Nam Hkam Catholic Church ( St. Thomas II)"/>
        <s v="Nam Hkam Malut Jak "/>
        <s v="Nam Hkawng"/>
        <s v="Nam Hkyet"/>
        <s v="Nam Hpak Ka Mare "/>
        <s v="Nam Lim Pa"/>
        <s v="Nam Lim Pa    (Boarding School)"/>
        <s v="Nam Lim Pa - Scattered IDPs in forest"/>
        <s v="Nam Ma Phyit, COC"/>
        <s v="Nam Sa Larp"/>
        <s v="Nam Tu Baptist"/>
        <s v="Nam Tu RC"/>
        <s v="Namhkan - Pang Long KBC"/>
        <s v="Nan Kway St. John Catholic Church"/>
        <s v="Nant Hlaing Church"/>
        <s v="Nant Ma Hpit Catholic Church"/>
        <s v="Nant Mun"/>
        <s v="Narte"/>
        <s v="Nat Gyi Kone Baptist Church "/>
        <s v="Naung Khaing"/>
        <s v="Nawng Hee Village"/>
        <s v="Nawng Ing (Indawgyi) Baptist Church  "/>
        <s v="Nawng Si Paw Village - Inn Lay"/>
        <s v="Ndup Yang"/>
        <s v="New Pang Ku "/>
        <s v="Nga Pyaw Taw Baptist Nursery School "/>
        <s v="Nga Pyaw Taw Roman Catholic Church"/>
        <s v="Nhkawng Pa "/>
        <s v="Ni Thaw Ka Monestry"/>
        <s v="Njang Dung Baptist Church "/>
        <s v="Nyaung Na Pin "/>
        <s v="Pa Dauk Myaing(Pa La Na)"/>
        <s v="Pa Kahtawng "/>
        <s v="Pajau - Jan Mai"/>
        <s v="Pan Wa"/>
        <s v="Parami, Charity Office, MyoMa Quarter"/>
        <s v="Phan Khar Kone"/>
        <s v="Phar Kay/Nant Waing "/>
        <s v="Post 6 Camp"/>
        <s v="Qtr. 2 Lhaovo Baptist Church"/>
        <s v="Qtr. 2 Myoma Baptist Church"/>
        <s v="Qtr. 3 Mu-yin  Baptist Church"/>
        <s v="Qtr. 4 Monestry (Thargaya Thayett Taw)"/>
        <s v="Rawan Baptist Church, Maw Shan Vil., Seik Mu"/>
        <s v="Robert Church"/>
        <s v="Sa Baw Sarsana Parla Monastery"/>
        <s v="Sai Nai Baptish Church, Maw Shan Vil., Seki Mu"/>
        <s v="Salang Yang"/>
        <s v="San Kyel, Masoe Yein Monestry"/>
        <s v="Sar Hmaw - ICM"/>
        <s v="Sar Hmaw - KBC"/>
        <s v="Saw Zam"/>
        <s v="Seng Ja "/>
        <s v="Shatapru Sut Ngai Tawng"/>
        <s v="Shatapru Thida Aye Baptist Church"/>
        <s v="Shing Jai"/>
        <s v="Shwe Gu Baptist Church"/>
        <s v="Shwe Gu Catholic Church"/>
        <s v="Shwe Zet Baptist Church"/>
        <s v="Si Hkan Gyi"/>
        <s v="St. Patrick Catholic Church "/>
        <s v="St. Patrick Church, Bhamo"/>
        <s v="Sumprabum"/>
        <s v="Ta Gun Taing Monastery (Shwe Kyi Na)"/>
        <s v="Tar Ma Hkan Buddhist Monastery, Haung Par"/>
        <s v="Tarli "/>
        <s v="Tat Kone Baptist Church"/>
        <s v="Tat Kone COC Baptist - Tat Kone Htoi San"/>
        <s v="Tat Kone Emanuel Church"/>
        <s v="Tat Kone Galile Baptist Church"/>
        <s v="Tat Kone San Pya Baptist Church"/>
        <s v="Thargaya Lisu Baptist Church"/>
        <s v="Tharthana Ahlin Yaung New Monastery"/>
        <s v="Thiri Mingalar Manizay Yone, Myoma Quarter"/>
        <s v="Thu Kha Waddy"/>
        <s v="Tote Tan Ward"/>
        <s v="Waingmaw AG Church"/>
        <s v="Waingmaw Baptist Zonal Office"/>
        <s v="Ward 2 Cahotlic Church, Seik Mu"/>
        <s v="Ward 2 Sai Taung Baptist Church, Seik Mu "/>
        <s v="Woi Chyai "/>
        <s v="Women's Affairs Association Building"/>
        <s v="Wrad(5) Christian Association"/>
        <s v="Wun Tho Buddhist Monastery"/>
        <s v="Yoe Kyi Monastery"/>
        <s v="Yumar Baptist Church"/>
        <s v="Zai Awng - Mung Ga Zup"/>
        <s v="Zomee Baptist Church camp, Hmaw Wan"/>
        <s v="Zup Aung Camp"/>
      </sharedItems>
    </cacheField>
    <cacheField name="CP_Pcode" numFmtId="0">
      <sharedItems count="243">
        <s v="MMR001CMP171"/>
        <s v="MMR001CMP179"/>
        <s v="MMR001CMP168"/>
        <s v="MMR001CMP050"/>
        <s v="MMR001CMP176"/>
        <s v="MMR001CMP190"/>
        <s v="MMR001CMP173"/>
        <s v="MMR001CMP194"/>
        <s v="MMR001CMP170"/>
        <s v="MMR001CMP092"/>
        <s v="MMR001CMP215"/>
        <s v="MMR001CMP216"/>
        <s v="MMR001CMP214"/>
        <s v="MMR001CMP169"/>
        <s v="MMR001CMP188"/>
        <s v="MMR001CMP172"/>
        <s v="MMR001CMP114"/>
        <s v="MMR001CMP113"/>
        <s v="MMR001CMP129"/>
        <s v="MMR001CMP226"/>
        <s v="MMR001CMP109"/>
        <s v="MMR001CMP086"/>
        <s v="MMR001CMP042"/>
        <s v="MMR001CMP153"/>
        <s v="MMR001CMP240"/>
        <s v="MMR001CMP174"/>
        <s v="MMR001CMP012"/>
        <s v="MMR001CMP010"/>
        <s v="MMR001CMP011"/>
        <s v="MMR001CMP123"/>
        <s v="MMR001CMP180"/>
        <s v="MMR001CMP186"/>
        <s v="MMR015CMP211"/>
        <s v="MMR015CMP212"/>
        <s v="MMR001CMP046"/>
        <s v="MMR001CMP028"/>
        <s v="MMR001CMP115"/>
        <s v="MMR001CMP148"/>
        <s v="MMR001CMP191"/>
        <s v="MMR001CMP189"/>
        <s v="MMR001CMP232"/>
        <s v="MMR001CMP163"/>
        <s v="MMR001CMP196"/>
        <s v="MMR001CMP197"/>
        <s v="MMR001CMP199"/>
        <s v="MMR015CMP010"/>
        <s v="MMR015CMP022"/>
        <s v="MMR001CMP229"/>
        <s v="MMR001CMP043"/>
        <s v="MMR001CMP122"/>
        <s v="MMR001CMP052"/>
        <s v="MMR001CMP208"/>
        <s v="MMR001CMP217"/>
        <s v="MMR001CMP227"/>
        <s v="MMR001CMP018"/>
        <s v="MMR001CMP019"/>
        <s v="MMR001CMP121"/>
        <s v="MMR001CMP048"/>
        <s v="MMR001CMP200"/>
        <s v="MMR015CMP015"/>
        <s v="MMR001CMP231"/>
        <s v="MMR015CMP016"/>
        <s v="MMR015CMP017"/>
        <s v="MMR001CMP013"/>
        <s v="MMR001CMP078"/>
        <s v="MMR001CMP074"/>
        <s v="MMR001CMP202"/>
        <s v="MMR001CMP117"/>
        <s v="MMR001CMP149"/>
        <s v="MMR001CMP045"/>
        <s v="MMR001CMP128"/>
        <s v="MMR001CMP147"/>
        <s v="MMR001CMP146"/>
        <s v="MMR001CMP015"/>
        <s v="MMR001CMP014"/>
        <s v="MMR001CMP195"/>
        <s v="MMR001CMP181"/>
        <s v="MMR001CMP167"/>
        <s v="MMR001CMP049"/>
        <s v="MMR001CMP071"/>
        <s v="MMR001CMP069"/>
        <s v="MMR001CMP070"/>
        <s v="MMR001CMP135"/>
        <s v="MMR001CMP234"/>
        <s v="MMR001CMP237"/>
        <s v="MMR001CMP107"/>
        <s v="MMR001CMP221"/>
        <s v="MMR001CMP027"/>
        <s v="MMR001CMP119"/>
        <s v="MMR001CMP064"/>
        <s v="MMR001CMP031"/>
        <s v="MMR001CMP029"/>
        <s v="MMR001CMP040"/>
        <s v="MMR001CMP039"/>
        <s v="MMR001CMP218"/>
        <s v="MMR001CMP223"/>
        <s v="MMR001CMP016"/>
        <s v="MMR001CMP062"/>
        <s v="MMR001CMP008"/>
        <s v="MMR001CMP212"/>
        <s v="MMR001CMP213"/>
        <s v="MMR001CMP063"/>
        <s v="MMR001CMP198"/>
        <s v="MMR001CMP133"/>
        <s v="MMR001CMP230"/>
        <s v="MMR001CMP132"/>
        <s v="MMR001CMP228"/>
        <s v="MMR001CMP134"/>
        <s v="MMR001CMP118"/>
        <s v="MMR001CMP058"/>
        <s v="MMR015CMP009"/>
        <s v="MMR015CMP209"/>
        <s v="MMR001CMP077"/>
        <s v="MMR001CMP066"/>
        <s v="MMR001CMP094"/>
        <s v="MMR001CMP093"/>
        <s v="MMR001CMP096"/>
        <s v="MMR001CMP098"/>
        <s v="MMR001CMP099"/>
        <s v="MMR001CMP095"/>
        <s v="MMR001CMP100"/>
        <s v="MMR001CMP097"/>
        <s v="MMR001CMP020"/>
        <s v="MMR001CMP021"/>
        <s v="MMR001CMP106"/>
        <s v="MMR001CMP090"/>
        <s v="MMR001CMP085"/>
        <s v="MMR001CMP084"/>
        <s v="MMR001CMP091"/>
        <s v="MMR001CMP088"/>
        <s v="MMR001CMP178"/>
        <s v="MMR015CMP018"/>
        <s v="MMR001CMP233"/>
        <s v="MMR001CMP035"/>
        <s v="MMR001CMP056"/>
        <s v="MMR001CMP057"/>
        <s v="MMR015CMP012"/>
        <s v="MMR015CMP005"/>
        <s v="MMR015CMP023"/>
        <s v="MMR001CMP203"/>
        <s v="MMR015CMP006"/>
        <s v="MMR015CMP217"/>
        <s v="MMR015CMP019"/>
        <s v="MMR001CMP177"/>
        <s v="MMR015CMP213"/>
        <s v="MMR015CMP216"/>
        <s v="MMR001CMP051"/>
        <s v="MMR001CMP017"/>
        <s v="MMR001CMP061"/>
        <s v="MMR001CMP136"/>
        <s v="MMR015CMP004"/>
        <s v="MMR015CMP001"/>
        <s v="MMR015CMP214"/>
        <s v="MMR015CMP003"/>
        <s v="MMR015CMP024"/>
        <s v="MMR015CMP002"/>
        <s v="MMR015CMP139"/>
        <s v="MMR015CMP011"/>
        <s v="MMR015CMP007"/>
        <s v="MMR001CMP204"/>
        <s v="MMR001CMP209"/>
        <s v="MMR001CMP137"/>
        <s v="MMR001CMP192"/>
        <s v="MMR015CMP218"/>
        <s v="MMR015CMP014"/>
        <s v="MMR015CMP210"/>
        <s v="MMR015CMP215"/>
        <s v="MMR001CMP024"/>
        <s v="MMR001CMP054"/>
        <s v="MMR001CMP103"/>
        <s v="MMR001CMP081"/>
        <s v="MMR015CMP207"/>
        <s v="MMR001CMP079"/>
        <s v="MMR001CMP220"/>
        <s v="MMR001CMP033"/>
        <s v="MMR001CMP152"/>
        <s v="MMR001CMP034"/>
        <s v="MMR001CMP238"/>
        <s v="MMR015CMP219"/>
        <s v="MMR001CMP082"/>
        <s v="MMR001CMP083"/>
        <s v="MMR001CMP131"/>
        <s v="MMR001CMP059"/>
        <s v="MMR001CMP002"/>
        <s v="MMR001CMP072"/>
        <s v="MMR001CMP162"/>
        <s v="MMR001CMP126"/>
        <s v="MMR001CMP120"/>
        <s v="MMR001CMP210"/>
        <s v="MMR001CMP102"/>
        <s v="MMR001CMP193"/>
        <s v="MMR001CMP065"/>
        <s v="MMR001CMP160"/>
        <s v="MMR001CMP032"/>
        <s v="MMR001CMP025"/>
        <s v="MMR001CMP030"/>
        <s v="MMR001CMP026"/>
        <s v="MMR001CMP182"/>
        <s v="MMR001CMP047"/>
        <s v="MMR001CMP108"/>
        <s v="MMR001CMP183"/>
        <s v="MMR001CMP239"/>
        <s v="MMR001CMP104"/>
        <s v="MMR001CMP235"/>
        <s v="MMR001CMP236"/>
        <s v="MMR001CMP225"/>
        <s v="MMR001CMP073"/>
        <s v="MMR001CMP006"/>
        <s v="MMR001CMP007"/>
        <s v="MMR001CMP041"/>
        <s v="MMR001CMP067"/>
        <s v="MMR001CMP068"/>
        <s v="MMR001CMP009"/>
        <s v="MMR001CMP219"/>
        <s v="MMR001CMP080"/>
        <s v="MMR001CMP222"/>
        <s v="MMR001CMP206"/>
        <s v="MMR001CMP055"/>
        <s v="MMR001CMP110"/>
        <s v="MMR001CMP060"/>
        <s v="MMR001CMP001"/>
        <s v="MMR001CMP023"/>
        <s v="MMR001CMP004"/>
        <s v="MMR001CMP003"/>
        <s v="MMR001CMP005"/>
        <s v="MMR001CMP037"/>
        <s v="MMR001CMP224"/>
        <s v="MMR001CMP101"/>
        <s v="MMR001CMP211"/>
        <s v="MMR001CMP075"/>
        <s v="MMR001CMP038"/>
        <s v="MMR001CMP036"/>
        <s v="MMR001CMP185"/>
        <s v="MMR001CMP184"/>
        <s v="MMR001CMP116"/>
        <s v="MMR001CMP044"/>
        <s v="MMR001CMP175"/>
        <s v="MMR001CMP022"/>
        <s v="MMR001CMP053"/>
        <s v="MMR001CMP105"/>
        <s v="MMR001CMP111"/>
        <s v="MMR001CMP201"/>
        <s v="MMR015CMP020"/>
      </sharedItems>
    </cacheField>
    <cacheField name="Longitude" numFmtId="0">
      <sharedItems containsString="0" containsBlank="1" containsNumber="1" minValue="29.52796" maxValue="98.475719999999995" count="190">
        <n v="96.359549999999999"/>
        <n v="96.355270000000004"/>
        <n v="96.353070000000002"/>
        <n v="97.238829999999993"/>
        <n v="96.345569999999995"/>
        <n v="96.317350000000005"/>
        <m/>
        <n v="97.252650000000003"/>
        <n v="96.339870000000005"/>
        <n v="96.346469999999997"/>
        <n v="96.673805000000002"/>
        <n v="97.837778"/>
        <n v="97.915833000000006"/>
        <n v="97.609832999999995"/>
        <n v="97.608249999999998"/>
        <n v="96.283377000000002"/>
        <n v="98.131550000000004"/>
        <n v="97.461271999999994"/>
        <n v="96.35257"/>
        <n v="97.384729629629604"/>
        <n v="97.382997575757599"/>
        <n v="97.381325000000004"/>
        <n v="97.537099999999995"/>
        <n v="97.404195925926004"/>
        <n v="97.807182999999995"/>
        <n v="96.705960000000005"/>
        <n v="96.316564"/>
        <n v="96.52534"/>
        <n v="97.228835000000004"/>
        <n v="97.298055000000005"/>
        <n v="97.348405"/>
        <n v="96.793177"/>
        <n v="98.116817999999995"/>
        <n v="98.115809999999996"/>
        <n v="96.312790000000007"/>
        <n v="98.475719999999995"/>
        <n v="97.573126000000002"/>
        <n v="97.236919999999998"/>
        <n v="97.541793999999996"/>
        <n v="97.561105999999995"/>
        <n v="97.373361000000003"/>
        <n v="97.379594999999995"/>
        <n v="97.568331999999998"/>
        <n v="97.221556500999995"/>
        <n v="97.343406999999999"/>
        <n v="97.848529999999997"/>
        <n v="97.926813999999993"/>
        <n v="97.947360000000003"/>
        <n v="97.405202777777802"/>
        <n v="96.922619999999995"/>
        <n v="98.144502500000002"/>
        <n v="97.601243999999994"/>
        <n v="97.551507000000001"/>
        <n v="97.718008999999995"/>
        <n v="98.354146999999998"/>
        <n v="97.625617000000005"/>
        <n v="97.409035000000003"/>
        <n v="97.403402307692303"/>
        <n v="98.129990000000006"/>
        <n v="96.269199999999998"/>
        <n v="96.316400000000002"/>
        <n v="97.240183461538507"/>
        <n v="97.718582999999995"/>
        <n v="97.724566999999993"/>
        <n v="97.717133000000004"/>
        <n v="97.585667000000001"/>
        <n v="97.416121000000004"/>
        <n v="97.586470000000006"/>
        <n v="97.451965000000001"/>
        <n v="97.715230000000005"/>
        <n v="97.409474000000003"/>
        <n v="97.433419259259296"/>
        <n v="97.437782499999997"/>
        <n v="97.434855869565197"/>
        <n v="97.426536944444507"/>
        <n v="97.225881000000001"/>
        <n v="97.227057000000002"/>
        <n v="97.4113064583333"/>
        <n v="97.325019999999995"/>
        <n v="97.418694000000002"/>
        <n v="97.710989999999995"/>
        <n v="97.321659999999994"/>
        <n v="97.276591999999994"/>
        <n v="97.589979999999997"/>
        <n v="97.590767"/>
        <n v="97.578490000000002"/>
        <n v="97.578367"/>
        <n v="97.588291999999996"/>
        <n v="97.550267000000005"/>
        <n v="97.346940000000004"/>
        <n v="97.124403000000001"/>
        <n v="97.116680000000002"/>
        <n v="96.942279999999997"/>
        <n v="97.291820000000001"/>
        <n v="96.310928000000004"/>
        <n v="97.2843958974359"/>
        <n v="97.290952037037002"/>
        <n v="96.343350000000001"/>
        <n v="96.316210999999996"/>
        <n v="96.319829999999996"/>
        <n v="96.359309999999994"/>
        <n v="97.793019999999999"/>
        <n v="96.366919999999993"/>
        <n v="97.421104"/>
        <n v="97.344359999999995"/>
        <n v="97.346950000000007"/>
        <n v="98.320651999999995"/>
        <n v="98.054946000000001"/>
        <n v="97.174999999999997"/>
        <n v="96.808850000000007"/>
        <n v="98.220614999999995"/>
        <n v="98.213958000000005"/>
        <n v="96.354159999999993"/>
        <n v="97.909400000000005"/>
        <n v="97.911647000000002"/>
        <n v="97.234200000000001"/>
        <n v="97.376671999999999"/>
        <n v="97.407787999999996"/>
        <n v="97.681970000000007"/>
        <n v="97.669557999999995"/>
        <n v="97.700940000000003"/>
        <n v="97.670360000000002"/>
        <n v="97.678299999999993"/>
        <n v="98.129380999999995"/>
        <n v="97.818979999999996"/>
        <n v="97.132339999999999"/>
        <n v="96.339590000000001"/>
        <n v="98.218626999999998"/>
        <n v="97.404089999999997"/>
        <n v="97.398989"/>
        <n v="97.709879999999998"/>
        <n v="97.359320179999997"/>
        <n v="97.315860000000001"/>
        <n v="96.341352999999998"/>
        <n v="96.364949999999993"/>
        <n v="98.352670000000003"/>
        <n v="96.948740000000001"/>
        <n v="97.58184"/>
        <n v="97.345039"/>
        <n v="97.745480999999998"/>
        <n v="29.52796"/>
        <n v="96.31326"/>
        <n v="97.669366999999994"/>
        <n v="97.347740000000002"/>
        <n v="97.394547000000003"/>
        <n v="97.724483000000006"/>
        <n v="97.4345"/>
        <n v="97.752667000000002"/>
        <n v="97.751389000000003"/>
        <n v="98.377780000000001"/>
        <n v="97.429860000000005"/>
        <n v="97.990555999999998"/>
        <n v="97.441166388888902"/>
        <n v="97.438432380952406"/>
        <n v="97.437472666666693"/>
        <n v="97.432495000000003"/>
        <n v="96.279200000000003"/>
        <n v="97.229116811594196"/>
        <n v="96.353030000000004"/>
        <n v="97.75609"/>
        <n v="98.356260000000006"/>
        <n v="97.710864000000001"/>
        <n v="97.399628000000007"/>
        <n v="97.418004999999994"/>
        <n v="98.025662999999994"/>
        <n v="96.807353000000006"/>
        <n v="97.419403000000003"/>
        <n v="96.367059999999995"/>
        <n v="97.568836000000005"/>
        <n v="97.227789999999999"/>
        <n v="97.416826999999998"/>
        <n v="97.386718999999999"/>
        <n v="97.387636874999998"/>
        <n v="97.389778000000007"/>
        <n v="97.377662999999998"/>
        <n v="97.382192000000003"/>
        <n v="97.428251153846105"/>
        <n v="97.239130000000003"/>
        <n v="97.415289999999999"/>
        <n v="97.444283730158702"/>
        <n v="97.438259000000002"/>
        <n v="96.288250000000005"/>
        <n v="96.286680000000004"/>
        <n v="97.546893999999995"/>
        <n v="97.403878500000005"/>
        <n v="97.240639999999999"/>
        <n v="96.306910999999999"/>
        <n v="97.756789999999995"/>
        <n v="96.315601999999998"/>
        <n v="97.837040000000002"/>
      </sharedItems>
    </cacheField>
    <cacheField name="Latitude" numFmtId="0">
      <sharedItems containsString="0" containsBlank="1" containsNumber="1" minValue="23.088058" maxValue="27.337499999999999"/>
    </cacheField>
    <cacheField name="Altitude" numFmtId="0">
      <sharedItems containsString="0" containsBlank="1" containsNumber="1" minValue="0" maxValue="4430"/>
    </cacheField>
    <cacheField name="HH" numFmtId="0">
      <sharedItems containsString="0" containsBlank="1" containsNumber="1" containsInteger="1" minValue="0" maxValue="1695"/>
    </cacheField>
    <cacheField name="Total" numFmtId="0">
      <sharedItems containsString="0" containsBlank="1" containsNumber="1" containsInteger="1" minValue="0" maxValue="8848"/>
    </cacheField>
    <cacheField name="Avg" numFmtId="2">
      <sharedItems containsMixedTypes="1" containsNumber="1" minValue="0" maxValue="12.535211267605634"/>
    </cacheField>
    <cacheField name="Accessibility" numFmtId="0">
      <sharedItems count="2">
        <s v="GCA"/>
        <s v="NGCA"/>
      </sharedItems>
    </cacheField>
    <cacheField name="Affected Population" numFmtId="49">
      <sharedItems count="2">
        <s v="IDP"/>
        <s v="Crisis Affected"/>
      </sharedItems>
    </cacheField>
    <cacheField name="Type of Accomodation" numFmtId="0">
      <sharedItems count="5">
        <s v="Camp"/>
        <s v="Host Families"/>
        <s v="Boarding School"/>
        <s v="Rural"/>
        <s v="Village"/>
      </sharedItems>
    </cacheField>
    <cacheField name="Type of Location" numFmtId="0">
      <sharedItems containsBlank="1" count="4">
        <m/>
        <s v="Rural"/>
        <s v="Urban"/>
        <s v="Forest/bush"/>
      </sharedItems>
    </cacheField>
    <cacheField name="Opening Date" numFmtId="14">
      <sharedItems containsNonDate="0" containsDate="1" containsString="0" containsBlank="1" minDate="2011-03-01T00:00:00" maxDate="2015-06-26T00:00:00"/>
    </cacheField>
    <cacheField name="CM/FP" numFmtId="1">
      <sharedItems containsString="0" containsBlank="1" containsNumber="1" containsInteger="1" minValue="1" maxValue="7"/>
    </cacheField>
    <cacheField name="Responsible Agency" numFmtId="0">
      <sharedItems containsBlank="1" count="6">
        <m/>
        <s v="KBC"/>
        <s v="KMSS-MYT"/>
        <s v="KMSS-BMO"/>
        <s v="Shalom"/>
        <s v="KMSS-LSO"/>
      </sharedItems>
    </cacheField>
    <cacheField name="Source" numFmtId="0">
      <sharedItems containsBlank="1"/>
    </cacheField>
    <cacheField name="Method" numFmtId="0">
      <sharedItems containsBlank="1"/>
    </cacheField>
    <cacheField name="Update Date" numFmtId="0">
      <sharedItems containsNonDate="0" containsDate="1" containsString="0" containsBlank="1" minDate="2013-01-15T00:00:00" maxDate="2016-03-04T00:00:00"/>
    </cacheField>
    <cacheField name="Comment" numFmtId="0">
      <sharedItems containsBlank="1" longText="1"/>
    </cacheField>
    <cacheField name="Priority" numFmtId="1">
      <sharedItems containsBlank="1"/>
    </cacheField>
    <cacheField name="Shelter Gap" numFmtId="0">
      <sharedItems containsSemiMixedTypes="0" containsString="0" containsNumber="1" containsInteger="1" minValue="0" maxValue="1188"/>
    </cacheField>
    <cacheField name="Land Status" numFmtId="0">
      <sharedItems containsString="0" containsBlank="1" containsNumber="1" containsInteger="1" minValue="0" maxValue="20"/>
    </cacheField>
    <cacheField name="Shelter Possible" numFmtId="0">
      <sharedItems containsSemiMixedTypes="0" containsString="0" containsNumber="1" containsInteger="1" minValue="0" maxValue="1188"/>
    </cacheField>
    <cacheField name="Nearest_Town" numFmtId="0">
      <sharedItems containsBlank="1"/>
    </cacheField>
    <cacheField name="Distance" numFmtId="165">
      <sharedItems containsBlank="1" containsMixedTypes="1" containsNumber="1" minValue="0" maxValue="34.344689881690819"/>
    </cacheField>
    <cacheField name="Distance_Cat" numFmtId="0">
      <sharedItems containsBlank="1" containsMixedTypes="1" containsNumber="1" containsInteger="1" minValue="1" maxValue="7"/>
    </cacheField>
    <cacheField name="Field2" numFmtId="0" formula="'Shelter Possible'/HH" databaseField="0"/>
    <cacheField name="Township2" numFmtId="0" databaseField="0">
      <fieldGroup base="5">
        <discretePr count="21">
          <x v="0"/>
          <x v="3"/>
          <x v="1"/>
          <x v="2"/>
          <x v="8"/>
          <x v="6"/>
          <x v="9"/>
          <x v="4"/>
          <x v="11"/>
          <x v="11"/>
          <x v="11"/>
          <x v="11"/>
          <x v="11"/>
          <x v="11"/>
          <x v="5"/>
          <x v="11"/>
          <x v="11"/>
          <x v="7"/>
          <x v="10"/>
          <x v="11"/>
          <x v="11"/>
        </discretePr>
        <groupItems count="12">
          <s v="Hpakant"/>
          <s v="Mansi"/>
          <s v="Waingmaw"/>
          <s v="Bhamo"/>
          <s v="Kutkai"/>
          <s v="Injangyang"/>
          <s v="Momauk"/>
          <s v="Namhkan"/>
          <s v="Chipwi"/>
          <s v="Myitkyina"/>
          <s v="Hseni"/>
          <s v="Group1"/>
        </groupItems>
      </fieldGroup>
    </cacheField>
    <cacheField name="Field1" numFmtId="0" formula="'Shelter Gap'/HH" databaseField="0"/>
    <cacheField name="Coverage" numFmtId="0" formula="HH-'Shelter Gap'" databaseField="0"/>
    <cacheField name="Field3" numFmtId="0" formula="'Shelter Gap'-'Shelter Possible'"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67">
  <r>
    <s v="MMR001CMP042"/>
    <x v="0"/>
    <s v="Chipwi KBC camp"/>
    <s v="Chipwi"/>
    <n v="105"/>
    <n v="523"/>
    <n v="293"/>
    <n v="190"/>
    <n v="0"/>
    <n v="0"/>
    <n v="125"/>
    <n v="210"/>
    <s v="No"/>
    <n v="0"/>
  </r>
  <r>
    <s v="MMR001CMP046"/>
    <x v="0"/>
    <s v="Gant Gwin"/>
    <s v="Chipwi"/>
    <n v="0"/>
    <n v="0"/>
    <n v="0"/>
    <n v="0"/>
    <n v="0"/>
    <n v="0"/>
    <n v="0"/>
    <n v="0"/>
    <s v=""/>
    <n v="0"/>
  </r>
  <r>
    <s v="MMR001CMP043"/>
    <x v="0"/>
    <s v="Hpare Hkyer - BP6"/>
    <s v="Chipwi"/>
    <n v="155"/>
    <n v="885"/>
    <n v="320"/>
    <n v="465"/>
    <n v="0"/>
    <n v="0"/>
    <n v="0"/>
    <n v="310"/>
    <s v="No"/>
    <n v="0"/>
  </r>
  <r>
    <s v="MMR001CMP045"/>
    <x v="0"/>
    <s v="Lan Jaw "/>
    <s v="Chipwi"/>
    <n v="0"/>
    <n v="0"/>
    <n v="0"/>
    <n v="0"/>
    <n v="0"/>
    <n v="0"/>
    <n v="0"/>
    <n v="0"/>
    <s v=""/>
    <n v="0"/>
  </r>
  <r>
    <s v="MMR001CMP195"/>
    <x v="0"/>
    <s v="Lhaovao Baptist Church (LBC)"/>
    <s v="Chipwi"/>
    <n v="139"/>
    <n v="605"/>
    <n v="350"/>
    <n v="236"/>
    <n v="0"/>
    <n v="0"/>
    <n v="181"/>
    <n v="278"/>
    <s v="No"/>
    <n v="0"/>
  </r>
  <r>
    <s v="MMR001CMP225"/>
    <x v="0"/>
    <s v="Saw Zam"/>
    <s v="Chipwi"/>
    <n v="30"/>
    <n v="163"/>
    <n v="111"/>
    <n v="56"/>
    <n v="0"/>
    <n v="0"/>
    <n v="34"/>
    <n v="60"/>
    <s v="No"/>
    <n v="0"/>
  </r>
  <r>
    <s v="MMR001CMP210"/>
    <x v="0"/>
    <s v="Pan Wa"/>
    <s v="Chipwi"/>
    <n v="68"/>
    <n v="323"/>
    <n v="187"/>
    <n v="137"/>
    <n v="0"/>
    <n v="0"/>
    <n v="67"/>
    <n v="136"/>
    <s v="No"/>
    <n v="0"/>
  </r>
  <r>
    <s v="MMR001CMP115"/>
    <x v="0"/>
    <s v="Hkau Shau (BP 12)"/>
    <s v="Waingmaw"/>
    <n v="181"/>
    <n v="1226"/>
    <n v="728"/>
    <n v="1086"/>
    <n v="0"/>
    <n v="0"/>
    <n v="0"/>
    <n v="362"/>
    <s v="No"/>
    <n v="0"/>
  </r>
  <r>
    <s v="MMR001CMP120"/>
    <x v="0"/>
    <s v="Pajau - Jan Mai"/>
    <s v="Waingmaw"/>
    <n v="191"/>
    <n v="770"/>
    <n v="0"/>
    <n v="0"/>
    <n v="0"/>
    <n v="382"/>
    <n v="573"/>
    <n v="382"/>
    <s v=""/>
    <n v="0"/>
  </r>
  <r>
    <s v="MMR001CMP160"/>
    <x v="0"/>
    <s v="Post 6 Camp"/>
    <s v="Waingmaw"/>
    <n v="144"/>
    <n v="862"/>
    <n v="262"/>
    <n v="400"/>
    <n v="0"/>
    <n v="26"/>
    <n v="32"/>
    <n v="288"/>
    <s v="No"/>
    <n v="0"/>
  </r>
  <r>
    <s v="MMR001CMP113"/>
    <x v="0"/>
    <s v="Border Post 8"/>
    <s v="Waingmaw"/>
    <n v="166"/>
    <n v="720"/>
    <n v="302"/>
    <n v="440"/>
    <n v="0"/>
    <n v="30"/>
    <n v="58"/>
    <n v="332"/>
    <s v="No"/>
    <n v="0"/>
  </r>
  <r>
    <s v="MMR001CMP041"/>
    <x v="0"/>
    <s v="Shing Jai"/>
    <s v="Waingmaw"/>
    <n v="198"/>
    <n v="1017"/>
    <n v="0"/>
    <n v="0"/>
    <n v="0"/>
    <n v="396"/>
    <n v="594"/>
    <n v="396"/>
    <s v=""/>
    <n v="0"/>
  </r>
  <r>
    <s v="MMR001CMP131"/>
    <x v="0"/>
    <s v="Nhkawng Pa "/>
    <s v="Momauk"/>
    <n v="385"/>
    <n v="1699"/>
    <n v="0"/>
    <n v="0"/>
    <n v="0"/>
    <n v="770"/>
    <n v="1155"/>
    <n v="770"/>
    <s v=""/>
    <n v="0"/>
  </r>
  <r>
    <s v="MMR015CMP006"/>
    <x v="0"/>
    <s v="Mungji Pa Dabang (Baptist Church)         "/>
    <s v="Kutkai"/>
    <n v="45"/>
    <n v="211"/>
    <n v="0"/>
    <n v="0"/>
    <n v="0"/>
    <n v="90"/>
    <n v="135"/>
    <n v="90"/>
    <s v=""/>
    <n v="0"/>
  </r>
  <r>
    <s v="MMR015CMP005"/>
    <x v="0"/>
    <s v="Mung Baw "/>
    <s v="Muse"/>
    <n v="123"/>
    <n v="503"/>
    <n v="0"/>
    <n v="0"/>
    <n v="0"/>
    <n v="246"/>
    <n v="369"/>
    <n v="246"/>
    <s v=""/>
    <n v="0"/>
  </r>
  <r>
    <s v="MMR015CMP012"/>
    <x v="0"/>
    <s v="Munekoe Pa (Giwang) - Hka San (Mung  Go  Pa ) "/>
    <s v="Muse"/>
    <n v="21"/>
    <n v="88"/>
    <n v="0"/>
    <n v="0"/>
    <n v="0"/>
    <n v="42"/>
    <n v="63"/>
    <n v="42"/>
    <s v=""/>
    <n v="0"/>
  </r>
  <r>
    <s v="MMR001CMP129"/>
    <x v="1"/>
    <s v="Bum Tsit Pa "/>
    <s v="Mansi"/>
    <n v="174"/>
    <n v="738"/>
    <n v="0"/>
    <n v="0"/>
    <n v="0"/>
    <n v="348"/>
    <n v="522"/>
    <n v="348"/>
    <s v=""/>
    <n v="0"/>
  </r>
  <r>
    <s v="MMR001CMP226"/>
    <x v="1"/>
    <s v="Bum Tsit Pa Camp II"/>
    <s v="Mansi"/>
    <n v="219"/>
    <n v="891"/>
    <n v="0"/>
    <n v="0"/>
    <n v="0"/>
    <n v="438"/>
    <n v="657"/>
    <n v="438"/>
    <s v=""/>
    <n v="0"/>
  </r>
  <r>
    <s v="MMR001CMP128"/>
    <x v="1"/>
    <s v="Lana Zup Ja "/>
    <s v="Mansi"/>
    <n v="543"/>
    <n v="2950"/>
    <n v="0"/>
    <n v="0"/>
    <n v="0"/>
    <n v="1086"/>
    <n v="1629"/>
    <n v="1086"/>
    <s v=""/>
    <n v="0"/>
  </r>
  <r>
    <s v="MMR001CMP135"/>
    <x v="1"/>
    <s v="Lung Kawk  ( Hka Hkye Zup)"/>
    <s v="Mansi"/>
    <n v="83"/>
    <n v="310"/>
    <n v="0"/>
    <n v="0"/>
    <n v="0"/>
    <n v="166"/>
    <n v="249"/>
    <n v="166"/>
    <s v=""/>
    <n v="0"/>
  </r>
  <r>
    <s v="MMR001CMP122"/>
    <x v="1"/>
    <s v="Hpun Lum Yang "/>
    <s v="Momauk"/>
    <n v="479"/>
    <n v="2388"/>
    <n v="850"/>
    <n v="1474"/>
    <n v="0"/>
    <n v="108"/>
    <n v="0"/>
    <n v="958"/>
    <s v="No"/>
    <n v="0"/>
  </r>
  <r>
    <s v="MMR001CMP121"/>
    <x v="1"/>
    <s v="Je Yang Hka "/>
    <s v="Momauk"/>
    <n v="1658"/>
    <n v="8585"/>
    <n v="2910"/>
    <n v="5160"/>
    <n v="0"/>
    <n v="406"/>
    <n v="0"/>
    <n v="3316"/>
    <s v="No"/>
    <n v="0"/>
  </r>
  <r>
    <s v="MMR001CMP126"/>
    <x v="1"/>
    <s v="Pa Kahtawng "/>
    <s v="Momauk"/>
    <n v="840"/>
    <n v="3249"/>
    <n v="0"/>
    <n v="0"/>
    <n v="0"/>
    <n v="1680"/>
    <n v="2520"/>
    <n v="1680"/>
    <s v=""/>
    <n v="0"/>
  </r>
  <r>
    <s v="MMR001CMP123"/>
    <x v="1"/>
    <s v="Dum Bung "/>
    <s v="Momauk"/>
    <n v="116"/>
    <n v="602"/>
    <n v="0"/>
    <n v="0"/>
    <n v="0"/>
    <n v="232"/>
    <n v="348"/>
    <n v="232"/>
    <s v=""/>
    <n v="0"/>
  </r>
  <r>
    <s v="MMR001CMP208"/>
    <x v="1"/>
    <s v="IDP Boarding School, A Len Bum"/>
    <s v="Waingmaw"/>
    <n v="0"/>
    <n v="1047"/>
    <n v="0"/>
    <n v="0"/>
    <n v="0"/>
    <n v="0"/>
    <n v="0"/>
    <n v="0"/>
    <s v=""/>
    <n v="0"/>
  </r>
  <r>
    <s v="MMR001CMP117"/>
    <x v="1"/>
    <s v="Laiza Market 3 - Laiza Gat"/>
    <s v="Waingmaw"/>
    <n v="497"/>
    <n v="2299"/>
    <n v="0"/>
    <n v="0"/>
    <n v="0"/>
    <n v="994"/>
    <n v="1491"/>
    <n v="994"/>
    <s v=""/>
    <n v="0"/>
  </r>
  <r>
    <s v="MMR001CMP111"/>
    <x v="1"/>
    <s v="Zai Awng - Mung Ga Zup"/>
    <s v="Waingmaw"/>
    <n v="646"/>
    <n v="2440"/>
    <n v="0"/>
    <n v="0"/>
    <n v="0"/>
    <n v="1292"/>
    <n v="1938"/>
    <n v="1292"/>
    <s v=""/>
    <n v="0"/>
  </r>
  <r>
    <s v="MMR001CMP119"/>
    <x v="1"/>
    <s v="Maga Yang "/>
    <s v="Waingmaw"/>
    <n v="645"/>
    <n v="2934"/>
    <n v="0"/>
    <n v="0"/>
    <n v="0"/>
    <n v="1290"/>
    <n v="1935"/>
    <n v="1290"/>
    <s v=""/>
    <n v="0"/>
  </r>
  <r>
    <s v="MMR015CMP009"/>
    <x v="1"/>
    <s v="Mandung - Jinghpaw"/>
    <s v="Manton"/>
    <n v="38"/>
    <n v="143"/>
    <n v="0"/>
    <n v="0"/>
    <n v="0"/>
    <n v="76"/>
    <n v="114"/>
    <n v="76"/>
    <s v=""/>
    <n v="0"/>
  </r>
  <r>
    <s v="MMR015CMP139"/>
    <x v="1"/>
    <s v="Nam Hkawng"/>
    <s v="Muse"/>
    <n v="11"/>
    <n v="32"/>
    <n v="0"/>
    <n v="0"/>
    <n v="0"/>
    <n v="22"/>
    <n v="33"/>
    <n v="22"/>
    <s v=""/>
    <n v="0"/>
  </r>
  <r>
    <s v="MMR001CMP071"/>
    <x v="2"/>
    <s v="Loi Je Baptist Church"/>
    <s v="Momauk"/>
    <n v="29"/>
    <n v="137"/>
    <n v="112"/>
    <n v="59"/>
    <n v="0"/>
    <n v="0"/>
    <n v="28"/>
    <n v="58"/>
    <s v="No"/>
    <n v="0"/>
  </r>
  <r>
    <s v="MMR001CMP069"/>
    <x v="2"/>
    <s v="Loi Je Catholic Church"/>
    <s v="Momauk"/>
    <n v="100"/>
    <n v="516"/>
    <n v="203"/>
    <n v="102"/>
    <n v="0"/>
    <n v="0"/>
    <n v="198"/>
    <n v="200"/>
    <s v="No"/>
    <n v="0"/>
  </r>
  <r>
    <s v="MMR001CMP070"/>
    <x v="2"/>
    <s v="Loi Je Lisu Camp"/>
    <s v="Momauk"/>
    <n v="150"/>
    <n v="912"/>
    <n v="591"/>
    <n v="347"/>
    <n v="0"/>
    <n v="0"/>
    <n v="103"/>
    <n v="300"/>
    <s v="No"/>
    <n v="0"/>
  </r>
  <r>
    <s v="MMR001CMP073"/>
    <x v="2"/>
    <s v="Seng Ja "/>
    <s v="Momauk"/>
    <n v="33"/>
    <n v="195"/>
    <n v="155"/>
    <n v="73"/>
    <n v="0"/>
    <n v="0"/>
    <n v="26"/>
    <n v="66"/>
    <s v="No"/>
    <n v="0"/>
  </r>
  <r>
    <s v="MMR001CMP072"/>
    <x v="2"/>
    <s v="Nyaung Na Pin "/>
    <s v="Momauk"/>
    <n v="47"/>
    <n v="274"/>
    <n v="195"/>
    <n v="91"/>
    <n v="0"/>
    <n v="0"/>
    <n v="50"/>
    <n v="94"/>
    <s v="No"/>
    <n v="0"/>
  </r>
  <r>
    <s v="MMR001CMP221"/>
    <x v="2"/>
    <s v="Machanbaw - KBC"/>
    <s v="Machanbaw"/>
    <n v="8"/>
    <n v="37"/>
    <n v="20"/>
    <n v="8"/>
    <n v="0"/>
    <n v="0"/>
    <n v="16"/>
    <n v="16"/>
    <s v="No"/>
    <n v="0"/>
  </r>
  <r>
    <s v="MMR001CMP227"/>
    <x v="2"/>
    <s v="Inn Lel Yan - Host Families"/>
    <s v="Puta-O"/>
    <n v="10"/>
    <n v="56"/>
    <n v="0"/>
    <n v="0"/>
    <n v="0"/>
    <n v="20"/>
    <n v="30"/>
    <n v="20"/>
    <s v=""/>
    <n v="0"/>
  </r>
  <r>
    <s v="MMR001CMP220"/>
    <x v="2"/>
    <s v="Naung Khaing"/>
    <s v="Puta-O"/>
    <n v="23"/>
    <n v="91"/>
    <n v="52"/>
    <n v="16"/>
    <n v="0"/>
    <n v="0"/>
    <n v="53"/>
    <n v="46"/>
    <s v="No"/>
    <n v="0"/>
  </r>
  <r>
    <s v="MMR001CMP075"/>
    <x v="2"/>
    <s v="Tote Tan Ward"/>
    <s v="Puta-O"/>
    <n v="14"/>
    <n v="64"/>
    <n v="72"/>
    <n v="11"/>
    <n v="0"/>
    <n v="0"/>
    <n v="31"/>
    <n v="28"/>
    <s v="No"/>
    <n v="0"/>
  </r>
  <r>
    <s v="MMR015CMP015"/>
    <x v="2"/>
    <s v="Kone Khem Camp"/>
    <s v="Kutkai"/>
    <n v="85"/>
    <n v="325"/>
    <n v="0"/>
    <n v="0"/>
    <n v="0"/>
    <n v="170"/>
    <n v="255"/>
    <n v="170"/>
    <s v=""/>
    <n v="0"/>
  </r>
  <r>
    <s v="MMR015CMP016"/>
    <x v="2"/>
    <s v="Kutkai downtown (KBC Church)"/>
    <s v="Kutkai"/>
    <n v="84"/>
    <n v="355"/>
    <n v="0"/>
    <n v="0"/>
    <n v="0"/>
    <n v="168"/>
    <n v="252"/>
    <n v="168"/>
    <s v=""/>
    <n v="0"/>
  </r>
  <r>
    <s v="MMR015CMP017"/>
    <x v="2"/>
    <s v="Kutkai downtown (RC Church)"/>
    <s v="Kutkai"/>
    <n v="41"/>
    <n v="172"/>
    <n v="0"/>
    <n v="0"/>
    <n v="0"/>
    <n v="82"/>
    <n v="123"/>
    <n v="82"/>
    <s v=""/>
    <n v="0"/>
  </r>
  <r>
    <s v="MMR015CMP018"/>
    <x v="2"/>
    <s v="Mine Yu Lay village"/>
    <s v="Kutkai"/>
    <n v="76"/>
    <n v="403"/>
    <n v="0"/>
    <n v="0"/>
    <n v="0"/>
    <n v="152"/>
    <n v="228"/>
    <n v="152"/>
    <s v=""/>
    <n v="0"/>
  </r>
  <r>
    <s v="MMR015CMP007"/>
    <x v="2"/>
    <s v="Nam Hpak Ka Mare "/>
    <s v="Kutkai"/>
    <n v="75"/>
    <n v="269"/>
    <n v="0"/>
    <n v="0"/>
    <n v="0"/>
    <n v="150"/>
    <n v="225"/>
    <n v="150"/>
    <s v=""/>
    <n v="0"/>
  </r>
  <r>
    <s v="MMR015CMP020"/>
    <x v="2"/>
    <s v="Zup Aung Camp"/>
    <s v="Kutkai"/>
    <n v="118"/>
    <n v="649"/>
    <n v="0"/>
    <n v="0"/>
    <n v="0"/>
    <n v="236"/>
    <n v="354"/>
    <n v="236"/>
    <s v=""/>
    <n v="0"/>
  </r>
  <r>
    <s v="MMR015CMP209"/>
    <x v="2"/>
    <s v="Mandung - RC"/>
    <s v="Manton"/>
    <n v="26"/>
    <n v="147"/>
    <n v="0"/>
    <n v="0"/>
    <n v="0"/>
    <n v="52"/>
    <n v="78"/>
    <n v="52"/>
    <s v=""/>
    <n v="0"/>
  </r>
  <r>
    <s v="MMR015CMP010"/>
    <x v="2"/>
    <s v="Howa"/>
    <s v="Muse"/>
    <n v="32"/>
    <n v="0"/>
    <n v="0"/>
    <n v="0"/>
    <n v="0"/>
    <n v="64"/>
    <n v="96"/>
    <n v="64"/>
    <s v=""/>
    <n v="0"/>
  </r>
  <r>
    <s v="MMR015CMP011"/>
    <x v="2"/>
    <s v="Nam Hkyet"/>
    <s v="Muse"/>
    <n v="6"/>
    <n v="0"/>
    <n v="0"/>
    <n v="0"/>
    <n v="0"/>
    <n v="12"/>
    <n v="18"/>
    <n v="12"/>
    <s v=""/>
    <n v="0"/>
  </r>
  <r>
    <s v="MMR015CMP004"/>
    <x v="2"/>
    <s v="Nam Hkam - Nay Win Ni (Palawng)"/>
    <s v="Namhkan"/>
    <n v="76"/>
    <n v="302"/>
    <n v="0"/>
    <n v="0"/>
    <n v="0"/>
    <n v="152"/>
    <n v="228"/>
    <n v="152"/>
    <s v=""/>
    <n v="0"/>
  </r>
  <r>
    <s v="MMR015CMP001"/>
    <x v="2"/>
    <s v="Nam Hkam (KBC Jaw Wang)"/>
    <s v="Namhkan"/>
    <n v="73"/>
    <n v="410"/>
    <n v="0"/>
    <n v="0"/>
    <n v="0"/>
    <n v="146"/>
    <n v="219"/>
    <n v="146"/>
    <s v=""/>
    <n v="0"/>
  </r>
  <r>
    <s v="MMR015CMP003"/>
    <x v="2"/>
    <s v="Nam Hkam Catholic Church ( St. Thomas I)"/>
    <s v="Namhkan"/>
    <n v="93"/>
    <n v="337"/>
    <n v="0"/>
    <n v="0"/>
    <n v="0"/>
    <n v="186"/>
    <n v="279"/>
    <n v="186"/>
    <s v=""/>
    <n v="0"/>
  </r>
  <r>
    <s v="MMR015CMP014"/>
    <x v="2"/>
    <s v="Nam Tu Baptist"/>
    <s v="Namtu"/>
    <n v="12"/>
    <n v="51"/>
    <n v="0"/>
    <n v="0"/>
    <n v="0"/>
    <n v="24"/>
    <n v="36"/>
    <n v="24"/>
    <s v=""/>
    <n v="0"/>
  </r>
  <r>
    <s v="MMR015CMP210"/>
    <x v="2"/>
    <s v="Nam Tu RC"/>
    <s v="Namtu"/>
    <n v="118"/>
    <n v="520"/>
    <n v="0"/>
    <n v="0"/>
    <n v="0"/>
    <n v="236"/>
    <n v="354"/>
    <n v="236"/>
    <s v=""/>
    <n v="0"/>
  </r>
  <r>
    <s v="MMR001CMP179"/>
    <x v="3"/>
    <s v="5 Ward Baptist Church(lon Khin)"/>
    <s v="Hpakant"/>
    <n v="77"/>
    <n v="357"/>
    <n v="229"/>
    <n v="126"/>
    <n v="0"/>
    <n v="0"/>
    <n v="105"/>
    <n v="154"/>
    <s v="No"/>
    <n v="0"/>
  </r>
  <r>
    <s v="MMR001CMP168"/>
    <x v="3"/>
    <s v="5 Ward RC Church(lon Khin)"/>
    <s v="Hpakant"/>
    <n v="83"/>
    <n v="424"/>
    <n v="223"/>
    <n v="96"/>
    <n v="0"/>
    <n v="0"/>
    <n v="153"/>
    <n v="166"/>
    <s v="No"/>
    <n v="0"/>
  </r>
  <r>
    <s v="MMR001CMP050"/>
    <x v="3"/>
    <s v="AD-2000 Tharthana Compound"/>
    <s v="Bhamo"/>
    <n v="280"/>
    <n v="1262"/>
    <n v="0"/>
    <n v="0"/>
    <n v="0"/>
    <n v="560"/>
    <n v="840"/>
    <n v="560"/>
    <s v=""/>
    <n v="0"/>
  </r>
  <r>
    <s v="MMR001CMP176"/>
    <x v="3"/>
    <s v="AG Church, Hmaw Si Sa"/>
    <s v="Hpakant"/>
    <n v="67"/>
    <n v="338"/>
    <n v="232"/>
    <n v="105"/>
    <n v="0"/>
    <n v="0"/>
    <n v="96"/>
    <n v="134"/>
    <s v="No"/>
    <n v="0"/>
  </r>
  <r>
    <s v="MMR001CMP190"/>
    <x v="3"/>
    <s v="AG Church, Maw Wan"/>
    <s v="Hpakant"/>
    <n v="15"/>
    <n v="82"/>
    <n v="55"/>
    <n v="27"/>
    <n v="0"/>
    <n v="0"/>
    <n v="18"/>
    <n v="30"/>
    <s v="No"/>
    <n v="0"/>
  </r>
  <r>
    <s v="MMR001CMP194"/>
    <x v="3"/>
    <s v="Aung Thar Church"/>
    <s v="Bhamo"/>
    <n v="13"/>
    <n v="59"/>
    <n v="0"/>
    <n v="0"/>
    <n v="0"/>
    <n v="26"/>
    <n v="39"/>
    <n v="26"/>
    <s v=""/>
    <n v="0"/>
  </r>
  <r>
    <s v="MMR001CMP216"/>
    <x v="3"/>
    <s v="Ban Hkung Yang"/>
    <s v="Mansi"/>
    <n v="0"/>
    <n v="0"/>
    <n v="0"/>
    <n v="0"/>
    <n v="0"/>
    <n v="0"/>
    <n v="0"/>
    <n v="0"/>
    <s v=""/>
    <n v="0"/>
  </r>
  <r>
    <s v="MMR001CMP169"/>
    <x v="3"/>
    <s v="Baptist Church, Hmaw Si Sar(Lon Khin)"/>
    <s v="Hpakant"/>
    <n v="38"/>
    <n v="211"/>
    <n v="123"/>
    <n v="104"/>
    <n v="0"/>
    <n v="0"/>
    <n v="10"/>
    <n v="76"/>
    <s v="No"/>
    <n v="0"/>
  </r>
  <r>
    <s v="MMR001CMP188"/>
    <x v="3"/>
    <s v="Baptist Church, Naung Hmee VT"/>
    <s v="Hpakant"/>
    <n v="15"/>
    <n v="78"/>
    <n v="48"/>
    <n v="30"/>
    <n v="0"/>
    <n v="0"/>
    <n v="15"/>
    <n v="30"/>
    <s v="No"/>
    <n v="0"/>
  </r>
  <r>
    <s v="MMR001CMP109"/>
    <x v="3"/>
    <s v="Chin Church, Seik Mu"/>
    <s v="Hpakant"/>
    <n v="5"/>
    <n v="26"/>
    <n v="15"/>
    <n v="10"/>
    <n v="0"/>
    <n v="0"/>
    <n v="5"/>
    <n v="10"/>
    <s v="No"/>
    <n v="0"/>
  </r>
  <r>
    <s v="MMR001CMP174"/>
    <x v="3"/>
    <s v="Dhama Rakhita, Nyein Chan Tar Yar Ward(Lon Khin)"/>
    <s v="Hpakant"/>
    <n v="65"/>
    <n v="329"/>
    <n v="214"/>
    <n v="112"/>
    <n v="0"/>
    <n v="0"/>
    <n v="83"/>
    <n v="130"/>
    <s v="No"/>
    <n v="0"/>
  </r>
  <r>
    <s v="MMR001CMP012"/>
    <x v="3"/>
    <s v="Du Kahtawng Qtr. 14"/>
    <s v="Myitkyina"/>
    <n v="6"/>
    <n v="28"/>
    <n v="0"/>
    <n v="0"/>
    <n v="0"/>
    <n v="12"/>
    <n v="18"/>
    <n v="12"/>
    <s v=""/>
    <n v="0"/>
  </r>
  <r>
    <s v="MMR001CMP010"/>
    <x v="3"/>
    <s v="Du Kahtawng Qtr. 4"/>
    <s v="Myitkyina"/>
    <n v="6"/>
    <n v="39"/>
    <n v="0"/>
    <n v="0"/>
    <n v="0"/>
    <n v="12"/>
    <n v="18"/>
    <n v="12"/>
    <s v=""/>
    <n v="0"/>
  </r>
  <r>
    <s v="MMR001CMP011"/>
    <x v="3"/>
    <s v="Du Kahtawng Qtr. 5"/>
    <s v="Myitkyina"/>
    <n v="8"/>
    <n v="30"/>
    <n v="0"/>
    <n v="0"/>
    <n v="0"/>
    <n v="16"/>
    <n v="24"/>
    <n v="16"/>
    <s v=""/>
    <n v="0"/>
  </r>
  <r>
    <s v="MMR001CMP028"/>
    <x v="3"/>
    <s v="Hkat Cho "/>
    <s v="Waingmaw"/>
    <n v="134"/>
    <n v="591"/>
    <n v="0"/>
    <n v="0"/>
    <n v="0"/>
    <n v="268"/>
    <n v="402"/>
    <n v="268"/>
    <s v=""/>
    <n v="0"/>
  </r>
  <r>
    <s v="MMR001CMP148"/>
    <x v="3"/>
    <s v="Hlaing Naung Baptist"/>
    <s v="Hpakant"/>
    <n v="23"/>
    <n v="67"/>
    <n v="37"/>
    <n v="24"/>
    <n v="0"/>
    <n v="9"/>
    <n v="45"/>
    <n v="46"/>
    <s v="No"/>
    <n v="0"/>
  </r>
  <r>
    <s v="MMR001CMP191"/>
    <x v="3"/>
    <s v="Hmaw Wan, Anglican"/>
    <s v="Hpakant"/>
    <n v="10"/>
    <n v="57"/>
    <n v="33"/>
    <n v="24"/>
    <n v="0"/>
    <n v="0"/>
    <n v="6"/>
    <n v="20"/>
    <s v="No"/>
    <n v="0"/>
  </r>
  <r>
    <s v="MMR001CMP163"/>
    <x v="3"/>
    <s v="Host Families"/>
    <s v="Bhamo"/>
    <n v="335"/>
    <n v="1475"/>
    <n v="0"/>
    <n v="0"/>
    <n v="0"/>
    <n v="670"/>
    <n v="1005"/>
    <n v="670"/>
    <s v=""/>
    <n v="0"/>
  </r>
  <r>
    <s v="MMR001CMP196"/>
    <x v="3"/>
    <s v="Host Families"/>
    <s v="Mansi"/>
    <n v="279"/>
    <n v="1031"/>
    <n v="0"/>
    <n v="0"/>
    <n v="0"/>
    <n v="558"/>
    <n v="837"/>
    <n v="558"/>
    <s v=""/>
    <n v="0"/>
  </r>
  <r>
    <s v="MMR001CMP197"/>
    <x v="3"/>
    <s v="Host Families"/>
    <s v="Momauk"/>
    <n v="278"/>
    <n v="1031"/>
    <n v="0"/>
    <n v="0"/>
    <n v="0"/>
    <n v="556"/>
    <n v="834"/>
    <n v="556"/>
    <s v=""/>
    <n v="0"/>
  </r>
  <r>
    <s v="MMR001CMP199"/>
    <x v="3"/>
    <s v="Host Families"/>
    <s v="Shwegu"/>
    <n v="9"/>
    <n v="30"/>
    <n v="0"/>
    <n v="0"/>
    <n v="0"/>
    <n v="18"/>
    <n v="27"/>
    <n v="18"/>
    <s v=""/>
    <n v="0"/>
  </r>
  <r>
    <s v="MMR015CMP022"/>
    <x v="3"/>
    <s v="Hpai Kawng Mare"/>
    <s v="Muse"/>
    <n v="32"/>
    <n v="187"/>
    <n v="0"/>
    <n v="0"/>
    <n v="0"/>
    <n v="64"/>
    <n v="96"/>
    <n v="64"/>
    <s v=""/>
    <n v="0"/>
  </r>
  <r>
    <s v="MMR001CMP229"/>
    <x v="3"/>
    <s v="Hpakant Baptist Church, Nam Ma Hpit"/>
    <s v="Hpakant"/>
    <n v="66"/>
    <n v="309"/>
    <n v="186"/>
    <n v="125"/>
    <n v="0"/>
    <n v="0"/>
    <n v="73"/>
    <n v="132"/>
    <s v="No"/>
    <n v="0"/>
  </r>
  <r>
    <s v="MMR001CMP052"/>
    <x v="3"/>
    <s v="Htoi San Church"/>
    <s v="Bhamo"/>
    <n v="44"/>
    <n v="217"/>
    <n v="0"/>
    <n v="0"/>
    <n v="0"/>
    <n v="88"/>
    <n v="132"/>
    <n v="88"/>
    <s v=""/>
    <n v="0"/>
  </r>
  <r>
    <s v="MMR001CMP018"/>
    <x v="3"/>
    <s v="Jan Mai Kawng Baptist Church"/>
    <s v="Myitkyina"/>
    <n v="203"/>
    <n v="974"/>
    <n v="0"/>
    <n v="0"/>
    <n v="0"/>
    <n v="406"/>
    <n v="609"/>
    <n v="406"/>
    <s v=""/>
    <n v="0"/>
  </r>
  <r>
    <s v="MMR001CMP019"/>
    <x v="3"/>
    <s v="Jan Mai Kawng Catholic Church"/>
    <s v="Myitkyina"/>
    <n v="108"/>
    <n v="482"/>
    <n v="0"/>
    <n v="0"/>
    <n v="0"/>
    <n v="216"/>
    <n v="324"/>
    <n v="216"/>
    <s v=""/>
    <n v="0"/>
  </r>
  <r>
    <s v="MMR001CMP200"/>
    <x v="3"/>
    <s v="Khun Sint Village"/>
    <s v="Momauk"/>
    <n v="4"/>
    <n v="26"/>
    <n v="0"/>
    <n v="0"/>
    <n v="0"/>
    <n v="8"/>
    <n v="12"/>
    <n v="8"/>
    <s v=""/>
    <n v="0"/>
  </r>
  <r>
    <s v="MMR001CMP013"/>
    <x v="3"/>
    <s v="Kyun Pin Thar Baptist Church"/>
    <s v="Myitkyina"/>
    <n v="45"/>
    <n v="187"/>
    <n v="0"/>
    <n v="0"/>
    <n v="0"/>
    <n v="90"/>
    <n v="135"/>
    <n v="90"/>
    <s v=""/>
    <n v="0"/>
  </r>
  <r>
    <s v="MMR001CMP078"/>
    <x v="3"/>
    <s v="Kyun Taw Baptist Church "/>
    <s v="Mogaung"/>
    <n v="13"/>
    <n v="50"/>
    <n v="0"/>
    <n v="0"/>
    <n v="0"/>
    <n v="26"/>
    <n v="39"/>
    <n v="26"/>
    <s v=""/>
    <n v="0"/>
  </r>
  <r>
    <s v="MMR001CMP074"/>
    <x v="3"/>
    <s v="La Ja"/>
    <s v="Khaunglanhpu"/>
    <n v="11"/>
    <n v="17"/>
    <n v="0"/>
    <n v="0"/>
    <n v="0"/>
    <n v="22"/>
    <n v="33"/>
    <n v="22"/>
    <s v=""/>
    <n v="0"/>
  </r>
  <r>
    <s v="MMR001CMP202"/>
    <x v="3"/>
    <s v="Lagatyan "/>
    <s v="Mansi"/>
    <n v="0"/>
    <n v="0"/>
    <n v="0"/>
    <n v="0"/>
    <n v="0"/>
    <n v="0"/>
    <n v="0"/>
    <n v="0"/>
    <s v=""/>
    <n v="0"/>
  </r>
  <r>
    <s v="MMR001CMP149"/>
    <x v="3"/>
    <s v="Laiza Muklum Hpyen  Yen Mungshawa ni"/>
    <s v="Waingmaw"/>
    <n v="355"/>
    <n v="4450"/>
    <n v="0"/>
    <n v="0"/>
    <n v="0"/>
    <n v="710"/>
    <n v="1065"/>
    <n v="710"/>
    <s v=""/>
    <n v="0"/>
  </r>
  <r>
    <s v="MMR001CMP147"/>
    <x v="3"/>
    <s v="Lawk Awng Mare D. (Sinbo Area)"/>
    <s v="Shwegu"/>
    <n v="375"/>
    <n v="1691"/>
    <n v="0"/>
    <n v="0"/>
    <n v="0"/>
    <n v="750"/>
    <n v="1125"/>
    <n v="750"/>
    <s v=""/>
    <n v="0"/>
  </r>
  <r>
    <s v="MMR001CMP015"/>
    <x v="3"/>
    <s v="Le Kone Bethlehem Church"/>
    <s v="Myitkyina"/>
    <n v="87"/>
    <n v="467"/>
    <n v="0"/>
    <n v="0"/>
    <n v="0"/>
    <n v="174"/>
    <n v="261"/>
    <n v="174"/>
    <s v=""/>
    <n v="0"/>
  </r>
  <r>
    <s v="MMR001CMP014"/>
    <x v="3"/>
    <s v="Le Kone Ziun Baptist Church "/>
    <s v="Myitkyina"/>
    <n v="146"/>
    <n v="751"/>
    <n v="0"/>
    <n v="0"/>
    <n v="0"/>
    <n v="292"/>
    <n v="438"/>
    <n v="292"/>
    <s v=""/>
    <n v="0"/>
  </r>
  <r>
    <s v="MMR001CMP181"/>
    <x v="3"/>
    <s v="Lisu Baptist Church, Maw Shan Vil,. Seik Mu"/>
    <s v="Hpakant"/>
    <n v="25"/>
    <n v="137"/>
    <n v="90"/>
    <n v="39"/>
    <n v="0"/>
    <n v="0"/>
    <n v="36"/>
    <n v="50"/>
    <s v="No"/>
    <n v="0"/>
  </r>
  <r>
    <s v="MMR001CMP167"/>
    <x v="3"/>
    <s v="Lisu Baptist Church, Maw Wan Ward"/>
    <s v="Hpakant"/>
    <n v="15"/>
    <n v="72"/>
    <n v="48"/>
    <n v="23"/>
    <n v="0"/>
    <n v="0"/>
    <n v="22"/>
    <n v="30"/>
    <s v="No"/>
    <n v="0"/>
  </r>
  <r>
    <s v="MMR001CMP049"/>
    <x v="3"/>
    <s v="Lisu Boarding-House"/>
    <s v="Bhamo"/>
    <n v="80"/>
    <n v="422"/>
    <n v="0"/>
    <n v="0"/>
    <n v="0"/>
    <n v="160"/>
    <n v="240"/>
    <n v="160"/>
    <s v=""/>
    <n v="0"/>
  </r>
  <r>
    <s v="MMR001CMP027"/>
    <x v="3"/>
    <s v="Mading Baptist Church"/>
    <s v="Waingmaw"/>
    <n v="23"/>
    <n v="120"/>
    <n v="0"/>
    <n v="0"/>
    <n v="0"/>
    <n v="46"/>
    <n v="69"/>
    <n v="46"/>
    <s v=""/>
    <n v="0"/>
  </r>
  <r>
    <s v="MMR001CMP064"/>
    <x v="3"/>
    <s v="Mai Khat "/>
    <s v="Momauk"/>
    <n v="2"/>
    <n v="9"/>
    <n v="0"/>
    <n v="0"/>
    <n v="0"/>
    <n v="4"/>
    <n v="6"/>
    <n v="4"/>
    <s v=""/>
    <n v="0"/>
  </r>
  <r>
    <s v="MMR001CMP031"/>
    <x v="3"/>
    <s v="Maina AG Church"/>
    <s v="Waingmaw"/>
    <n v="143"/>
    <n v="724"/>
    <n v="0"/>
    <n v="0"/>
    <n v="0"/>
    <n v="286"/>
    <n v="429"/>
    <n v="286"/>
    <s v=""/>
    <n v="0"/>
  </r>
  <r>
    <s v="MMR001CMP029"/>
    <x v="3"/>
    <s v="Maina Catholic Church (St. Joseph)"/>
    <s v="Waingmaw"/>
    <n v="238"/>
    <n v="1234"/>
    <n v="0"/>
    <n v="0"/>
    <n v="0"/>
    <n v="476"/>
    <n v="714"/>
    <n v="476"/>
    <s v=""/>
    <n v="0"/>
  </r>
  <r>
    <s v="MMR001CMP040"/>
    <x v="3"/>
    <s v="Maina KBC (Bawng Ring)"/>
    <s v="Waingmaw"/>
    <n v="420"/>
    <n v="1845"/>
    <n v="0"/>
    <n v="0"/>
    <n v="0"/>
    <n v="840"/>
    <n v="1260"/>
    <n v="840"/>
    <s v=""/>
    <n v="0"/>
  </r>
  <r>
    <s v="MMR001CMP039"/>
    <x v="3"/>
    <s v="Maina Lawang Baptist Church"/>
    <s v="Waingmaw"/>
    <n v="49"/>
    <n v="197"/>
    <n v="0"/>
    <n v="0"/>
    <n v="0"/>
    <n v="98"/>
    <n v="147"/>
    <n v="98"/>
    <s v=""/>
    <n v="0"/>
  </r>
  <r>
    <s v="MMR001CMP218"/>
    <x v="3"/>
    <s v="Maing Khaung"/>
    <s v="Mansi"/>
    <n v="241"/>
    <n v="912"/>
    <n v="0"/>
    <n v="0"/>
    <n v="0"/>
    <n v="482"/>
    <n v="723"/>
    <n v="482"/>
    <s v=""/>
    <n v="0"/>
  </r>
  <r>
    <s v="MMR001CMP223"/>
    <x v="3"/>
    <s v="Maing Khaung Catholic Church"/>
    <s v="Mansi"/>
    <n v="63"/>
    <n v="120"/>
    <n v="0"/>
    <n v="0"/>
    <n v="0"/>
    <n v="126"/>
    <n v="189"/>
    <n v="126"/>
    <s v=""/>
    <n v="0"/>
  </r>
  <r>
    <s v="MMR001CMP016"/>
    <x v="3"/>
    <s v="Maliyang Baptist Church"/>
    <s v="Myitkyina"/>
    <n v="72"/>
    <n v="316"/>
    <n v="0"/>
    <n v="0"/>
    <n v="0"/>
    <n v="144"/>
    <n v="216"/>
    <n v="144"/>
    <s v=""/>
    <n v="0"/>
  </r>
  <r>
    <s v="MMR001CMP062"/>
    <x v="3"/>
    <s v="Man Bung Catholic compound"/>
    <s v="Momauk"/>
    <n v="401"/>
    <n v="1596"/>
    <n v="0"/>
    <n v="0"/>
    <n v="0"/>
    <n v="802"/>
    <n v="1203"/>
    <n v="802"/>
    <s v=""/>
    <n v="0"/>
  </r>
  <r>
    <s v="MMR001CMP008"/>
    <x v="3"/>
    <s v="Man Hkring Baptist Church"/>
    <s v="Myitkyina"/>
    <n v="95"/>
    <n v="411"/>
    <n v="0"/>
    <n v="0"/>
    <n v="0"/>
    <n v="190"/>
    <n v="285"/>
    <n v="190"/>
    <s v=""/>
    <n v="0"/>
  </r>
  <r>
    <s v="MMR001CMP063"/>
    <x v="3"/>
    <s v="Man Nawng "/>
    <s v="Momauk"/>
    <n v="28"/>
    <n v="136"/>
    <n v="0"/>
    <n v="0"/>
    <n v="0"/>
    <n v="56"/>
    <n v="84"/>
    <n v="56"/>
    <s v=""/>
    <n v="0"/>
  </r>
  <r>
    <s v="MMR001CMP198"/>
    <x v="3"/>
    <s v="Man Ting"/>
    <s v="Momauk"/>
    <n v="0"/>
    <n v="0"/>
    <n v="0"/>
    <n v="0"/>
    <n v="0"/>
    <n v="0"/>
    <n v="0"/>
    <n v="0"/>
    <s v=""/>
    <n v="0"/>
  </r>
  <r>
    <s v="MMR001CMP133"/>
    <x v="3"/>
    <s v="Man Wing Baptist Church"/>
    <s v="Mansi"/>
    <n v="115"/>
    <n v="559"/>
    <n v="0"/>
    <n v="0"/>
    <n v="0"/>
    <n v="230"/>
    <n v="345"/>
    <n v="230"/>
    <s v=""/>
    <n v="0"/>
  </r>
  <r>
    <s v="MMR001CMP132"/>
    <x v="3"/>
    <s v="Man Wing Catholic Church"/>
    <s v="Mansi"/>
    <n v="575"/>
    <n v="2617"/>
    <n v="0"/>
    <n v="0"/>
    <n v="0"/>
    <n v="1150"/>
    <n v="1725"/>
    <n v="1150"/>
    <s v=""/>
    <n v="0"/>
  </r>
  <r>
    <s v="MMR001CMP228"/>
    <x v="3"/>
    <s v="Man Wing Catholic Church II"/>
    <s v="Mansi"/>
    <n v="167"/>
    <n v="840"/>
    <n v="0"/>
    <n v="0"/>
    <n v="0"/>
    <n v="334"/>
    <n v="501"/>
    <n v="334"/>
    <s v=""/>
    <n v="0"/>
  </r>
  <r>
    <s v="MMR001CMP134"/>
    <x v="3"/>
    <s v="Man Wing Host Families"/>
    <s v="Mansi"/>
    <n v="183"/>
    <n v="741"/>
    <n v="0"/>
    <n v="0"/>
    <n v="0"/>
    <n v="366"/>
    <n v="549"/>
    <n v="366"/>
    <s v=""/>
    <n v="0"/>
  </r>
  <r>
    <s v="MMR001CMP058"/>
    <x v="3"/>
    <s v="Mandalay Monestry"/>
    <s v="Momauk"/>
    <n v="4"/>
    <n v="16"/>
    <n v="0"/>
    <n v="0"/>
    <n v="0"/>
    <n v="8"/>
    <n v="12"/>
    <n v="8"/>
    <s v=""/>
    <n v="0"/>
  </r>
  <r>
    <s v="MMR001CMP077"/>
    <x v="3"/>
    <s v="Mang Hawng Baptist Church"/>
    <s v="Mogaung"/>
    <n v="14"/>
    <n v="61"/>
    <n v="0"/>
    <n v="0"/>
    <n v="0"/>
    <n v="28"/>
    <n v="42"/>
    <n v="28"/>
    <s v=""/>
    <n v="0"/>
  </r>
  <r>
    <s v="MMR001CMP066"/>
    <x v="3"/>
    <s v="Mansi Baptist Church"/>
    <s v="Mansi"/>
    <n v="130"/>
    <n v="563"/>
    <n v="0"/>
    <n v="0"/>
    <n v="0"/>
    <n v="260"/>
    <n v="390"/>
    <n v="260"/>
    <s v=""/>
    <n v="0"/>
  </r>
  <r>
    <s v="MMR001CMP020"/>
    <x v="3"/>
    <s v="Maw Hpawng Hka Nan Baptist Church"/>
    <s v="Myitkyina"/>
    <n v="26"/>
    <n v="110"/>
    <n v="0"/>
    <n v="0"/>
    <n v="0"/>
    <n v="52"/>
    <n v="78"/>
    <n v="52"/>
    <s v=""/>
    <n v="0"/>
  </r>
  <r>
    <s v="MMR001CMP021"/>
    <x v="3"/>
    <s v="Maw Hpawng Lhaovo Baptist Church"/>
    <s v="Myitkyina"/>
    <n v="21"/>
    <n v="103"/>
    <n v="0"/>
    <n v="0"/>
    <n v="0"/>
    <n v="42"/>
    <n v="63"/>
    <n v="42"/>
    <s v=""/>
    <n v="0"/>
  </r>
  <r>
    <s v="MMR001CMP091"/>
    <x v="3"/>
    <s v="Maw Wan, Mu-yin Baptist Church"/>
    <s v="Hpakant"/>
    <n v="5"/>
    <n v="23"/>
    <n v="11"/>
    <n v="15"/>
    <n v="0"/>
    <n v="0"/>
    <n v="0"/>
    <n v="10"/>
    <s v="No"/>
    <n v="0"/>
  </r>
  <r>
    <s v="MMR001CMP056"/>
    <x v="3"/>
    <s v="Momauk Baptist Church"/>
    <s v="Momauk"/>
    <n v="403"/>
    <n v="1798"/>
    <n v="0"/>
    <n v="0"/>
    <n v="0"/>
    <n v="806"/>
    <n v="1209"/>
    <n v="806"/>
    <s v=""/>
    <n v="0"/>
  </r>
  <r>
    <s v="MMR001CMP057"/>
    <x v="3"/>
    <s v="Momauk Catholic Church (St. Patrick)"/>
    <s v="Momauk"/>
    <n v="0"/>
    <n v="0"/>
    <n v="0"/>
    <n v="0"/>
    <n v="0"/>
    <n v="0"/>
    <n v="0"/>
    <n v="0"/>
    <s v=""/>
    <n v="0"/>
  </r>
  <r>
    <s v="MMR015CMP213"/>
    <x v="3"/>
    <s v="Muse Baptist Church"/>
    <s v="Muse"/>
    <n v="81"/>
    <n v="306"/>
    <n v="0"/>
    <n v="0"/>
    <n v="0"/>
    <n v="162"/>
    <n v="243"/>
    <n v="162"/>
    <s v=""/>
    <n v="0"/>
  </r>
  <r>
    <s v="MMR015CMP216"/>
    <x v="3"/>
    <s v="Muse Catholic Church"/>
    <s v="Muse"/>
    <n v="41"/>
    <n v="151"/>
    <n v="0"/>
    <n v="0"/>
    <n v="0"/>
    <n v="82"/>
    <n v="123"/>
    <n v="82"/>
    <s v=""/>
    <n v="0"/>
  </r>
  <r>
    <s v="MMR001CMP051"/>
    <x v="3"/>
    <s v="Mu-yin Baptist Church"/>
    <s v="Bhamo"/>
    <n v="16"/>
    <n v="66"/>
    <n v="0"/>
    <n v="0"/>
    <n v="0"/>
    <n v="32"/>
    <n v="48"/>
    <n v="32"/>
    <s v=""/>
    <n v="0"/>
  </r>
  <r>
    <s v="MMR001CMP017"/>
    <x v="3"/>
    <s v="Myay Myint Baptist Church"/>
    <s v="Myitkyina"/>
    <n v="12"/>
    <n v="53"/>
    <n v="0"/>
    <n v="0"/>
    <n v="0"/>
    <n v="24"/>
    <n v="36"/>
    <n v="24"/>
    <s v=""/>
    <n v="0"/>
  </r>
  <r>
    <s v="MMR001CMP061"/>
    <x v="3"/>
    <s v="Myo Thit "/>
    <s v="Momauk"/>
    <n v="13"/>
    <n v="53"/>
    <n v="0"/>
    <n v="0"/>
    <n v="0"/>
    <n v="26"/>
    <n v="39"/>
    <n v="26"/>
    <s v=""/>
    <n v="0"/>
  </r>
  <r>
    <s v="MMR015CMP214"/>
    <x v="3"/>
    <s v="Nam Hkam (KBC Jaw Wang) II"/>
    <s v="Namhkan"/>
    <n v="49"/>
    <n v="232"/>
    <n v="0"/>
    <n v="0"/>
    <n v="0"/>
    <n v="98"/>
    <n v="147"/>
    <n v="98"/>
    <s v=""/>
    <n v="0"/>
  </r>
  <r>
    <s v="MMR001CMP192"/>
    <x v="3"/>
    <s v="Nam Ma Phyit, COC"/>
    <s v="Hpakant"/>
    <n v="17"/>
    <n v="63"/>
    <n v="50"/>
    <n v="17"/>
    <n v="0"/>
    <n v="0"/>
    <n v="34"/>
    <n v="34"/>
    <s v="No"/>
    <n v="0"/>
  </r>
  <r>
    <s v="MMR015CMP215"/>
    <x v="3"/>
    <s v="Namhkan - Pang Long KBC"/>
    <s v="Namhkan"/>
    <n v="148"/>
    <n v="563"/>
    <n v="0"/>
    <n v="0"/>
    <n v="0"/>
    <n v="296"/>
    <n v="444"/>
    <n v="296"/>
    <s v=""/>
    <n v="0"/>
  </r>
  <r>
    <s v="MMR001CMP024"/>
    <x v="3"/>
    <s v="Nan Kway St. John Catholic Church"/>
    <s v="Myitkyina"/>
    <n v="72"/>
    <n v="359"/>
    <n v="0"/>
    <n v="0"/>
    <n v="0"/>
    <n v="144"/>
    <n v="216"/>
    <n v="144"/>
    <s v=""/>
    <n v="0"/>
  </r>
  <r>
    <s v="MMR001CMP054"/>
    <x v="3"/>
    <s v="Nant Hlaing Church"/>
    <s v="Bhamo"/>
    <n v="23"/>
    <n v="117"/>
    <n v="0"/>
    <n v="0"/>
    <n v="0"/>
    <n v="46"/>
    <n v="69"/>
    <n v="46"/>
    <s v=""/>
    <n v="0"/>
  </r>
  <r>
    <s v="MMR001CMP103"/>
    <x v="3"/>
    <s v="Nant Ma Hpit Catholic Church"/>
    <s v="Hpakant"/>
    <n v="55"/>
    <n v="267"/>
    <n v="117"/>
    <n v="65"/>
    <n v="0"/>
    <n v="0"/>
    <n v="100"/>
    <n v="110"/>
    <s v="No"/>
    <n v="0"/>
  </r>
  <r>
    <s v="MMR001CMP081"/>
    <x v="3"/>
    <s v="Nant Mun"/>
    <s v="Mohnyin"/>
    <n v="0"/>
    <n v="0"/>
    <n v="0"/>
    <n v="0"/>
    <n v="0"/>
    <n v="0"/>
    <n v="0"/>
    <n v="0"/>
    <s v=""/>
    <n v="0"/>
  </r>
  <r>
    <s v="MMR015CMP207"/>
    <x v="3"/>
    <s v="Narte"/>
    <s v="Hseni"/>
    <n v="67"/>
    <n v="392"/>
    <n v="0"/>
    <n v="0"/>
    <n v="0"/>
    <n v="134"/>
    <n v="201"/>
    <n v="134"/>
    <s v=""/>
    <n v="0"/>
  </r>
  <r>
    <s v="MMR001CMP079"/>
    <x v="3"/>
    <s v="Nat Gyi Kone Baptist Church "/>
    <s v="Mogaung"/>
    <n v="12"/>
    <n v="37"/>
    <n v="0"/>
    <n v="0"/>
    <n v="0"/>
    <n v="24"/>
    <n v="36"/>
    <n v="24"/>
    <s v=""/>
    <n v="0"/>
  </r>
  <r>
    <s v="MMR001CMP033"/>
    <x v="3"/>
    <s v="Nawng Hee Village"/>
    <s v="Waingmaw"/>
    <n v="18"/>
    <n v="77"/>
    <n v="0"/>
    <n v="0"/>
    <n v="0"/>
    <n v="36"/>
    <n v="54"/>
    <n v="36"/>
    <s v=""/>
    <n v="0"/>
  </r>
  <r>
    <s v="MMR001CMP152"/>
    <x v="3"/>
    <s v="Nawng Ing (Indawgyi) Baptist Church  "/>
    <s v="Mohnyin"/>
    <n v="21"/>
    <n v="97"/>
    <n v="0"/>
    <n v="0"/>
    <n v="0"/>
    <n v="42"/>
    <n v="63"/>
    <n v="42"/>
    <s v=""/>
    <n v="0"/>
  </r>
  <r>
    <s v="MMR001CMP059"/>
    <x v="3"/>
    <s v="Ni Thaw Ka Monestry"/>
    <s v="Momauk"/>
    <n v="23"/>
    <n v="86"/>
    <n v="0"/>
    <n v="0"/>
    <n v="0"/>
    <n v="46"/>
    <n v="69"/>
    <n v="46"/>
    <s v=""/>
    <n v="0"/>
  </r>
  <r>
    <s v="MMR001CMP002"/>
    <x v="3"/>
    <s v="Njang Dung Baptist Church "/>
    <s v="Myitkyina"/>
    <n v="57"/>
    <n v="233"/>
    <n v="0"/>
    <n v="0"/>
    <n v="0"/>
    <n v="114"/>
    <n v="171"/>
    <n v="114"/>
    <s v=""/>
    <n v="0"/>
  </r>
  <r>
    <s v="MMR001CMP162"/>
    <x v="3"/>
    <s v="Pa Dauk Myaing(Pa La Na)"/>
    <s v="Myitkyina"/>
    <n v="29"/>
    <n v="176"/>
    <n v="323"/>
    <n v="178"/>
    <n v="0"/>
    <n v="0"/>
    <n v="0"/>
    <n v="58"/>
    <s v="No"/>
    <n v="0"/>
  </r>
  <r>
    <s v="MMR001CMP193"/>
    <x v="3"/>
    <s v="Phan Khar Kone"/>
    <s v="Bhamo"/>
    <n v="180"/>
    <n v="819"/>
    <n v="0"/>
    <n v="0"/>
    <n v="0"/>
    <n v="360"/>
    <n v="540"/>
    <n v="360"/>
    <s v=""/>
    <n v="0"/>
  </r>
  <r>
    <s v="MMR001CMP065"/>
    <x v="3"/>
    <s v="Phar Kay/Nant Waing "/>
    <s v="Momauk"/>
    <n v="39"/>
    <n v="176"/>
    <n v="0"/>
    <n v="0"/>
    <n v="0"/>
    <n v="78"/>
    <n v="117"/>
    <n v="78"/>
    <s v=""/>
    <n v="0"/>
  </r>
  <r>
    <s v="MMR001CMP032"/>
    <x v="3"/>
    <s v="Qtr. 2 Lhaovo Baptist Church"/>
    <s v="Waingmaw"/>
    <n v="120"/>
    <n v="378"/>
    <n v="0"/>
    <n v="0"/>
    <n v="0"/>
    <n v="240"/>
    <n v="360"/>
    <n v="240"/>
    <s v=""/>
    <n v="0"/>
  </r>
  <r>
    <s v="MMR001CMP025"/>
    <x v="3"/>
    <s v="Qtr. 2 Myoma Baptist Church"/>
    <s v="Waingmaw"/>
    <n v="83"/>
    <n v="373"/>
    <n v="0"/>
    <n v="0"/>
    <n v="0"/>
    <n v="166"/>
    <n v="249"/>
    <n v="166"/>
    <s v=""/>
    <n v="0"/>
  </r>
  <r>
    <s v="MMR001CMP030"/>
    <x v="3"/>
    <s v="Qtr. 3 Mu-yin  Baptist Church"/>
    <s v="Waingmaw"/>
    <n v="23"/>
    <n v="153"/>
    <n v="0"/>
    <n v="0"/>
    <n v="0"/>
    <n v="46"/>
    <n v="69"/>
    <n v="46"/>
    <s v=""/>
    <n v="0"/>
  </r>
  <r>
    <s v="MMR001CMP026"/>
    <x v="3"/>
    <s v="Qtr. 4 Monestry (Thargaya Thayett Taw)"/>
    <s v="Waingmaw"/>
    <n v="102"/>
    <n v="552"/>
    <n v="0"/>
    <n v="0"/>
    <n v="0"/>
    <n v="204"/>
    <n v="306"/>
    <n v="204"/>
    <s v=""/>
    <n v="0"/>
  </r>
  <r>
    <s v="MMR001CMP182"/>
    <x v="3"/>
    <s v="Rawan Baptist Church, Maw Shan Vil., Seik Mu"/>
    <s v="Hpakant"/>
    <n v="12"/>
    <n v="51"/>
    <n v="26"/>
    <n v="14"/>
    <n v="0"/>
    <n v="0"/>
    <n v="22"/>
    <n v="24"/>
    <s v="No"/>
    <n v="0"/>
  </r>
  <r>
    <s v="MMR001CMP047"/>
    <x v="3"/>
    <s v="Robert Church"/>
    <s v="Bhamo"/>
    <n v="646"/>
    <n v="3609"/>
    <n v="0"/>
    <n v="0"/>
    <n v="0"/>
    <n v="1292"/>
    <n v="1938"/>
    <n v="1292"/>
    <s v=""/>
    <n v="0"/>
  </r>
  <r>
    <s v="MMR001CMP183"/>
    <x v="3"/>
    <s v="Sai Nai Baptish Church, Maw Shan Vil., Seki Mu"/>
    <s v="Hpakant"/>
    <n v="9"/>
    <n v="40"/>
    <n v="34"/>
    <n v="9"/>
    <n v="0"/>
    <n v="0"/>
    <n v="18"/>
    <n v="18"/>
    <s v="No"/>
    <n v="0"/>
  </r>
  <r>
    <s v="MMR001CMP006"/>
    <x v="3"/>
    <s v="Shatapru Sut Ngai Tawng"/>
    <s v="Myitkyina"/>
    <n v="106"/>
    <n v="390"/>
    <n v="0"/>
    <n v="0"/>
    <n v="0"/>
    <n v="212"/>
    <n v="318"/>
    <n v="212"/>
    <s v=""/>
    <n v="0"/>
  </r>
  <r>
    <s v="MMR001CMP007"/>
    <x v="3"/>
    <s v="Shatapru Thida Aye Baptist Church"/>
    <s v="Myitkyina"/>
    <n v="15"/>
    <n v="73"/>
    <n v="0"/>
    <n v="0"/>
    <n v="0"/>
    <n v="30"/>
    <n v="45"/>
    <n v="30"/>
    <s v=""/>
    <n v="0"/>
  </r>
  <r>
    <s v="MMR001CMP067"/>
    <x v="3"/>
    <s v="Shwe Gu Baptist Church"/>
    <s v="Shwegu"/>
    <n v="79"/>
    <n v="552"/>
    <n v="0"/>
    <n v="0"/>
    <n v="0"/>
    <n v="158"/>
    <n v="237"/>
    <n v="158"/>
    <s v=""/>
    <n v="0"/>
  </r>
  <r>
    <s v="MMR001CMP068"/>
    <x v="3"/>
    <s v="Shwe Gu Catholic Church"/>
    <s v="Shwegu"/>
    <n v="42"/>
    <n v="150"/>
    <n v="0"/>
    <n v="0"/>
    <n v="0"/>
    <n v="84"/>
    <n v="126"/>
    <n v="84"/>
    <s v=""/>
    <n v="0"/>
  </r>
  <r>
    <s v="MMR001CMP009"/>
    <x v="3"/>
    <s v="Shwe Zet Baptist Church"/>
    <s v="Myitkyina"/>
    <n v="84"/>
    <n v="401"/>
    <n v="0"/>
    <n v="0"/>
    <n v="0"/>
    <n v="168"/>
    <n v="252"/>
    <n v="168"/>
    <s v=""/>
    <n v="0"/>
  </r>
  <r>
    <s v="MMR001CMP080"/>
    <x v="3"/>
    <s v="St. Patrick Catholic Church "/>
    <s v="Mohnyin"/>
    <n v="12"/>
    <n v="53"/>
    <n v="0"/>
    <n v="0"/>
    <n v="0"/>
    <n v="24"/>
    <n v="36"/>
    <n v="24"/>
    <s v=""/>
    <n v="0"/>
  </r>
  <r>
    <s v="MMR001CMP206"/>
    <x v="3"/>
    <s v="Sumprabum"/>
    <s v="Sumprabum"/>
    <n v="5"/>
    <n v="32"/>
    <n v="91"/>
    <n v="32"/>
    <n v="0"/>
    <n v="0"/>
    <n v="0"/>
    <n v="10"/>
    <s v="No"/>
    <n v="0"/>
  </r>
  <r>
    <s v="MMR001CMP055"/>
    <x v="3"/>
    <s v="Ta Gun Taing Monastery (Shwe Kyi Na)"/>
    <s v="Bhamo"/>
    <n v="55"/>
    <n v="276"/>
    <n v="0"/>
    <n v="0"/>
    <n v="0"/>
    <n v="110"/>
    <n v="165"/>
    <n v="110"/>
    <s v=""/>
    <n v="0"/>
  </r>
  <r>
    <s v="MMR001CMP060"/>
    <x v="3"/>
    <s v="Tarli "/>
    <s v="Momauk"/>
    <n v="10"/>
    <n v="38"/>
    <n v="0"/>
    <n v="0"/>
    <n v="0"/>
    <n v="20"/>
    <n v="30"/>
    <n v="20"/>
    <s v=""/>
    <n v="0"/>
  </r>
  <r>
    <s v="MMR001CMP001"/>
    <x v="3"/>
    <s v="Tat Kone Baptist Church"/>
    <s v="Myitkyina"/>
    <n v="56"/>
    <n v="262"/>
    <n v="0"/>
    <n v="0"/>
    <n v="0"/>
    <n v="112"/>
    <n v="168"/>
    <n v="112"/>
    <s v=""/>
    <n v="0"/>
  </r>
  <r>
    <s v="MMR001CMP023"/>
    <x v="3"/>
    <s v="Tat Kone COC Baptist - Tat Kone Htoi San"/>
    <s v="Myitkyina"/>
    <n v="69"/>
    <n v="333"/>
    <n v="0"/>
    <n v="0"/>
    <n v="0"/>
    <n v="138"/>
    <n v="207"/>
    <n v="138"/>
    <s v=""/>
    <n v="0"/>
  </r>
  <r>
    <s v="MMR001CMP004"/>
    <x v="3"/>
    <s v="Tat Kone Emanuel Church"/>
    <s v="Myitkyina"/>
    <n v="13"/>
    <n v="60"/>
    <n v="0"/>
    <n v="0"/>
    <n v="0"/>
    <n v="26"/>
    <n v="39"/>
    <n v="26"/>
    <s v=""/>
    <n v="0"/>
  </r>
  <r>
    <s v="MMR001CMP003"/>
    <x v="3"/>
    <s v="Tat Kone Galile Baptist Church"/>
    <s v="Myitkyina"/>
    <n v="30"/>
    <n v="134"/>
    <n v="0"/>
    <n v="0"/>
    <n v="0"/>
    <n v="60"/>
    <n v="90"/>
    <n v="60"/>
    <s v=""/>
    <n v="0"/>
  </r>
  <r>
    <s v="MMR001CMP005"/>
    <x v="3"/>
    <s v="Tat Kone San Pya Baptist Church"/>
    <s v="Myitkyina"/>
    <n v="43"/>
    <n v="198"/>
    <n v="0"/>
    <n v="0"/>
    <n v="0"/>
    <n v="86"/>
    <n v="129"/>
    <n v="86"/>
    <s v=""/>
    <n v="0"/>
  </r>
  <r>
    <s v="MMR001CMP037"/>
    <x v="3"/>
    <s v="Thargaya Lisu Baptist Church"/>
    <s v="Waingmaw"/>
    <n v="72"/>
    <n v="338"/>
    <n v="0"/>
    <n v="0"/>
    <n v="0"/>
    <n v="144"/>
    <n v="216"/>
    <n v="144"/>
    <s v=""/>
    <n v="0"/>
  </r>
  <r>
    <s v="MMR001CMP224"/>
    <x v="3"/>
    <s v="Tharthana Ahlin Yaung New Monastery"/>
    <s v="Bhamo"/>
    <n v="0"/>
    <n v="0"/>
    <n v="0"/>
    <n v="0"/>
    <n v="0"/>
    <n v="0"/>
    <n v="0"/>
    <n v="0"/>
    <s v=""/>
    <n v="0"/>
  </r>
  <r>
    <s v="MMR001CMP038"/>
    <x v="3"/>
    <s v="Waingmaw AG Church"/>
    <s v="Waingmaw"/>
    <n v="75"/>
    <n v="395"/>
    <n v="0"/>
    <n v="0"/>
    <n v="0"/>
    <n v="150"/>
    <n v="225"/>
    <n v="150"/>
    <s v=""/>
    <n v="0"/>
  </r>
  <r>
    <s v="MMR001CMP036"/>
    <x v="3"/>
    <s v="Waingmaw Baptist Zonal Office"/>
    <s v="Waingmaw"/>
    <n v="0"/>
    <n v="150"/>
    <n v="0"/>
    <n v="0"/>
    <n v="0"/>
    <n v="0"/>
    <n v="0"/>
    <n v="0"/>
    <s v=""/>
    <n v="0"/>
  </r>
  <r>
    <s v="MMR001CMP184"/>
    <x v="3"/>
    <s v="Ward 2 Sai Taung Baptist Church, Seik Mu "/>
    <s v="Hpakant"/>
    <n v="39"/>
    <n v="186"/>
    <n v="94"/>
    <n v="58"/>
    <n v="0"/>
    <n v="0"/>
    <n v="59"/>
    <n v="78"/>
    <s v="No"/>
    <n v="0"/>
  </r>
  <r>
    <s v="MMR001CMP116"/>
    <x v="3"/>
    <s v="Woi Chyai "/>
    <s v="Waingmaw"/>
    <n v="880"/>
    <n v="4659"/>
    <n v="1620"/>
    <n v="2840"/>
    <n v="0"/>
    <n v="140"/>
    <n v="0"/>
    <n v="1760"/>
    <s v="No"/>
    <n v="0"/>
  </r>
  <r>
    <s v="MMR001CMP022"/>
    <x v="3"/>
    <s v="Wun Tho Buddhist Monastery"/>
    <s v="Myitkyina"/>
    <n v="6"/>
    <n v="34"/>
    <n v="0"/>
    <n v="0"/>
    <n v="0"/>
    <n v="12"/>
    <n v="18"/>
    <n v="12"/>
    <s v=""/>
    <n v="0"/>
  </r>
  <r>
    <s v="MMR001CMP053"/>
    <x v="3"/>
    <s v="Yoe Kyi Monastery"/>
    <s v="Bhamo"/>
    <n v="19"/>
    <n v="82"/>
    <n v="0"/>
    <n v="0"/>
    <n v="0"/>
    <n v="38"/>
    <n v="57"/>
    <n v="38"/>
    <s v=""/>
    <n v="0"/>
  </r>
  <r>
    <s v="MMR001CMP105"/>
    <x v="3"/>
    <s v="Yumar Baptist Church"/>
    <s v="Hpakant"/>
    <n v="17"/>
    <n v="65"/>
    <n v="33"/>
    <n v="8"/>
    <n v="0"/>
    <n v="1"/>
    <n v="43"/>
    <n v="34"/>
    <s v="No"/>
    <n v="0"/>
  </r>
</pivotCacheRecords>
</file>

<file path=xl/pivotCache/pivotCacheRecords2.xml><?xml version="1.0" encoding="utf-8"?>
<pivotCacheRecords xmlns="http://schemas.openxmlformats.org/spreadsheetml/2006/main" xmlns:r="http://schemas.openxmlformats.org/officeDocument/2006/relationships" count="320">
  <r>
    <d v="2013-12-01T00:00:00"/>
    <x v="0"/>
    <s v="KBC"/>
    <x v="0"/>
    <x v="0"/>
    <x v="0"/>
    <n v="1"/>
    <m/>
    <m/>
    <n v="20"/>
    <n v="20"/>
    <m/>
    <m/>
    <m/>
    <m/>
    <n v="20"/>
    <m/>
    <m/>
    <x v="0"/>
    <x v="0"/>
    <n v="0.26315789473684209"/>
    <s v="NO"/>
    <m/>
  </r>
  <r>
    <m/>
    <x v="1"/>
    <m/>
    <x v="0"/>
    <x v="0"/>
    <x v="0"/>
    <n v="1"/>
    <n v="25"/>
    <n v="25"/>
    <m/>
    <m/>
    <m/>
    <m/>
    <m/>
    <m/>
    <n v="0"/>
    <m/>
    <m/>
    <x v="0"/>
    <x v="0"/>
    <n v="0"/>
    <s v="NO"/>
    <m/>
  </r>
  <r>
    <m/>
    <x v="0"/>
    <s v="KMSS"/>
    <x v="0"/>
    <x v="0"/>
    <x v="0"/>
    <n v="1"/>
    <m/>
    <m/>
    <m/>
    <m/>
    <m/>
    <m/>
    <m/>
    <m/>
    <n v="0"/>
    <n v="44"/>
    <m/>
    <x v="0"/>
    <x v="0"/>
    <n v="0"/>
    <s v="NO"/>
    <m/>
  </r>
  <r>
    <d v="2016-02-16T00:00:00"/>
    <x v="0"/>
    <s v="KMSS"/>
    <x v="0"/>
    <x v="0"/>
    <x v="1"/>
    <n v="1"/>
    <m/>
    <m/>
    <n v="12"/>
    <n v="12"/>
    <m/>
    <m/>
    <m/>
    <m/>
    <n v="12"/>
    <m/>
    <m/>
    <x v="1"/>
    <x v="0"/>
    <n v="0.16"/>
    <s v="NO"/>
    <m/>
  </r>
  <r>
    <m/>
    <x v="2"/>
    <s v="KBSS"/>
    <x v="0"/>
    <x v="1"/>
    <x v="2"/>
    <n v="1"/>
    <m/>
    <m/>
    <n v="6"/>
    <n v="6"/>
    <m/>
    <m/>
    <m/>
    <m/>
    <n v="6"/>
    <m/>
    <m/>
    <x v="2"/>
    <x v="0"/>
    <n v="2.1897810218978103E-2"/>
    <s v="NO"/>
    <m/>
  </r>
  <r>
    <m/>
    <x v="0"/>
    <s v="KBSS"/>
    <x v="0"/>
    <x v="1"/>
    <x v="2"/>
    <n v="1"/>
    <m/>
    <m/>
    <n v="144"/>
    <n v="144"/>
    <m/>
    <m/>
    <m/>
    <m/>
    <n v="144"/>
    <m/>
    <m/>
    <x v="2"/>
    <x v="0"/>
    <n v="0.52554744525547448"/>
    <s v="NO"/>
    <m/>
  </r>
  <r>
    <m/>
    <x v="0"/>
    <m/>
    <x v="0"/>
    <x v="1"/>
    <x v="2"/>
    <n v="1"/>
    <m/>
    <m/>
    <n v="20"/>
    <n v="20"/>
    <m/>
    <m/>
    <m/>
    <m/>
    <n v="20"/>
    <m/>
    <m/>
    <x v="2"/>
    <x v="0"/>
    <n v="7.2992700729927001E-2"/>
    <s v="NO"/>
    <m/>
  </r>
  <r>
    <d v="2013-12-01T00:00:00"/>
    <x v="0"/>
    <s v="Shalom"/>
    <x v="0"/>
    <x v="0"/>
    <x v="3"/>
    <n v="1"/>
    <m/>
    <m/>
    <n v="25"/>
    <n v="25"/>
    <m/>
    <m/>
    <m/>
    <m/>
    <n v="25"/>
    <m/>
    <m/>
    <x v="3"/>
    <x v="0"/>
    <n v="0.37313432835820898"/>
    <s v="NO"/>
    <m/>
  </r>
  <r>
    <d v="2014-12-01T00:00:00"/>
    <x v="0"/>
    <s v="Shalom"/>
    <x v="0"/>
    <x v="0"/>
    <x v="3"/>
    <n v="1"/>
    <m/>
    <m/>
    <n v="15"/>
    <n v="15"/>
    <m/>
    <m/>
    <m/>
    <m/>
    <n v="15"/>
    <m/>
    <m/>
    <x v="3"/>
    <x v="0"/>
    <n v="0.22388059701492538"/>
    <s v="NO"/>
    <m/>
  </r>
  <r>
    <d v="2016-02-16T00:00:00"/>
    <x v="0"/>
    <s v="Shalom"/>
    <x v="0"/>
    <x v="0"/>
    <x v="3"/>
    <n v="1"/>
    <m/>
    <m/>
    <n v="15"/>
    <n v="15"/>
    <m/>
    <m/>
    <m/>
    <m/>
    <n v="15"/>
    <m/>
    <m/>
    <x v="3"/>
    <x v="0"/>
    <n v="0.22388059701492538"/>
    <s v="NO"/>
    <m/>
  </r>
  <r>
    <m/>
    <x v="1"/>
    <m/>
    <x v="0"/>
    <x v="0"/>
    <x v="3"/>
    <n v="1"/>
    <n v="10"/>
    <n v="10"/>
    <m/>
    <m/>
    <m/>
    <m/>
    <m/>
    <m/>
    <n v="0"/>
    <m/>
    <m/>
    <x v="3"/>
    <x v="0"/>
    <n v="0"/>
    <s v="NO"/>
    <m/>
  </r>
  <r>
    <m/>
    <x v="0"/>
    <s v="Shalom"/>
    <x v="0"/>
    <x v="0"/>
    <x v="3"/>
    <n v="1"/>
    <m/>
    <m/>
    <n v="5"/>
    <n v="5"/>
    <m/>
    <m/>
    <m/>
    <m/>
    <n v="5"/>
    <m/>
    <m/>
    <x v="3"/>
    <x v="0"/>
    <n v="7.4626865671641784E-2"/>
    <s v="NO"/>
    <m/>
  </r>
  <r>
    <d v="2013-12-01T00:00:00"/>
    <x v="0"/>
    <s v="Shalom"/>
    <x v="0"/>
    <x v="0"/>
    <x v="4"/>
    <n v="1"/>
    <m/>
    <m/>
    <n v="5"/>
    <n v="5"/>
    <m/>
    <m/>
    <m/>
    <m/>
    <n v="5"/>
    <m/>
    <m/>
    <x v="4"/>
    <x v="0"/>
    <n v="0.35714285714285715"/>
    <s v="NO"/>
    <m/>
  </r>
  <r>
    <d v="2014-12-01T00:00:00"/>
    <x v="0"/>
    <s v="Shalom"/>
    <x v="0"/>
    <x v="0"/>
    <x v="4"/>
    <n v="1"/>
    <m/>
    <m/>
    <n v="5"/>
    <n v="5"/>
    <m/>
    <m/>
    <m/>
    <m/>
    <n v="5"/>
    <m/>
    <m/>
    <x v="4"/>
    <x v="0"/>
    <n v="0.35714285714285715"/>
    <s v="NO"/>
    <m/>
  </r>
  <r>
    <m/>
    <x v="0"/>
    <s v="KBSS"/>
    <x v="0"/>
    <x v="1"/>
    <x v="5"/>
    <n v="1"/>
    <m/>
    <m/>
    <n v="32"/>
    <n v="32"/>
    <m/>
    <m/>
    <m/>
    <m/>
    <n v="32"/>
    <m/>
    <m/>
    <x v="5"/>
    <x v="0"/>
    <n v="2.6666666666666665"/>
    <s v="NO"/>
    <m/>
  </r>
  <r>
    <m/>
    <x v="0"/>
    <m/>
    <x v="0"/>
    <x v="1"/>
    <x v="5"/>
    <n v="1"/>
    <m/>
    <m/>
    <n v="10"/>
    <n v="10"/>
    <m/>
    <m/>
    <m/>
    <m/>
    <n v="10"/>
    <m/>
    <m/>
    <x v="5"/>
    <x v="0"/>
    <n v="0.83333333333333337"/>
    <s v="NO"/>
    <m/>
  </r>
  <r>
    <d v="2013-12-01T00:00:00"/>
    <x v="0"/>
    <s v="KBC"/>
    <x v="0"/>
    <x v="0"/>
    <x v="6"/>
    <n v="1"/>
    <m/>
    <m/>
    <n v="20"/>
    <n v="20"/>
    <m/>
    <m/>
    <m/>
    <m/>
    <n v="20"/>
    <m/>
    <m/>
    <x v="6"/>
    <x v="0"/>
    <n v="0.5714285714285714"/>
    <s v="NO"/>
    <m/>
  </r>
  <r>
    <m/>
    <x v="1"/>
    <m/>
    <x v="0"/>
    <x v="0"/>
    <x v="6"/>
    <n v="1"/>
    <n v="10"/>
    <n v="10"/>
    <m/>
    <m/>
    <m/>
    <m/>
    <m/>
    <m/>
    <n v="0"/>
    <m/>
    <m/>
    <x v="6"/>
    <x v="0"/>
    <n v="0"/>
    <s v="NO"/>
    <m/>
  </r>
  <r>
    <d v="2013-12-01T00:00:00"/>
    <x v="0"/>
    <s v="Shalom"/>
    <x v="0"/>
    <x v="0"/>
    <x v="7"/>
    <n v="1"/>
    <m/>
    <m/>
    <n v="10"/>
    <n v="10"/>
    <m/>
    <m/>
    <m/>
    <m/>
    <n v="10"/>
    <m/>
    <m/>
    <x v="7"/>
    <x v="1"/>
    <s v=""/>
    <s v="NO"/>
    <m/>
  </r>
  <r>
    <d v="2014-12-01T00:00:00"/>
    <x v="0"/>
    <s v="Shalom"/>
    <x v="0"/>
    <x v="0"/>
    <x v="7"/>
    <n v="1"/>
    <m/>
    <m/>
    <n v="5"/>
    <n v="5"/>
    <m/>
    <m/>
    <m/>
    <m/>
    <n v="5"/>
    <m/>
    <m/>
    <x v="7"/>
    <x v="1"/>
    <s v=""/>
    <s v="NO"/>
    <m/>
  </r>
  <r>
    <m/>
    <x v="3"/>
    <m/>
    <x v="0"/>
    <x v="0"/>
    <x v="7"/>
    <n v="1"/>
    <m/>
    <m/>
    <n v="10"/>
    <n v="10"/>
    <m/>
    <m/>
    <m/>
    <m/>
    <n v="10"/>
    <m/>
    <m/>
    <x v="7"/>
    <x v="1"/>
    <s v=""/>
    <s v="NO"/>
    <m/>
  </r>
  <r>
    <d v="2013-12-01T00:00:00"/>
    <x v="0"/>
    <s v="KMSS"/>
    <x v="0"/>
    <x v="2"/>
    <x v="8"/>
    <n v="1"/>
    <m/>
    <m/>
    <n v="35"/>
    <n v="35"/>
    <m/>
    <m/>
    <m/>
    <m/>
    <n v="35"/>
    <m/>
    <m/>
    <x v="8"/>
    <x v="0"/>
    <n v="0.22580645161290322"/>
    <s v="NO"/>
    <m/>
  </r>
  <r>
    <m/>
    <x v="1"/>
    <m/>
    <x v="0"/>
    <x v="2"/>
    <x v="8"/>
    <n v="1"/>
    <n v="41"/>
    <n v="41"/>
    <m/>
    <m/>
    <m/>
    <m/>
    <m/>
    <m/>
    <n v="0"/>
    <m/>
    <m/>
    <x v="8"/>
    <x v="0"/>
    <n v="0"/>
    <s v="NO"/>
    <m/>
  </r>
  <r>
    <m/>
    <x v="0"/>
    <s v="KMSS"/>
    <x v="0"/>
    <x v="2"/>
    <x v="8"/>
    <n v="1"/>
    <m/>
    <m/>
    <n v="202"/>
    <n v="202"/>
    <m/>
    <m/>
    <m/>
    <m/>
    <n v="202"/>
    <m/>
    <m/>
    <x v="8"/>
    <x v="0"/>
    <n v="1.3032258064516129"/>
    <s v="NO"/>
    <m/>
  </r>
  <r>
    <d v="2014-06-01T00:00:00"/>
    <x v="0"/>
    <s v="KMSS"/>
    <x v="0"/>
    <x v="3"/>
    <x v="9"/>
    <n v="1"/>
    <m/>
    <m/>
    <n v="100"/>
    <n v="100"/>
    <m/>
    <m/>
    <m/>
    <m/>
    <n v="100"/>
    <m/>
    <m/>
    <x v="9"/>
    <x v="0"/>
    <n v="0.40816326530612246"/>
    <s v="NO"/>
    <m/>
  </r>
  <r>
    <d v="2014-12-01T00:00:00"/>
    <x v="0"/>
    <s v="KBC"/>
    <x v="0"/>
    <x v="3"/>
    <x v="9"/>
    <n v="1"/>
    <m/>
    <m/>
    <n v="90"/>
    <n v="90"/>
    <m/>
    <m/>
    <m/>
    <m/>
    <n v="90"/>
    <m/>
    <m/>
    <x v="9"/>
    <x v="0"/>
    <n v="0.36734693877551022"/>
    <s v="NO"/>
    <m/>
  </r>
  <r>
    <m/>
    <x v="0"/>
    <m/>
    <x v="0"/>
    <x v="3"/>
    <x v="9"/>
    <n v="1"/>
    <m/>
    <m/>
    <n v="150"/>
    <m/>
    <m/>
    <m/>
    <m/>
    <m/>
    <n v="0"/>
    <m/>
    <m/>
    <x v="9"/>
    <x v="0"/>
    <n v="0"/>
    <s v="NO"/>
    <m/>
  </r>
  <r>
    <d v="2014-12-01T00:00:00"/>
    <x v="0"/>
    <s v="KBC"/>
    <x v="0"/>
    <x v="3"/>
    <x v="10"/>
    <n v="1"/>
    <m/>
    <m/>
    <n v="120"/>
    <n v="120"/>
    <m/>
    <m/>
    <m/>
    <m/>
    <n v="120"/>
    <m/>
    <m/>
    <x v="10"/>
    <x v="0"/>
    <n v="0.54794520547945202"/>
    <s v="NO"/>
    <m/>
  </r>
  <r>
    <d v="2013-12-01T00:00:00"/>
    <x v="0"/>
    <s v="Shalom"/>
    <x v="0"/>
    <x v="0"/>
    <x v="11"/>
    <n v="1"/>
    <m/>
    <m/>
    <n v="4"/>
    <n v="4"/>
    <m/>
    <m/>
    <m/>
    <m/>
    <n v="4"/>
    <m/>
    <m/>
    <x v="11"/>
    <x v="0"/>
    <n v="0.66666666666666663"/>
    <s v="NO"/>
    <m/>
  </r>
  <r>
    <d v="2014-12-01T00:00:00"/>
    <x v="0"/>
    <s v="Shalom"/>
    <x v="0"/>
    <x v="0"/>
    <x v="11"/>
    <n v="1"/>
    <m/>
    <m/>
    <n v="2"/>
    <n v="2"/>
    <m/>
    <m/>
    <m/>
    <m/>
    <n v="2"/>
    <m/>
    <m/>
    <x v="11"/>
    <x v="0"/>
    <n v="0.33333333333333331"/>
    <s v="NO"/>
    <m/>
  </r>
  <r>
    <d v="2014-12-01T00:00:00"/>
    <x v="0"/>
    <s v="Shalom"/>
    <x v="0"/>
    <x v="4"/>
    <x v="12"/>
    <n v="1"/>
    <m/>
    <m/>
    <n v="5"/>
    <n v="5"/>
    <m/>
    <m/>
    <m/>
    <m/>
    <n v="5"/>
    <m/>
    <m/>
    <x v="12"/>
    <x v="0"/>
    <n v="4.6296296296296294E-2"/>
    <s v="NO"/>
    <m/>
  </r>
  <r>
    <m/>
    <x v="4"/>
    <s v="Shalom"/>
    <x v="0"/>
    <x v="4"/>
    <x v="12"/>
    <n v="1"/>
    <m/>
    <m/>
    <n v="82"/>
    <n v="82"/>
    <m/>
    <m/>
    <m/>
    <m/>
    <n v="82"/>
    <m/>
    <m/>
    <x v="12"/>
    <x v="0"/>
    <n v="0.7592592592592593"/>
    <s v="NO"/>
    <m/>
  </r>
  <r>
    <m/>
    <x v="0"/>
    <s v="Shalom"/>
    <x v="0"/>
    <x v="4"/>
    <x v="12"/>
    <n v="1"/>
    <m/>
    <m/>
    <n v="20"/>
    <n v="20"/>
    <m/>
    <m/>
    <m/>
    <m/>
    <n v="20"/>
    <m/>
    <m/>
    <x v="12"/>
    <x v="0"/>
    <n v="0.18518518518518517"/>
    <s v="NO"/>
    <m/>
  </r>
  <r>
    <d v="2014-06-01T00:00:00"/>
    <x v="0"/>
    <s v="Shalom"/>
    <x v="0"/>
    <x v="0"/>
    <x v="13"/>
    <n v="1"/>
    <m/>
    <m/>
    <n v="20"/>
    <n v="20"/>
    <m/>
    <m/>
    <m/>
    <m/>
    <n v="20"/>
    <m/>
    <m/>
    <x v="13"/>
    <x v="0"/>
    <n v="0.30769230769230771"/>
    <s v="NO"/>
    <m/>
  </r>
  <r>
    <d v="2014-12-01T00:00:00"/>
    <x v="0"/>
    <s v="Shalom"/>
    <x v="0"/>
    <x v="0"/>
    <x v="13"/>
    <n v="1"/>
    <m/>
    <m/>
    <n v="45"/>
    <n v="45"/>
    <m/>
    <m/>
    <m/>
    <m/>
    <n v="45"/>
    <m/>
    <m/>
    <x v="13"/>
    <x v="0"/>
    <n v="0.69230769230769229"/>
    <s v="NO"/>
    <m/>
  </r>
  <r>
    <m/>
    <x v="1"/>
    <m/>
    <x v="0"/>
    <x v="0"/>
    <x v="13"/>
    <n v="1"/>
    <n v="5"/>
    <n v="5"/>
    <m/>
    <m/>
    <m/>
    <m/>
    <m/>
    <m/>
    <n v="0"/>
    <m/>
    <m/>
    <x v="13"/>
    <x v="0"/>
    <n v="0"/>
    <s v="NO"/>
    <m/>
  </r>
  <r>
    <m/>
    <x v="0"/>
    <s v="Shalom"/>
    <x v="0"/>
    <x v="0"/>
    <x v="13"/>
    <n v="1"/>
    <m/>
    <m/>
    <n v="10"/>
    <n v="10"/>
    <m/>
    <m/>
    <m/>
    <m/>
    <n v="10"/>
    <m/>
    <m/>
    <x v="13"/>
    <x v="0"/>
    <n v="0.15384615384615385"/>
    <s v="NO"/>
    <m/>
  </r>
  <r>
    <d v="2016-02-16T00:00:00"/>
    <x v="0"/>
    <s v="KBC"/>
    <x v="0"/>
    <x v="5"/>
    <x v="14"/>
    <n v="1"/>
    <m/>
    <m/>
    <m/>
    <m/>
    <m/>
    <m/>
    <m/>
    <m/>
    <n v="0"/>
    <n v="13"/>
    <n v="13"/>
    <x v="14"/>
    <x v="0"/>
    <n v="0"/>
    <s v="NO"/>
    <s v="Du Kahtawng Qtr. 14,4,5 (combined as one camp)"/>
  </r>
  <r>
    <m/>
    <x v="0"/>
    <m/>
    <x v="0"/>
    <x v="5"/>
    <x v="14"/>
    <n v="1"/>
    <m/>
    <m/>
    <n v="3"/>
    <n v="3"/>
    <m/>
    <m/>
    <m/>
    <m/>
    <n v="3"/>
    <m/>
    <m/>
    <x v="14"/>
    <x v="0"/>
    <n v="0.5"/>
    <s v="NO"/>
    <m/>
  </r>
  <r>
    <m/>
    <x v="0"/>
    <m/>
    <x v="0"/>
    <x v="5"/>
    <x v="15"/>
    <n v="1"/>
    <m/>
    <m/>
    <n v="6"/>
    <n v="6"/>
    <m/>
    <m/>
    <m/>
    <m/>
    <n v="6"/>
    <m/>
    <m/>
    <x v="15"/>
    <x v="0"/>
    <n v="1"/>
    <s v="NO"/>
    <m/>
  </r>
  <r>
    <m/>
    <x v="0"/>
    <m/>
    <x v="0"/>
    <x v="5"/>
    <x v="16"/>
    <n v="1"/>
    <m/>
    <m/>
    <n v="3"/>
    <n v="3"/>
    <m/>
    <m/>
    <m/>
    <m/>
    <n v="3"/>
    <m/>
    <m/>
    <x v="16"/>
    <x v="0"/>
    <n v="0.06"/>
    <s v="NO"/>
    <m/>
  </r>
  <r>
    <d v="2016-02-16T00:00:00"/>
    <x v="0"/>
    <s v="KMSS"/>
    <x v="0"/>
    <x v="6"/>
    <x v="17"/>
    <n v="1"/>
    <m/>
    <m/>
    <n v="82"/>
    <n v="82"/>
    <m/>
    <m/>
    <m/>
    <m/>
    <n v="82"/>
    <m/>
    <m/>
    <x v="17"/>
    <x v="0"/>
    <n v="0.7068965517241379"/>
    <s v="NO"/>
    <m/>
  </r>
  <r>
    <m/>
    <x v="0"/>
    <s v="KMSS"/>
    <x v="0"/>
    <x v="6"/>
    <x v="17"/>
    <n v="1"/>
    <m/>
    <m/>
    <n v="123"/>
    <n v="123"/>
    <m/>
    <m/>
    <m/>
    <m/>
    <n v="123"/>
    <m/>
    <m/>
    <x v="17"/>
    <x v="0"/>
    <n v="1.0603448275862069"/>
    <s v="NO"/>
    <m/>
  </r>
  <r>
    <d v="2013-12-01T00:00:00"/>
    <x v="0"/>
    <s v="Shalom"/>
    <x v="0"/>
    <x v="2"/>
    <x v="18"/>
    <n v="1"/>
    <m/>
    <m/>
    <n v="5"/>
    <n v="5"/>
    <m/>
    <m/>
    <m/>
    <m/>
    <n v="5"/>
    <m/>
    <m/>
    <x v="18"/>
    <x v="0"/>
    <n v="4.5045045045045043E-2"/>
    <s v="NO"/>
    <m/>
  </r>
  <r>
    <d v="2014-06-19T00:00:00"/>
    <x v="4"/>
    <s v="Shalom"/>
    <x v="0"/>
    <x v="2"/>
    <x v="18"/>
    <n v="1"/>
    <m/>
    <m/>
    <n v="50"/>
    <n v="55"/>
    <m/>
    <m/>
    <m/>
    <m/>
    <n v="55"/>
    <m/>
    <m/>
    <x v="18"/>
    <x v="0"/>
    <n v="0.49549549549549549"/>
    <s v="NO"/>
    <m/>
  </r>
  <r>
    <m/>
    <x v="0"/>
    <s v="Shalom"/>
    <x v="0"/>
    <x v="2"/>
    <x v="18"/>
    <n v="1"/>
    <m/>
    <m/>
    <n v="45"/>
    <n v="45"/>
    <m/>
    <m/>
    <m/>
    <m/>
    <n v="45"/>
    <m/>
    <m/>
    <x v="18"/>
    <x v="0"/>
    <n v="0.40540540540540543"/>
    <s v="NO"/>
    <m/>
  </r>
  <r>
    <m/>
    <x v="4"/>
    <s v="Shalom"/>
    <x v="0"/>
    <x v="2"/>
    <x v="19"/>
    <n v="1"/>
    <m/>
    <m/>
    <n v="100"/>
    <n v="100"/>
    <m/>
    <m/>
    <m/>
    <m/>
    <n v="100"/>
    <m/>
    <m/>
    <x v="19"/>
    <x v="0"/>
    <n v="0.64935064935064934"/>
    <s v="NO"/>
    <m/>
  </r>
  <r>
    <d v="2013-12-01T00:00:00"/>
    <x v="0"/>
    <s v="Shalom"/>
    <x v="0"/>
    <x v="0"/>
    <x v="20"/>
    <n v="1"/>
    <m/>
    <m/>
    <n v="10"/>
    <n v="10"/>
    <m/>
    <m/>
    <m/>
    <m/>
    <n v="10"/>
    <m/>
    <m/>
    <x v="20"/>
    <x v="0"/>
    <n v="0.76923076923076927"/>
    <s v="NO"/>
    <m/>
  </r>
  <r>
    <m/>
    <x v="1"/>
    <m/>
    <x v="0"/>
    <x v="0"/>
    <x v="20"/>
    <n v="1"/>
    <n v="20"/>
    <n v="20"/>
    <m/>
    <m/>
    <m/>
    <m/>
    <m/>
    <m/>
    <n v="0"/>
    <m/>
    <m/>
    <x v="20"/>
    <x v="0"/>
    <n v="0"/>
    <s v="NO"/>
    <m/>
  </r>
  <r>
    <m/>
    <x v="0"/>
    <s v="Shalom"/>
    <x v="0"/>
    <x v="0"/>
    <x v="20"/>
    <n v="1"/>
    <m/>
    <m/>
    <n v="5"/>
    <n v="5"/>
    <m/>
    <m/>
    <m/>
    <m/>
    <n v="5"/>
    <m/>
    <m/>
    <x v="20"/>
    <x v="0"/>
    <n v="0.38461538461538464"/>
    <s v="NO"/>
    <m/>
  </r>
  <r>
    <m/>
    <x v="0"/>
    <s v="KBC"/>
    <x v="1"/>
    <x v="7"/>
    <x v="21"/>
    <n v="1"/>
    <m/>
    <m/>
    <n v="10"/>
    <n v="10"/>
    <m/>
    <m/>
    <m/>
    <m/>
    <n v="10"/>
    <m/>
    <m/>
    <x v="21"/>
    <x v="0"/>
    <n v="0.3125"/>
    <s v="NO"/>
    <m/>
  </r>
  <r>
    <d v="2014-12-01T00:00:00"/>
    <x v="0"/>
    <s v="KMSS"/>
    <x v="0"/>
    <x v="6"/>
    <x v="22"/>
    <n v="1"/>
    <m/>
    <m/>
    <n v="280"/>
    <n v="280"/>
    <m/>
    <m/>
    <m/>
    <m/>
    <n v="280"/>
    <m/>
    <m/>
    <x v="22"/>
    <x v="0"/>
    <n v="0.4560260586319218"/>
    <s v="NO"/>
    <m/>
  </r>
  <r>
    <d v="2016-02-16T00:00:00"/>
    <x v="0"/>
    <s v="KMSS"/>
    <x v="0"/>
    <x v="6"/>
    <x v="22"/>
    <n v="1"/>
    <m/>
    <m/>
    <m/>
    <m/>
    <m/>
    <m/>
    <m/>
    <m/>
    <n v="0"/>
    <n v="338"/>
    <n v="338"/>
    <x v="22"/>
    <x v="0"/>
    <n v="0"/>
    <s v="NO"/>
    <m/>
  </r>
  <r>
    <m/>
    <x v="4"/>
    <s v="KMSS"/>
    <x v="0"/>
    <x v="6"/>
    <x v="22"/>
    <n v="1"/>
    <m/>
    <m/>
    <n v="338"/>
    <n v="338"/>
    <m/>
    <m/>
    <m/>
    <m/>
    <n v="338"/>
    <m/>
    <m/>
    <x v="22"/>
    <x v="0"/>
    <n v="0.55048859934853422"/>
    <s v="NO"/>
    <m/>
  </r>
  <r>
    <m/>
    <x v="5"/>
    <m/>
    <x v="0"/>
    <x v="1"/>
    <x v="23"/>
    <n v="1"/>
    <m/>
    <m/>
    <n v="38"/>
    <n v="38"/>
    <m/>
    <m/>
    <m/>
    <m/>
    <n v="38"/>
    <m/>
    <m/>
    <x v="23"/>
    <x v="0"/>
    <n v="0.88372093023255816"/>
    <s v="NO"/>
    <m/>
  </r>
  <r>
    <m/>
    <x v="0"/>
    <m/>
    <x v="0"/>
    <x v="1"/>
    <x v="23"/>
    <n v="1"/>
    <m/>
    <m/>
    <n v="5"/>
    <m/>
    <m/>
    <m/>
    <m/>
    <m/>
    <n v="0"/>
    <m/>
    <m/>
    <x v="23"/>
    <x v="0"/>
    <n v="0"/>
    <s v="NO"/>
    <m/>
  </r>
  <r>
    <d v="2013-12-01T00:00:00"/>
    <x v="0"/>
    <s v="KBC"/>
    <x v="0"/>
    <x v="5"/>
    <x v="24"/>
    <n v="1"/>
    <m/>
    <m/>
    <n v="30"/>
    <n v="30"/>
    <m/>
    <m/>
    <m/>
    <m/>
    <n v="30"/>
    <m/>
    <m/>
    <x v="24"/>
    <x v="0"/>
    <n v="0.14778325123152711"/>
    <s v="NO"/>
    <m/>
  </r>
  <r>
    <m/>
    <x v="6"/>
    <s v="KMSS"/>
    <x v="0"/>
    <x v="5"/>
    <x v="24"/>
    <n v="1"/>
    <m/>
    <m/>
    <n v="20"/>
    <n v="20"/>
    <m/>
    <m/>
    <m/>
    <m/>
    <n v="20"/>
    <m/>
    <m/>
    <x v="24"/>
    <x v="0"/>
    <n v="9.8522167487684734E-2"/>
    <s v="NO"/>
    <m/>
  </r>
  <r>
    <m/>
    <x v="7"/>
    <s v="KBC"/>
    <x v="0"/>
    <x v="5"/>
    <x v="24"/>
    <n v="1"/>
    <m/>
    <m/>
    <n v="60"/>
    <n v="60"/>
    <m/>
    <m/>
    <m/>
    <m/>
    <n v="60"/>
    <m/>
    <m/>
    <x v="24"/>
    <x v="0"/>
    <n v="0.29556650246305421"/>
    <s v="NO"/>
    <m/>
  </r>
  <r>
    <m/>
    <x v="0"/>
    <m/>
    <x v="0"/>
    <x v="5"/>
    <x v="24"/>
    <n v="1"/>
    <m/>
    <m/>
    <n v="50"/>
    <n v="50"/>
    <m/>
    <m/>
    <m/>
    <m/>
    <n v="50"/>
    <m/>
    <m/>
    <x v="24"/>
    <x v="0"/>
    <n v="0.24630541871921183"/>
    <s v="NO"/>
    <m/>
  </r>
  <r>
    <m/>
    <x v="8"/>
    <s v="KMSS"/>
    <x v="0"/>
    <x v="5"/>
    <x v="25"/>
    <n v="1"/>
    <m/>
    <m/>
    <n v="60"/>
    <n v="60"/>
    <m/>
    <m/>
    <m/>
    <m/>
    <n v="60"/>
    <m/>
    <m/>
    <x v="25"/>
    <x v="0"/>
    <n v="0.55045871559633031"/>
    <s v="NO"/>
    <m/>
  </r>
  <r>
    <m/>
    <x v="0"/>
    <s v="KMSS"/>
    <x v="0"/>
    <x v="5"/>
    <x v="25"/>
    <n v="1"/>
    <m/>
    <m/>
    <n v="20"/>
    <n v="20"/>
    <m/>
    <m/>
    <m/>
    <m/>
    <n v="20"/>
    <m/>
    <m/>
    <x v="25"/>
    <x v="0"/>
    <n v="0.1834862385321101"/>
    <s v="NO"/>
    <m/>
  </r>
  <r>
    <d v="2014-12-01T00:00:00"/>
    <x v="0"/>
    <s v="KMSS"/>
    <x v="0"/>
    <x v="6"/>
    <x v="26"/>
    <n v="1"/>
    <m/>
    <m/>
    <n v="278"/>
    <n v="278"/>
    <m/>
    <m/>
    <m/>
    <m/>
    <n v="278"/>
    <m/>
    <m/>
    <x v="26"/>
    <x v="0"/>
    <n v="0.1640117994100295"/>
    <s v="NO"/>
    <m/>
  </r>
  <r>
    <d v="2016-02-16T00:00:00"/>
    <x v="0"/>
    <s v="KMSS"/>
    <x v="0"/>
    <x v="6"/>
    <x v="26"/>
    <n v="1"/>
    <m/>
    <m/>
    <m/>
    <m/>
    <m/>
    <m/>
    <m/>
    <m/>
    <n v="0"/>
    <n v="220"/>
    <n v="220"/>
    <x v="26"/>
    <x v="0"/>
    <n v="0"/>
    <s v="NO"/>
    <m/>
  </r>
  <r>
    <d v="2016-02-22T00:00:00"/>
    <x v="4"/>
    <m/>
    <x v="0"/>
    <x v="6"/>
    <x v="26"/>
    <n v="1"/>
    <m/>
    <m/>
    <n v="118"/>
    <n v="118"/>
    <m/>
    <m/>
    <m/>
    <m/>
    <n v="0"/>
    <m/>
    <m/>
    <x v="26"/>
    <x v="0"/>
    <n v="0"/>
    <s v="YES"/>
    <m/>
  </r>
  <r>
    <m/>
    <x v="4"/>
    <s v="KMSS"/>
    <x v="0"/>
    <x v="6"/>
    <x v="26"/>
    <n v="1"/>
    <m/>
    <m/>
    <n v="700"/>
    <n v="700"/>
    <m/>
    <m/>
    <m/>
    <m/>
    <n v="700"/>
    <m/>
    <m/>
    <x v="26"/>
    <x v="0"/>
    <n v="0.41297935103244837"/>
    <s v="NO"/>
    <m/>
  </r>
  <r>
    <m/>
    <x v="0"/>
    <s v="KBSS"/>
    <x v="0"/>
    <x v="6"/>
    <x v="26"/>
    <n v="1"/>
    <m/>
    <m/>
    <n v="217"/>
    <n v="217"/>
    <m/>
    <m/>
    <m/>
    <m/>
    <n v="217"/>
    <m/>
    <m/>
    <x v="26"/>
    <x v="0"/>
    <n v="0.12802359882005901"/>
    <s v="NO"/>
    <m/>
  </r>
  <r>
    <m/>
    <x v="9"/>
    <s v="MDCG"/>
    <x v="1"/>
    <x v="8"/>
    <x v="27"/>
    <n v="1"/>
    <m/>
    <m/>
    <n v="121"/>
    <n v="121"/>
    <m/>
    <m/>
    <m/>
    <m/>
    <n v="121"/>
    <m/>
    <m/>
    <x v="27"/>
    <x v="0"/>
    <n v="1.3908045977011494"/>
    <s v="NO"/>
    <m/>
  </r>
  <r>
    <m/>
    <x v="0"/>
    <s v="KBC"/>
    <x v="0"/>
    <x v="0"/>
    <x v="28"/>
    <n v="1"/>
    <m/>
    <m/>
    <n v="50"/>
    <n v="50"/>
    <m/>
    <m/>
    <m/>
    <m/>
    <n v="50"/>
    <m/>
    <m/>
    <x v="28"/>
    <x v="0"/>
    <n v="1"/>
    <s v="NO"/>
    <m/>
  </r>
  <r>
    <m/>
    <x v="5"/>
    <m/>
    <x v="1"/>
    <x v="8"/>
    <x v="29"/>
    <n v="1"/>
    <m/>
    <m/>
    <n v="80"/>
    <n v="80"/>
    <m/>
    <m/>
    <m/>
    <m/>
    <n v="80"/>
    <m/>
    <m/>
    <x v="29"/>
    <x v="0"/>
    <n v="1.25"/>
    <s v="NO"/>
    <m/>
  </r>
  <r>
    <m/>
    <x v="5"/>
    <m/>
    <x v="1"/>
    <x v="8"/>
    <x v="30"/>
    <n v="1"/>
    <m/>
    <m/>
    <n v="48"/>
    <n v="48"/>
    <m/>
    <m/>
    <m/>
    <m/>
    <n v="48"/>
    <m/>
    <m/>
    <x v="30"/>
    <x v="0"/>
    <n v="1.5483870967741935"/>
    <s v="NO"/>
    <m/>
  </r>
  <r>
    <m/>
    <x v="0"/>
    <s v="KBC"/>
    <x v="0"/>
    <x v="5"/>
    <x v="31"/>
    <n v="1"/>
    <m/>
    <m/>
    <n v="5"/>
    <n v="5"/>
    <m/>
    <m/>
    <m/>
    <m/>
    <n v="5"/>
    <m/>
    <m/>
    <x v="31"/>
    <x v="0"/>
    <n v="0.1111111111111111"/>
    <s v="NO"/>
    <m/>
  </r>
  <r>
    <m/>
    <x v="0"/>
    <s v="KBC"/>
    <x v="0"/>
    <x v="9"/>
    <x v="32"/>
    <n v="1"/>
    <m/>
    <m/>
    <n v="15"/>
    <n v="15"/>
    <m/>
    <m/>
    <m/>
    <m/>
    <n v="15"/>
    <m/>
    <m/>
    <x v="32"/>
    <x v="0"/>
    <n v="0.9375"/>
    <s v="NO"/>
    <m/>
  </r>
  <r>
    <d v="2013-12-01T00:00:00"/>
    <x v="0"/>
    <s v="KBSS"/>
    <x v="0"/>
    <x v="3"/>
    <x v="33"/>
    <n v="1"/>
    <m/>
    <m/>
    <n v="60"/>
    <n v="60"/>
    <m/>
    <m/>
    <m/>
    <m/>
    <n v="60"/>
    <m/>
    <m/>
    <x v="33"/>
    <x v="1"/>
    <s v=""/>
    <s v="NO"/>
    <m/>
  </r>
  <r>
    <m/>
    <x v="8"/>
    <s v="KBSS"/>
    <x v="0"/>
    <x v="3"/>
    <x v="33"/>
    <n v="1"/>
    <m/>
    <m/>
    <n v="100"/>
    <n v="100"/>
    <m/>
    <m/>
    <m/>
    <m/>
    <n v="100"/>
    <m/>
    <m/>
    <x v="33"/>
    <x v="1"/>
    <s v=""/>
    <s v="NO"/>
    <m/>
  </r>
  <r>
    <d v="2014-12-01T00:00:00"/>
    <x v="0"/>
    <s v="KBC"/>
    <x v="0"/>
    <x v="3"/>
    <x v="34"/>
    <n v="1"/>
    <m/>
    <m/>
    <n v="118"/>
    <n v="118"/>
    <m/>
    <m/>
    <m/>
    <m/>
    <n v="118"/>
    <m/>
    <m/>
    <x v="34"/>
    <x v="0"/>
    <n v="0.21651376146788992"/>
    <s v="NO"/>
    <m/>
  </r>
  <r>
    <m/>
    <x v="2"/>
    <m/>
    <x v="0"/>
    <x v="3"/>
    <x v="34"/>
    <n v="1"/>
    <m/>
    <m/>
    <n v="26"/>
    <n v="26"/>
    <m/>
    <m/>
    <m/>
    <m/>
    <n v="26"/>
    <m/>
    <m/>
    <x v="34"/>
    <x v="0"/>
    <n v="4.7706422018348627E-2"/>
    <s v="NO"/>
    <m/>
  </r>
  <r>
    <m/>
    <x v="0"/>
    <s v="KBSS"/>
    <x v="0"/>
    <x v="3"/>
    <x v="34"/>
    <n v="1"/>
    <m/>
    <m/>
    <n v="350"/>
    <n v="350"/>
    <m/>
    <m/>
    <m/>
    <m/>
    <n v="350"/>
    <m/>
    <m/>
    <x v="34"/>
    <x v="0"/>
    <n v="0.64220183486238536"/>
    <s v="NO"/>
    <m/>
  </r>
  <r>
    <m/>
    <x v="0"/>
    <m/>
    <x v="0"/>
    <x v="3"/>
    <x v="34"/>
    <n v="1"/>
    <m/>
    <m/>
    <n v="150"/>
    <m/>
    <m/>
    <m/>
    <m/>
    <m/>
    <n v="0"/>
    <m/>
    <m/>
    <x v="34"/>
    <x v="0"/>
    <n v="0"/>
    <s v="NO"/>
    <m/>
  </r>
  <r>
    <m/>
    <x v="6"/>
    <s v="KBC"/>
    <x v="0"/>
    <x v="5"/>
    <x v="35"/>
    <n v="1"/>
    <m/>
    <m/>
    <n v="9"/>
    <n v="9"/>
    <m/>
    <m/>
    <m/>
    <m/>
    <n v="9"/>
    <m/>
    <m/>
    <x v="35"/>
    <x v="0"/>
    <n v="8.3333333333333329E-2"/>
    <s v="NO"/>
    <m/>
  </r>
  <r>
    <m/>
    <x v="7"/>
    <s v="KBC"/>
    <x v="0"/>
    <x v="5"/>
    <x v="35"/>
    <n v="1"/>
    <m/>
    <m/>
    <n v="5"/>
    <n v="5"/>
    <m/>
    <m/>
    <m/>
    <m/>
    <n v="5"/>
    <m/>
    <m/>
    <x v="35"/>
    <x v="0"/>
    <n v="4.6296296296296294E-2"/>
    <s v="NO"/>
    <m/>
  </r>
  <r>
    <m/>
    <x v="0"/>
    <s v="KBC"/>
    <x v="0"/>
    <x v="5"/>
    <x v="35"/>
    <n v="1"/>
    <m/>
    <m/>
    <n v="10"/>
    <n v="10"/>
    <m/>
    <m/>
    <m/>
    <m/>
    <n v="10"/>
    <m/>
    <m/>
    <x v="35"/>
    <x v="0"/>
    <n v="9.2592592592592587E-2"/>
    <s v="NO"/>
    <m/>
  </r>
  <r>
    <d v="2016-02-16T00:00:00"/>
    <x v="0"/>
    <s v="KBC"/>
    <x v="0"/>
    <x v="5"/>
    <x v="36"/>
    <n v="1"/>
    <m/>
    <m/>
    <m/>
    <m/>
    <m/>
    <m/>
    <m/>
    <m/>
    <n v="0"/>
    <n v="5"/>
    <n v="5"/>
    <x v="36"/>
    <x v="0"/>
    <n v="0"/>
    <s v="NO"/>
    <m/>
  </r>
  <r>
    <m/>
    <x v="7"/>
    <s v="KBC"/>
    <x v="0"/>
    <x v="5"/>
    <x v="36"/>
    <n v="1"/>
    <m/>
    <m/>
    <n v="60"/>
    <n v="60"/>
    <m/>
    <m/>
    <m/>
    <m/>
    <n v="60"/>
    <m/>
    <m/>
    <x v="36"/>
    <x v="0"/>
    <n v="0.36809815950920244"/>
    <s v="NO"/>
    <m/>
  </r>
  <r>
    <m/>
    <x v="0"/>
    <s v="KBC"/>
    <x v="0"/>
    <x v="5"/>
    <x v="36"/>
    <n v="1"/>
    <m/>
    <m/>
    <n v="60"/>
    <n v="60"/>
    <m/>
    <m/>
    <m/>
    <m/>
    <n v="60"/>
    <m/>
    <m/>
    <x v="36"/>
    <x v="0"/>
    <n v="0.36809815950920244"/>
    <s v="NO"/>
    <m/>
  </r>
  <r>
    <m/>
    <x v="0"/>
    <m/>
    <x v="0"/>
    <x v="5"/>
    <x v="36"/>
    <n v="1"/>
    <m/>
    <m/>
    <n v="5"/>
    <n v="5"/>
    <m/>
    <m/>
    <m/>
    <m/>
    <n v="5"/>
    <m/>
    <m/>
    <x v="36"/>
    <x v="0"/>
    <n v="3.0674846625766871E-2"/>
    <s v="NO"/>
    <m/>
  </r>
  <r>
    <d v="2014-06-01T00:00:00"/>
    <x v="0"/>
    <s v="Shalom"/>
    <x v="0"/>
    <x v="4"/>
    <x v="37"/>
    <n v="1"/>
    <m/>
    <m/>
    <n v="5"/>
    <n v="5"/>
    <m/>
    <m/>
    <m/>
    <m/>
    <n v="5"/>
    <m/>
    <m/>
    <x v="37"/>
    <x v="0"/>
    <n v="3.4722222222222224E-2"/>
    <s v="NO"/>
    <m/>
  </r>
  <r>
    <d v="2014-12-01T00:00:00"/>
    <x v="0"/>
    <s v="Shalom"/>
    <x v="0"/>
    <x v="4"/>
    <x v="37"/>
    <n v="1"/>
    <m/>
    <m/>
    <n v="35"/>
    <n v="35"/>
    <m/>
    <m/>
    <m/>
    <m/>
    <n v="35"/>
    <m/>
    <m/>
    <x v="37"/>
    <x v="0"/>
    <n v="0.24305555555555555"/>
    <s v="NO"/>
    <m/>
  </r>
  <r>
    <m/>
    <x v="0"/>
    <s v="Shalom"/>
    <x v="0"/>
    <x v="4"/>
    <x v="37"/>
    <n v="1"/>
    <m/>
    <m/>
    <n v="33"/>
    <n v="33"/>
    <m/>
    <m/>
    <m/>
    <m/>
    <n v="33"/>
    <m/>
    <m/>
    <x v="37"/>
    <x v="0"/>
    <n v="0.22916666666666666"/>
    <s v="NO"/>
    <m/>
  </r>
  <r>
    <d v="2013-12-01T00:00:00"/>
    <x v="0"/>
    <s v="Shalom"/>
    <x v="0"/>
    <x v="0"/>
    <x v="38"/>
    <n v="1"/>
    <m/>
    <m/>
    <n v="18"/>
    <n v="18"/>
    <m/>
    <m/>
    <m/>
    <m/>
    <n v="18"/>
    <m/>
    <m/>
    <x v="38"/>
    <x v="0"/>
    <n v="0.72"/>
    <s v="NO"/>
    <m/>
  </r>
  <r>
    <d v="2014-06-01T00:00:00"/>
    <x v="0"/>
    <s v="Shalom"/>
    <x v="0"/>
    <x v="0"/>
    <x v="38"/>
    <n v="1"/>
    <m/>
    <m/>
    <n v="2"/>
    <n v="2"/>
    <m/>
    <m/>
    <m/>
    <m/>
    <n v="2"/>
    <m/>
    <m/>
    <x v="38"/>
    <x v="0"/>
    <n v="0.08"/>
    <s v="NO"/>
    <m/>
  </r>
  <r>
    <d v="2014-12-01T00:00:00"/>
    <x v="0"/>
    <s v="Shalom"/>
    <x v="0"/>
    <x v="0"/>
    <x v="38"/>
    <n v="1"/>
    <m/>
    <m/>
    <n v="5"/>
    <n v="5"/>
    <m/>
    <m/>
    <m/>
    <m/>
    <n v="5"/>
    <m/>
    <m/>
    <x v="38"/>
    <x v="0"/>
    <n v="0.2"/>
    <s v="NO"/>
    <m/>
  </r>
  <r>
    <d v="2014-12-01T00:00:00"/>
    <x v="0"/>
    <s v="Shalom"/>
    <x v="0"/>
    <x v="0"/>
    <x v="39"/>
    <n v="1"/>
    <m/>
    <m/>
    <n v="15"/>
    <n v="15"/>
    <m/>
    <m/>
    <m/>
    <m/>
    <n v="15"/>
    <m/>
    <m/>
    <x v="39"/>
    <x v="0"/>
    <n v="1"/>
    <s v="NO"/>
    <m/>
  </r>
  <r>
    <d v="2013-12-01T00:00:00"/>
    <x v="0"/>
    <s v="Shalom"/>
    <x v="0"/>
    <x v="1"/>
    <x v="40"/>
    <n v="1"/>
    <m/>
    <m/>
    <n v="10"/>
    <n v="10"/>
    <m/>
    <m/>
    <m/>
    <m/>
    <n v="10"/>
    <m/>
    <m/>
    <x v="40"/>
    <x v="0"/>
    <n v="8.6206896551724144E-2"/>
    <s v="NO"/>
    <m/>
  </r>
  <r>
    <d v="2014-12-01T00:00:00"/>
    <x v="0"/>
    <s v="Shalom"/>
    <x v="0"/>
    <x v="1"/>
    <x v="40"/>
    <n v="1"/>
    <m/>
    <m/>
    <n v="15"/>
    <n v="15"/>
    <m/>
    <m/>
    <m/>
    <m/>
    <n v="15"/>
    <n v="8"/>
    <m/>
    <x v="40"/>
    <x v="0"/>
    <n v="0.12931034482758622"/>
    <s v="NO"/>
    <m/>
  </r>
  <r>
    <d v="2016-02-16T00:00:00"/>
    <x v="0"/>
    <s v="Shalom"/>
    <x v="0"/>
    <x v="1"/>
    <x v="40"/>
    <n v="1"/>
    <m/>
    <m/>
    <n v="15"/>
    <n v="15"/>
    <m/>
    <m/>
    <m/>
    <m/>
    <n v="15"/>
    <m/>
    <m/>
    <x v="40"/>
    <x v="0"/>
    <n v="0.12931034482758622"/>
    <s v="NO"/>
    <m/>
  </r>
  <r>
    <m/>
    <x v="5"/>
    <m/>
    <x v="0"/>
    <x v="1"/>
    <x v="40"/>
    <n v="1"/>
    <m/>
    <m/>
    <n v="12"/>
    <n v="12"/>
    <m/>
    <m/>
    <m/>
    <m/>
    <n v="12"/>
    <m/>
    <m/>
    <x v="40"/>
    <x v="0"/>
    <n v="0.10344827586206896"/>
    <s v="NO"/>
    <m/>
  </r>
  <r>
    <m/>
    <x v="0"/>
    <s v="Metta"/>
    <x v="0"/>
    <x v="1"/>
    <x v="40"/>
    <n v="1"/>
    <m/>
    <m/>
    <n v="30"/>
    <n v="30"/>
    <m/>
    <m/>
    <m/>
    <m/>
    <n v="30"/>
    <m/>
    <m/>
    <x v="40"/>
    <x v="0"/>
    <n v="0.25862068965517243"/>
    <s v="NO"/>
    <m/>
  </r>
  <r>
    <m/>
    <x v="0"/>
    <m/>
    <x v="0"/>
    <x v="1"/>
    <x v="40"/>
    <n v="1"/>
    <m/>
    <m/>
    <n v="15"/>
    <n v="15"/>
    <m/>
    <m/>
    <m/>
    <m/>
    <n v="15"/>
    <m/>
    <m/>
    <x v="40"/>
    <x v="0"/>
    <n v="0.12931034482758622"/>
    <s v="NO"/>
    <m/>
  </r>
  <r>
    <m/>
    <x v="0"/>
    <s v="Shalom"/>
    <x v="0"/>
    <x v="1"/>
    <x v="40"/>
    <n v="1"/>
    <m/>
    <m/>
    <n v="5"/>
    <n v="5"/>
    <m/>
    <m/>
    <m/>
    <m/>
    <n v="5"/>
    <m/>
    <m/>
    <x v="40"/>
    <x v="0"/>
    <n v="4.3103448275862072E-2"/>
    <s v="NO"/>
    <m/>
  </r>
  <r>
    <m/>
    <x v="0"/>
    <m/>
    <x v="0"/>
    <x v="6"/>
    <x v="41"/>
    <n v="1"/>
    <m/>
    <m/>
    <n v="12"/>
    <n v="12"/>
    <m/>
    <m/>
    <m/>
    <m/>
    <n v="12"/>
    <m/>
    <m/>
    <x v="41"/>
    <x v="0"/>
    <n v="0.41379310344827586"/>
    <s v="NO"/>
    <m/>
  </r>
  <r>
    <m/>
    <x v="0"/>
    <s v="KBC"/>
    <x v="0"/>
    <x v="6"/>
    <x v="41"/>
    <n v="1"/>
    <m/>
    <m/>
    <n v="27"/>
    <n v="27"/>
    <m/>
    <m/>
    <m/>
    <m/>
    <n v="27"/>
    <m/>
    <m/>
    <x v="41"/>
    <x v="0"/>
    <n v="0.93103448275862066"/>
    <s v="NO"/>
    <m/>
  </r>
  <r>
    <d v="2014-12-01T00:00:00"/>
    <x v="0"/>
    <s v="KBC"/>
    <x v="0"/>
    <x v="6"/>
    <x v="42"/>
    <n v="1"/>
    <m/>
    <m/>
    <n v="21"/>
    <n v="21"/>
    <m/>
    <m/>
    <m/>
    <m/>
    <n v="21"/>
    <m/>
    <m/>
    <x v="42"/>
    <x v="0"/>
    <n v="0.16935483870967741"/>
    <s v="NO"/>
    <m/>
  </r>
  <r>
    <m/>
    <x v="8"/>
    <m/>
    <x v="0"/>
    <x v="6"/>
    <x v="42"/>
    <n v="1"/>
    <m/>
    <m/>
    <n v="40"/>
    <n v="40"/>
    <m/>
    <m/>
    <m/>
    <m/>
    <n v="40"/>
    <m/>
    <m/>
    <x v="42"/>
    <x v="0"/>
    <n v="0.32258064516129031"/>
    <s v="NO"/>
    <m/>
  </r>
  <r>
    <m/>
    <x v="0"/>
    <m/>
    <x v="0"/>
    <x v="6"/>
    <x v="42"/>
    <n v="1"/>
    <m/>
    <m/>
    <n v="6"/>
    <n v="6"/>
    <m/>
    <m/>
    <m/>
    <m/>
    <n v="6"/>
    <m/>
    <m/>
    <x v="42"/>
    <x v="0"/>
    <n v="4.8387096774193547E-2"/>
    <s v="NO"/>
    <m/>
  </r>
  <r>
    <d v="2014-06-01T00:00:00"/>
    <x v="0"/>
    <s v="KBC"/>
    <x v="0"/>
    <x v="6"/>
    <x v="43"/>
    <n v="1"/>
    <m/>
    <m/>
    <n v="25"/>
    <n v="25"/>
    <m/>
    <m/>
    <m/>
    <m/>
    <n v="25"/>
    <m/>
    <m/>
    <x v="43"/>
    <x v="0"/>
    <n v="0.13297872340425532"/>
    <s v="NO"/>
    <m/>
  </r>
  <r>
    <m/>
    <x v="0"/>
    <m/>
    <x v="0"/>
    <x v="6"/>
    <x v="43"/>
    <n v="1"/>
    <m/>
    <m/>
    <n v="5"/>
    <n v="57"/>
    <m/>
    <m/>
    <m/>
    <m/>
    <n v="57"/>
    <m/>
    <m/>
    <x v="43"/>
    <x v="0"/>
    <n v="0.30319148936170215"/>
    <s v="NO"/>
    <m/>
  </r>
  <r>
    <m/>
    <x v="8"/>
    <s v="KBSS"/>
    <x v="0"/>
    <x v="3"/>
    <x v="44"/>
    <n v="1"/>
    <m/>
    <m/>
    <n v="100"/>
    <n v="100"/>
    <m/>
    <m/>
    <m/>
    <m/>
    <n v="100"/>
    <m/>
    <m/>
    <x v="44"/>
    <x v="1"/>
    <s v=""/>
    <s v="NO"/>
    <m/>
  </r>
  <r>
    <d v="2016-02-16T00:00:00"/>
    <x v="10"/>
    <m/>
    <x v="0"/>
    <x v="10"/>
    <x v="45"/>
    <n v="1"/>
    <m/>
    <m/>
    <n v="60"/>
    <n v="60"/>
    <m/>
    <m/>
    <m/>
    <m/>
    <n v="60"/>
    <m/>
    <m/>
    <x v="45"/>
    <x v="0"/>
    <n v="1.0344827586206897"/>
    <s v="NO"/>
    <m/>
  </r>
  <r>
    <m/>
    <x v="0"/>
    <s v="Shalom"/>
    <x v="0"/>
    <x v="2"/>
    <x v="46"/>
    <n v="1"/>
    <m/>
    <m/>
    <n v="25"/>
    <n v="25"/>
    <m/>
    <m/>
    <m/>
    <m/>
    <n v="25"/>
    <m/>
    <m/>
    <x v="46"/>
    <x v="0"/>
    <n v="1"/>
    <s v="NO"/>
    <m/>
  </r>
  <r>
    <m/>
    <x v="4"/>
    <s v="KMSS"/>
    <x v="0"/>
    <x v="2"/>
    <x v="47"/>
    <n v="1"/>
    <m/>
    <m/>
    <n v="604"/>
    <n v="604"/>
    <m/>
    <m/>
    <m/>
    <m/>
    <n v="604"/>
    <m/>
    <m/>
    <x v="47"/>
    <x v="0"/>
    <n v="0.99342105263157898"/>
    <s v="NO"/>
    <m/>
  </r>
  <r>
    <m/>
    <x v="3"/>
    <m/>
    <x v="0"/>
    <x v="6"/>
    <x v="48"/>
    <n v="1"/>
    <m/>
    <m/>
    <n v="92"/>
    <n v="92"/>
    <m/>
    <m/>
    <m/>
    <m/>
    <n v="92"/>
    <m/>
    <m/>
    <x v="48"/>
    <x v="0"/>
    <n v="46"/>
    <s v="NO"/>
    <m/>
  </r>
  <r>
    <d v="2013-12-01T00:00:00"/>
    <x v="0"/>
    <s v="Shalom"/>
    <x v="0"/>
    <x v="2"/>
    <x v="49"/>
    <n v="1"/>
    <m/>
    <m/>
    <n v="35"/>
    <n v="35"/>
    <m/>
    <m/>
    <m/>
    <m/>
    <n v="35"/>
    <m/>
    <m/>
    <x v="49"/>
    <x v="0"/>
    <n v="0.25925925925925924"/>
    <s v="NO"/>
    <m/>
  </r>
  <r>
    <m/>
    <x v="0"/>
    <s v="Shalom"/>
    <x v="0"/>
    <x v="2"/>
    <x v="49"/>
    <n v="1"/>
    <m/>
    <m/>
    <n v="54"/>
    <n v="54"/>
    <m/>
    <m/>
    <m/>
    <m/>
    <n v="54"/>
    <m/>
    <m/>
    <x v="49"/>
    <x v="0"/>
    <n v="0.4"/>
    <s v="NO"/>
    <m/>
  </r>
  <r>
    <m/>
    <x v="11"/>
    <m/>
    <x v="0"/>
    <x v="2"/>
    <x v="49"/>
    <n v="1"/>
    <m/>
    <m/>
    <n v="18"/>
    <n v="18"/>
    <m/>
    <m/>
    <m/>
    <m/>
    <n v="18"/>
    <m/>
    <m/>
    <x v="49"/>
    <x v="0"/>
    <n v="0.13333333333333333"/>
    <s v="NO"/>
    <m/>
  </r>
  <r>
    <m/>
    <x v="4"/>
    <s v="KMSS"/>
    <x v="0"/>
    <x v="2"/>
    <x v="50"/>
    <n v="1"/>
    <m/>
    <m/>
    <n v="12"/>
    <n v="12"/>
    <m/>
    <m/>
    <m/>
    <m/>
    <n v="12"/>
    <m/>
    <m/>
    <x v="50"/>
    <x v="0"/>
    <n v="5.2863436123348019E-2"/>
    <s v="NO"/>
    <m/>
  </r>
  <r>
    <m/>
    <x v="0"/>
    <s v="KMSS"/>
    <x v="0"/>
    <x v="2"/>
    <x v="50"/>
    <n v="1"/>
    <m/>
    <m/>
    <n v="78"/>
    <n v="78"/>
    <m/>
    <m/>
    <m/>
    <m/>
    <n v="78"/>
    <n v="138"/>
    <m/>
    <x v="50"/>
    <x v="0"/>
    <n v="0.34361233480176212"/>
    <s v="NO"/>
    <m/>
  </r>
  <r>
    <m/>
    <x v="0"/>
    <m/>
    <x v="0"/>
    <x v="2"/>
    <x v="50"/>
    <n v="1"/>
    <m/>
    <m/>
    <n v="120"/>
    <n v="120"/>
    <m/>
    <m/>
    <m/>
    <m/>
    <n v="120"/>
    <m/>
    <m/>
    <x v="50"/>
    <x v="0"/>
    <n v="0.52863436123348018"/>
    <s v="NO"/>
    <m/>
  </r>
  <r>
    <m/>
    <x v="7"/>
    <s v="KBC"/>
    <x v="0"/>
    <x v="2"/>
    <x v="51"/>
    <n v="1"/>
    <m/>
    <m/>
    <n v="50"/>
    <n v="50"/>
    <m/>
    <m/>
    <m/>
    <m/>
    <n v="50"/>
    <m/>
    <m/>
    <x v="51"/>
    <x v="0"/>
    <n v="0.11682242990654206"/>
    <s v="NO"/>
    <m/>
  </r>
  <r>
    <m/>
    <x v="0"/>
    <s v="KBC"/>
    <x v="0"/>
    <x v="2"/>
    <x v="51"/>
    <n v="1"/>
    <m/>
    <m/>
    <n v="400"/>
    <n v="400"/>
    <m/>
    <m/>
    <m/>
    <m/>
    <n v="400"/>
    <m/>
    <m/>
    <x v="51"/>
    <x v="0"/>
    <n v="0.93457943925233644"/>
    <s v="NO"/>
    <m/>
  </r>
  <r>
    <m/>
    <x v="12"/>
    <s v="KBC"/>
    <x v="0"/>
    <x v="2"/>
    <x v="51"/>
    <n v="1"/>
    <m/>
    <m/>
    <n v="10"/>
    <n v="10"/>
    <m/>
    <m/>
    <m/>
    <m/>
    <n v="10"/>
    <m/>
    <m/>
    <x v="51"/>
    <x v="0"/>
    <n v="2.336448598130841E-2"/>
    <s v="NO"/>
    <m/>
  </r>
  <r>
    <m/>
    <x v="0"/>
    <s v="KBC"/>
    <x v="0"/>
    <x v="2"/>
    <x v="52"/>
    <n v="1"/>
    <m/>
    <m/>
    <n v="30"/>
    <n v="30"/>
    <m/>
    <m/>
    <m/>
    <m/>
    <n v="30"/>
    <m/>
    <m/>
    <x v="52"/>
    <x v="0"/>
    <n v="0.625"/>
    <s v="NO"/>
    <m/>
  </r>
  <r>
    <m/>
    <x v="11"/>
    <m/>
    <x v="0"/>
    <x v="2"/>
    <x v="52"/>
    <n v="1"/>
    <m/>
    <m/>
    <n v="10"/>
    <n v="10"/>
    <m/>
    <m/>
    <m/>
    <m/>
    <n v="10"/>
    <m/>
    <m/>
    <x v="52"/>
    <x v="0"/>
    <n v="0.20833333333333334"/>
    <s v="NO"/>
    <m/>
  </r>
  <r>
    <d v="2014-06-01T00:00:00"/>
    <x v="0"/>
    <s v="KBC"/>
    <x v="0"/>
    <x v="3"/>
    <x v="53"/>
    <n v="1"/>
    <m/>
    <m/>
    <n v="60"/>
    <n v="60"/>
    <m/>
    <m/>
    <m/>
    <m/>
    <n v="60"/>
    <m/>
    <m/>
    <x v="53"/>
    <x v="0"/>
    <n v="0.16129032258064516"/>
    <s v="NO"/>
    <m/>
  </r>
  <r>
    <m/>
    <x v="6"/>
    <s v="KBC"/>
    <x v="0"/>
    <x v="3"/>
    <x v="53"/>
    <n v="1"/>
    <m/>
    <m/>
    <n v="20"/>
    <n v="20"/>
    <m/>
    <m/>
    <m/>
    <m/>
    <n v="20"/>
    <m/>
    <m/>
    <x v="53"/>
    <x v="0"/>
    <n v="5.3763440860215055E-2"/>
    <s v="NO"/>
    <m/>
  </r>
  <r>
    <m/>
    <x v="4"/>
    <m/>
    <x v="0"/>
    <x v="3"/>
    <x v="53"/>
    <n v="1"/>
    <m/>
    <m/>
    <n v="144"/>
    <n v="144"/>
    <m/>
    <m/>
    <m/>
    <m/>
    <n v="144"/>
    <m/>
    <m/>
    <x v="53"/>
    <x v="0"/>
    <n v="0.38709677419354838"/>
    <s v="NO"/>
    <m/>
  </r>
  <r>
    <m/>
    <x v="13"/>
    <m/>
    <x v="0"/>
    <x v="3"/>
    <x v="54"/>
    <n v="1"/>
    <m/>
    <m/>
    <n v="20"/>
    <n v="20"/>
    <m/>
    <m/>
    <m/>
    <m/>
    <n v="20"/>
    <m/>
    <m/>
    <x v="54"/>
    <x v="0"/>
    <n v="0.16260162601626016"/>
    <s v="NO"/>
    <m/>
  </r>
  <r>
    <m/>
    <x v="3"/>
    <m/>
    <x v="0"/>
    <x v="3"/>
    <x v="54"/>
    <n v="1"/>
    <m/>
    <m/>
    <n v="30"/>
    <n v="30"/>
    <m/>
    <m/>
    <m/>
    <m/>
    <n v="30"/>
    <m/>
    <m/>
    <x v="54"/>
    <x v="0"/>
    <n v="0.24390243902439024"/>
    <s v="NO"/>
    <m/>
  </r>
  <r>
    <m/>
    <x v="0"/>
    <s v="KBC"/>
    <x v="0"/>
    <x v="5"/>
    <x v="55"/>
    <n v="1"/>
    <m/>
    <m/>
    <n v="20"/>
    <n v="20"/>
    <m/>
    <m/>
    <m/>
    <m/>
    <n v="20"/>
    <m/>
    <m/>
    <x v="55"/>
    <x v="0"/>
    <n v="0.27777777777777779"/>
    <s v="NO"/>
    <m/>
  </r>
  <r>
    <d v="2014-06-19T00:00:00"/>
    <x v="0"/>
    <s v="KBSS"/>
    <x v="0"/>
    <x v="6"/>
    <x v="56"/>
    <n v="1"/>
    <m/>
    <m/>
    <n v="80"/>
    <n v="80"/>
    <m/>
    <m/>
    <m/>
    <m/>
    <n v="80"/>
    <m/>
    <m/>
    <x v="56"/>
    <x v="0"/>
    <n v="0.3065134099616858"/>
    <s v="NO"/>
    <m/>
  </r>
  <r>
    <m/>
    <x v="5"/>
    <m/>
    <x v="0"/>
    <x v="6"/>
    <x v="56"/>
    <n v="1"/>
    <m/>
    <m/>
    <n v="18"/>
    <n v="18"/>
    <m/>
    <m/>
    <m/>
    <m/>
    <n v="18"/>
    <m/>
    <m/>
    <x v="56"/>
    <x v="0"/>
    <n v="6.8965517241379309E-2"/>
    <s v="NO"/>
    <m/>
  </r>
  <r>
    <m/>
    <x v="0"/>
    <m/>
    <x v="0"/>
    <x v="6"/>
    <x v="56"/>
    <n v="1"/>
    <m/>
    <m/>
    <n v="55"/>
    <n v="55"/>
    <m/>
    <m/>
    <m/>
    <m/>
    <n v="55"/>
    <m/>
    <m/>
    <x v="56"/>
    <x v="0"/>
    <n v="0.21072796934865901"/>
    <s v="NO"/>
    <m/>
  </r>
  <r>
    <m/>
    <x v="0"/>
    <s v="KBC"/>
    <x v="0"/>
    <x v="5"/>
    <x v="57"/>
    <n v="1"/>
    <m/>
    <m/>
    <n v="60"/>
    <n v="60"/>
    <m/>
    <m/>
    <m/>
    <m/>
    <n v="60"/>
    <m/>
    <m/>
    <x v="57"/>
    <x v="0"/>
    <n v="0.625"/>
    <s v="NO"/>
    <m/>
  </r>
  <r>
    <m/>
    <x v="0"/>
    <m/>
    <x v="0"/>
    <x v="5"/>
    <x v="57"/>
    <n v="1"/>
    <m/>
    <m/>
    <n v="20"/>
    <n v="20"/>
    <m/>
    <m/>
    <m/>
    <m/>
    <n v="20"/>
    <m/>
    <m/>
    <x v="57"/>
    <x v="0"/>
    <n v="0.20833333333333334"/>
    <s v="NO"/>
    <m/>
  </r>
  <r>
    <d v="2014-04-20T00:00:00"/>
    <x v="0"/>
    <m/>
    <x v="0"/>
    <x v="3"/>
    <x v="58"/>
    <n v="1"/>
    <n v="200"/>
    <n v="200"/>
    <m/>
    <m/>
    <m/>
    <m/>
    <m/>
    <m/>
    <n v="0"/>
    <m/>
    <m/>
    <x v="58"/>
    <x v="1"/>
    <s v=""/>
    <s v="NO"/>
    <m/>
  </r>
  <r>
    <m/>
    <x v="4"/>
    <s v="KBC"/>
    <x v="0"/>
    <x v="3"/>
    <x v="59"/>
    <n v="1"/>
    <m/>
    <m/>
    <n v="39"/>
    <n v="39"/>
    <m/>
    <m/>
    <m/>
    <m/>
    <n v="39"/>
    <m/>
    <m/>
    <x v="59"/>
    <x v="0"/>
    <n v="0.34210526315789475"/>
    <s v="NO"/>
    <m/>
  </r>
  <r>
    <m/>
    <x v="5"/>
    <m/>
    <x v="0"/>
    <x v="3"/>
    <x v="59"/>
    <n v="1"/>
    <m/>
    <m/>
    <n v="15"/>
    <n v="15"/>
    <m/>
    <m/>
    <m/>
    <m/>
    <n v="15"/>
    <m/>
    <m/>
    <x v="59"/>
    <x v="0"/>
    <n v="0.13157894736842105"/>
    <s v="NO"/>
    <m/>
  </r>
  <r>
    <m/>
    <x v="0"/>
    <s v="KBC"/>
    <x v="0"/>
    <x v="3"/>
    <x v="59"/>
    <n v="1"/>
    <m/>
    <m/>
    <n v="20"/>
    <n v="20"/>
    <m/>
    <m/>
    <m/>
    <m/>
    <n v="20"/>
    <m/>
    <m/>
    <x v="59"/>
    <x v="0"/>
    <n v="0.17543859649122806"/>
    <s v="NO"/>
    <m/>
  </r>
  <r>
    <d v="2014-04-19T00:00:00"/>
    <x v="0"/>
    <m/>
    <x v="0"/>
    <x v="3"/>
    <x v="60"/>
    <n v="1"/>
    <n v="200"/>
    <n v="200"/>
    <m/>
    <m/>
    <m/>
    <m/>
    <m/>
    <m/>
    <n v="0"/>
    <m/>
    <m/>
    <x v="60"/>
    <x v="0"/>
    <n v="0"/>
    <s v="NO"/>
    <m/>
  </r>
  <r>
    <m/>
    <x v="0"/>
    <s v="KBSS"/>
    <x v="0"/>
    <x v="3"/>
    <x v="60"/>
    <n v="1"/>
    <m/>
    <m/>
    <n v="200"/>
    <n v="200"/>
    <m/>
    <m/>
    <m/>
    <m/>
    <n v="200"/>
    <m/>
    <m/>
    <x v="60"/>
    <x v="0"/>
    <n v="0.4366812227074236"/>
    <s v="NO"/>
    <m/>
  </r>
  <r>
    <m/>
    <x v="5"/>
    <m/>
    <x v="0"/>
    <x v="6"/>
    <x v="61"/>
    <n v="1"/>
    <m/>
    <m/>
    <n v="6"/>
    <n v="6"/>
    <m/>
    <m/>
    <m/>
    <m/>
    <n v="6"/>
    <m/>
    <m/>
    <x v="61"/>
    <x v="1"/>
    <s v=""/>
    <s v="NO"/>
    <m/>
  </r>
  <r>
    <m/>
    <x v="0"/>
    <s v="Shalom"/>
    <x v="0"/>
    <x v="6"/>
    <x v="61"/>
    <n v="1"/>
    <m/>
    <m/>
    <m/>
    <m/>
    <m/>
    <m/>
    <m/>
    <m/>
    <n v="0"/>
    <n v="5"/>
    <m/>
    <x v="61"/>
    <x v="1"/>
    <s v=""/>
    <s v="NO"/>
    <m/>
  </r>
  <r>
    <d v="2013-12-01T00:00:00"/>
    <x v="0"/>
    <s v="KBC"/>
    <x v="1"/>
    <x v="7"/>
    <x v="62"/>
    <n v="1"/>
    <m/>
    <m/>
    <n v="10"/>
    <n v="10"/>
    <m/>
    <m/>
    <m/>
    <m/>
    <n v="10"/>
    <m/>
    <m/>
    <x v="62"/>
    <x v="0"/>
    <n v="0.26315789473684209"/>
    <s v="NO"/>
    <m/>
  </r>
  <r>
    <m/>
    <x v="0"/>
    <s v="KBC"/>
    <x v="1"/>
    <x v="7"/>
    <x v="62"/>
    <n v="1"/>
    <m/>
    <m/>
    <n v="30"/>
    <n v="30"/>
    <m/>
    <m/>
    <m/>
    <m/>
    <n v="30"/>
    <m/>
    <m/>
    <x v="62"/>
    <x v="0"/>
    <n v="0.78947368421052633"/>
    <s v="NO"/>
    <m/>
  </r>
  <r>
    <d v="2013-12-01T00:00:00"/>
    <x v="0"/>
    <s v="KMSS"/>
    <x v="1"/>
    <x v="7"/>
    <x v="63"/>
    <n v="1"/>
    <m/>
    <m/>
    <n v="30"/>
    <n v="30"/>
    <m/>
    <m/>
    <m/>
    <m/>
    <n v="30"/>
    <m/>
    <m/>
    <x v="63"/>
    <x v="0"/>
    <n v="0.967741935483871"/>
    <s v="NO"/>
    <m/>
  </r>
  <r>
    <m/>
    <x v="0"/>
    <s v="KBC"/>
    <x v="0"/>
    <x v="9"/>
    <x v="64"/>
    <n v="1"/>
    <m/>
    <m/>
    <n v="10"/>
    <n v="10"/>
    <m/>
    <m/>
    <m/>
    <m/>
    <n v="10"/>
    <m/>
    <m/>
    <x v="64"/>
    <x v="0"/>
    <n v="0.55555555555555558"/>
    <s v="NO"/>
    <m/>
  </r>
  <r>
    <d v="2013-12-01T00:00:00"/>
    <x v="0"/>
    <s v="KBC"/>
    <x v="0"/>
    <x v="3"/>
    <x v="65"/>
    <n v="1"/>
    <m/>
    <m/>
    <n v="20"/>
    <n v="20"/>
    <m/>
    <m/>
    <m/>
    <m/>
    <n v="20"/>
    <m/>
    <m/>
    <x v="65"/>
    <x v="0"/>
    <n v="9.0497737556561084E-2"/>
    <s v="NO"/>
    <m/>
  </r>
  <r>
    <d v="2014-06-01T00:00:00"/>
    <x v="0"/>
    <s v="KBC"/>
    <x v="0"/>
    <x v="3"/>
    <x v="65"/>
    <n v="1"/>
    <m/>
    <m/>
    <n v="15"/>
    <n v="15"/>
    <m/>
    <m/>
    <m/>
    <m/>
    <n v="15"/>
    <m/>
    <m/>
    <x v="65"/>
    <x v="0"/>
    <n v="6.7873303167420809E-2"/>
    <s v="NO"/>
    <m/>
  </r>
  <r>
    <d v="2014-06-19T00:00:00"/>
    <x v="5"/>
    <m/>
    <x v="0"/>
    <x v="3"/>
    <x v="65"/>
    <n v="1"/>
    <m/>
    <m/>
    <n v="56"/>
    <n v="60"/>
    <m/>
    <m/>
    <m/>
    <m/>
    <n v="60"/>
    <m/>
    <m/>
    <x v="65"/>
    <x v="0"/>
    <n v="0.27149321266968324"/>
    <s v="NO"/>
    <m/>
  </r>
  <r>
    <m/>
    <x v="0"/>
    <m/>
    <x v="0"/>
    <x v="3"/>
    <x v="65"/>
    <n v="1"/>
    <m/>
    <m/>
    <n v="41"/>
    <n v="10"/>
    <m/>
    <m/>
    <m/>
    <m/>
    <n v="10"/>
    <m/>
    <m/>
    <x v="65"/>
    <x v="0"/>
    <n v="4.5248868778280542E-2"/>
    <s v="NO"/>
    <m/>
  </r>
  <r>
    <m/>
    <x v="6"/>
    <s v="CC"/>
    <x v="0"/>
    <x v="0"/>
    <x v="66"/>
    <n v="1"/>
    <m/>
    <m/>
    <n v="10"/>
    <n v="10"/>
    <m/>
    <m/>
    <m/>
    <m/>
    <n v="10"/>
    <m/>
    <m/>
    <x v="66"/>
    <x v="1"/>
    <s v=""/>
    <s v="NO"/>
    <m/>
  </r>
  <r>
    <m/>
    <x v="0"/>
    <s v="Shalom"/>
    <x v="0"/>
    <x v="0"/>
    <x v="66"/>
    <n v="1"/>
    <m/>
    <m/>
    <n v="10"/>
    <n v="10"/>
    <m/>
    <m/>
    <m/>
    <m/>
    <n v="10"/>
    <m/>
    <m/>
    <x v="66"/>
    <x v="1"/>
    <s v=""/>
    <s v="NO"/>
    <m/>
  </r>
  <r>
    <d v="2014-06-01T00:00:00"/>
    <x v="0"/>
    <s v="Shalom"/>
    <x v="0"/>
    <x v="5"/>
    <x v="67"/>
    <n v="1"/>
    <m/>
    <m/>
    <n v="5"/>
    <n v="5"/>
    <m/>
    <m/>
    <m/>
    <m/>
    <n v="5"/>
    <m/>
    <m/>
    <x v="67"/>
    <x v="0"/>
    <n v="0.22727272727272727"/>
    <s v="NO"/>
    <m/>
  </r>
  <r>
    <m/>
    <x v="0"/>
    <s v="Shalom"/>
    <x v="0"/>
    <x v="5"/>
    <x v="67"/>
    <n v="1"/>
    <m/>
    <m/>
    <n v="27"/>
    <n v="27"/>
    <m/>
    <m/>
    <m/>
    <m/>
    <n v="27"/>
    <m/>
    <m/>
    <x v="67"/>
    <x v="0"/>
    <n v="1.2272727272727273"/>
    <s v="NO"/>
    <m/>
  </r>
  <r>
    <d v="2013-12-01T00:00:00"/>
    <x v="0"/>
    <s v="Shalom"/>
    <x v="0"/>
    <x v="5"/>
    <x v="68"/>
    <n v="1"/>
    <m/>
    <m/>
    <n v="15"/>
    <n v="15"/>
    <m/>
    <m/>
    <m/>
    <m/>
    <n v="15"/>
    <m/>
    <m/>
    <x v="68"/>
    <x v="0"/>
    <n v="1.0714285714285714"/>
    <s v="NO"/>
    <m/>
  </r>
  <r>
    <m/>
    <x v="0"/>
    <s v="Shalom"/>
    <x v="0"/>
    <x v="5"/>
    <x v="68"/>
    <n v="1"/>
    <m/>
    <m/>
    <n v="4"/>
    <n v="4"/>
    <m/>
    <m/>
    <m/>
    <m/>
    <n v="4"/>
    <m/>
    <m/>
    <x v="68"/>
    <x v="0"/>
    <n v="0.2857142857142857"/>
    <s v="NO"/>
    <m/>
  </r>
  <r>
    <d v="2013-12-01T00:00:00"/>
    <x v="0"/>
    <s v="Shalom"/>
    <x v="0"/>
    <x v="0"/>
    <x v="69"/>
    <n v="1"/>
    <m/>
    <m/>
    <n v="5"/>
    <n v="5"/>
    <m/>
    <m/>
    <m/>
    <m/>
    <n v="5"/>
    <m/>
    <m/>
    <x v="69"/>
    <x v="0"/>
    <n v="1"/>
    <s v="NO"/>
    <m/>
  </r>
  <r>
    <m/>
    <x v="0"/>
    <s v="Shalom"/>
    <x v="0"/>
    <x v="0"/>
    <x v="69"/>
    <n v="1"/>
    <m/>
    <m/>
    <n v="5"/>
    <n v="5"/>
    <m/>
    <m/>
    <m/>
    <m/>
    <n v="5"/>
    <m/>
    <m/>
    <x v="69"/>
    <x v="0"/>
    <n v="1"/>
    <s v="NO"/>
    <m/>
  </r>
  <r>
    <m/>
    <x v="9"/>
    <s v="MDCG"/>
    <x v="1"/>
    <x v="8"/>
    <x v="70"/>
    <n v="1"/>
    <m/>
    <m/>
    <n v="63"/>
    <n v="63"/>
    <m/>
    <m/>
    <m/>
    <m/>
    <n v="63"/>
    <m/>
    <m/>
    <x v="70"/>
    <x v="0"/>
    <n v="0.79746835443037978"/>
    <s v="NO"/>
    <m/>
  </r>
  <r>
    <d v="2013-12-01T00:00:00"/>
    <x v="0"/>
    <m/>
    <x v="0"/>
    <x v="6"/>
    <x v="71"/>
    <n v="1"/>
    <m/>
    <m/>
    <n v="50"/>
    <n v="50"/>
    <m/>
    <m/>
    <m/>
    <m/>
    <n v="50"/>
    <m/>
    <m/>
    <x v="71"/>
    <x v="0"/>
    <n v="0.24154589371980675"/>
    <s v="NO"/>
    <m/>
  </r>
  <r>
    <d v="2014-06-01T00:00:00"/>
    <x v="0"/>
    <s v="KBC"/>
    <x v="0"/>
    <x v="6"/>
    <x v="71"/>
    <n v="1"/>
    <m/>
    <m/>
    <n v="10"/>
    <n v="10"/>
    <m/>
    <m/>
    <m/>
    <m/>
    <n v="10"/>
    <m/>
    <m/>
    <x v="71"/>
    <x v="0"/>
    <n v="4.8309178743961352E-2"/>
    <s v="NO"/>
    <m/>
  </r>
  <r>
    <m/>
    <x v="6"/>
    <s v="Metta"/>
    <x v="0"/>
    <x v="6"/>
    <x v="71"/>
    <n v="1"/>
    <m/>
    <m/>
    <n v="32"/>
    <n v="32"/>
    <m/>
    <m/>
    <m/>
    <m/>
    <n v="32"/>
    <m/>
    <m/>
    <x v="71"/>
    <x v="0"/>
    <n v="0.15458937198067632"/>
    <s v="NO"/>
    <m/>
  </r>
  <r>
    <m/>
    <x v="5"/>
    <m/>
    <x v="0"/>
    <x v="6"/>
    <x v="71"/>
    <n v="1"/>
    <m/>
    <m/>
    <n v="144"/>
    <n v="144"/>
    <m/>
    <m/>
    <m/>
    <m/>
    <n v="144"/>
    <m/>
    <m/>
    <x v="71"/>
    <x v="0"/>
    <n v="0.69565217391304346"/>
    <s v="NO"/>
    <m/>
  </r>
  <r>
    <m/>
    <x v="0"/>
    <s v="KBC"/>
    <x v="0"/>
    <x v="6"/>
    <x v="71"/>
    <n v="1"/>
    <m/>
    <m/>
    <n v="40"/>
    <n v="40"/>
    <m/>
    <m/>
    <m/>
    <m/>
    <n v="40"/>
    <m/>
    <m/>
    <x v="71"/>
    <x v="0"/>
    <n v="0.19323671497584541"/>
    <s v="NO"/>
    <m/>
  </r>
  <r>
    <m/>
    <x v="8"/>
    <s v="KBSS"/>
    <x v="0"/>
    <x v="6"/>
    <x v="72"/>
    <n v="1"/>
    <m/>
    <m/>
    <n v="92"/>
    <n v="92"/>
    <m/>
    <m/>
    <m/>
    <m/>
    <n v="92"/>
    <m/>
    <m/>
    <x v="72"/>
    <x v="1"/>
    <s v=""/>
    <s v="NO"/>
    <m/>
  </r>
  <r>
    <m/>
    <x v="0"/>
    <s v="KBC"/>
    <x v="1"/>
    <x v="11"/>
    <x v="73"/>
    <n v="1"/>
    <m/>
    <m/>
    <n v="10"/>
    <n v="10"/>
    <m/>
    <m/>
    <m/>
    <m/>
    <n v="10"/>
    <m/>
    <m/>
    <x v="73"/>
    <x v="0"/>
    <n v="8.1300813008130079E-2"/>
    <s v="NO"/>
    <m/>
  </r>
  <r>
    <m/>
    <x v="8"/>
    <s v="KBSS"/>
    <x v="0"/>
    <x v="3"/>
    <x v="74"/>
    <n v="1"/>
    <m/>
    <m/>
    <n v="24"/>
    <n v="24"/>
    <m/>
    <m/>
    <m/>
    <m/>
    <n v="24"/>
    <m/>
    <m/>
    <x v="74"/>
    <x v="1"/>
    <s v=""/>
    <s v="NO"/>
    <m/>
  </r>
  <r>
    <d v="2013-12-01T00:00:00"/>
    <x v="0"/>
    <s v="KBC"/>
    <x v="1"/>
    <x v="8"/>
    <x v="75"/>
    <n v="1"/>
    <m/>
    <m/>
    <n v="5"/>
    <n v="5"/>
    <m/>
    <m/>
    <m/>
    <m/>
    <n v="5"/>
    <m/>
    <m/>
    <x v="75"/>
    <x v="0"/>
    <n v="9.8039215686274508E-2"/>
    <s v="NO"/>
    <m/>
  </r>
  <r>
    <d v="2014-05-11T00:00:00"/>
    <x v="0"/>
    <m/>
    <x v="1"/>
    <x v="11"/>
    <x v="76"/>
    <n v="1"/>
    <n v="110"/>
    <n v="110"/>
    <m/>
    <m/>
    <m/>
    <m/>
    <m/>
    <m/>
    <n v="0"/>
    <m/>
    <m/>
    <x v="76"/>
    <x v="0"/>
    <n v="0"/>
    <s v="NO"/>
    <m/>
  </r>
  <r>
    <d v="2014-12-01T00:00:00"/>
    <x v="5"/>
    <m/>
    <x v="1"/>
    <x v="11"/>
    <x v="76"/>
    <n v="1"/>
    <m/>
    <m/>
    <n v="44"/>
    <n v="44"/>
    <m/>
    <m/>
    <m/>
    <m/>
    <n v="44"/>
    <m/>
    <m/>
    <x v="76"/>
    <x v="0"/>
    <n v="0.8"/>
    <s v="NO"/>
    <m/>
  </r>
  <r>
    <m/>
    <x v="5"/>
    <m/>
    <x v="1"/>
    <x v="11"/>
    <x v="77"/>
    <n v="1"/>
    <m/>
    <m/>
    <n v="20"/>
    <n v="20"/>
    <m/>
    <m/>
    <m/>
    <m/>
    <n v="20"/>
    <m/>
    <m/>
    <x v="77"/>
    <x v="0"/>
    <n v="0.76923076923076927"/>
    <s v="NO"/>
    <m/>
  </r>
  <r>
    <m/>
    <x v="0"/>
    <s v="KMSS-LSO"/>
    <x v="1"/>
    <x v="11"/>
    <x v="77"/>
    <n v="1"/>
    <m/>
    <m/>
    <n v="10"/>
    <n v="10"/>
    <m/>
    <m/>
    <m/>
    <m/>
    <n v="10"/>
    <m/>
    <m/>
    <x v="77"/>
    <x v="0"/>
    <n v="0.38461538461538464"/>
    <s v="NO"/>
    <m/>
  </r>
  <r>
    <d v="2013-12-01T00:00:00"/>
    <x v="0"/>
    <s v="Shalom"/>
    <x v="0"/>
    <x v="1"/>
    <x v="78"/>
    <n v="1"/>
    <m/>
    <m/>
    <n v="13"/>
    <n v="13"/>
    <m/>
    <m/>
    <m/>
    <m/>
    <n v="13"/>
    <m/>
    <m/>
    <x v="78"/>
    <x v="0"/>
    <n v="0.56521739130434778"/>
    <s v="NO"/>
    <m/>
  </r>
  <r>
    <d v="2014-06-01T00:00:00"/>
    <x v="0"/>
    <s v="Shalom"/>
    <x v="0"/>
    <x v="1"/>
    <x v="78"/>
    <n v="1"/>
    <m/>
    <m/>
    <n v="5"/>
    <n v="5"/>
    <m/>
    <m/>
    <m/>
    <m/>
    <n v="5"/>
    <m/>
    <m/>
    <x v="78"/>
    <x v="0"/>
    <n v="0.21739130434782608"/>
    <s v="NO"/>
    <m/>
  </r>
  <r>
    <m/>
    <x v="4"/>
    <s v="KBC"/>
    <x v="1"/>
    <x v="12"/>
    <x v="79"/>
    <n v="1"/>
    <m/>
    <m/>
    <n v="78"/>
    <n v="78"/>
    <m/>
    <m/>
    <m/>
    <m/>
    <n v="78"/>
    <m/>
    <m/>
    <x v="79"/>
    <x v="0"/>
    <n v="0.95121951219512191"/>
    <s v="NO"/>
    <m/>
  </r>
  <r>
    <m/>
    <x v="0"/>
    <s v="KBC"/>
    <x v="1"/>
    <x v="12"/>
    <x v="79"/>
    <n v="1"/>
    <m/>
    <m/>
    <n v="20"/>
    <n v="20"/>
    <m/>
    <m/>
    <m/>
    <m/>
    <n v="20"/>
    <m/>
    <m/>
    <x v="79"/>
    <x v="0"/>
    <n v="0.24390243902439024"/>
    <s v="NO"/>
    <m/>
  </r>
  <r>
    <m/>
    <x v="4"/>
    <s v="KBC"/>
    <x v="1"/>
    <x v="12"/>
    <x v="80"/>
    <n v="1"/>
    <m/>
    <m/>
    <n v="30"/>
    <n v="30"/>
    <m/>
    <m/>
    <m/>
    <m/>
    <n v="30"/>
    <m/>
    <m/>
    <x v="80"/>
    <x v="0"/>
    <n v="0.44117647058823528"/>
    <s v="NO"/>
    <m/>
  </r>
  <r>
    <d v="2016-02-16T00:00:00"/>
    <x v="5"/>
    <m/>
    <x v="1"/>
    <x v="12"/>
    <x v="81"/>
    <n v="1"/>
    <m/>
    <m/>
    <n v="25"/>
    <n v="25"/>
    <m/>
    <m/>
    <m/>
    <m/>
    <n v="25"/>
    <m/>
    <m/>
    <x v="81"/>
    <x v="0"/>
    <n v="0.6097560975609756"/>
    <s v="NO"/>
    <m/>
  </r>
  <r>
    <m/>
    <x v="5"/>
    <m/>
    <x v="1"/>
    <x v="12"/>
    <x v="81"/>
    <n v="1"/>
    <m/>
    <m/>
    <n v="24"/>
    <n v="12"/>
    <m/>
    <m/>
    <m/>
    <m/>
    <n v="12"/>
    <m/>
    <m/>
    <x v="81"/>
    <x v="0"/>
    <n v="0.29268292682926828"/>
    <s v="NO"/>
    <m/>
  </r>
  <r>
    <d v="2016-02-16T00:00:00"/>
    <x v="5"/>
    <m/>
    <x v="1"/>
    <x v="11"/>
    <x v="82"/>
    <n v="1"/>
    <m/>
    <m/>
    <n v="9"/>
    <n v="9"/>
    <m/>
    <m/>
    <m/>
    <m/>
    <n v="9"/>
    <m/>
    <m/>
    <x v="82"/>
    <x v="1"/>
    <s v=""/>
    <s v="NO"/>
    <m/>
  </r>
  <r>
    <m/>
    <x v="0"/>
    <s v="KBC"/>
    <x v="1"/>
    <x v="8"/>
    <x v="83"/>
    <n v="1"/>
    <m/>
    <m/>
    <n v="20"/>
    <n v="20"/>
    <m/>
    <m/>
    <m/>
    <m/>
    <n v="20"/>
    <m/>
    <m/>
    <x v="83"/>
    <x v="0"/>
    <n v="0.28169014084507044"/>
    <s v="NO"/>
    <m/>
  </r>
  <r>
    <m/>
    <x v="0"/>
    <s v="Metta"/>
    <x v="1"/>
    <x v="8"/>
    <x v="83"/>
    <n v="1"/>
    <m/>
    <m/>
    <n v="6"/>
    <n v="6"/>
    <m/>
    <m/>
    <m/>
    <m/>
    <n v="6"/>
    <m/>
    <m/>
    <x v="83"/>
    <x v="0"/>
    <n v="8.4507042253521125E-2"/>
    <s v="NO"/>
    <m/>
  </r>
  <r>
    <m/>
    <x v="0"/>
    <s v="KBSS"/>
    <x v="0"/>
    <x v="3"/>
    <x v="84"/>
    <n v="1"/>
    <m/>
    <m/>
    <n v="36"/>
    <n v="36"/>
    <m/>
    <m/>
    <m/>
    <m/>
    <n v="36"/>
    <m/>
    <m/>
    <x v="84"/>
    <x v="1"/>
    <s v=""/>
    <s v="NO"/>
    <m/>
  </r>
  <r>
    <d v="2013-12-01T00:00:00"/>
    <x v="0"/>
    <s v="Shalom"/>
    <x v="0"/>
    <x v="0"/>
    <x v="85"/>
    <n v="1"/>
    <m/>
    <m/>
    <n v="10"/>
    <n v="10"/>
    <m/>
    <m/>
    <m/>
    <m/>
    <n v="10"/>
    <m/>
    <m/>
    <x v="85"/>
    <x v="0"/>
    <n v="0.58823529411764708"/>
    <s v="NO"/>
    <m/>
  </r>
  <r>
    <d v="2014-12-01T00:00:00"/>
    <x v="0"/>
    <s v="Shalom"/>
    <x v="0"/>
    <x v="0"/>
    <x v="85"/>
    <n v="1"/>
    <m/>
    <m/>
    <n v="5"/>
    <n v="5"/>
    <m/>
    <m/>
    <m/>
    <m/>
    <n v="5"/>
    <m/>
    <m/>
    <x v="85"/>
    <x v="0"/>
    <n v="0.29411764705882354"/>
    <s v="NO"/>
    <m/>
  </r>
  <r>
    <m/>
    <x v="1"/>
    <m/>
    <x v="0"/>
    <x v="0"/>
    <x v="85"/>
    <n v="1"/>
    <n v="8"/>
    <n v="8"/>
    <m/>
    <m/>
    <m/>
    <m/>
    <m/>
    <m/>
    <n v="0"/>
    <m/>
    <m/>
    <x v="85"/>
    <x v="0"/>
    <n v="0"/>
    <s v="NO"/>
    <m/>
  </r>
  <r>
    <d v="2016-02-16T00:00:00"/>
    <x v="5"/>
    <m/>
    <x v="1"/>
    <x v="13"/>
    <x v="86"/>
    <n v="1"/>
    <m/>
    <m/>
    <n v="25"/>
    <n v="25"/>
    <m/>
    <m/>
    <m/>
    <m/>
    <n v="25"/>
    <m/>
    <m/>
    <x v="86"/>
    <x v="0"/>
    <n v="0.56818181818181823"/>
    <s v="NO"/>
    <m/>
  </r>
  <r>
    <m/>
    <x v="0"/>
    <s v="KBC"/>
    <x v="1"/>
    <x v="13"/>
    <x v="86"/>
    <n v="1"/>
    <m/>
    <m/>
    <n v="10"/>
    <n v="10"/>
    <m/>
    <m/>
    <m/>
    <m/>
    <n v="10"/>
    <m/>
    <m/>
    <x v="86"/>
    <x v="0"/>
    <n v="0.22727272727272727"/>
    <s v="NO"/>
    <m/>
  </r>
  <r>
    <m/>
    <x v="0"/>
    <s v="KBC"/>
    <x v="1"/>
    <x v="14"/>
    <x v="87"/>
    <n v="1"/>
    <m/>
    <m/>
    <n v="10"/>
    <n v="10"/>
    <m/>
    <m/>
    <m/>
    <m/>
    <n v="10"/>
    <m/>
    <m/>
    <x v="87"/>
    <x v="0"/>
    <n v="1"/>
    <s v="NO"/>
    <m/>
  </r>
  <r>
    <d v="2016-02-16T00:00:00"/>
    <x v="5"/>
    <m/>
    <x v="1"/>
    <x v="12"/>
    <x v="88"/>
    <n v="1"/>
    <m/>
    <m/>
    <n v="36"/>
    <n v="36"/>
    <m/>
    <m/>
    <m/>
    <m/>
    <n v="36"/>
    <m/>
    <m/>
    <x v="88"/>
    <x v="0"/>
    <n v="0.25531914893617019"/>
    <s v="NO"/>
    <m/>
  </r>
  <r>
    <m/>
    <x v="5"/>
    <m/>
    <x v="1"/>
    <x v="12"/>
    <x v="88"/>
    <n v="1"/>
    <m/>
    <m/>
    <n v="50"/>
    <n v="36"/>
    <m/>
    <m/>
    <m/>
    <m/>
    <n v="36"/>
    <m/>
    <m/>
    <x v="88"/>
    <x v="0"/>
    <n v="0.25531914893617019"/>
    <s v="NO"/>
    <m/>
  </r>
  <r>
    <m/>
    <x v="1"/>
    <m/>
    <x v="0"/>
    <x v="5"/>
    <x v="89"/>
    <n v="1"/>
    <n v="1"/>
    <n v="1"/>
    <m/>
    <m/>
    <m/>
    <m/>
    <m/>
    <m/>
    <n v="0"/>
    <m/>
    <m/>
    <x v="89"/>
    <x v="0"/>
    <n v="0"/>
    <s v="NO"/>
    <m/>
  </r>
  <r>
    <m/>
    <x v="4"/>
    <s v="KMSS"/>
    <x v="0"/>
    <x v="5"/>
    <x v="89"/>
    <n v="1"/>
    <m/>
    <m/>
    <n v="46"/>
    <n v="46"/>
    <m/>
    <m/>
    <m/>
    <m/>
    <n v="46"/>
    <m/>
    <m/>
    <x v="89"/>
    <x v="0"/>
    <n v="0.66666666666666663"/>
    <s v="NO"/>
    <m/>
  </r>
  <r>
    <m/>
    <x v="0"/>
    <s v="KMSS"/>
    <x v="0"/>
    <x v="5"/>
    <x v="89"/>
    <n v="1"/>
    <m/>
    <m/>
    <n v="21"/>
    <n v="21"/>
    <m/>
    <m/>
    <m/>
    <m/>
    <n v="21"/>
    <n v="21"/>
    <m/>
    <x v="89"/>
    <x v="0"/>
    <n v="0.30434782608695654"/>
    <s v="NO"/>
    <m/>
  </r>
  <r>
    <m/>
    <x v="0"/>
    <m/>
    <x v="0"/>
    <x v="1"/>
    <x v="90"/>
    <n v="1"/>
    <m/>
    <m/>
    <n v="10"/>
    <n v="10"/>
    <m/>
    <m/>
    <m/>
    <m/>
    <n v="10"/>
    <m/>
    <m/>
    <x v="90"/>
    <x v="0"/>
    <n v="0.5"/>
    <s v="NO"/>
    <m/>
  </r>
  <r>
    <m/>
    <x v="0"/>
    <s v="KBC"/>
    <x v="0"/>
    <x v="0"/>
    <x v="91"/>
    <n v="1"/>
    <m/>
    <m/>
    <n v="40"/>
    <n v="40"/>
    <m/>
    <m/>
    <m/>
    <m/>
    <n v="40"/>
    <m/>
    <m/>
    <x v="91"/>
    <x v="0"/>
    <n v="0.7407407407407407"/>
    <s v="NO"/>
    <m/>
  </r>
  <r>
    <m/>
    <x v="0"/>
    <s v="Shalom"/>
    <x v="0"/>
    <x v="0"/>
    <x v="91"/>
    <n v="1"/>
    <m/>
    <m/>
    <n v="15"/>
    <n v="15"/>
    <m/>
    <m/>
    <m/>
    <m/>
    <n v="15"/>
    <m/>
    <m/>
    <x v="91"/>
    <x v="0"/>
    <n v="0.27777777777777779"/>
    <s v="NO"/>
    <m/>
  </r>
  <r>
    <m/>
    <x v="0"/>
    <s v="KBC"/>
    <x v="0"/>
    <x v="9"/>
    <x v="92"/>
    <n v="1"/>
    <m/>
    <m/>
    <n v="15"/>
    <n v="15"/>
    <m/>
    <m/>
    <m/>
    <m/>
    <n v="15"/>
    <m/>
    <m/>
    <x v="92"/>
    <x v="0"/>
    <n v="1.0714285714285714"/>
    <s v="NO"/>
    <m/>
  </r>
  <r>
    <d v="2013-12-01T00:00:00"/>
    <x v="0"/>
    <s v="Shalom"/>
    <x v="0"/>
    <x v="2"/>
    <x v="93"/>
    <n v="1"/>
    <m/>
    <m/>
    <n v="10"/>
    <n v="10"/>
    <m/>
    <m/>
    <m/>
    <m/>
    <n v="10"/>
    <m/>
    <m/>
    <x v="93"/>
    <x v="0"/>
    <n v="0.55555555555555558"/>
    <s v="NO"/>
    <m/>
  </r>
  <r>
    <d v="2014-12-01T00:00:00"/>
    <x v="0"/>
    <s v="Shalom"/>
    <x v="0"/>
    <x v="2"/>
    <x v="93"/>
    <n v="1"/>
    <m/>
    <m/>
    <n v="9"/>
    <n v="9"/>
    <m/>
    <m/>
    <m/>
    <m/>
    <n v="9"/>
    <m/>
    <m/>
    <x v="93"/>
    <x v="0"/>
    <n v="0.5"/>
    <s v="NO"/>
    <m/>
  </r>
  <r>
    <m/>
    <x v="7"/>
    <s v="KBC"/>
    <x v="0"/>
    <x v="15"/>
    <x v="94"/>
    <n v="1"/>
    <m/>
    <m/>
    <n v="10"/>
    <n v="10"/>
    <m/>
    <m/>
    <m/>
    <m/>
    <n v="10"/>
    <m/>
    <m/>
    <x v="94"/>
    <x v="0"/>
    <n v="0.55555555555555558"/>
    <s v="NO"/>
    <m/>
  </r>
  <r>
    <m/>
    <x v="0"/>
    <s v="KBC"/>
    <x v="0"/>
    <x v="15"/>
    <x v="94"/>
    <n v="1"/>
    <m/>
    <m/>
    <n v="20"/>
    <n v="20"/>
    <m/>
    <m/>
    <m/>
    <m/>
    <n v="20"/>
    <m/>
    <m/>
    <x v="94"/>
    <x v="0"/>
    <n v="1.1111111111111112"/>
    <s v="NO"/>
    <m/>
  </r>
  <r>
    <d v="2013-12-01T00:00:00"/>
    <x v="0"/>
    <s v="Shalom"/>
    <x v="0"/>
    <x v="0"/>
    <x v="95"/>
    <n v="1"/>
    <m/>
    <m/>
    <n v="40"/>
    <n v="40"/>
    <m/>
    <m/>
    <m/>
    <m/>
    <n v="40"/>
    <m/>
    <m/>
    <x v="95"/>
    <x v="1"/>
    <s v=""/>
    <s v="NO"/>
    <m/>
  </r>
  <r>
    <m/>
    <x v="1"/>
    <m/>
    <x v="0"/>
    <x v="0"/>
    <x v="95"/>
    <n v="1"/>
    <n v="50"/>
    <n v="50"/>
    <m/>
    <m/>
    <m/>
    <m/>
    <m/>
    <m/>
    <n v="0"/>
    <m/>
    <m/>
    <x v="95"/>
    <x v="1"/>
    <s v=""/>
    <s v="NO"/>
    <m/>
  </r>
  <r>
    <m/>
    <x v="0"/>
    <s v="Shalom"/>
    <x v="0"/>
    <x v="0"/>
    <x v="95"/>
    <n v="1"/>
    <m/>
    <m/>
    <n v="20"/>
    <n v="20"/>
    <m/>
    <m/>
    <m/>
    <m/>
    <n v="20"/>
    <m/>
    <m/>
    <x v="95"/>
    <x v="1"/>
    <s v=""/>
    <s v="NO"/>
    <m/>
  </r>
  <r>
    <m/>
    <x v="0"/>
    <s v="KBC"/>
    <x v="0"/>
    <x v="0"/>
    <x v="95"/>
    <n v="1"/>
    <m/>
    <m/>
    <n v="15"/>
    <n v="15"/>
    <m/>
    <m/>
    <m/>
    <m/>
    <n v="15"/>
    <m/>
    <m/>
    <x v="95"/>
    <x v="1"/>
    <s v=""/>
    <s v="NO"/>
    <m/>
  </r>
  <r>
    <d v="2016-02-22T00:00:00"/>
    <x v="4"/>
    <m/>
    <x v="0"/>
    <x v="6"/>
    <x v="96"/>
    <n v="1"/>
    <m/>
    <m/>
    <n v="170"/>
    <n v="170"/>
    <m/>
    <m/>
    <m/>
    <m/>
    <n v="0"/>
    <m/>
    <m/>
    <x v="96"/>
    <x v="0"/>
    <n v="0"/>
    <s v="YES"/>
    <m/>
  </r>
  <r>
    <m/>
    <x v="8"/>
    <s v="KBSS"/>
    <x v="0"/>
    <x v="6"/>
    <x v="96"/>
    <n v="1"/>
    <m/>
    <m/>
    <n v="100"/>
    <n v="100"/>
    <m/>
    <m/>
    <m/>
    <m/>
    <n v="100"/>
    <m/>
    <m/>
    <x v="96"/>
    <x v="0"/>
    <n v="0.26666666666666666"/>
    <s v="NO"/>
    <m/>
  </r>
  <r>
    <m/>
    <x v="14"/>
    <s v="KBSS"/>
    <x v="0"/>
    <x v="6"/>
    <x v="96"/>
    <n v="1"/>
    <m/>
    <m/>
    <n v="350"/>
    <n v="350"/>
    <m/>
    <m/>
    <m/>
    <m/>
    <n v="350"/>
    <m/>
    <m/>
    <x v="96"/>
    <x v="0"/>
    <n v="0.93333333333333335"/>
    <s v="NO"/>
    <m/>
  </r>
  <r>
    <d v="2013-12-01T00:00:00"/>
    <x v="0"/>
    <s v="Shalom"/>
    <x v="0"/>
    <x v="6"/>
    <x v="97"/>
    <n v="1"/>
    <m/>
    <m/>
    <n v="4"/>
    <n v="4"/>
    <m/>
    <m/>
    <m/>
    <m/>
    <n v="4"/>
    <n v="5"/>
    <m/>
    <x v="97"/>
    <x v="0"/>
    <n v="0.16666666666666666"/>
    <s v="NO"/>
    <m/>
  </r>
  <r>
    <m/>
    <x v="5"/>
    <m/>
    <x v="0"/>
    <x v="6"/>
    <x v="97"/>
    <n v="1"/>
    <m/>
    <m/>
    <n v="18"/>
    <n v="18"/>
    <m/>
    <m/>
    <m/>
    <m/>
    <n v="18"/>
    <m/>
    <m/>
    <x v="97"/>
    <x v="0"/>
    <n v="0.75"/>
    <s v="NO"/>
    <m/>
  </r>
  <r>
    <m/>
    <x v="0"/>
    <m/>
    <x v="0"/>
    <x v="6"/>
    <x v="97"/>
    <n v="1"/>
    <m/>
    <m/>
    <n v="9"/>
    <n v="9"/>
    <m/>
    <m/>
    <m/>
    <m/>
    <n v="9"/>
    <m/>
    <m/>
    <x v="97"/>
    <x v="0"/>
    <n v="0.375"/>
    <s v="NO"/>
    <m/>
  </r>
  <r>
    <m/>
    <x v="10"/>
    <s v="KBC"/>
    <x v="0"/>
    <x v="5"/>
    <x v="98"/>
    <n v="1"/>
    <m/>
    <m/>
    <n v="32"/>
    <n v="32"/>
    <m/>
    <m/>
    <m/>
    <m/>
    <n v="32"/>
    <m/>
    <m/>
    <x v="98"/>
    <x v="0"/>
    <n v="0.56140350877192979"/>
    <s v="NO"/>
    <m/>
  </r>
  <r>
    <m/>
    <x v="0"/>
    <s v="KBC"/>
    <x v="0"/>
    <x v="5"/>
    <x v="98"/>
    <n v="1"/>
    <m/>
    <m/>
    <n v="20"/>
    <n v="20"/>
    <m/>
    <m/>
    <m/>
    <m/>
    <n v="20"/>
    <m/>
    <m/>
    <x v="98"/>
    <x v="0"/>
    <n v="0.35087719298245612"/>
    <s v="NO"/>
    <m/>
  </r>
  <r>
    <m/>
    <x v="0"/>
    <m/>
    <x v="0"/>
    <x v="6"/>
    <x v="99"/>
    <n v="1"/>
    <m/>
    <m/>
    <n v="45"/>
    <n v="45"/>
    <m/>
    <m/>
    <m/>
    <m/>
    <n v="45"/>
    <m/>
    <m/>
    <x v="99"/>
    <x v="0"/>
    <n v="0.9"/>
    <s v="NO"/>
    <m/>
  </r>
  <r>
    <d v="2016-02-16T00:00:00"/>
    <x v="0"/>
    <s v="KMSS"/>
    <x v="0"/>
    <x v="5"/>
    <x v="100"/>
    <n v="1"/>
    <m/>
    <m/>
    <n v="14"/>
    <n v="14"/>
    <m/>
    <m/>
    <m/>
    <m/>
    <n v="14"/>
    <m/>
    <m/>
    <x v="100"/>
    <x v="0"/>
    <n v="0.31111111111111112"/>
    <s v="NO"/>
    <m/>
  </r>
  <r>
    <m/>
    <x v="8"/>
    <s v="KMSS"/>
    <x v="0"/>
    <x v="5"/>
    <x v="100"/>
    <n v="1"/>
    <m/>
    <m/>
    <n v="30"/>
    <n v="30"/>
    <m/>
    <m/>
    <m/>
    <m/>
    <n v="30"/>
    <m/>
    <m/>
    <x v="100"/>
    <x v="0"/>
    <n v="0.66666666666666663"/>
    <s v="NO"/>
    <m/>
  </r>
  <r>
    <d v="2014-12-01T00:00:00"/>
    <x v="4"/>
    <m/>
    <x v="0"/>
    <x v="6"/>
    <x v="101"/>
    <n v="1"/>
    <m/>
    <m/>
    <n v="394"/>
    <n v="140"/>
    <m/>
    <m/>
    <m/>
    <m/>
    <n v="140"/>
    <m/>
    <m/>
    <x v="101"/>
    <x v="0"/>
    <n v="0.206794682422452"/>
    <s v="NO"/>
    <m/>
  </r>
  <r>
    <d v="2016-02-22T00:00:00"/>
    <x v="4"/>
    <m/>
    <x v="0"/>
    <x v="6"/>
    <x v="101"/>
    <n v="1"/>
    <m/>
    <m/>
    <n v="254"/>
    <n v="254"/>
    <m/>
    <m/>
    <m/>
    <m/>
    <n v="0"/>
    <m/>
    <m/>
    <x v="101"/>
    <x v="0"/>
    <n v="0"/>
    <s v="YES"/>
    <m/>
  </r>
  <r>
    <m/>
    <x v="8"/>
    <s v="IRRC"/>
    <x v="0"/>
    <x v="6"/>
    <x v="101"/>
    <n v="1"/>
    <m/>
    <m/>
    <n v="447"/>
    <n v="447"/>
    <m/>
    <m/>
    <m/>
    <m/>
    <n v="447"/>
    <m/>
    <m/>
    <x v="101"/>
    <x v="0"/>
    <n v="0.66026587887740029"/>
    <s v="NO"/>
    <m/>
  </r>
  <r>
    <m/>
    <x v="0"/>
    <s v="KBSS"/>
    <x v="0"/>
    <x v="6"/>
    <x v="101"/>
    <n v="1"/>
    <m/>
    <m/>
    <n v="130"/>
    <n v="130"/>
    <m/>
    <m/>
    <m/>
    <m/>
    <n v="130"/>
    <m/>
    <m/>
    <x v="101"/>
    <x v="0"/>
    <n v="0.19202363367799113"/>
    <s v="NO"/>
    <m/>
  </r>
  <r>
    <d v="2013-12-01T00:00:00"/>
    <x v="0"/>
    <s v="KBC"/>
    <x v="0"/>
    <x v="2"/>
    <x v="102"/>
    <n v="1"/>
    <m/>
    <m/>
    <n v="11"/>
    <n v="11"/>
    <m/>
    <m/>
    <m/>
    <m/>
    <n v="11"/>
    <m/>
    <m/>
    <x v="102"/>
    <x v="0"/>
    <n v="5.7591623036649213E-2"/>
    <s v="NO"/>
    <m/>
  </r>
  <r>
    <m/>
    <x v="0"/>
    <s v="KBC"/>
    <x v="0"/>
    <x v="2"/>
    <x v="102"/>
    <n v="1"/>
    <m/>
    <m/>
    <n v="24"/>
    <n v="24"/>
    <m/>
    <m/>
    <m/>
    <m/>
    <n v="24"/>
    <m/>
    <m/>
    <x v="102"/>
    <x v="0"/>
    <n v="0.1256544502617801"/>
    <s v="NO"/>
    <m/>
  </r>
  <r>
    <m/>
    <x v="0"/>
    <s v="KMSS"/>
    <x v="0"/>
    <x v="4"/>
    <x v="103"/>
    <n v="1"/>
    <m/>
    <m/>
    <m/>
    <m/>
    <m/>
    <m/>
    <m/>
    <m/>
    <n v="0"/>
    <n v="40"/>
    <m/>
    <x v="103"/>
    <x v="0"/>
    <n v="0"/>
    <s v="NO"/>
    <m/>
  </r>
  <r>
    <d v="2013-12-01T00:00:00"/>
    <x v="0"/>
    <s v="KBC"/>
    <x v="0"/>
    <x v="1"/>
    <x v="104"/>
    <n v="1"/>
    <m/>
    <m/>
    <n v="50"/>
    <n v="50"/>
    <m/>
    <m/>
    <m/>
    <m/>
    <n v="50"/>
    <m/>
    <m/>
    <x v="104"/>
    <x v="0"/>
    <n v="0.31847133757961782"/>
    <s v="NO"/>
    <m/>
  </r>
  <r>
    <d v="2014-06-01T00:00:00"/>
    <x v="0"/>
    <s v="KBC"/>
    <x v="0"/>
    <x v="1"/>
    <x v="104"/>
    <n v="1"/>
    <m/>
    <m/>
    <n v="10"/>
    <n v="10"/>
    <m/>
    <m/>
    <m/>
    <m/>
    <n v="10"/>
    <m/>
    <m/>
    <x v="104"/>
    <x v="0"/>
    <n v="6.3694267515923567E-2"/>
    <s v="NO"/>
    <m/>
  </r>
  <r>
    <m/>
    <x v="5"/>
    <m/>
    <x v="0"/>
    <x v="1"/>
    <x v="104"/>
    <n v="1"/>
    <m/>
    <m/>
    <n v="36"/>
    <n v="36"/>
    <m/>
    <m/>
    <m/>
    <m/>
    <n v="36"/>
    <m/>
    <m/>
    <x v="104"/>
    <x v="0"/>
    <n v="0.22929936305732485"/>
    <s v="NO"/>
    <m/>
  </r>
  <r>
    <m/>
    <x v="0"/>
    <m/>
    <x v="0"/>
    <x v="1"/>
    <x v="104"/>
    <n v="1"/>
    <m/>
    <m/>
    <n v="30"/>
    <n v="30"/>
    <m/>
    <m/>
    <m/>
    <m/>
    <n v="30"/>
    <m/>
    <m/>
    <x v="104"/>
    <x v="0"/>
    <n v="0.19108280254777071"/>
    <s v="NO"/>
    <m/>
  </r>
  <r>
    <d v="2016-02-22T00:00:00"/>
    <x v="4"/>
    <m/>
    <x v="0"/>
    <x v="2"/>
    <x v="105"/>
    <n v="1"/>
    <m/>
    <m/>
    <n v="66"/>
    <n v="66"/>
    <m/>
    <m/>
    <m/>
    <m/>
    <n v="0"/>
    <m/>
    <m/>
    <x v="105"/>
    <x v="0"/>
    <n v="0"/>
    <s v="YES"/>
    <m/>
  </r>
  <r>
    <m/>
    <x v="1"/>
    <m/>
    <x v="0"/>
    <x v="2"/>
    <x v="105"/>
    <n v="1"/>
    <n v="207"/>
    <n v="207"/>
    <m/>
    <m/>
    <m/>
    <m/>
    <m/>
    <m/>
    <n v="0"/>
    <m/>
    <m/>
    <x v="105"/>
    <x v="0"/>
    <n v="0"/>
    <s v="NO"/>
    <m/>
  </r>
  <r>
    <d v="2013-12-01T00:00:00"/>
    <x v="0"/>
    <s v="Shalom"/>
    <x v="0"/>
    <x v="2"/>
    <x v="106"/>
    <n v="1"/>
    <m/>
    <m/>
    <n v="10"/>
    <n v="10"/>
    <m/>
    <m/>
    <m/>
    <m/>
    <n v="10"/>
    <m/>
    <m/>
    <x v="106"/>
    <x v="0"/>
    <n v="0.10638297872340426"/>
    <s v="NO"/>
    <m/>
  </r>
  <r>
    <d v="2014-12-01T00:00:00"/>
    <x v="0"/>
    <s v="Shalom"/>
    <x v="0"/>
    <x v="2"/>
    <x v="106"/>
    <n v="1"/>
    <m/>
    <m/>
    <n v="21"/>
    <n v="21"/>
    <m/>
    <m/>
    <m/>
    <m/>
    <n v="21"/>
    <m/>
    <m/>
    <x v="106"/>
    <x v="0"/>
    <n v="0.22340425531914893"/>
    <s v="NO"/>
    <m/>
  </r>
  <r>
    <m/>
    <x v="0"/>
    <s v="Shalom"/>
    <x v="0"/>
    <x v="2"/>
    <x v="106"/>
    <n v="1"/>
    <m/>
    <m/>
    <n v="45"/>
    <n v="45"/>
    <m/>
    <m/>
    <m/>
    <m/>
    <n v="45"/>
    <n v="10"/>
    <m/>
    <x v="106"/>
    <x v="0"/>
    <n v="0.47872340425531917"/>
    <s v="NO"/>
    <m/>
  </r>
  <r>
    <m/>
    <x v="0"/>
    <m/>
    <x v="0"/>
    <x v="2"/>
    <x v="106"/>
    <n v="1"/>
    <m/>
    <m/>
    <n v="5"/>
    <n v="5"/>
    <m/>
    <m/>
    <m/>
    <m/>
    <n v="5"/>
    <m/>
    <m/>
    <x v="106"/>
    <x v="0"/>
    <n v="5.3191489361702128E-2"/>
    <s v="NO"/>
    <m/>
  </r>
  <r>
    <m/>
    <x v="11"/>
    <m/>
    <x v="0"/>
    <x v="2"/>
    <x v="106"/>
    <n v="1"/>
    <m/>
    <m/>
    <n v="10"/>
    <n v="10"/>
    <m/>
    <m/>
    <m/>
    <m/>
    <n v="10"/>
    <m/>
    <m/>
    <x v="106"/>
    <x v="0"/>
    <n v="0.10638297872340426"/>
    <s v="NO"/>
    <m/>
  </r>
  <r>
    <m/>
    <x v="0"/>
    <s v="Shalom"/>
    <x v="0"/>
    <x v="2"/>
    <x v="106"/>
    <n v="1"/>
    <m/>
    <m/>
    <n v="5"/>
    <n v="5"/>
    <m/>
    <m/>
    <m/>
    <m/>
    <n v="5"/>
    <m/>
    <m/>
    <x v="106"/>
    <x v="0"/>
    <n v="5.3191489361702128E-2"/>
    <s v="NO"/>
    <m/>
  </r>
  <r>
    <m/>
    <x v="6"/>
    <s v="KBC"/>
    <x v="0"/>
    <x v="2"/>
    <x v="107"/>
    <n v="1"/>
    <m/>
    <m/>
    <n v="8"/>
    <n v="8"/>
    <m/>
    <m/>
    <m/>
    <m/>
    <n v="8"/>
    <m/>
    <m/>
    <x v="107"/>
    <x v="0"/>
    <n v="0.12307692307692308"/>
    <s v="NO"/>
    <m/>
  </r>
  <r>
    <m/>
    <x v="0"/>
    <s v="KBC"/>
    <x v="0"/>
    <x v="2"/>
    <x v="107"/>
    <n v="1"/>
    <m/>
    <m/>
    <n v="10"/>
    <n v="10"/>
    <m/>
    <m/>
    <m/>
    <m/>
    <n v="10"/>
    <m/>
    <m/>
    <x v="107"/>
    <x v="0"/>
    <n v="0.15384615384615385"/>
    <s v="NO"/>
    <m/>
  </r>
  <r>
    <m/>
    <x v="0"/>
    <m/>
    <x v="0"/>
    <x v="2"/>
    <x v="107"/>
    <n v="1"/>
    <m/>
    <m/>
    <n v="20"/>
    <n v="20"/>
    <m/>
    <m/>
    <m/>
    <m/>
    <n v="20"/>
    <m/>
    <m/>
    <x v="107"/>
    <x v="0"/>
    <n v="0.30769230769230771"/>
    <s v="NO"/>
    <m/>
  </r>
  <r>
    <d v="2013-12-01T00:00:00"/>
    <x v="0"/>
    <s v="Shalom"/>
    <x v="0"/>
    <x v="2"/>
    <x v="108"/>
    <n v="1"/>
    <m/>
    <m/>
    <n v="10"/>
    <n v="10"/>
    <m/>
    <m/>
    <m/>
    <m/>
    <n v="10"/>
    <m/>
    <m/>
    <x v="108"/>
    <x v="0"/>
    <n v="0.32258064516129031"/>
    <s v="NO"/>
    <m/>
  </r>
  <r>
    <d v="2014-06-01T00:00:00"/>
    <x v="0"/>
    <s v="Shalom"/>
    <x v="0"/>
    <x v="2"/>
    <x v="108"/>
    <n v="1"/>
    <m/>
    <m/>
    <n v="3"/>
    <n v="3"/>
    <m/>
    <m/>
    <m/>
    <m/>
    <n v="3"/>
    <m/>
    <m/>
    <x v="108"/>
    <x v="0"/>
    <n v="9.6774193548387094E-2"/>
    <s v="NO"/>
    <m/>
  </r>
  <r>
    <m/>
    <x v="0"/>
    <s v="Shalom"/>
    <x v="0"/>
    <x v="2"/>
    <x v="108"/>
    <n v="1"/>
    <m/>
    <m/>
    <n v="23"/>
    <n v="23"/>
    <m/>
    <m/>
    <m/>
    <m/>
    <n v="23"/>
    <m/>
    <m/>
    <x v="108"/>
    <x v="0"/>
    <n v="0.74193548387096775"/>
    <s v="NO"/>
    <m/>
  </r>
  <r>
    <m/>
    <x v="0"/>
    <s v="Shalom"/>
    <x v="0"/>
    <x v="2"/>
    <x v="108"/>
    <n v="1"/>
    <m/>
    <m/>
    <n v="3"/>
    <n v="3"/>
    <m/>
    <m/>
    <m/>
    <m/>
    <n v="3"/>
    <m/>
    <m/>
    <x v="108"/>
    <x v="0"/>
    <n v="9.6774193548387094E-2"/>
    <s v="NO"/>
    <m/>
  </r>
  <r>
    <m/>
    <x v="0"/>
    <s v="Shalom"/>
    <x v="0"/>
    <x v="2"/>
    <x v="109"/>
    <n v="1"/>
    <m/>
    <m/>
    <n v="100"/>
    <n v="100"/>
    <m/>
    <m/>
    <m/>
    <m/>
    <n v="100"/>
    <n v="15"/>
    <m/>
    <x v="109"/>
    <x v="0"/>
    <n v="1.098901098901099"/>
    <s v="NO"/>
    <m/>
  </r>
  <r>
    <d v="2013-12-01T00:00:00"/>
    <x v="0"/>
    <s v="Shalom"/>
    <x v="0"/>
    <x v="0"/>
    <x v="110"/>
    <n v="1"/>
    <m/>
    <m/>
    <n v="10"/>
    <n v="10"/>
    <m/>
    <m/>
    <m/>
    <m/>
    <n v="10"/>
    <m/>
    <m/>
    <x v="110"/>
    <x v="0"/>
    <n v="1"/>
    <s v="NO"/>
    <m/>
  </r>
  <r>
    <m/>
    <x v="1"/>
    <m/>
    <x v="0"/>
    <x v="0"/>
    <x v="110"/>
    <n v="1"/>
    <n v="9"/>
    <n v="9"/>
    <m/>
    <m/>
    <m/>
    <m/>
    <m/>
    <m/>
    <n v="0"/>
    <m/>
    <m/>
    <x v="110"/>
    <x v="0"/>
    <n v="0"/>
    <s v="NO"/>
    <m/>
  </r>
  <r>
    <d v="2013-12-01T00:00:00"/>
    <x v="0"/>
    <s v="KBC"/>
    <x v="0"/>
    <x v="1"/>
    <x v="111"/>
    <n v="1"/>
    <m/>
    <m/>
    <n v="30"/>
    <n v="30"/>
    <m/>
    <m/>
    <m/>
    <m/>
    <n v="30"/>
    <m/>
    <m/>
    <x v="111"/>
    <x v="0"/>
    <n v="4.6012269938650305E-2"/>
    <s v="NO"/>
    <m/>
  </r>
  <r>
    <m/>
    <x v="6"/>
    <m/>
    <x v="0"/>
    <x v="1"/>
    <x v="111"/>
    <n v="1"/>
    <m/>
    <m/>
    <n v="162"/>
    <n v="162"/>
    <m/>
    <m/>
    <m/>
    <m/>
    <n v="162"/>
    <m/>
    <m/>
    <x v="111"/>
    <x v="0"/>
    <n v="0.24846625766871167"/>
    <s v="NO"/>
    <m/>
  </r>
  <r>
    <m/>
    <x v="5"/>
    <m/>
    <x v="0"/>
    <x v="1"/>
    <x v="111"/>
    <n v="1"/>
    <m/>
    <m/>
    <n v="163"/>
    <n v="163"/>
    <m/>
    <m/>
    <m/>
    <m/>
    <n v="163"/>
    <m/>
    <m/>
    <x v="111"/>
    <x v="0"/>
    <n v="0.25"/>
    <s v="NO"/>
    <m/>
  </r>
  <r>
    <m/>
    <x v="0"/>
    <m/>
    <x v="0"/>
    <x v="1"/>
    <x v="111"/>
    <n v="1"/>
    <m/>
    <m/>
    <n v="70"/>
    <n v="70"/>
    <m/>
    <m/>
    <m/>
    <m/>
    <n v="70"/>
    <m/>
    <m/>
    <x v="111"/>
    <x v="0"/>
    <n v="0.10736196319018405"/>
    <s v="NO"/>
    <m/>
  </r>
  <r>
    <m/>
    <x v="1"/>
    <m/>
    <x v="0"/>
    <x v="5"/>
    <x v="112"/>
    <n v="1"/>
    <n v="1"/>
    <n v="1"/>
    <m/>
    <m/>
    <m/>
    <m/>
    <m/>
    <m/>
    <n v="0"/>
    <m/>
    <m/>
    <x v="112"/>
    <x v="2"/>
    <s v=""/>
    <s v="NO"/>
    <m/>
  </r>
  <r>
    <d v="2013-12-01T00:00:00"/>
    <x v="0"/>
    <s v="KBC"/>
    <x v="0"/>
    <x v="0"/>
    <x v="113"/>
    <n v="1"/>
    <m/>
    <m/>
    <n v="5"/>
    <n v="5"/>
    <m/>
    <m/>
    <m/>
    <m/>
    <n v="5"/>
    <m/>
    <m/>
    <x v="113"/>
    <x v="0"/>
    <n v="0.625"/>
    <s v="NO"/>
    <m/>
  </r>
  <r>
    <m/>
    <x v="1"/>
    <m/>
    <x v="0"/>
    <x v="0"/>
    <x v="113"/>
    <n v="1"/>
    <n v="7"/>
    <n v="7"/>
    <m/>
    <m/>
    <m/>
    <m/>
    <m/>
    <m/>
    <n v="0"/>
    <m/>
    <m/>
    <x v="113"/>
    <x v="0"/>
    <n v="0"/>
    <s v="NO"/>
    <m/>
  </r>
  <r>
    <d v="2016-02-22T00:00:00"/>
    <x v="10"/>
    <m/>
    <x v="0"/>
    <x v="9"/>
    <x v="114"/>
    <n v="1"/>
    <m/>
    <m/>
    <n v="40"/>
    <n v="40"/>
    <m/>
    <m/>
    <m/>
    <m/>
    <n v="40"/>
    <m/>
    <m/>
    <x v="114"/>
    <x v="0"/>
    <n v="1.0256410256410255"/>
    <s v="NO"/>
    <m/>
  </r>
  <r>
    <m/>
    <x v="0"/>
    <m/>
    <x v="0"/>
    <x v="6"/>
    <x v="115"/>
    <n v="1"/>
    <m/>
    <m/>
    <n v="40"/>
    <n v="40"/>
    <m/>
    <m/>
    <m/>
    <m/>
    <n v="40"/>
    <m/>
    <m/>
    <x v="115"/>
    <x v="0"/>
    <n v="0.88888888888888884"/>
    <s v="NO"/>
    <m/>
  </r>
  <r>
    <d v="2016-02-16T00:00:00"/>
    <x v="0"/>
    <s v="KBC"/>
    <x v="0"/>
    <x v="5"/>
    <x v="116"/>
    <n v="1"/>
    <m/>
    <m/>
    <m/>
    <m/>
    <m/>
    <m/>
    <m/>
    <m/>
    <n v="0"/>
    <n v="30"/>
    <n v="30"/>
    <x v="116"/>
    <x v="0"/>
    <n v="0"/>
    <s v="NO"/>
    <m/>
  </r>
  <r>
    <m/>
    <x v="6"/>
    <s v="Shalom"/>
    <x v="0"/>
    <x v="5"/>
    <x v="116"/>
    <n v="1"/>
    <m/>
    <m/>
    <n v="14"/>
    <n v="14"/>
    <m/>
    <m/>
    <m/>
    <m/>
    <n v="14"/>
    <m/>
    <m/>
    <x v="116"/>
    <x v="0"/>
    <n v="0.14736842105263157"/>
    <s v="NO"/>
    <m/>
  </r>
  <r>
    <m/>
    <x v="0"/>
    <s v="KBC"/>
    <x v="0"/>
    <x v="5"/>
    <x v="116"/>
    <n v="1"/>
    <m/>
    <m/>
    <n v="10"/>
    <n v="10"/>
    <m/>
    <m/>
    <m/>
    <m/>
    <n v="10"/>
    <m/>
    <m/>
    <x v="116"/>
    <x v="0"/>
    <n v="0.10526315789473684"/>
    <s v="NO"/>
    <m/>
  </r>
  <r>
    <m/>
    <x v="0"/>
    <m/>
    <x v="0"/>
    <x v="5"/>
    <x v="116"/>
    <n v="1"/>
    <m/>
    <m/>
    <n v="40"/>
    <n v="40"/>
    <m/>
    <m/>
    <m/>
    <m/>
    <n v="40"/>
    <m/>
    <m/>
    <x v="116"/>
    <x v="0"/>
    <n v="0.42105263157894735"/>
    <s v="NO"/>
    <m/>
  </r>
  <r>
    <d v="2013-12-01T00:00:00"/>
    <x v="0"/>
    <s v="KBC"/>
    <x v="0"/>
    <x v="2"/>
    <x v="117"/>
    <n v="1"/>
    <m/>
    <m/>
    <n v="18"/>
    <n v="18"/>
    <m/>
    <m/>
    <m/>
    <m/>
    <n v="18"/>
    <m/>
    <m/>
    <x v="117"/>
    <x v="0"/>
    <n v="9.8360655737704916E-2"/>
    <s v="NO"/>
    <m/>
  </r>
  <r>
    <d v="2014-12-30T00:00:00"/>
    <x v="0"/>
    <s v="KBC"/>
    <x v="0"/>
    <x v="2"/>
    <x v="117"/>
    <n v="1"/>
    <n v="90"/>
    <m/>
    <m/>
    <m/>
    <m/>
    <m/>
    <m/>
    <m/>
    <n v="0"/>
    <m/>
    <m/>
    <x v="117"/>
    <x v="0"/>
    <n v="0"/>
    <s v="NO"/>
    <m/>
  </r>
  <r>
    <d v="2016-02-16T00:00:00"/>
    <x v="10"/>
    <m/>
    <x v="0"/>
    <x v="2"/>
    <x v="117"/>
    <n v="1"/>
    <m/>
    <m/>
    <n v="73"/>
    <n v="73"/>
    <m/>
    <m/>
    <m/>
    <m/>
    <n v="73"/>
    <m/>
    <m/>
    <x v="117"/>
    <x v="0"/>
    <n v="0.39890710382513661"/>
    <s v="NO"/>
    <m/>
  </r>
  <r>
    <m/>
    <x v="0"/>
    <s v="KBC"/>
    <x v="0"/>
    <x v="2"/>
    <x v="117"/>
    <n v="1"/>
    <m/>
    <m/>
    <n v="170"/>
    <n v="170"/>
    <m/>
    <m/>
    <m/>
    <m/>
    <n v="170"/>
    <m/>
    <m/>
    <x v="117"/>
    <x v="0"/>
    <n v="0.92896174863387981"/>
    <s v="NO"/>
    <m/>
  </r>
  <r>
    <m/>
    <x v="5"/>
    <m/>
    <x v="0"/>
    <x v="16"/>
    <x v="118"/>
    <n v="1"/>
    <m/>
    <m/>
    <n v="42"/>
    <n v="42"/>
    <m/>
    <m/>
    <m/>
    <m/>
    <n v="42"/>
    <m/>
    <m/>
    <x v="118"/>
    <x v="0"/>
    <n v="0.50602409638554213"/>
    <s v="NO"/>
    <m/>
  </r>
  <r>
    <m/>
    <x v="8"/>
    <s v="KBSS"/>
    <x v="0"/>
    <x v="16"/>
    <x v="119"/>
    <n v="1"/>
    <m/>
    <m/>
    <n v="36"/>
    <n v="36"/>
    <m/>
    <m/>
    <m/>
    <m/>
    <n v="36"/>
    <m/>
    <m/>
    <x v="119"/>
    <x v="0"/>
    <n v="0.87804878048780488"/>
    <s v="NO"/>
    <m/>
  </r>
  <r>
    <m/>
    <x v="0"/>
    <s v="KBSS"/>
    <x v="0"/>
    <x v="16"/>
    <x v="119"/>
    <n v="1"/>
    <m/>
    <m/>
    <n v="10"/>
    <n v="10"/>
    <m/>
    <m/>
    <m/>
    <m/>
    <n v="10"/>
    <m/>
    <m/>
    <x v="119"/>
    <x v="0"/>
    <n v="0.24390243902439024"/>
    <s v="NO"/>
    <m/>
  </r>
  <r>
    <d v="2016-02-16T00:00:00"/>
    <x v="0"/>
    <s v="KBC"/>
    <x v="0"/>
    <x v="5"/>
    <x v="120"/>
    <n v="1"/>
    <m/>
    <m/>
    <m/>
    <m/>
    <m/>
    <m/>
    <m/>
    <m/>
    <n v="0"/>
    <n v="46"/>
    <n v="46"/>
    <x v="120"/>
    <x v="0"/>
    <n v="0"/>
    <s v="NO"/>
    <m/>
  </r>
  <r>
    <m/>
    <x v="0"/>
    <s v="KBC"/>
    <x v="0"/>
    <x v="5"/>
    <x v="120"/>
    <n v="1"/>
    <m/>
    <m/>
    <n v="50"/>
    <n v="50"/>
    <m/>
    <m/>
    <m/>
    <m/>
    <n v="50"/>
    <m/>
    <m/>
    <x v="120"/>
    <x v="0"/>
    <n v="0.55555555555555558"/>
    <s v="NO"/>
    <m/>
  </r>
  <r>
    <m/>
    <x v="8"/>
    <s v="KMSS"/>
    <x v="0"/>
    <x v="15"/>
    <x v="121"/>
    <n v="1"/>
    <m/>
    <m/>
    <n v="12"/>
    <n v="12"/>
    <m/>
    <m/>
    <m/>
    <m/>
    <n v="12"/>
    <m/>
    <m/>
    <x v="121"/>
    <x v="0"/>
    <n v="1"/>
    <s v="NO"/>
    <m/>
  </r>
  <r>
    <d v="2013-12-01T00:00:00"/>
    <x v="0"/>
    <s v="Shalom"/>
    <x v="0"/>
    <x v="1"/>
    <x v="122"/>
    <n v="1"/>
    <m/>
    <m/>
    <n v="15"/>
    <n v="15"/>
    <m/>
    <m/>
    <m/>
    <m/>
    <n v="15"/>
    <n v="10"/>
    <m/>
    <x v="122"/>
    <x v="0"/>
    <n v="0.6"/>
    <s v="NO"/>
    <m/>
  </r>
  <r>
    <m/>
    <x v="0"/>
    <m/>
    <x v="0"/>
    <x v="1"/>
    <x v="122"/>
    <n v="1"/>
    <m/>
    <m/>
    <n v="40"/>
    <n v="40"/>
    <m/>
    <m/>
    <m/>
    <m/>
    <n v="40"/>
    <m/>
    <m/>
    <x v="122"/>
    <x v="0"/>
    <n v="1.6"/>
    <s v="NO"/>
    <m/>
  </r>
  <r>
    <d v="2016-02-16T00:00:00"/>
    <x v="0"/>
    <s v="KBC"/>
    <x v="0"/>
    <x v="5"/>
    <x v="123"/>
    <n v="1"/>
    <m/>
    <m/>
    <m/>
    <m/>
    <m/>
    <m/>
    <m/>
    <m/>
    <n v="0"/>
    <n v="37"/>
    <n v="37"/>
    <x v="123"/>
    <x v="0"/>
    <n v="0"/>
    <s v="NO"/>
    <m/>
  </r>
  <r>
    <m/>
    <x v="0"/>
    <s v="KBC"/>
    <x v="0"/>
    <x v="5"/>
    <x v="123"/>
    <n v="1"/>
    <m/>
    <m/>
    <n v="60"/>
    <n v="60"/>
    <m/>
    <m/>
    <m/>
    <m/>
    <n v="60"/>
    <m/>
    <m/>
    <x v="123"/>
    <x v="0"/>
    <n v="0.8571428571428571"/>
    <s v="NO"/>
    <m/>
  </r>
  <r>
    <d v="2013-12-01T00:00:00"/>
    <x v="0"/>
    <s v="Shalom"/>
    <x v="0"/>
    <x v="5"/>
    <x v="124"/>
    <n v="1"/>
    <m/>
    <m/>
    <n v="30"/>
    <n v="30"/>
    <m/>
    <m/>
    <m/>
    <m/>
    <n v="30"/>
    <m/>
    <m/>
    <x v="124"/>
    <x v="0"/>
    <n v="0.44117647058823528"/>
    <s v="NO"/>
    <m/>
  </r>
  <r>
    <d v="2014-06-01T00:00:00"/>
    <x v="0"/>
    <s v="Shalom"/>
    <x v="0"/>
    <x v="5"/>
    <x v="124"/>
    <n v="1"/>
    <m/>
    <m/>
    <n v="10"/>
    <n v="10"/>
    <m/>
    <m/>
    <m/>
    <m/>
    <n v="10"/>
    <m/>
    <m/>
    <x v="124"/>
    <x v="0"/>
    <n v="0.14705882352941177"/>
    <s v="NO"/>
    <m/>
  </r>
  <r>
    <d v="2014-12-01T00:00:00"/>
    <x v="0"/>
    <s v="Shalom"/>
    <x v="0"/>
    <x v="5"/>
    <x v="124"/>
    <n v="1"/>
    <m/>
    <m/>
    <n v="5"/>
    <n v="5"/>
    <m/>
    <m/>
    <m/>
    <m/>
    <n v="5"/>
    <m/>
    <m/>
    <x v="124"/>
    <x v="0"/>
    <n v="7.3529411764705885E-2"/>
    <s v="NO"/>
    <m/>
  </r>
  <r>
    <d v="2016-02-16T00:00:00"/>
    <x v="0"/>
    <s v="Shalom"/>
    <x v="0"/>
    <x v="5"/>
    <x v="124"/>
    <n v="1"/>
    <m/>
    <m/>
    <n v="10"/>
    <n v="10"/>
    <m/>
    <m/>
    <m/>
    <m/>
    <n v="10"/>
    <m/>
    <m/>
    <x v="124"/>
    <x v="0"/>
    <n v="0.14705882352941177"/>
    <s v="NO"/>
    <m/>
  </r>
  <r>
    <m/>
    <x v="15"/>
    <s v="Shalom"/>
    <x v="0"/>
    <x v="5"/>
    <x v="124"/>
    <n v="1"/>
    <m/>
    <m/>
    <n v="12"/>
    <n v="12"/>
    <m/>
    <m/>
    <m/>
    <m/>
    <n v="12"/>
    <m/>
    <m/>
    <x v="124"/>
    <x v="0"/>
    <n v="0.17647058823529413"/>
    <s v="NO"/>
    <m/>
  </r>
  <r>
    <m/>
    <x v="0"/>
    <s v="Shalom"/>
    <x v="0"/>
    <x v="5"/>
    <x v="124"/>
    <n v="1"/>
    <m/>
    <m/>
    <n v="40"/>
    <n v="40"/>
    <m/>
    <m/>
    <m/>
    <m/>
    <n v="40"/>
    <m/>
    <m/>
    <x v="124"/>
    <x v="0"/>
    <n v="0.58823529411764708"/>
    <s v="NO"/>
    <m/>
  </r>
  <r>
    <m/>
    <x v="0"/>
    <s v="Shalom"/>
    <x v="0"/>
    <x v="5"/>
    <x v="124"/>
    <n v="1"/>
    <m/>
    <m/>
    <n v="20"/>
    <n v="20"/>
    <m/>
    <m/>
    <m/>
    <m/>
    <n v="20"/>
    <m/>
    <m/>
    <x v="124"/>
    <x v="0"/>
    <n v="0.29411764705882354"/>
    <s v="NO"/>
    <m/>
  </r>
  <r>
    <m/>
    <x v="0"/>
    <s v="Shalom"/>
    <x v="0"/>
    <x v="5"/>
    <x v="125"/>
    <n v="1"/>
    <m/>
    <m/>
    <n v="10"/>
    <n v="10"/>
    <m/>
    <m/>
    <m/>
    <m/>
    <n v="10"/>
    <m/>
    <m/>
    <x v="125"/>
    <x v="0"/>
    <n v="0.83333333333333337"/>
    <s v="NO"/>
    <m/>
  </r>
  <r>
    <m/>
    <x v="0"/>
    <m/>
    <x v="0"/>
    <x v="5"/>
    <x v="125"/>
    <n v="1"/>
    <m/>
    <m/>
    <n v="5"/>
    <n v="5"/>
    <m/>
    <m/>
    <m/>
    <m/>
    <n v="5"/>
    <m/>
    <m/>
    <x v="125"/>
    <x v="0"/>
    <n v="0.41666666666666669"/>
    <s v="NO"/>
    <m/>
  </r>
  <r>
    <m/>
    <x v="0"/>
    <s v="KBC"/>
    <x v="0"/>
    <x v="5"/>
    <x v="126"/>
    <n v="1"/>
    <m/>
    <m/>
    <n v="20"/>
    <n v="20"/>
    <m/>
    <m/>
    <m/>
    <m/>
    <n v="20"/>
    <m/>
    <m/>
    <x v="126"/>
    <x v="0"/>
    <n v="0.625"/>
    <s v="NO"/>
    <m/>
  </r>
  <r>
    <m/>
    <x v="6"/>
    <s v="KBC"/>
    <x v="0"/>
    <x v="5"/>
    <x v="127"/>
    <n v="1"/>
    <m/>
    <m/>
    <n v="14"/>
    <n v="14"/>
    <m/>
    <m/>
    <m/>
    <m/>
    <n v="14"/>
    <m/>
    <m/>
    <x v="127"/>
    <x v="0"/>
    <n v="0.31818181818181818"/>
    <s v="NO"/>
    <m/>
  </r>
  <r>
    <m/>
    <x v="0"/>
    <s v="KBC"/>
    <x v="0"/>
    <x v="5"/>
    <x v="127"/>
    <n v="1"/>
    <m/>
    <m/>
    <n v="10"/>
    <n v="10"/>
    <m/>
    <m/>
    <m/>
    <m/>
    <n v="10"/>
    <m/>
    <m/>
    <x v="127"/>
    <x v="0"/>
    <n v="0.22727272727272727"/>
    <s v="NO"/>
    <m/>
  </r>
  <r>
    <m/>
    <x v="0"/>
    <s v="KBC"/>
    <x v="0"/>
    <x v="5"/>
    <x v="127"/>
    <n v="1"/>
    <m/>
    <m/>
    <n v="8"/>
    <n v="8"/>
    <m/>
    <m/>
    <m/>
    <m/>
    <n v="8"/>
    <m/>
    <m/>
    <x v="127"/>
    <x v="0"/>
    <n v="0.18181818181818182"/>
    <s v="NO"/>
    <m/>
  </r>
  <r>
    <d v="2013-12-01T00:00:00"/>
    <x v="0"/>
    <s v="Shalom"/>
    <x v="0"/>
    <x v="2"/>
    <x v="128"/>
    <n v="1"/>
    <m/>
    <m/>
    <n v="5"/>
    <n v="5"/>
    <m/>
    <m/>
    <m/>
    <m/>
    <n v="5"/>
    <m/>
    <m/>
    <x v="128"/>
    <x v="0"/>
    <n v="0.11363636363636363"/>
    <s v="NO"/>
    <m/>
  </r>
  <r>
    <d v="2014-12-01T00:00:00"/>
    <x v="0"/>
    <s v="Shalom"/>
    <x v="0"/>
    <x v="2"/>
    <x v="128"/>
    <n v="1"/>
    <m/>
    <m/>
    <n v="5"/>
    <n v="5"/>
    <m/>
    <m/>
    <m/>
    <m/>
    <n v="5"/>
    <m/>
    <m/>
    <x v="128"/>
    <x v="0"/>
    <n v="0.11363636363636363"/>
    <s v="NO"/>
    <m/>
  </r>
  <r>
    <m/>
    <x v="0"/>
    <s v="Shalom"/>
    <x v="0"/>
    <x v="2"/>
    <x v="128"/>
    <n v="1"/>
    <m/>
    <m/>
    <n v="45"/>
    <n v="45"/>
    <m/>
    <m/>
    <m/>
    <m/>
    <n v="45"/>
    <m/>
    <m/>
    <x v="128"/>
    <x v="0"/>
    <n v="1.0227272727272727"/>
    <s v="NO"/>
    <m/>
  </r>
  <r>
    <m/>
    <x v="11"/>
    <m/>
    <x v="0"/>
    <x v="2"/>
    <x v="128"/>
    <n v="1"/>
    <m/>
    <m/>
    <n v="24"/>
    <n v="24"/>
    <m/>
    <m/>
    <m/>
    <m/>
    <n v="24"/>
    <m/>
    <m/>
    <x v="128"/>
    <x v="0"/>
    <n v="0.54545454545454541"/>
    <s v="NO"/>
    <m/>
  </r>
  <r>
    <m/>
    <x v="0"/>
    <s v="Shalom"/>
    <x v="0"/>
    <x v="1"/>
    <x v="129"/>
    <n v="1"/>
    <m/>
    <m/>
    <n v="6"/>
    <m/>
    <m/>
    <m/>
    <m/>
    <m/>
    <n v="0"/>
    <m/>
    <m/>
    <x v="129"/>
    <x v="1"/>
    <s v=""/>
    <s v="NO"/>
    <m/>
  </r>
  <r>
    <m/>
    <x v="0"/>
    <m/>
    <x v="0"/>
    <x v="1"/>
    <x v="129"/>
    <n v="1"/>
    <m/>
    <m/>
    <n v="5"/>
    <m/>
    <m/>
    <m/>
    <m/>
    <m/>
    <n v="0"/>
    <m/>
    <m/>
    <x v="129"/>
    <x v="1"/>
    <s v=""/>
    <s v="NO"/>
    <m/>
  </r>
  <r>
    <d v="2013-12-01T00:00:00"/>
    <x v="0"/>
    <s v="Shalom"/>
    <x v="0"/>
    <x v="2"/>
    <x v="130"/>
    <n v="1"/>
    <m/>
    <m/>
    <n v="6"/>
    <n v="6"/>
    <m/>
    <m/>
    <m/>
    <m/>
    <n v="6"/>
    <m/>
    <m/>
    <x v="130"/>
    <x v="0"/>
    <n v="6.6666666666666666E-2"/>
    <s v="NO"/>
    <m/>
  </r>
  <r>
    <m/>
    <x v="0"/>
    <s v="Shalom"/>
    <x v="0"/>
    <x v="2"/>
    <x v="130"/>
    <n v="1"/>
    <m/>
    <m/>
    <n v="34"/>
    <n v="34"/>
    <m/>
    <m/>
    <m/>
    <m/>
    <n v="34"/>
    <m/>
    <m/>
    <x v="130"/>
    <x v="0"/>
    <n v="0.37777777777777777"/>
    <s v="NO"/>
    <m/>
  </r>
  <r>
    <m/>
    <x v="11"/>
    <m/>
    <x v="0"/>
    <x v="2"/>
    <x v="130"/>
    <n v="1"/>
    <m/>
    <m/>
    <n v="15"/>
    <n v="15"/>
    <m/>
    <m/>
    <m/>
    <m/>
    <n v="15"/>
    <m/>
    <m/>
    <x v="130"/>
    <x v="0"/>
    <n v="0.16666666666666666"/>
    <s v="NO"/>
    <m/>
  </r>
  <r>
    <m/>
    <x v="0"/>
    <s v="KBC"/>
    <x v="0"/>
    <x v="2"/>
    <x v="131"/>
    <n v="1"/>
    <m/>
    <m/>
    <n v="10"/>
    <n v="10"/>
    <m/>
    <m/>
    <m/>
    <m/>
    <n v="10"/>
    <m/>
    <m/>
    <x v="131"/>
    <x v="1"/>
    <s v=""/>
    <s v="NO"/>
    <m/>
  </r>
  <r>
    <m/>
    <x v="0"/>
    <m/>
    <x v="0"/>
    <x v="2"/>
    <x v="131"/>
    <n v="1"/>
    <m/>
    <m/>
    <n v="5"/>
    <n v="5"/>
    <m/>
    <m/>
    <m/>
    <m/>
    <n v="5"/>
    <m/>
    <m/>
    <x v="131"/>
    <x v="1"/>
    <s v=""/>
    <s v="NO"/>
    <m/>
  </r>
  <r>
    <m/>
    <x v="11"/>
    <m/>
    <x v="0"/>
    <x v="2"/>
    <x v="131"/>
    <n v="1"/>
    <m/>
    <m/>
    <n v="10"/>
    <n v="10"/>
    <m/>
    <m/>
    <m/>
    <m/>
    <n v="10"/>
    <m/>
    <m/>
    <x v="131"/>
    <x v="1"/>
    <s v=""/>
    <s v="NO"/>
    <m/>
  </r>
  <r>
    <m/>
    <x v="0"/>
    <s v="KMSS"/>
    <x v="0"/>
    <x v="0"/>
    <x v="132"/>
    <n v="1"/>
    <m/>
    <m/>
    <m/>
    <m/>
    <m/>
    <m/>
    <m/>
    <m/>
    <n v="0"/>
    <n v="14"/>
    <m/>
    <x v="132"/>
    <x v="1"/>
    <s v=""/>
    <s v="NO"/>
    <m/>
  </r>
  <r>
    <d v="2013-12-01T00:00:00"/>
    <x v="0"/>
    <s v="KBC"/>
    <x v="0"/>
    <x v="0"/>
    <x v="133"/>
    <n v="1"/>
    <m/>
    <m/>
    <n v="15"/>
    <n v="15"/>
    <m/>
    <m/>
    <m/>
    <m/>
    <n v="15"/>
    <m/>
    <m/>
    <x v="133"/>
    <x v="0"/>
    <n v="0.36585365853658536"/>
    <s v="NO"/>
    <m/>
  </r>
  <r>
    <m/>
    <x v="1"/>
    <m/>
    <x v="0"/>
    <x v="0"/>
    <x v="133"/>
    <n v="1"/>
    <n v="7"/>
    <n v="7"/>
    <m/>
    <m/>
    <m/>
    <m/>
    <m/>
    <m/>
    <n v="0"/>
    <m/>
    <m/>
    <x v="133"/>
    <x v="0"/>
    <n v="0"/>
    <s v="NO"/>
    <m/>
  </r>
  <r>
    <m/>
    <x v="1"/>
    <m/>
    <x v="0"/>
    <x v="0"/>
    <x v="134"/>
    <n v="1"/>
    <n v="47"/>
    <n v="47"/>
    <m/>
    <m/>
    <m/>
    <m/>
    <m/>
    <m/>
    <n v="0"/>
    <m/>
    <m/>
    <x v="112"/>
    <x v="2"/>
    <s v=""/>
    <s v="NO"/>
    <m/>
  </r>
  <r>
    <d v="2013-12-01T00:00:00"/>
    <x v="0"/>
    <s v="KMSS"/>
    <x v="0"/>
    <x v="2"/>
    <x v="135"/>
    <n v="1"/>
    <m/>
    <m/>
    <n v="160"/>
    <n v="160"/>
    <m/>
    <m/>
    <m/>
    <m/>
    <n v="160"/>
    <m/>
    <m/>
    <x v="134"/>
    <x v="0"/>
    <n v="0.11869436201780416"/>
    <s v="NO"/>
    <m/>
  </r>
  <r>
    <m/>
    <x v="5"/>
    <m/>
    <x v="0"/>
    <x v="2"/>
    <x v="135"/>
    <n v="1"/>
    <m/>
    <m/>
    <n v="300"/>
    <m/>
    <m/>
    <m/>
    <m/>
    <m/>
    <n v="0"/>
    <m/>
    <m/>
    <x v="134"/>
    <x v="0"/>
    <n v="0"/>
    <s v="NO"/>
    <m/>
  </r>
  <r>
    <m/>
    <x v="0"/>
    <s v="Shalom"/>
    <x v="0"/>
    <x v="5"/>
    <x v="136"/>
    <n v="1"/>
    <m/>
    <m/>
    <n v="24"/>
    <n v="24"/>
    <m/>
    <m/>
    <m/>
    <m/>
    <n v="24"/>
    <m/>
    <m/>
    <x v="135"/>
    <x v="0"/>
    <n v="3.4285714285714284"/>
    <s v="NO"/>
    <m/>
  </r>
  <r>
    <d v="2013-12-01T00:00:00"/>
    <x v="0"/>
    <m/>
    <x v="0"/>
    <x v="1"/>
    <x v="137"/>
    <n v="1"/>
    <m/>
    <m/>
    <n v="5"/>
    <n v="5"/>
    <m/>
    <m/>
    <m/>
    <m/>
    <n v="5"/>
    <m/>
    <m/>
    <x v="136"/>
    <x v="0"/>
    <n v="0.33333333333333331"/>
    <s v="NO"/>
    <m/>
  </r>
  <r>
    <m/>
    <x v="5"/>
    <m/>
    <x v="0"/>
    <x v="1"/>
    <x v="137"/>
    <n v="1"/>
    <m/>
    <m/>
    <n v="30"/>
    <n v="30"/>
    <m/>
    <m/>
    <m/>
    <m/>
    <n v="30"/>
    <m/>
    <m/>
    <x v="136"/>
    <x v="0"/>
    <n v="2"/>
    <s v="NO"/>
    <m/>
  </r>
  <r>
    <m/>
    <x v="0"/>
    <s v="Metta"/>
    <x v="0"/>
    <x v="1"/>
    <x v="137"/>
    <n v="1"/>
    <m/>
    <m/>
    <n v="12"/>
    <n v="12"/>
    <m/>
    <m/>
    <m/>
    <m/>
    <n v="12"/>
    <m/>
    <m/>
    <x v="136"/>
    <x v="0"/>
    <n v="0.8"/>
    <s v="NO"/>
    <m/>
  </r>
  <r>
    <m/>
    <x v="0"/>
    <s v="Shalom"/>
    <x v="0"/>
    <x v="1"/>
    <x v="137"/>
    <n v="1"/>
    <m/>
    <m/>
    <n v="10"/>
    <n v="10"/>
    <m/>
    <m/>
    <m/>
    <m/>
    <n v="10"/>
    <m/>
    <m/>
    <x v="136"/>
    <x v="0"/>
    <n v="0.66666666666666663"/>
    <s v="NO"/>
    <m/>
  </r>
  <r>
    <m/>
    <x v="0"/>
    <m/>
    <x v="0"/>
    <x v="1"/>
    <x v="137"/>
    <n v="1"/>
    <m/>
    <m/>
    <n v="6"/>
    <m/>
    <m/>
    <m/>
    <m/>
    <m/>
    <n v="0"/>
    <m/>
    <m/>
    <x v="136"/>
    <x v="0"/>
    <n v="0"/>
    <s v="NO"/>
    <m/>
  </r>
  <r>
    <m/>
    <x v="0"/>
    <s v="Shalom"/>
    <x v="0"/>
    <x v="0"/>
    <x v="138"/>
    <n v="1"/>
    <m/>
    <m/>
    <n v="10"/>
    <n v="10"/>
    <m/>
    <m/>
    <m/>
    <m/>
    <n v="10"/>
    <m/>
    <m/>
    <x v="137"/>
    <x v="0"/>
    <n v="0.5"/>
    <s v="NO"/>
    <m/>
  </r>
  <r>
    <d v="2013-12-01T00:00:00"/>
    <x v="0"/>
    <s v="KBC"/>
    <x v="0"/>
    <x v="2"/>
    <x v="139"/>
    <n v="1"/>
    <m/>
    <m/>
    <n v="76"/>
    <n v="76"/>
    <m/>
    <m/>
    <m/>
    <m/>
    <n v="76"/>
    <m/>
    <m/>
    <x v="138"/>
    <x v="0"/>
    <n v="0.12258064516129032"/>
    <s v="NO"/>
    <m/>
  </r>
  <r>
    <d v="2016-02-16T00:00:00"/>
    <x v="0"/>
    <s v="KBC"/>
    <x v="0"/>
    <x v="2"/>
    <x v="139"/>
    <n v="1"/>
    <m/>
    <m/>
    <m/>
    <m/>
    <m/>
    <m/>
    <m/>
    <m/>
    <n v="0"/>
    <n v="8"/>
    <n v="8"/>
    <x v="138"/>
    <x v="0"/>
    <n v="0"/>
    <s v="NO"/>
    <m/>
  </r>
  <r>
    <m/>
    <x v="7"/>
    <s v="KBC"/>
    <x v="0"/>
    <x v="2"/>
    <x v="139"/>
    <n v="1"/>
    <m/>
    <m/>
    <n v="220"/>
    <n v="220"/>
    <m/>
    <m/>
    <m/>
    <m/>
    <n v="220"/>
    <m/>
    <m/>
    <x v="138"/>
    <x v="0"/>
    <n v="0.35483870967741937"/>
    <s v="NO"/>
    <m/>
  </r>
  <r>
    <m/>
    <x v="0"/>
    <s v="KBC"/>
    <x v="0"/>
    <x v="2"/>
    <x v="139"/>
    <n v="1"/>
    <m/>
    <m/>
    <n v="325"/>
    <n v="325"/>
    <m/>
    <m/>
    <m/>
    <m/>
    <n v="325"/>
    <m/>
    <m/>
    <x v="138"/>
    <x v="0"/>
    <n v="0.52419354838709675"/>
    <s v="NO"/>
    <m/>
  </r>
  <r>
    <d v="2016-02-16T00:00:00"/>
    <x v="5"/>
    <m/>
    <x v="1"/>
    <x v="8"/>
    <x v="140"/>
    <n v="1"/>
    <m/>
    <m/>
    <n v="16"/>
    <n v="16"/>
    <m/>
    <m/>
    <m/>
    <m/>
    <n v="16"/>
    <m/>
    <m/>
    <x v="139"/>
    <x v="0"/>
    <n v="8.4656084656084651E-2"/>
    <s v="NO"/>
    <m/>
  </r>
  <r>
    <m/>
    <x v="9"/>
    <s v="MDCG"/>
    <x v="1"/>
    <x v="8"/>
    <x v="140"/>
    <n v="1"/>
    <m/>
    <m/>
    <n v="85"/>
    <n v="85"/>
    <m/>
    <m/>
    <m/>
    <m/>
    <n v="85"/>
    <m/>
    <m/>
    <x v="139"/>
    <x v="0"/>
    <n v="0.44973544973544971"/>
    <s v="NO"/>
    <m/>
  </r>
  <r>
    <m/>
    <x v="0"/>
    <m/>
    <x v="0"/>
    <x v="0"/>
    <x v="141"/>
    <n v="1"/>
    <n v="30"/>
    <n v="30"/>
    <m/>
    <m/>
    <m/>
    <m/>
    <m/>
    <m/>
    <n v="0"/>
    <m/>
    <m/>
    <x v="112"/>
    <x v="2"/>
    <s v=""/>
    <s v="NO"/>
    <m/>
  </r>
  <r>
    <m/>
    <x v="7"/>
    <s v="KBC"/>
    <x v="0"/>
    <x v="5"/>
    <x v="141"/>
    <n v="1"/>
    <m/>
    <m/>
    <n v="15"/>
    <n v="15"/>
    <m/>
    <m/>
    <m/>
    <m/>
    <n v="15"/>
    <m/>
    <m/>
    <x v="112"/>
    <x v="2"/>
    <s v=""/>
    <s v="NO"/>
    <m/>
  </r>
  <r>
    <m/>
    <x v="0"/>
    <m/>
    <x v="0"/>
    <x v="10"/>
    <x v="141"/>
    <n v="1"/>
    <n v="55"/>
    <n v="55"/>
    <m/>
    <m/>
    <m/>
    <m/>
    <m/>
    <m/>
    <n v="0"/>
    <m/>
    <m/>
    <x v="112"/>
    <x v="2"/>
    <s v=""/>
    <s v="NO"/>
    <m/>
  </r>
</pivotCacheRecords>
</file>

<file path=xl/pivotCache/pivotCacheRecords3.xml><?xml version="1.0" encoding="utf-8"?>
<pivotCacheRecords xmlns="http://schemas.openxmlformats.org/spreadsheetml/2006/main" xmlns:r="http://schemas.openxmlformats.org/officeDocument/2006/relationships" count="984">
  <r>
    <n v="-1.5333333333333334"/>
    <d v="2016-02-16T00:00:00"/>
    <x v="0"/>
    <s v="KBC"/>
    <s v="Kachin"/>
    <s v="Momauk"/>
    <m/>
    <m/>
    <m/>
    <m/>
    <m/>
    <m/>
    <m/>
    <m/>
    <m/>
    <m/>
    <m/>
    <m/>
    <m/>
    <m/>
    <n v="348"/>
    <m/>
    <m/>
    <m/>
    <n v="0"/>
    <n v="0"/>
    <n v="0"/>
    <n v="0"/>
    <n v="0"/>
    <m/>
    <m/>
    <n v="0"/>
    <n v="0"/>
    <n v="0"/>
    <n v="0"/>
    <n v="0"/>
    <n v="0"/>
    <n v="348"/>
    <x v="0"/>
    <n v="0"/>
    <s v=""/>
    <x v="0"/>
    <x v="0"/>
    <x v="0"/>
    <s v=""/>
    <m/>
    <s v="These blankets were distributed by UNHCR when mission trip to liaza. Distribution records are not received yet"/>
  </r>
  <r>
    <n v="0.56666666666666665"/>
    <d v="2015-12-15T00:00:00"/>
    <x v="0"/>
    <s v="KBC"/>
    <s v="Kachin"/>
    <s v="Myitkyina"/>
    <s v="Manhkring camp"/>
    <m/>
    <m/>
    <m/>
    <n v="7"/>
    <n v="7"/>
    <m/>
    <n v="7"/>
    <m/>
    <n v="7"/>
    <n v="27"/>
    <m/>
    <m/>
    <m/>
    <n v="27"/>
    <n v="7"/>
    <m/>
    <m/>
    <n v="0"/>
    <n v="0"/>
    <n v="0"/>
    <n v="7"/>
    <n v="7"/>
    <n v="0"/>
    <n v="7"/>
    <n v="0"/>
    <n v="7"/>
    <n v="67.5"/>
    <n v="0"/>
    <n v="0"/>
    <n v="0"/>
    <n v="27"/>
    <x v="0"/>
    <n v="7"/>
    <s v=""/>
    <x v="0"/>
    <x v="0"/>
    <x v="0"/>
    <s v=""/>
    <s v="No"/>
    <m/>
  </r>
  <r>
    <n v="0.7"/>
    <d v="2015-12-11T00:00:00"/>
    <x v="0"/>
    <s v="Shalom"/>
    <s v="Kachin"/>
    <s v="Myitkyina"/>
    <s v="Tat Kone Emanuel Church"/>
    <m/>
    <m/>
    <m/>
    <m/>
    <m/>
    <m/>
    <m/>
    <m/>
    <m/>
    <m/>
    <m/>
    <m/>
    <m/>
    <n v="11"/>
    <m/>
    <m/>
    <m/>
    <n v="0"/>
    <n v="0"/>
    <n v="0"/>
    <n v="0"/>
    <n v="0"/>
    <n v="0"/>
    <n v="0"/>
    <n v="0"/>
    <n v="0"/>
    <n v="0"/>
    <n v="0"/>
    <n v="0"/>
    <n v="0"/>
    <n v="11"/>
    <x v="0"/>
    <n v="0"/>
    <s v="MMR001CMP004"/>
    <x v="1"/>
    <x v="1"/>
    <x v="1"/>
    <n v="0"/>
    <s v="No"/>
    <m/>
  </r>
  <r>
    <n v="1.1666666666666667"/>
    <d v="2015-11-27T00:00:00"/>
    <x v="0"/>
    <s v="KBC"/>
    <s v="Kachin"/>
    <s v="Shwegu"/>
    <s v="Shwe Gu (MyoHla)"/>
    <m/>
    <m/>
    <m/>
    <m/>
    <n v="9"/>
    <n v="23"/>
    <n v="10"/>
    <m/>
    <n v="8"/>
    <n v="24"/>
    <m/>
    <m/>
    <m/>
    <m/>
    <n v="6"/>
    <m/>
    <m/>
    <n v="0"/>
    <n v="0"/>
    <n v="0"/>
    <n v="0"/>
    <n v="9"/>
    <n v="23"/>
    <n v="10"/>
    <n v="0"/>
    <n v="8"/>
    <n v="60"/>
    <n v="0"/>
    <n v="0"/>
    <n v="0"/>
    <n v="0"/>
    <x v="1"/>
    <n v="6"/>
    <s v=""/>
    <x v="0"/>
    <x v="0"/>
    <x v="0"/>
    <s v=""/>
    <s v="No"/>
    <m/>
  </r>
  <r>
    <n v="1.2333333333333334"/>
    <d v="2015-11-25T00:00:00"/>
    <x v="0"/>
    <s v="KBC"/>
    <s v="Kachin"/>
    <s v="Shwegu"/>
    <s v="Shwe Gu Baptist Church"/>
    <m/>
    <m/>
    <m/>
    <m/>
    <n v="4"/>
    <n v="16"/>
    <n v="4"/>
    <m/>
    <n v="4"/>
    <n v="23"/>
    <m/>
    <m/>
    <m/>
    <m/>
    <n v="7"/>
    <m/>
    <m/>
    <n v="0"/>
    <n v="0"/>
    <n v="0"/>
    <n v="0"/>
    <n v="4"/>
    <n v="16"/>
    <n v="4"/>
    <n v="0"/>
    <n v="4"/>
    <n v="57.5"/>
    <n v="0"/>
    <n v="0"/>
    <n v="0"/>
    <n v="0"/>
    <x v="1"/>
    <n v="7"/>
    <s v="MMR001CMP067"/>
    <x v="1"/>
    <x v="1"/>
    <x v="1"/>
    <n v="4.8192771084337352E-2"/>
    <s v="No"/>
    <m/>
  </r>
  <r>
    <n v="1.2333333333333334"/>
    <d v="2015-11-25T00:00:00"/>
    <x v="0"/>
    <s v="KBC"/>
    <s v="Kachin"/>
    <s v="Shwegu"/>
    <s v="Shwe Gu Catholic Church"/>
    <m/>
    <m/>
    <m/>
    <m/>
    <n v="4"/>
    <n v="12"/>
    <n v="3"/>
    <m/>
    <n v="4"/>
    <n v="14"/>
    <m/>
    <m/>
    <m/>
    <m/>
    <n v="4"/>
    <m/>
    <m/>
    <n v="0"/>
    <n v="0"/>
    <n v="0"/>
    <n v="0"/>
    <n v="4"/>
    <n v="12"/>
    <n v="3"/>
    <n v="0"/>
    <n v="4"/>
    <n v="35"/>
    <n v="0"/>
    <n v="0"/>
    <n v="0"/>
    <n v="0"/>
    <x v="1"/>
    <n v="4"/>
    <s v="MMR001CMP068"/>
    <x v="1"/>
    <x v="1"/>
    <x v="1"/>
    <n v="7.3170731707317069E-2"/>
    <s v="No"/>
    <m/>
  </r>
  <r>
    <n v="1.2666666666666666"/>
    <d v="2015-11-24T00:00:00"/>
    <x v="0"/>
    <s v="KMSS"/>
    <s v="Kachin"/>
    <s v="Myitkyina"/>
    <s v="Pa Dauk Myaing(Pa La Na)"/>
    <m/>
    <m/>
    <m/>
    <m/>
    <m/>
    <m/>
    <m/>
    <m/>
    <m/>
    <m/>
    <m/>
    <m/>
    <m/>
    <n v="50"/>
    <m/>
    <m/>
    <m/>
    <n v="0"/>
    <n v="0"/>
    <n v="0"/>
    <n v="0"/>
    <n v="0"/>
    <n v="0"/>
    <n v="0"/>
    <n v="0"/>
    <n v="0"/>
    <n v="0"/>
    <n v="0"/>
    <n v="0"/>
    <n v="0"/>
    <n v="50"/>
    <x v="0"/>
    <n v="0"/>
    <s v="MMR001CMP162"/>
    <x v="1"/>
    <x v="1"/>
    <x v="1"/>
    <n v="0"/>
    <s v="No"/>
    <m/>
  </r>
  <r>
    <n v="2"/>
    <d v="2015-11-02T00:00:00"/>
    <x v="0"/>
    <s v="KBC"/>
    <s v="Kachin"/>
    <s v="Mansi"/>
    <s v="Mai hkawng Camp (RC +KBC)"/>
    <m/>
    <m/>
    <n v="223"/>
    <m/>
    <n v="30"/>
    <m/>
    <m/>
    <m/>
    <m/>
    <n v="337"/>
    <m/>
    <m/>
    <m/>
    <m/>
    <m/>
    <m/>
    <m/>
    <n v="0"/>
    <n v="0"/>
    <n v="223"/>
    <n v="0"/>
    <n v="30"/>
    <n v="0"/>
    <n v="0"/>
    <n v="0"/>
    <n v="0"/>
    <n v="842.5"/>
    <n v="0"/>
    <n v="0"/>
    <n v="0"/>
    <n v="0"/>
    <x v="1"/>
    <n v="0"/>
    <s v=""/>
    <x v="0"/>
    <x v="0"/>
    <x v="0"/>
    <s v=""/>
    <s v="No"/>
    <m/>
  </r>
  <r>
    <n v="3.0666666666666669"/>
    <d v="2015-10-01T00:00:00"/>
    <x v="0"/>
    <s v="KBC"/>
    <s v="Kachin"/>
    <s v="Mansi"/>
    <s v="Mai hkawng Camp (RC +KBC)"/>
    <m/>
    <n v="77"/>
    <n v="232"/>
    <n v="200"/>
    <n v="89"/>
    <n v="200"/>
    <n v="119"/>
    <m/>
    <n v="119"/>
    <n v="345"/>
    <m/>
    <m/>
    <m/>
    <m/>
    <n v="119"/>
    <m/>
    <n v="45"/>
    <n v="0"/>
    <n v="77"/>
    <n v="232"/>
    <n v="200"/>
    <n v="89"/>
    <n v="200"/>
    <n v="119"/>
    <n v="0"/>
    <n v="119"/>
    <n v="862.5"/>
    <n v="0"/>
    <n v="0"/>
    <n v="0"/>
    <n v="0"/>
    <x v="1"/>
    <n v="119"/>
    <s v=""/>
    <x v="0"/>
    <x v="0"/>
    <x v="0"/>
    <s v=""/>
    <s v="No"/>
    <m/>
  </r>
  <r>
    <n v="3.3666666666666667"/>
    <d v="2015-09-22T00:00:00"/>
    <x v="0"/>
    <s v="KBC"/>
    <s v="Kachin"/>
    <s v="Mansi"/>
    <s v="Mai hkawng Camp (RC +KBC)"/>
    <m/>
    <m/>
    <n v="145"/>
    <n v="132"/>
    <n v="66"/>
    <n v="132"/>
    <n v="66"/>
    <m/>
    <n v="66"/>
    <n v="243"/>
    <m/>
    <m/>
    <m/>
    <m/>
    <n v="66"/>
    <m/>
    <m/>
    <n v="0"/>
    <n v="0"/>
    <n v="145"/>
    <n v="132"/>
    <n v="66"/>
    <n v="132"/>
    <n v="66"/>
    <n v="0"/>
    <n v="66"/>
    <n v="607.5"/>
    <n v="0"/>
    <n v="0"/>
    <n v="0"/>
    <n v="0"/>
    <x v="1"/>
    <n v="66"/>
    <s v=""/>
    <x v="0"/>
    <x v="0"/>
    <x v="0"/>
    <s v=""/>
    <s v="No"/>
    <m/>
  </r>
  <r>
    <n v="3.4"/>
    <d v="2015-09-21T00:00:00"/>
    <x v="0"/>
    <s v="KMSS-MKN"/>
    <s v="Kachin"/>
    <s v="Myitkyina"/>
    <m/>
    <m/>
    <m/>
    <m/>
    <m/>
    <m/>
    <m/>
    <m/>
    <m/>
    <m/>
    <m/>
    <m/>
    <m/>
    <m/>
    <m/>
    <m/>
    <m/>
    <m/>
    <n v="0"/>
    <n v="0"/>
    <n v="0"/>
    <n v="0"/>
    <n v="0"/>
    <n v="0"/>
    <n v="0"/>
    <n v="0"/>
    <n v="0"/>
    <n v="0"/>
    <n v="0"/>
    <n v="0"/>
    <n v="0"/>
    <n v="0"/>
    <x v="1"/>
    <n v="0"/>
    <s v=""/>
    <x v="0"/>
    <x v="0"/>
    <x v="0"/>
    <s v=""/>
    <s v="No"/>
    <m/>
  </r>
  <r>
    <n v="3.4"/>
    <d v="2015-09-21T00:00:00"/>
    <x v="0"/>
    <s v="KMSS"/>
    <s v="Kachin"/>
    <s v="Waingmaw"/>
    <s v="Maina Catholic Church (St. Joseph)"/>
    <m/>
    <m/>
    <m/>
    <n v="41"/>
    <n v="16"/>
    <n v="41"/>
    <n v="16"/>
    <m/>
    <n v="16"/>
    <n v="80"/>
    <m/>
    <m/>
    <m/>
    <m/>
    <n v="16"/>
    <m/>
    <m/>
    <n v="0"/>
    <n v="0"/>
    <n v="0"/>
    <n v="41"/>
    <n v="16"/>
    <n v="41"/>
    <n v="16"/>
    <n v="0"/>
    <n v="16"/>
    <n v="200"/>
    <n v="0"/>
    <n v="0"/>
    <n v="0"/>
    <n v="0"/>
    <x v="1"/>
    <n v="16"/>
    <s v="MMR001CMP029"/>
    <x v="1"/>
    <x v="1"/>
    <x v="1"/>
    <n v="7.0484581497797363E-2"/>
    <s v="No"/>
    <m/>
  </r>
  <r>
    <n v="3.5"/>
    <d v="2015-09-18T00:00:00"/>
    <x v="0"/>
    <s v="KMSS"/>
    <s v="Kachin"/>
    <s v="Myitkyina"/>
    <s v="Pa Dauk Myaing(Pa La Na)"/>
    <m/>
    <n v="11"/>
    <n v="11"/>
    <n v="21"/>
    <n v="16"/>
    <n v="21"/>
    <n v="11"/>
    <m/>
    <n v="11"/>
    <n v="42"/>
    <m/>
    <m/>
    <m/>
    <m/>
    <n v="11"/>
    <m/>
    <n v="6"/>
    <n v="0"/>
    <n v="11"/>
    <n v="11"/>
    <n v="21"/>
    <n v="16"/>
    <n v="21"/>
    <n v="11"/>
    <n v="0"/>
    <n v="11"/>
    <n v="105"/>
    <n v="0"/>
    <n v="0"/>
    <n v="0"/>
    <n v="0"/>
    <x v="1"/>
    <n v="11"/>
    <s v="MMR001CMP162"/>
    <x v="1"/>
    <x v="1"/>
    <x v="1"/>
    <n v="0.24444444444444444"/>
    <s v="No"/>
    <m/>
  </r>
  <r>
    <n v="4.2333333333333334"/>
    <d v="2015-08-27T00:00:00"/>
    <x v="0"/>
    <s v="KBC"/>
    <s v="Kachin"/>
    <s v="Myitkyina"/>
    <m/>
    <m/>
    <m/>
    <m/>
    <m/>
    <m/>
    <m/>
    <m/>
    <m/>
    <m/>
    <m/>
    <m/>
    <m/>
    <m/>
    <m/>
    <m/>
    <n v="10"/>
    <m/>
    <n v="0"/>
    <n v="0"/>
    <n v="0"/>
    <n v="0"/>
    <n v="0"/>
    <n v="0"/>
    <n v="0"/>
    <n v="0"/>
    <n v="0"/>
    <n v="0"/>
    <n v="0"/>
    <n v="0"/>
    <n v="0"/>
    <n v="0"/>
    <x v="1"/>
    <n v="0"/>
    <s v=""/>
    <x v="0"/>
    <x v="0"/>
    <x v="0"/>
    <s v=""/>
    <s v="No"/>
    <m/>
  </r>
  <r>
    <n v="4.2333333333333334"/>
    <d v="2015-08-27T00:00:00"/>
    <x v="0"/>
    <s v="KMSS-MKN"/>
    <s v="Kachin"/>
    <s v="Myitkyina"/>
    <m/>
    <m/>
    <m/>
    <m/>
    <m/>
    <m/>
    <m/>
    <m/>
    <m/>
    <m/>
    <m/>
    <m/>
    <m/>
    <m/>
    <m/>
    <m/>
    <n v="7"/>
    <m/>
    <n v="0"/>
    <n v="0"/>
    <n v="0"/>
    <n v="0"/>
    <n v="0"/>
    <n v="0"/>
    <n v="0"/>
    <n v="0"/>
    <n v="0"/>
    <n v="0"/>
    <n v="0"/>
    <n v="0"/>
    <n v="0"/>
    <n v="0"/>
    <x v="1"/>
    <n v="0"/>
    <s v=""/>
    <x v="0"/>
    <x v="0"/>
    <x v="0"/>
    <s v=""/>
    <s v="No"/>
    <m/>
  </r>
  <r>
    <n v="4.2333333333333334"/>
    <d v="2015-08-27T00:00:00"/>
    <x v="0"/>
    <s v="Shalom"/>
    <s v="Kachin"/>
    <s v="Myitkyina"/>
    <m/>
    <m/>
    <m/>
    <m/>
    <m/>
    <m/>
    <m/>
    <m/>
    <m/>
    <m/>
    <m/>
    <m/>
    <m/>
    <m/>
    <m/>
    <m/>
    <n v="8"/>
    <m/>
    <n v="0"/>
    <n v="0"/>
    <n v="0"/>
    <n v="0"/>
    <n v="0"/>
    <n v="0"/>
    <n v="0"/>
    <n v="0"/>
    <n v="0"/>
    <n v="0"/>
    <n v="0"/>
    <n v="0"/>
    <n v="0"/>
    <n v="0"/>
    <x v="1"/>
    <n v="0"/>
    <s v=""/>
    <x v="0"/>
    <x v="0"/>
    <x v="0"/>
    <s v=""/>
    <s v="No"/>
    <s v="Updated on 2/Dec/2015. Data source: mail by Win Aung Htun_x000a_Updated on 11/Nov/2015. Added jerry can data. Data source: mail by Win Aung Htun_x000a_Updated on 29/Sep/2015. _x000a_Data Source: Lu Lu Awng and Win Aung Tun"/>
  </r>
  <r>
    <n v="4.7666666666666666"/>
    <d v="2015-08-11T00:00:00"/>
    <x v="0"/>
    <s v="KBC"/>
    <s v="Kachin"/>
    <s v="Mogaung"/>
    <s v="Kyun Taw Baptist Church "/>
    <m/>
    <m/>
    <m/>
    <n v="14"/>
    <n v="14"/>
    <m/>
    <m/>
    <m/>
    <m/>
    <m/>
    <m/>
    <m/>
    <m/>
    <m/>
    <m/>
    <m/>
    <m/>
    <n v="0"/>
    <n v="0"/>
    <n v="0"/>
    <n v="14"/>
    <n v="14"/>
    <n v="0"/>
    <n v="0"/>
    <n v="0"/>
    <n v="0"/>
    <n v="0"/>
    <n v="0"/>
    <n v="0"/>
    <n v="0"/>
    <n v="0"/>
    <x v="1"/>
    <n v="0"/>
    <s v="MMR001CMP078"/>
    <x v="1"/>
    <x v="1"/>
    <x v="1"/>
    <n v="0"/>
    <s v="No"/>
    <s v="Updated on 2/Dec/2015. Data source: mail by Win Aung Htun_x000a_Updated on 29/Sep/2015. _x000a_Data Source: Lu Lu Awng and Win Aung Tun"/>
  </r>
  <r>
    <n v="4.7666666666666666"/>
    <d v="2015-08-11T00:00:00"/>
    <x v="0"/>
    <s v="Shalom"/>
    <s v="Kachin"/>
    <s v="Myitkyina"/>
    <s v="Tat Kone Emanuel Church"/>
    <m/>
    <m/>
    <m/>
    <n v="6"/>
    <n v="4"/>
    <n v="6"/>
    <n v="4"/>
    <m/>
    <n v="4"/>
    <n v="10"/>
    <m/>
    <m/>
    <m/>
    <m/>
    <n v="4"/>
    <m/>
    <m/>
    <n v="0"/>
    <n v="0"/>
    <n v="0"/>
    <n v="6"/>
    <n v="4"/>
    <n v="6"/>
    <n v="4"/>
    <n v="0"/>
    <n v="4"/>
    <n v="25"/>
    <n v="0"/>
    <n v="0"/>
    <n v="0"/>
    <n v="0"/>
    <x v="1"/>
    <n v="4"/>
    <s v="MMR001CMP004"/>
    <x v="1"/>
    <x v="1"/>
    <x v="1"/>
    <n v="0.33333333333333331"/>
    <s v="No"/>
    <m/>
  </r>
  <r>
    <n v="5.4666666666666668"/>
    <d v="2015-07-21T00:00:00"/>
    <x v="0"/>
    <s v="KBC"/>
    <s v="Kachin"/>
    <s v="Sumprabum"/>
    <s v="Sumprabum"/>
    <m/>
    <m/>
    <m/>
    <m/>
    <n v="250"/>
    <m/>
    <m/>
    <m/>
    <m/>
    <m/>
    <m/>
    <m/>
    <m/>
    <m/>
    <m/>
    <m/>
    <m/>
    <n v="0"/>
    <n v="0"/>
    <n v="0"/>
    <n v="0"/>
    <n v="250"/>
    <n v="0"/>
    <n v="0"/>
    <n v="0"/>
    <n v="0"/>
    <n v="0"/>
    <n v="0"/>
    <n v="0"/>
    <n v="0"/>
    <n v="0"/>
    <x v="1"/>
    <n v="0"/>
    <s v="MMR001CMP206"/>
    <x v="1"/>
    <x v="1"/>
    <x v="1"/>
    <n v="0"/>
    <s v="No"/>
    <s v="Updated on 2/Dec/2015. Data source: mail by Win Aung Htun_x000a_Updated on 11/Nov/2015. Added jerry can data. Data source: mail by Win Aung Htun_x000a_Updated on 29/Sep/2015. _x000a_Data Source: Lu Lu Awng and Win Aung Tun"/>
  </r>
  <r>
    <n v="7.0333333333333332"/>
    <d v="2015-06-04T00:00:00"/>
    <x v="0"/>
    <s v="KBC"/>
    <s v="Kachin"/>
    <s v="Momauk"/>
    <s v="Loi Je Lisu Camp"/>
    <m/>
    <m/>
    <m/>
    <m/>
    <n v="88"/>
    <n v="27"/>
    <n v="9"/>
    <m/>
    <n v="9"/>
    <n v="48"/>
    <m/>
    <m/>
    <m/>
    <m/>
    <n v="9"/>
    <m/>
    <m/>
    <n v="0"/>
    <n v="0"/>
    <n v="0"/>
    <n v="0"/>
    <n v="88"/>
    <n v="27"/>
    <n v="9"/>
    <n v="0"/>
    <n v="9"/>
    <n v="120"/>
    <n v="0"/>
    <n v="0"/>
    <n v="0"/>
    <n v="0"/>
    <x v="1"/>
    <n v="9"/>
    <s v="MMR001CMP070"/>
    <x v="1"/>
    <x v="1"/>
    <x v="2"/>
    <n v="4.7872340425531915E-2"/>
    <s v="No"/>
    <m/>
  </r>
  <r>
    <n v="7.0333333333333332"/>
    <d v="2015-06-04T00:00:00"/>
    <x v="0"/>
    <s v="KBC"/>
    <s v="Kachin"/>
    <s v="Momauk"/>
    <s v="Momauk Baptist Church"/>
    <m/>
    <m/>
    <m/>
    <m/>
    <n v="80"/>
    <m/>
    <m/>
    <m/>
    <m/>
    <m/>
    <m/>
    <m/>
    <m/>
    <m/>
    <m/>
    <m/>
    <m/>
    <n v="0"/>
    <n v="0"/>
    <n v="0"/>
    <n v="0"/>
    <n v="80"/>
    <n v="0"/>
    <n v="0"/>
    <n v="0"/>
    <n v="0"/>
    <n v="0"/>
    <n v="0"/>
    <n v="0"/>
    <n v="0"/>
    <n v="0"/>
    <x v="1"/>
    <n v="0"/>
    <s v="MMR001CMP056"/>
    <x v="1"/>
    <x v="1"/>
    <x v="1"/>
    <n v="0"/>
    <s v="No"/>
    <m/>
  </r>
  <r>
    <n v="7.0333333333333332"/>
    <d v="2015-06-04T00:00:00"/>
    <x v="0"/>
    <s v="KBC"/>
    <m/>
    <m/>
    <s v="Hpankha kone camp"/>
    <m/>
    <m/>
    <m/>
    <m/>
    <n v="37"/>
    <m/>
    <m/>
    <m/>
    <m/>
    <m/>
    <m/>
    <m/>
    <m/>
    <m/>
    <m/>
    <m/>
    <m/>
    <n v="0"/>
    <n v="0"/>
    <n v="0"/>
    <n v="0"/>
    <n v="37"/>
    <n v="0"/>
    <n v="0"/>
    <n v="0"/>
    <n v="0"/>
    <n v="0"/>
    <n v="0"/>
    <n v="0"/>
    <n v="0"/>
    <n v="0"/>
    <x v="1"/>
    <n v="0"/>
    <s v=""/>
    <x v="0"/>
    <x v="0"/>
    <x v="0"/>
    <s v=""/>
    <s v="No"/>
    <m/>
  </r>
  <r>
    <n v="7.0333333333333332"/>
    <d v="2015-06-04T00:00:00"/>
    <x v="0"/>
    <s v="KBC"/>
    <s v="Kachin"/>
    <s v="Momauk"/>
    <s v="Loije Seng Ja "/>
    <m/>
    <m/>
    <m/>
    <n v="18"/>
    <n v="35"/>
    <m/>
    <m/>
    <m/>
    <m/>
    <m/>
    <m/>
    <m/>
    <m/>
    <m/>
    <m/>
    <m/>
    <n v="8"/>
    <n v="0"/>
    <n v="0"/>
    <n v="0"/>
    <n v="18"/>
    <n v="35"/>
    <n v="0"/>
    <n v="0"/>
    <n v="0"/>
    <n v="0"/>
    <n v="0"/>
    <n v="0"/>
    <n v="0"/>
    <n v="0"/>
    <n v="0"/>
    <x v="1"/>
    <n v="0"/>
    <s v=""/>
    <x v="0"/>
    <x v="0"/>
    <x v="0"/>
    <s v=""/>
    <s v="No"/>
    <m/>
  </r>
  <r>
    <n v="7.0666666666666664"/>
    <d v="2015-06-03T00:00:00"/>
    <x v="0"/>
    <s v="KBC"/>
    <s v="Kachin"/>
    <s v="Mansi"/>
    <s v="Mai hkawng Camp"/>
    <m/>
    <m/>
    <m/>
    <n v="6"/>
    <n v="12"/>
    <n v="24"/>
    <n v="3"/>
    <m/>
    <n v="3"/>
    <n v="9"/>
    <m/>
    <m/>
    <m/>
    <m/>
    <n v="3"/>
    <m/>
    <m/>
    <n v="0"/>
    <n v="0"/>
    <n v="0"/>
    <n v="6"/>
    <n v="12"/>
    <n v="24"/>
    <n v="3"/>
    <n v="0"/>
    <n v="3"/>
    <n v="22.5"/>
    <n v="0"/>
    <n v="0"/>
    <n v="0"/>
    <n v="0"/>
    <x v="1"/>
    <n v="3"/>
    <s v=""/>
    <x v="0"/>
    <x v="0"/>
    <x v="0"/>
    <s v=""/>
    <s v="No"/>
    <m/>
  </r>
  <r>
    <n v="7.7666666666666666"/>
    <d v="2015-05-13T00:00:00"/>
    <x v="0"/>
    <s v="KMSS-BMO"/>
    <s v="Kachin"/>
    <s v="Momauk"/>
    <s v="Man Bung Catholic compound"/>
    <m/>
    <m/>
    <m/>
    <m/>
    <m/>
    <n v="28"/>
    <m/>
    <m/>
    <m/>
    <m/>
    <m/>
    <m/>
    <m/>
    <m/>
    <m/>
    <m/>
    <m/>
    <n v="0"/>
    <n v="0"/>
    <n v="0"/>
    <n v="0"/>
    <n v="0"/>
    <n v="28"/>
    <n v="0"/>
    <n v="0"/>
    <n v="0"/>
    <n v="0"/>
    <n v="0"/>
    <n v="0"/>
    <n v="0"/>
    <n v="0"/>
    <x v="1"/>
    <n v="0"/>
    <s v="MMR001CMP062"/>
    <x v="1"/>
    <x v="1"/>
    <x v="1"/>
    <n v="0"/>
    <s v="No"/>
    <m/>
  </r>
  <r>
    <n v="8.4"/>
    <d v="2015-04-24T00:00:00"/>
    <x v="0"/>
    <s v="KBC"/>
    <s v="Kachin"/>
    <s v="Momauk"/>
    <s v="Loi Je Lisu Camp"/>
    <m/>
    <m/>
    <m/>
    <m/>
    <m/>
    <m/>
    <m/>
    <m/>
    <n v="9"/>
    <m/>
    <m/>
    <m/>
    <m/>
    <m/>
    <m/>
    <m/>
    <m/>
    <n v="0"/>
    <n v="0"/>
    <n v="0"/>
    <n v="0"/>
    <n v="0"/>
    <n v="0"/>
    <n v="0"/>
    <n v="0"/>
    <n v="9"/>
    <n v="0"/>
    <n v="0"/>
    <n v="0"/>
    <n v="0"/>
    <n v="0"/>
    <x v="1"/>
    <n v="0"/>
    <s v="MMR001CMP070"/>
    <x v="1"/>
    <x v="1"/>
    <x v="2"/>
    <n v="0"/>
    <s v="No"/>
    <m/>
  </r>
  <r>
    <n v="8.4"/>
    <d v="2015-04-24T00:00:00"/>
    <x v="0"/>
    <s v="KBC"/>
    <s v="Kachin"/>
    <s v="Momauk"/>
    <s v="Loi Je Seng Ja Camp thru Mission"/>
    <m/>
    <m/>
    <m/>
    <n v="36"/>
    <n v="18"/>
    <n v="90"/>
    <n v="18"/>
    <m/>
    <m/>
    <n v="90"/>
    <m/>
    <m/>
    <m/>
    <m/>
    <n v="18"/>
    <m/>
    <m/>
    <n v="0"/>
    <n v="0"/>
    <n v="0"/>
    <n v="36"/>
    <n v="18"/>
    <n v="90"/>
    <n v="18"/>
    <n v="0"/>
    <n v="0"/>
    <n v="225"/>
    <n v="0"/>
    <n v="0"/>
    <n v="0"/>
    <n v="0"/>
    <x v="1"/>
    <n v="18"/>
    <s v=""/>
    <x v="0"/>
    <x v="0"/>
    <x v="0"/>
    <s v=""/>
    <s v="No"/>
    <m/>
  </r>
  <r>
    <n v="8.6666666666666661"/>
    <d v="2015-04-16T00:00:00"/>
    <x v="0"/>
    <s v="KMSS-LSO"/>
    <s v="Shan_North"/>
    <s v="Kutkai"/>
    <s v="Kut Kai camp"/>
    <m/>
    <m/>
    <m/>
    <m/>
    <m/>
    <m/>
    <m/>
    <m/>
    <m/>
    <n v="69"/>
    <m/>
    <m/>
    <m/>
    <m/>
    <m/>
    <m/>
    <m/>
    <n v="0"/>
    <n v="0"/>
    <n v="0"/>
    <n v="0"/>
    <n v="0"/>
    <n v="0"/>
    <n v="0"/>
    <n v="0"/>
    <n v="0"/>
    <n v="172.5"/>
    <n v="0"/>
    <n v="0"/>
    <n v="0"/>
    <n v="0"/>
    <x v="1"/>
    <n v="0"/>
    <s v=""/>
    <x v="0"/>
    <x v="0"/>
    <x v="0"/>
    <s v=""/>
    <s v="No"/>
    <m/>
  </r>
  <r>
    <n v="8.9333333333333336"/>
    <d v="2015-04-08T00:00:00"/>
    <x v="0"/>
    <s v="KBC"/>
    <s v="Kachin"/>
    <s v="Mansi"/>
    <s v="Mai hkawng Camp"/>
    <m/>
    <m/>
    <m/>
    <n v="8"/>
    <n v="4"/>
    <m/>
    <n v="4"/>
    <m/>
    <n v="4"/>
    <m/>
    <m/>
    <m/>
    <m/>
    <m/>
    <m/>
    <m/>
    <m/>
    <n v="0"/>
    <n v="0"/>
    <n v="0"/>
    <n v="8"/>
    <n v="4"/>
    <n v="0"/>
    <n v="4"/>
    <n v="0"/>
    <n v="4"/>
    <n v="0"/>
    <n v="0"/>
    <n v="0"/>
    <n v="0"/>
    <n v="0"/>
    <x v="1"/>
    <n v="0"/>
    <s v=""/>
    <x v="0"/>
    <x v="0"/>
    <x v="0"/>
    <s v=""/>
    <s v="No"/>
    <m/>
  </r>
  <r>
    <n v="9.1"/>
    <d v="2015-04-03T00:00:00"/>
    <x v="0"/>
    <s v="Shalom"/>
    <s v="Kachin"/>
    <s v="Momauk"/>
    <s v="Mandalay Monestry"/>
    <m/>
    <m/>
    <m/>
    <m/>
    <m/>
    <m/>
    <m/>
    <m/>
    <m/>
    <m/>
    <m/>
    <m/>
    <m/>
    <m/>
    <m/>
    <m/>
    <m/>
    <n v="0"/>
    <n v="0"/>
    <n v="0"/>
    <n v="0"/>
    <n v="0"/>
    <n v="0"/>
    <n v="0"/>
    <n v="0"/>
    <n v="0"/>
    <n v="0"/>
    <n v="0"/>
    <n v="0"/>
    <n v="0"/>
    <n v="0"/>
    <x v="1"/>
    <n v="0"/>
    <s v="MMR001CMP058"/>
    <x v="1"/>
    <x v="2"/>
    <x v="1"/>
    <s v=""/>
    <s v="No"/>
    <m/>
  </r>
  <r>
    <n v="9.1"/>
    <d v="2015-04-03T00:00:00"/>
    <x v="0"/>
    <s v="UNHCR"/>
    <s v="Kachin"/>
    <s v="Momauk"/>
    <s v="Nhkawng Pa "/>
    <m/>
    <m/>
    <m/>
    <m/>
    <m/>
    <m/>
    <m/>
    <m/>
    <m/>
    <m/>
    <m/>
    <m/>
    <m/>
    <m/>
    <n v="405"/>
    <m/>
    <m/>
    <n v="0"/>
    <n v="0"/>
    <n v="0"/>
    <n v="0"/>
    <n v="0"/>
    <n v="0"/>
    <n v="0"/>
    <n v="0"/>
    <n v="0"/>
    <n v="0"/>
    <n v="0"/>
    <n v="0"/>
    <n v="0"/>
    <n v="0"/>
    <x v="1"/>
    <n v="405"/>
    <s v="MMR001CMP131"/>
    <x v="1"/>
    <x v="1"/>
    <x v="3"/>
    <n v="0"/>
    <s v="No"/>
    <m/>
  </r>
  <r>
    <n v="9.1"/>
    <d v="2015-04-03T00:00:00"/>
    <x v="0"/>
    <s v="Shalom"/>
    <s v="Kachin"/>
    <s v="Momauk"/>
    <s v="Ni Thaw Ka Monestry"/>
    <m/>
    <m/>
    <m/>
    <n v="105"/>
    <n v="26"/>
    <n v="308"/>
    <n v="29"/>
    <m/>
    <m/>
    <n v="69"/>
    <m/>
    <m/>
    <m/>
    <m/>
    <m/>
    <m/>
    <m/>
    <n v="0"/>
    <n v="0"/>
    <n v="0"/>
    <n v="105"/>
    <n v="26"/>
    <n v="308"/>
    <n v="29"/>
    <n v="0"/>
    <n v="0"/>
    <n v="172.5"/>
    <n v="0"/>
    <n v="0"/>
    <n v="0"/>
    <n v="0"/>
    <x v="1"/>
    <n v="0"/>
    <s v="MMR001CMP059"/>
    <x v="1"/>
    <x v="1"/>
    <x v="1"/>
    <n v="1.2083333333333333"/>
    <s v="No"/>
    <m/>
  </r>
  <r>
    <n v="9.1"/>
    <d v="2015-04-03T00:00:00"/>
    <x v="0"/>
    <s v="Shalom-BM"/>
    <s v="Kachin"/>
    <s v="Bhamo"/>
    <s v="Mu-yin Baptist Church"/>
    <m/>
    <m/>
    <m/>
    <m/>
    <n v="3"/>
    <n v="53"/>
    <m/>
    <m/>
    <n v="3"/>
    <n v="11"/>
    <m/>
    <m/>
    <m/>
    <m/>
    <n v="3"/>
    <m/>
    <m/>
    <n v="0"/>
    <n v="0"/>
    <n v="0"/>
    <n v="0"/>
    <n v="3"/>
    <n v="53"/>
    <n v="0"/>
    <n v="0"/>
    <n v="3"/>
    <n v="27.5"/>
    <n v="0"/>
    <n v="0"/>
    <n v="0"/>
    <n v="0"/>
    <x v="1"/>
    <n v="3"/>
    <s v="MMR001CMP051"/>
    <x v="1"/>
    <x v="1"/>
    <x v="1"/>
    <n v="0"/>
    <s v="No"/>
    <m/>
  </r>
  <r>
    <n v="9.1"/>
    <d v="2015-04-03T00:00:00"/>
    <x v="0"/>
    <s v="Shalom-BM"/>
    <s v="Kachin"/>
    <s v="Bhamo"/>
    <s v="Lisu Baptist Church"/>
    <m/>
    <m/>
    <m/>
    <m/>
    <m/>
    <n v="15"/>
    <m/>
    <m/>
    <n v="26"/>
    <n v="720"/>
    <m/>
    <m/>
    <m/>
    <m/>
    <n v="26"/>
    <m/>
    <m/>
    <n v="0"/>
    <n v="0"/>
    <n v="0"/>
    <n v="0"/>
    <n v="0"/>
    <n v="15"/>
    <n v="0"/>
    <n v="0"/>
    <n v="26"/>
    <n v="1800"/>
    <n v="0"/>
    <n v="0"/>
    <n v="0"/>
    <n v="0"/>
    <x v="1"/>
    <n v="26"/>
    <s v=""/>
    <x v="0"/>
    <x v="0"/>
    <x v="0"/>
    <s v=""/>
    <s v="No"/>
    <m/>
  </r>
  <r>
    <n v="9.3000000000000007"/>
    <d v="2015-03-28T00:00:00"/>
    <x v="0"/>
    <s v="KMSS-BMO"/>
    <s v="Kachin"/>
    <s v="Mansi"/>
    <s v="Bum Tsit Pa Camp III"/>
    <m/>
    <m/>
    <m/>
    <m/>
    <m/>
    <n v="704"/>
    <m/>
    <m/>
    <n v="9"/>
    <m/>
    <m/>
    <m/>
    <m/>
    <m/>
    <m/>
    <m/>
    <m/>
    <n v="0"/>
    <n v="0"/>
    <n v="0"/>
    <n v="0"/>
    <n v="0"/>
    <n v="704"/>
    <n v="0"/>
    <n v="0"/>
    <n v="9"/>
    <n v="0"/>
    <n v="0"/>
    <n v="0"/>
    <n v="0"/>
    <n v="0"/>
    <x v="1"/>
    <n v="0"/>
    <s v=""/>
    <x v="0"/>
    <x v="0"/>
    <x v="0"/>
    <s v=""/>
    <s v="No"/>
    <m/>
  </r>
  <r>
    <n v="9.3333333333333339"/>
    <d v="2015-03-27T00:00:00"/>
    <x v="0"/>
    <s v="KMSS-BMO"/>
    <s v="Kachin"/>
    <s v="Mansi"/>
    <s v="Lana Zup Ja "/>
    <m/>
    <m/>
    <m/>
    <m/>
    <m/>
    <n v="357"/>
    <m/>
    <m/>
    <m/>
    <m/>
    <m/>
    <m/>
    <m/>
    <m/>
    <m/>
    <m/>
    <m/>
    <n v="0"/>
    <n v="0"/>
    <n v="0"/>
    <n v="0"/>
    <n v="0"/>
    <n v="357"/>
    <n v="0"/>
    <n v="0"/>
    <n v="0"/>
    <n v="0"/>
    <n v="0"/>
    <n v="0"/>
    <n v="0"/>
    <n v="0"/>
    <x v="1"/>
    <n v="0"/>
    <s v="MMR001CMP128"/>
    <x v="1"/>
    <x v="1"/>
    <x v="4"/>
    <n v="0"/>
    <s v="No"/>
    <m/>
  </r>
  <r>
    <n v="9.4"/>
    <d v="2015-03-25T00:00:00"/>
    <x v="0"/>
    <s v="UNHCR"/>
    <s v="Kachin"/>
    <s v="Mansi"/>
    <s v="Lana Zup Ja and Bumtsit pa (1) and (2)"/>
    <m/>
    <m/>
    <m/>
    <n v="1621"/>
    <m/>
    <m/>
    <m/>
    <m/>
    <m/>
    <m/>
    <m/>
    <m/>
    <m/>
    <m/>
    <m/>
    <m/>
    <m/>
    <n v="0"/>
    <n v="0"/>
    <n v="0"/>
    <n v="1621"/>
    <n v="0"/>
    <n v="0"/>
    <n v="0"/>
    <n v="0"/>
    <n v="0"/>
    <n v="0"/>
    <n v="0"/>
    <n v="0"/>
    <n v="0"/>
    <n v="0"/>
    <x v="1"/>
    <n v="0"/>
    <s v=""/>
    <x v="0"/>
    <x v="0"/>
    <x v="0"/>
    <s v=""/>
    <s v="No"/>
    <m/>
  </r>
  <r>
    <n v="9.4"/>
    <d v="2015-03-25T00:00:00"/>
    <x v="0"/>
    <s v="UNHCR"/>
    <s v="Kachin"/>
    <s v="Bhamo"/>
    <s v="Nhkawng Pa camp and Pa Kahtawng camp thru cross line mission with KMSS-Bhamo"/>
    <m/>
    <m/>
    <m/>
    <m/>
    <m/>
    <m/>
    <m/>
    <m/>
    <m/>
    <m/>
    <n v="2086"/>
    <n v="3036"/>
    <m/>
    <m/>
    <m/>
    <m/>
    <m/>
    <n v="0"/>
    <n v="0"/>
    <n v="0"/>
    <n v="0"/>
    <n v="0"/>
    <n v="0"/>
    <n v="0"/>
    <n v="0"/>
    <n v="0"/>
    <n v="0"/>
    <n v="2086"/>
    <n v="3036"/>
    <n v="0"/>
    <n v="0"/>
    <x v="0"/>
    <n v="0"/>
    <s v=""/>
    <x v="0"/>
    <x v="0"/>
    <x v="0"/>
    <s v=""/>
    <s v="No"/>
    <m/>
  </r>
  <r>
    <n v="9.4"/>
    <d v="2015-03-25T00:00:00"/>
    <x v="0"/>
    <s v="KMSS-BMO"/>
    <s v="Kachin"/>
    <s v="Mansi"/>
    <s v="Bum Tsit Pa Camp I"/>
    <m/>
    <m/>
    <m/>
    <m/>
    <m/>
    <n v="829"/>
    <m/>
    <m/>
    <m/>
    <m/>
    <m/>
    <m/>
    <m/>
    <m/>
    <m/>
    <m/>
    <m/>
    <n v="0"/>
    <n v="0"/>
    <n v="0"/>
    <n v="0"/>
    <n v="0"/>
    <n v="829"/>
    <n v="0"/>
    <n v="0"/>
    <n v="0"/>
    <n v="0"/>
    <n v="0"/>
    <n v="0"/>
    <n v="0"/>
    <n v="0"/>
    <x v="1"/>
    <n v="0"/>
    <s v=""/>
    <x v="0"/>
    <x v="0"/>
    <x v="0"/>
    <s v=""/>
    <s v="No"/>
    <m/>
  </r>
  <r>
    <n v="9.6999999999999993"/>
    <d v="2015-03-16T00:00:00"/>
    <x v="0"/>
    <s v="UNHCR"/>
    <s v="Kachin"/>
    <s v="Bhamo"/>
    <s v="Nhkawng Pa camp and Pa Kahtawng camp thru cross line mission with KMSS-Bhamo"/>
    <m/>
    <m/>
    <m/>
    <m/>
    <m/>
    <m/>
    <m/>
    <m/>
    <m/>
    <m/>
    <n v="2460"/>
    <n v="3600"/>
    <m/>
    <m/>
    <m/>
    <m/>
    <m/>
    <n v="0"/>
    <n v="0"/>
    <n v="0"/>
    <n v="0"/>
    <n v="0"/>
    <n v="0"/>
    <n v="0"/>
    <n v="0"/>
    <n v="0"/>
    <n v="0"/>
    <n v="2460"/>
    <n v="3600"/>
    <n v="0"/>
    <n v="0"/>
    <x v="0"/>
    <n v="0"/>
    <s v=""/>
    <x v="0"/>
    <x v="0"/>
    <x v="0"/>
    <s v=""/>
    <s v="No"/>
    <m/>
  </r>
  <r>
    <n v="9.8000000000000007"/>
    <d v="2015-03-13T00:00:00"/>
    <x v="0"/>
    <s v="KMSS"/>
    <s v="Kachin"/>
    <s v="Waingmaw"/>
    <s v="Maina Catholic Church (St. Joseph)"/>
    <m/>
    <m/>
    <m/>
    <m/>
    <n v="1"/>
    <m/>
    <m/>
    <m/>
    <m/>
    <m/>
    <m/>
    <m/>
    <m/>
    <m/>
    <m/>
    <m/>
    <m/>
    <n v="0"/>
    <n v="0"/>
    <n v="0"/>
    <n v="0"/>
    <n v="1"/>
    <n v="0"/>
    <n v="0"/>
    <n v="0"/>
    <n v="0"/>
    <n v="0"/>
    <n v="0"/>
    <n v="0"/>
    <n v="0"/>
    <n v="0"/>
    <x v="1"/>
    <n v="0"/>
    <s v="MMR001CMP029"/>
    <x v="1"/>
    <x v="1"/>
    <x v="1"/>
    <n v="0"/>
    <s v="No"/>
    <m/>
  </r>
  <r>
    <n v="10.066666666666666"/>
    <d v="2015-03-05T00:00:00"/>
    <x v="0"/>
    <s v="KMSS-LSO"/>
    <s v="Shan_North"/>
    <s v="Hseni"/>
    <s v="Nam Jarap"/>
    <m/>
    <n v="43"/>
    <n v="43"/>
    <n v="85"/>
    <n v="43"/>
    <n v="95"/>
    <n v="43"/>
    <n v="43"/>
    <n v="43"/>
    <n v="95"/>
    <m/>
    <m/>
    <m/>
    <m/>
    <n v="43"/>
    <m/>
    <m/>
    <n v="0"/>
    <n v="43"/>
    <n v="43"/>
    <n v="85"/>
    <n v="43"/>
    <n v="95"/>
    <n v="43"/>
    <n v="43"/>
    <n v="43"/>
    <n v="237.5"/>
    <n v="0"/>
    <n v="0"/>
    <n v="0"/>
    <n v="0"/>
    <x v="1"/>
    <n v="43"/>
    <s v=""/>
    <x v="0"/>
    <x v="0"/>
    <x v="0"/>
    <s v=""/>
    <s v="No"/>
    <m/>
  </r>
  <r>
    <n v="10.466666666666667"/>
    <d v="2015-02-21T00:00:00"/>
    <x v="0"/>
    <s v="KMSS-LSO"/>
    <s v="Shan_North"/>
    <s v="Kutkai"/>
    <s v="Zup Aung Camp"/>
    <m/>
    <n v="54"/>
    <n v="36"/>
    <n v="108"/>
    <n v="54"/>
    <n v="108"/>
    <n v="54"/>
    <n v="54"/>
    <n v="54"/>
    <n v="108"/>
    <m/>
    <m/>
    <m/>
    <m/>
    <n v="54"/>
    <m/>
    <m/>
    <n v="0"/>
    <n v="54"/>
    <n v="36"/>
    <n v="108"/>
    <n v="54"/>
    <n v="108"/>
    <n v="54"/>
    <n v="54"/>
    <n v="54"/>
    <n v="270"/>
    <n v="0"/>
    <n v="0"/>
    <n v="0"/>
    <n v="0"/>
    <x v="1"/>
    <n v="54"/>
    <s v="MMR015CMP020"/>
    <x v="1"/>
    <x v="1"/>
    <x v="2"/>
    <n v="0.2857142857142857"/>
    <s v="No"/>
    <m/>
  </r>
  <r>
    <n v="10.466666666666667"/>
    <d v="2015-02-21T00:00:00"/>
    <x v="0"/>
    <s v="UNHCR"/>
    <s v="Shan_North"/>
    <s v="Kutkai"/>
    <s v="Namtit"/>
    <m/>
    <m/>
    <m/>
    <n v="161"/>
    <n v="76"/>
    <m/>
    <n v="76"/>
    <m/>
    <n v="76"/>
    <m/>
    <m/>
    <m/>
    <m/>
    <m/>
    <n v="76"/>
    <m/>
    <m/>
    <n v="0"/>
    <n v="0"/>
    <n v="0"/>
    <n v="161"/>
    <n v="76"/>
    <n v="0"/>
    <n v="76"/>
    <n v="0"/>
    <n v="76"/>
    <n v="0"/>
    <n v="0"/>
    <n v="0"/>
    <n v="0"/>
    <n v="0"/>
    <x v="1"/>
    <n v="76"/>
    <s v=""/>
    <x v="0"/>
    <x v="0"/>
    <x v="0"/>
    <s v=""/>
    <s v="No"/>
    <m/>
  </r>
  <r>
    <n v="10.633333333333333"/>
    <d v="2015-02-16T00:00:00"/>
    <x v="0"/>
    <s v="KMSS"/>
    <s v="Kachin"/>
    <s v="Waingmaw"/>
    <s v="Hpun Lum Yang "/>
    <m/>
    <m/>
    <m/>
    <m/>
    <m/>
    <m/>
    <m/>
    <m/>
    <m/>
    <m/>
    <n v="865"/>
    <n v="924"/>
    <m/>
    <n v="918"/>
    <m/>
    <m/>
    <m/>
    <n v="0"/>
    <n v="0"/>
    <n v="0"/>
    <n v="0"/>
    <n v="0"/>
    <n v="0"/>
    <n v="0"/>
    <n v="0"/>
    <n v="0"/>
    <n v="0"/>
    <n v="865"/>
    <n v="924"/>
    <n v="0"/>
    <n v="918"/>
    <x v="0"/>
    <n v="0"/>
    <s v="MMR001CMP122"/>
    <x v="1"/>
    <x v="1"/>
    <x v="4"/>
    <n v="0"/>
    <s v="No"/>
    <m/>
  </r>
  <r>
    <n v="10.633333333333333"/>
    <d v="2015-02-16T00:00:00"/>
    <x v="0"/>
    <s v="KMSS"/>
    <s v="Kachin"/>
    <s v="Waingmaw"/>
    <s v="Je Yang Hka "/>
    <m/>
    <m/>
    <m/>
    <m/>
    <m/>
    <m/>
    <m/>
    <m/>
    <m/>
    <m/>
    <n v="2676"/>
    <n v="2672"/>
    <m/>
    <n v="3186"/>
    <m/>
    <m/>
    <m/>
    <n v="0"/>
    <n v="0"/>
    <n v="0"/>
    <n v="0"/>
    <n v="0"/>
    <n v="0"/>
    <n v="0"/>
    <n v="0"/>
    <n v="0"/>
    <n v="0"/>
    <n v="2676"/>
    <n v="2672"/>
    <n v="0"/>
    <n v="3186"/>
    <x v="0"/>
    <n v="0"/>
    <s v="MMR001CMP121"/>
    <x v="1"/>
    <x v="1"/>
    <x v="4"/>
    <n v="0"/>
    <s v="No"/>
    <m/>
  </r>
  <r>
    <n v="10.633333333333333"/>
    <d v="2015-02-16T00:00:00"/>
    <x v="0"/>
    <s v="KMSS"/>
    <s v="Kachin"/>
    <s v="Waingmaw"/>
    <s v="Laiza Market 3 - Laiza Gat"/>
    <m/>
    <m/>
    <m/>
    <m/>
    <m/>
    <m/>
    <m/>
    <m/>
    <m/>
    <m/>
    <n v="1119"/>
    <n v="1455"/>
    <m/>
    <n v="1080"/>
    <m/>
    <m/>
    <m/>
    <n v="0"/>
    <n v="0"/>
    <n v="0"/>
    <n v="0"/>
    <n v="0"/>
    <n v="0"/>
    <n v="0"/>
    <n v="0"/>
    <n v="0"/>
    <n v="0"/>
    <n v="1119"/>
    <n v="1455"/>
    <n v="0"/>
    <n v="1080"/>
    <x v="0"/>
    <n v="0"/>
    <s v="MMR001CMP117"/>
    <x v="1"/>
    <x v="2"/>
    <x v="4"/>
    <s v=""/>
    <s v="No"/>
    <m/>
  </r>
  <r>
    <n v="10.633333333333333"/>
    <d v="2015-02-16T00:00:00"/>
    <x v="0"/>
    <s v="KMSS"/>
    <s v="Kachin"/>
    <s v="Waingmaw"/>
    <s v="Woi Chyai "/>
    <m/>
    <m/>
    <m/>
    <m/>
    <m/>
    <m/>
    <m/>
    <m/>
    <m/>
    <m/>
    <n v="1620"/>
    <n v="2207"/>
    <m/>
    <n v="1760"/>
    <m/>
    <m/>
    <m/>
    <n v="0"/>
    <n v="0"/>
    <n v="0"/>
    <n v="0"/>
    <n v="0"/>
    <n v="0"/>
    <n v="0"/>
    <n v="0"/>
    <n v="0"/>
    <n v="0"/>
    <n v="1620"/>
    <n v="2207"/>
    <n v="0"/>
    <n v="1760"/>
    <x v="0"/>
    <n v="0"/>
    <s v="MMR001CMP116"/>
    <x v="1"/>
    <x v="1"/>
    <x v="1"/>
    <n v="0"/>
    <s v="No"/>
    <m/>
  </r>
  <r>
    <n v="10.733333333333333"/>
    <d v="2015-02-13T00:00:00"/>
    <x v="0"/>
    <s v="KMSS-LSO"/>
    <s v="Shan_North"/>
    <s v="Kutkai"/>
    <s v="Pyi Lung Chan Tar"/>
    <m/>
    <n v="68"/>
    <n v="54"/>
    <n v="134"/>
    <n v="68"/>
    <n v="134"/>
    <n v="68"/>
    <m/>
    <n v="68"/>
    <n v="134"/>
    <m/>
    <m/>
    <m/>
    <m/>
    <n v="68"/>
    <m/>
    <m/>
    <n v="0"/>
    <n v="68"/>
    <n v="54"/>
    <n v="134"/>
    <n v="68"/>
    <n v="134"/>
    <n v="68"/>
    <n v="0"/>
    <n v="68"/>
    <n v="335"/>
    <n v="0"/>
    <n v="0"/>
    <n v="0"/>
    <n v="0"/>
    <x v="1"/>
    <n v="68"/>
    <s v=""/>
    <x v="0"/>
    <x v="0"/>
    <x v="0"/>
    <s v=""/>
    <s v="No"/>
    <m/>
  </r>
  <r>
    <n v="10.733333333333333"/>
    <d v="2015-02-13T00:00:00"/>
    <x v="0"/>
    <s v="KMSS"/>
    <s v="Kachin"/>
    <s v="Myitkyina"/>
    <s v="Pa Dauk Myaing(Pa La Na)"/>
    <m/>
    <m/>
    <m/>
    <m/>
    <m/>
    <n v="18"/>
    <n v="9"/>
    <m/>
    <n v="29"/>
    <n v="145"/>
    <m/>
    <m/>
    <m/>
    <m/>
    <m/>
    <m/>
    <m/>
    <n v="0"/>
    <n v="0"/>
    <n v="0"/>
    <n v="0"/>
    <n v="0"/>
    <n v="18"/>
    <n v="9"/>
    <n v="0"/>
    <n v="29"/>
    <n v="362.5"/>
    <n v="0"/>
    <n v="0"/>
    <n v="0"/>
    <n v="0"/>
    <x v="1"/>
    <n v="0"/>
    <s v="MMR001CMP162"/>
    <x v="1"/>
    <x v="1"/>
    <x v="1"/>
    <n v="0.2"/>
    <s v="No"/>
    <m/>
  </r>
  <r>
    <n v="10.833333333333334"/>
    <d v="2015-02-10T00:00:00"/>
    <x v="0"/>
    <s v="UNHCR"/>
    <s v="Shan_North"/>
    <s v="Mansi"/>
    <s v="Moe Gok (Pain Pyit Lisu Village)"/>
    <m/>
    <n v="200"/>
    <m/>
    <n v="86"/>
    <n v="28"/>
    <n v="173"/>
    <n v="28"/>
    <m/>
    <n v="43"/>
    <n v="199"/>
    <m/>
    <m/>
    <m/>
    <m/>
    <n v="42"/>
    <m/>
    <m/>
    <n v="0"/>
    <n v="200"/>
    <n v="0"/>
    <n v="86"/>
    <n v="28"/>
    <n v="173"/>
    <n v="28"/>
    <n v="0"/>
    <n v="43"/>
    <n v="497.5"/>
    <n v="0"/>
    <n v="0"/>
    <n v="0"/>
    <n v="0"/>
    <x v="1"/>
    <n v="42"/>
    <s v=""/>
    <x v="0"/>
    <x v="0"/>
    <x v="0"/>
    <s v=""/>
    <s v="No"/>
    <m/>
  </r>
  <r>
    <n v="10.833333333333334"/>
    <d v="2015-02-10T00:00:00"/>
    <x v="0"/>
    <s v="UNHCR"/>
    <s v="Shan_North"/>
    <s v="Mansi"/>
    <s v="Moe Gok (A Shae Kyaung)"/>
    <m/>
    <m/>
    <m/>
    <n v="49"/>
    <n v="16"/>
    <n v="49"/>
    <n v="16"/>
    <m/>
    <n v="16"/>
    <n v="92"/>
    <m/>
    <m/>
    <m/>
    <m/>
    <n v="15"/>
    <m/>
    <m/>
    <n v="0"/>
    <n v="0"/>
    <n v="0"/>
    <n v="49"/>
    <n v="16"/>
    <n v="49"/>
    <n v="16"/>
    <n v="0"/>
    <n v="16"/>
    <n v="230"/>
    <n v="0"/>
    <n v="0"/>
    <n v="0"/>
    <n v="0"/>
    <x v="1"/>
    <n v="15"/>
    <s v=""/>
    <x v="0"/>
    <x v="0"/>
    <x v="0"/>
    <s v=""/>
    <s v="No"/>
    <m/>
  </r>
  <r>
    <n v="10.833333333333334"/>
    <d v="2015-02-10T00:00:00"/>
    <x v="0"/>
    <s v="UNHCR"/>
    <s v="Shan_North"/>
    <s v="Mansi"/>
    <s v="Moe Gok (Aung Daw Mu)"/>
    <m/>
    <m/>
    <m/>
    <n v="75"/>
    <n v="13"/>
    <n v="110"/>
    <n v="13"/>
    <m/>
    <n v="13"/>
    <n v="45"/>
    <m/>
    <m/>
    <m/>
    <m/>
    <m/>
    <m/>
    <m/>
    <n v="0"/>
    <n v="0"/>
    <n v="0"/>
    <n v="75"/>
    <n v="13"/>
    <n v="110"/>
    <n v="13"/>
    <n v="0"/>
    <n v="13"/>
    <n v="112.5"/>
    <n v="0"/>
    <n v="0"/>
    <n v="0"/>
    <n v="0"/>
    <x v="1"/>
    <n v="0"/>
    <s v=""/>
    <x v="0"/>
    <x v="0"/>
    <x v="0"/>
    <s v=""/>
    <s v="No"/>
    <m/>
  </r>
  <r>
    <n v="10.833333333333334"/>
    <d v="2015-02-10T00:00:00"/>
    <x v="0"/>
    <s v="UNHCR"/>
    <s v="Shan_North"/>
    <s v="Mansi"/>
    <s v="Moe Mait (Man Ohn0"/>
    <m/>
    <m/>
    <m/>
    <n v="90"/>
    <n v="43"/>
    <n v="93"/>
    <n v="43"/>
    <m/>
    <n v="32"/>
    <n v="164"/>
    <m/>
    <m/>
    <m/>
    <m/>
    <n v="43"/>
    <m/>
    <m/>
    <n v="0"/>
    <n v="0"/>
    <n v="0"/>
    <n v="90"/>
    <n v="43"/>
    <n v="93"/>
    <n v="43"/>
    <n v="0"/>
    <n v="32"/>
    <n v="410"/>
    <n v="0"/>
    <n v="0"/>
    <n v="0"/>
    <n v="0"/>
    <x v="1"/>
    <n v="43"/>
    <s v=""/>
    <x v="0"/>
    <x v="0"/>
    <x v="0"/>
    <s v=""/>
    <s v="No"/>
    <m/>
  </r>
  <r>
    <n v="10.833333333333334"/>
    <d v="2015-02-10T00:00:00"/>
    <x v="0"/>
    <s v="KBC"/>
    <s v="Kachin"/>
    <s v="Puta-O"/>
    <s v="Resettlement place"/>
    <m/>
    <m/>
    <n v="46"/>
    <n v="92"/>
    <n v="46"/>
    <n v="92"/>
    <n v="46"/>
    <m/>
    <n v="46"/>
    <n v="230"/>
    <m/>
    <m/>
    <m/>
    <m/>
    <n v="46"/>
    <m/>
    <n v="55"/>
    <n v="0"/>
    <n v="0"/>
    <n v="46"/>
    <n v="92"/>
    <n v="46"/>
    <n v="92"/>
    <n v="46"/>
    <n v="0"/>
    <n v="46"/>
    <n v="575"/>
    <n v="0"/>
    <n v="0"/>
    <n v="0"/>
    <n v="0"/>
    <x v="1"/>
    <n v="46"/>
    <s v=""/>
    <x v="0"/>
    <x v="0"/>
    <x v="0"/>
    <s v=""/>
    <s v="No"/>
    <m/>
  </r>
  <r>
    <n v="11.333333333333334"/>
    <d v="2015-01-26T00:00:00"/>
    <x v="0"/>
    <s v="KMSS"/>
    <s v="Kachin"/>
    <s v="Hpakant"/>
    <s v="Emergency"/>
    <m/>
    <n v="200"/>
    <m/>
    <n v="400"/>
    <n v="250"/>
    <n v="400"/>
    <n v="200"/>
    <m/>
    <n v="200"/>
    <n v="1200"/>
    <m/>
    <m/>
    <m/>
    <m/>
    <n v="200"/>
    <m/>
    <n v="30"/>
    <n v="0"/>
    <n v="200"/>
    <n v="0"/>
    <n v="400"/>
    <n v="250"/>
    <n v="400"/>
    <n v="200"/>
    <n v="0"/>
    <n v="200"/>
    <n v="3000"/>
    <n v="0"/>
    <n v="0"/>
    <n v="0"/>
    <n v="0"/>
    <x v="1"/>
    <n v="200"/>
    <s v=""/>
    <x v="0"/>
    <x v="0"/>
    <x v="0"/>
    <s v=""/>
    <s v="No"/>
    <m/>
  </r>
  <r>
    <n v="11.333333333333334"/>
    <d v="2015-01-26T00:00:00"/>
    <x v="0"/>
    <s v="KBC"/>
    <s v="Kachin"/>
    <s v="Hpakant"/>
    <s v="5 Ward RC Church(lon Khin)"/>
    <m/>
    <n v="100"/>
    <m/>
    <n v="200"/>
    <n v="200"/>
    <n v="200"/>
    <n v="100"/>
    <m/>
    <n v="100"/>
    <n v="500"/>
    <m/>
    <m/>
    <m/>
    <m/>
    <n v="100"/>
    <m/>
    <m/>
    <n v="0"/>
    <n v="100"/>
    <n v="0"/>
    <n v="200"/>
    <n v="200"/>
    <n v="200"/>
    <n v="100"/>
    <n v="0"/>
    <n v="100"/>
    <n v="1250"/>
    <n v="0"/>
    <n v="0"/>
    <n v="0"/>
    <n v="0"/>
    <x v="1"/>
    <n v="100"/>
    <s v="MMR001CMP168"/>
    <x v="1"/>
    <x v="1"/>
    <x v="1"/>
    <n v="1.3333333333333333"/>
    <s v="No"/>
    <s v="Updated on 11/Nov/2015. Added jerry can data. Data source: mail by Win Aung Htun"/>
  </r>
  <r>
    <n v="11.766666666666667"/>
    <d v="2015-01-13T00:00:00"/>
    <x v="1"/>
    <s v="MRCS"/>
    <s v="Kachin"/>
    <s v="Chipwi"/>
    <s v="Chipwi KBC camp"/>
    <m/>
    <m/>
    <m/>
    <m/>
    <m/>
    <m/>
    <m/>
    <m/>
    <m/>
    <m/>
    <n v="293"/>
    <n v="190"/>
    <m/>
    <n v="170"/>
    <m/>
    <m/>
    <m/>
    <n v="0"/>
    <n v="0"/>
    <n v="0"/>
    <n v="0"/>
    <n v="0"/>
    <n v="0"/>
    <n v="0"/>
    <n v="0"/>
    <n v="0"/>
    <n v="0"/>
    <n v="293"/>
    <n v="190"/>
    <n v="0"/>
    <n v="170"/>
    <x v="0"/>
    <n v="0"/>
    <s v="MMR001CMP042"/>
    <x v="1"/>
    <x v="1"/>
    <x v="3"/>
    <n v="0"/>
    <m/>
    <m/>
  </r>
  <r>
    <n v="11.766666666666667"/>
    <d v="2015-01-13T00:00:00"/>
    <x v="1"/>
    <s v="MRCS"/>
    <s v="Kachin"/>
    <s v="Chipwi"/>
    <s v="Lhaovao Baptist Church (LBC)"/>
    <m/>
    <m/>
    <m/>
    <m/>
    <m/>
    <m/>
    <m/>
    <m/>
    <m/>
    <m/>
    <n v="350"/>
    <n v="236"/>
    <m/>
    <n v="203"/>
    <m/>
    <m/>
    <m/>
    <n v="0"/>
    <n v="0"/>
    <n v="0"/>
    <n v="0"/>
    <n v="0"/>
    <n v="0"/>
    <n v="0"/>
    <n v="0"/>
    <n v="0"/>
    <n v="0"/>
    <n v="350"/>
    <n v="236"/>
    <n v="0"/>
    <n v="203"/>
    <x v="0"/>
    <n v="0"/>
    <s v="MMR001CMP195"/>
    <x v="1"/>
    <x v="1"/>
    <x v="3"/>
    <n v="0"/>
    <m/>
    <m/>
  </r>
  <r>
    <n v="11.766666666666667"/>
    <d v="2015-01-13T00:00:00"/>
    <x v="1"/>
    <s v="MRCS"/>
    <s v="Kachin"/>
    <s v="Momauk"/>
    <s v="Nyaung Na Pin "/>
    <m/>
    <m/>
    <m/>
    <m/>
    <m/>
    <m/>
    <m/>
    <m/>
    <m/>
    <m/>
    <n v="195"/>
    <n v="91"/>
    <m/>
    <n v="92"/>
    <m/>
    <m/>
    <m/>
    <n v="0"/>
    <n v="0"/>
    <n v="0"/>
    <n v="0"/>
    <n v="0"/>
    <n v="0"/>
    <n v="0"/>
    <n v="0"/>
    <n v="0"/>
    <n v="0"/>
    <n v="195"/>
    <n v="91"/>
    <n v="0"/>
    <n v="92"/>
    <x v="0"/>
    <n v="0"/>
    <s v="MMR001CMP072"/>
    <x v="1"/>
    <x v="1"/>
    <x v="2"/>
    <n v="0"/>
    <m/>
    <m/>
  </r>
  <r>
    <n v="11.766666666666667"/>
    <d v="2015-01-13T00:00:00"/>
    <x v="1"/>
    <s v="MRCS"/>
    <s v="Kachin"/>
    <s v="Myitkyina"/>
    <s v="Pa Dauk Myaing(Pa La Na)"/>
    <m/>
    <m/>
    <m/>
    <m/>
    <m/>
    <m/>
    <m/>
    <m/>
    <m/>
    <m/>
    <n v="323"/>
    <n v="178"/>
    <m/>
    <m/>
    <m/>
    <m/>
    <m/>
    <n v="0"/>
    <n v="0"/>
    <n v="0"/>
    <n v="0"/>
    <n v="0"/>
    <n v="0"/>
    <n v="0"/>
    <n v="0"/>
    <n v="0"/>
    <n v="0"/>
    <n v="323"/>
    <n v="178"/>
    <n v="0"/>
    <n v="0"/>
    <x v="0"/>
    <n v="0"/>
    <s v="MMR001CMP162"/>
    <x v="1"/>
    <x v="1"/>
    <x v="1"/>
    <n v="0"/>
    <m/>
    <m/>
  </r>
  <r>
    <n v="11.766666666666667"/>
    <d v="2015-01-13T00:00:00"/>
    <x v="1"/>
    <s v="MRCS"/>
    <s v="Kachin"/>
    <s v="Chipwi"/>
    <s v="Pan Wa"/>
    <m/>
    <m/>
    <m/>
    <m/>
    <m/>
    <m/>
    <m/>
    <m/>
    <m/>
    <m/>
    <n v="187"/>
    <n v="137"/>
    <m/>
    <n v="118"/>
    <m/>
    <m/>
    <m/>
    <n v="0"/>
    <n v="0"/>
    <n v="0"/>
    <n v="0"/>
    <n v="0"/>
    <n v="0"/>
    <n v="0"/>
    <n v="0"/>
    <n v="0"/>
    <n v="0"/>
    <n v="187"/>
    <n v="137"/>
    <n v="0"/>
    <n v="118"/>
    <x v="0"/>
    <n v="0"/>
    <s v="MMR001CMP210"/>
    <x v="1"/>
    <x v="1"/>
    <x v="3"/>
    <n v="0"/>
    <m/>
    <m/>
  </r>
  <r>
    <n v="11.766666666666667"/>
    <d v="2015-01-13T00:00:00"/>
    <x v="1"/>
    <s v="MRCS"/>
    <s v="Kachin"/>
    <s v="Hpakant"/>
    <s v="Rawan Baptist Church, Maw Shan Vil., Seik Mu"/>
    <m/>
    <m/>
    <m/>
    <m/>
    <m/>
    <m/>
    <m/>
    <m/>
    <m/>
    <m/>
    <n v="26"/>
    <n v="14"/>
    <m/>
    <m/>
    <m/>
    <m/>
    <m/>
    <n v="0"/>
    <n v="0"/>
    <n v="0"/>
    <n v="0"/>
    <n v="0"/>
    <n v="0"/>
    <n v="0"/>
    <n v="0"/>
    <n v="0"/>
    <n v="0"/>
    <n v="26"/>
    <n v="14"/>
    <n v="0"/>
    <n v="0"/>
    <x v="0"/>
    <n v="0"/>
    <s v="MMR001CMP182"/>
    <x v="1"/>
    <x v="1"/>
    <x v="1"/>
    <n v="0"/>
    <m/>
    <m/>
  </r>
  <r>
    <n v="11.766666666666667"/>
    <d v="2015-01-13T00:00:00"/>
    <x v="1"/>
    <s v="MRCS"/>
    <s v="Kachin"/>
    <s v="Hpakant"/>
    <s v="Sai Nai Baptish Church, Maw Shan Vil., Seki Mu"/>
    <m/>
    <m/>
    <m/>
    <m/>
    <m/>
    <m/>
    <m/>
    <m/>
    <m/>
    <m/>
    <n v="34"/>
    <n v="9"/>
    <m/>
    <m/>
    <m/>
    <m/>
    <m/>
    <n v="0"/>
    <n v="0"/>
    <n v="0"/>
    <n v="0"/>
    <n v="0"/>
    <n v="0"/>
    <n v="0"/>
    <n v="0"/>
    <n v="0"/>
    <n v="0"/>
    <n v="34"/>
    <n v="9"/>
    <n v="0"/>
    <n v="0"/>
    <x v="0"/>
    <n v="0"/>
    <s v="MMR001CMP183"/>
    <x v="1"/>
    <x v="1"/>
    <x v="1"/>
    <n v="0"/>
    <m/>
    <m/>
  </r>
  <r>
    <n v="11.766666666666667"/>
    <d v="2015-01-13T00:00:00"/>
    <x v="1"/>
    <s v="MRCS"/>
    <s v="Kachin"/>
    <s v="Chipwi"/>
    <s v="Saw Zam"/>
    <m/>
    <m/>
    <m/>
    <m/>
    <m/>
    <m/>
    <m/>
    <m/>
    <m/>
    <m/>
    <n v="111"/>
    <n v="56"/>
    <m/>
    <n v="58"/>
    <m/>
    <m/>
    <m/>
    <n v="0"/>
    <n v="0"/>
    <n v="0"/>
    <n v="0"/>
    <n v="0"/>
    <n v="0"/>
    <n v="0"/>
    <n v="0"/>
    <n v="0"/>
    <n v="0"/>
    <n v="111"/>
    <n v="56"/>
    <n v="0"/>
    <n v="58"/>
    <x v="0"/>
    <n v="0"/>
    <s v="MMR001CMP225"/>
    <x v="1"/>
    <x v="1"/>
    <x v="3"/>
    <n v="0"/>
    <m/>
    <m/>
  </r>
  <r>
    <n v="11.766666666666667"/>
    <d v="2015-01-13T00:00:00"/>
    <x v="1"/>
    <s v="MRCS"/>
    <s v="Kachin"/>
    <s v="Momauk"/>
    <s v="Seng Ja "/>
    <m/>
    <m/>
    <m/>
    <m/>
    <m/>
    <m/>
    <m/>
    <m/>
    <m/>
    <m/>
    <n v="155"/>
    <n v="73"/>
    <m/>
    <n v="96"/>
    <m/>
    <m/>
    <m/>
    <n v="0"/>
    <n v="0"/>
    <n v="0"/>
    <n v="0"/>
    <n v="0"/>
    <n v="0"/>
    <n v="0"/>
    <n v="0"/>
    <n v="0"/>
    <n v="0"/>
    <n v="155"/>
    <n v="73"/>
    <n v="0"/>
    <n v="96"/>
    <x v="0"/>
    <n v="0"/>
    <s v="MMR001CMP073"/>
    <x v="1"/>
    <x v="1"/>
    <x v="2"/>
    <n v="0"/>
    <m/>
    <m/>
  </r>
  <r>
    <n v="11.766666666666667"/>
    <d v="2015-01-13T00:00:00"/>
    <x v="1"/>
    <s v="MRCS"/>
    <s v="Kachin"/>
    <s v="Sumprabum"/>
    <s v="Sumprabum"/>
    <m/>
    <m/>
    <m/>
    <m/>
    <m/>
    <m/>
    <m/>
    <m/>
    <m/>
    <m/>
    <n v="91"/>
    <n v="32"/>
    <m/>
    <n v="36"/>
    <m/>
    <m/>
    <m/>
    <n v="0"/>
    <n v="0"/>
    <n v="0"/>
    <n v="0"/>
    <n v="0"/>
    <n v="0"/>
    <n v="0"/>
    <n v="0"/>
    <n v="0"/>
    <n v="0"/>
    <n v="91"/>
    <n v="32"/>
    <n v="0"/>
    <n v="36"/>
    <x v="0"/>
    <n v="0"/>
    <s v="MMR001CMP206"/>
    <x v="1"/>
    <x v="1"/>
    <x v="1"/>
    <n v="0"/>
    <m/>
    <m/>
  </r>
  <r>
    <n v="11.766666666666667"/>
    <d v="2015-01-13T00:00:00"/>
    <x v="1"/>
    <s v="MRCS"/>
    <s v="Kachin"/>
    <s v="Hpakant"/>
    <s v="Ward 2 Sai Taung Baptist Church, Seik Mu "/>
    <m/>
    <m/>
    <m/>
    <m/>
    <m/>
    <m/>
    <m/>
    <m/>
    <m/>
    <m/>
    <n v="94"/>
    <n v="58"/>
    <m/>
    <m/>
    <m/>
    <m/>
    <m/>
    <n v="0"/>
    <n v="0"/>
    <n v="0"/>
    <n v="0"/>
    <n v="0"/>
    <n v="0"/>
    <n v="0"/>
    <n v="0"/>
    <n v="0"/>
    <n v="0"/>
    <n v="94"/>
    <n v="58"/>
    <n v="0"/>
    <n v="0"/>
    <x v="0"/>
    <n v="0"/>
    <s v="MMR001CMP184"/>
    <x v="1"/>
    <x v="1"/>
    <x v="1"/>
    <n v="0"/>
    <m/>
    <m/>
  </r>
  <r>
    <n v="11.766666666666667"/>
    <d v="2015-01-13T00:00:00"/>
    <x v="1"/>
    <s v="MRCS"/>
    <s v="Kachin"/>
    <s v="Hpakant"/>
    <s v="Yumar Baptist Church"/>
    <m/>
    <m/>
    <m/>
    <m/>
    <m/>
    <m/>
    <m/>
    <m/>
    <m/>
    <m/>
    <n v="33"/>
    <n v="8"/>
    <m/>
    <m/>
    <m/>
    <m/>
    <m/>
    <n v="0"/>
    <n v="0"/>
    <n v="0"/>
    <n v="0"/>
    <n v="0"/>
    <n v="0"/>
    <n v="0"/>
    <n v="0"/>
    <n v="0"/>
    <n v="0"/>
    <n v="33"/>
    <n v="8"/>
    <n v="0"/>
    <n v="0"/>
    <x v="0"/>
    <n v="0"/>
    <s v="MMR001CMP105"/>
    <x v="1"/>
    <x v="1"/>
    <x v="1"/>
    <n v="0"/>
    <m/>
    <m/>
  </r>
  <r>
    <n v="11.766666666666667"/>
    <d v="2015-01-13T00:00:00"/>
    <x v="0"/>
    <s v="Shalom"/>
    <s v="Kachin"/>
    <s v="Myitkyina"/>
    <s v="Tat Kone COC Baptist - Tat Kone Htoi San"/>
    <m/>
    <m/>
    <m/>
    <m/>
    <n v="2"/>
    <m/>
    <m/>
    <m/>
    <m/>
    <m/>
    <m/>
    <m/>
    <m/>
    <m/>
    <m/>
    <m/>
    <m/>
    <n v="0"/>
    <n v="0"/>
    <n v="0"/>
    <n v="0"/>
    <n v="2"/>
    <n v="0"/>
    <n v="0"/>
    <n v="0"/>
    <n v="0"/>
    <n v="0"/>
    <n v="0"/>
    <n v="0"/>
    <n v="0"/>
    <n v="0"/>
    <x v="1"/>
    <n v="0"/>
    <s v="MMR001CMP023"/>
    <x v="1"/>
    <x v="1"/>
    <x v="1"/>
    <n v="0"/>
    <s v="No"/>
    <m/>
  </r>
  <r>
    <n v="11.866666666666667"/>
    <d v="2015-01-10T00:00:00"/>
    <x v="0"/>
    <s v="UNHCR"/>
    <s v="Kachin"/>
    <s v="Puta-O"/>
    <s v="Naung Khaing"/>
    <m/>
    <m/>
    <n v="55"/>
    <n v="110"/>
    <n v="55"/>
    <n v="110"/>
    <n v="55"/>
    <m/>
    <n v="55"/>
    <n v="275"/>
    <m/>
    <m/>
    <m/>
    <m/>
    <n v="55"/>
    <m/>
    <m/>
    <n v="0"/>
    <n v="0"/>
    <n v="55"/>
    <n v="110"/>
    <n v="55"/>
    <n v="110"/>
    <n v="55"/>
    <n v="0"/>
    <n v="55"/>
    <n v="687.5"/>
    <n v="0"/>
    <n v="0"/>
    <n v="0"/>
    <n v="0"/>
    <x v="1"/>
    <n v="55"/>
    <s v="MMR001CMP220"/>
    <x v="1"/>
    <x v="2"/>
    <x v="2"/>
    <s v=""/>
    <s v="No"/>
    <m/>
  </r>
  <r>
    <n v="12.166666666666666"/>
    <d v="2015-01-01T00:00:00"/>
    <x v="0"/>
    <s v="KBC"/>
    <s v="Kachin"/>
    <s v="Waingmaw"/>
    <s v="Shing Jai"/>
    <m/>
    <m/>
    <m/>
    <m/>
    <m/>
    <m/>
    <n v="50"/>
    <m/>
    <m/>
    <m/>
    <m/>
    <m/>
    <m/>
    <m/>
    <m/>
    <m/>
    <n v="90"/>
    <n v="0"/>
    <n v="0"/>
    <n v="0"/>
    <n v="0"/>
    <n v="0"/>
    <n v="0"/>
    <n v="0"/>
    <n v="0"/>
    <n v="0"/>
    <n v="0"/>
    <n v="0"/>
    <n v="0"/>
    <n v="0"/>
    <n v="0"/>
    <x v="1"/>
    <n v="0"/>
    <s v="MMR001CMP041"/>
    <x v="1"/>
    <x v="1"/>
    <x v="3"/>
    <n v="0.27322404371584702"/>
    <s v="No"/>
    <m/>
  </r>
  <r>
    <n v="12.233333333333333"/>
    <d v="2014-12-30T00:00:00"/>
    <x v="0"/>
    <s v="KBC"/>
    <s v="Kachin"/>
    <s v="Waingmaw"/>
    <s v="Shing Jai"/>
    <m/>
    <m/>
    <n v="120"/>
    <n v="240"/>
    <n v="135"/>
    <n v="240"/>
    <n v="170"/>
    <n v="120"/>
    <n v="120"/>
    <n v="600"/>
    <m/>
    <m/>
    <m/>
    <m/>
    <m/>
    <m/>
    <m/>
    <n v="0"/>
    <n v="0"/>
    <n v="0"/>
    <n v="0"/>
    <n v="0"/>
    <n v="0"/>
    <n v="0"/>
    <n v="0"/>
    <n v="0"/>
    <n v="0"/>
    <n v="0"/>
    <n v="0"/>
    <n v="0"/>
    <n v="0"/>
    <x v="1"/>
    <n v="0"/>
    <s v="MMR001CMP041"/>
    <x v="1"/>
    <x v="1"/>
    <x v="3"/>
    <n v="0.92896174863387981"/>
    <m/>
    <m/>
  </r>
  <r>
    <n v="12.6"/>
    <d v="2014-12-19T00:00:00"/>
    <x v="0"/>
    <s v="KBC"/>
    <s v="Kachin"/>
    <s v="Waingmaw"/>
    <s v="Hkau Shau (BP 12)"/>
    <m/>
    <m/>
    <m/>
    <m/>
    <m/>
    <m/>
    <m/>
    <m/>
    <m/>
    <m/>
    <n v="364"/>
    <n v="543"/>
    <m/>
    <n v="362"/>
    <m/>
    <m/>
    <m/>
    <n v="0"/>
    <n v="0"/>
    <n v="0"/>
    <n v="0"/>
    <n v="0"/>
    <n v="0"/>
    <n v="0"/>
    <n v="0"/>
    <n v="0"/>
    <n v="0"/>
    <n v="0"/>
    <n v="0"/>
    <n v="0"/>
    <n v="0"/>
    <x v="0"/>
    <n v="0"/>
    <s v="MMR001CMP115"/>
    <x v="1"/>
    <x v="1"/>
    <x v="3"/>
    <n v="0"/>
    <m/>
    <m/>
  </r>
  <r>
    <n v="12.6"/>
    <d v="2014-12-19T00:00:00"/>
    <x v="0"/>
    <m/>
    <s v="Kachin"/>
    <s v="Chipwi"/>
    <s v="Hpare Hkyer - BP6"/>
    <m/>
    <m/>
    <m/>
    <m/>
    <m/>
    <m/>
    <m/>
    <m/>
    <m/>
    <m/>
    <n v="320"/>
    <n v="465"/>
    <m/>
    <n v="310"/>
    <m/>
    <m/>
    <m/>
    <n v="0"/>
    <n v="0"/>
    <n v="0"/>
    <n v="0"/>
    <n v="0"/>
    <n v="0"/>
    <n v="0"/>
    <n v="0"/>
    <n v="0"/>
    <n v="0"/>
    <n v="0"/>
    <n v="0"/>
    <n v="0"/>
    <n v="0"/>
    <x v="0"/>
    <n v="0"/>
    <s v="MMR001CMP043"/>
    <x v="1"/>
    <x v="1"/>
    <x v="3"/>
    <n v="0"/>
    <m/>
    <m/>
  </r>
  <r>
    <n v="12.6"/>
    <d v="2014-12-19T00:00:00"/>
    <x v="0"/>
    <m/>
    <s v="Kachin"/>
    <s v="Waingmaw"/>
    <s v="Pajau - Jan Mai"/>
    <m/>
    <m/>
    <m/>
    <m/>
    <m/>
    <m/>
    <m/>
    <m/>
    <m/>
    <m/>
    <n v="384"/>
    <n v="573"/>
    <m/>
    <n v="382"/>
    <m/>
    <m/>
    <m/>
    <n v="0"/>
    <n v="0"/>
    <n v="0"/>
    <n v="0"/>
    <n v="0"/>
    <n v="0"/>
    <n v="0"/>
    <n v="0"/>
    <n v="0"/>
    <n v="0"/>
    <n v="0"/>
    <n v="0"/>
    <n v="0"/>
    <n v="0"/>
    <x v="0"/>
    <n v="0"/>
    <s v="MMR001CMP120"/>
    <x v="1"/>
    <x v="1"/>
    <x v="3"/>
    <n v="0"/>
    <m/>
    <m/>
  </r>
  <r>
    <n v="12.6"/>
    <d v="2014-12-19T00:00:00"/>
    <x v="0"/>
    <s v="KBC"/>
    <s v="Kachin"/>
    <s v="Waingmaw"/>
    <s v="Zai Awng - Mung Ga Zup"/>
    <m/>
    <m/>
    <m/>
    <m/>
    <m/>
    <m/>
    <m/>
    <m/>
    <m/>
    <m/>
    <n v="1292"/>
    <n v="1938"/>
    <m/>
    <n v="1292"/>
    <m/>
    <m/>
    <m/>
    <n v="0"/>
    <n v="0"/>
    <n v="0"/>
    <n v="0"/>
    <n v="0"/>
    <n v="0"/>
    <n v="0"/>
    <n v="0"/>
    <n v="0"/>
    <n v="0"/>
    <n v="0"/>
    <n v="0"/>
    <n v="0"/>
    <n v="0"/>
    <x v="0"/>
    <n v="0"/>
    <s v="MMR001CMP111"/>
    <x v="1"/>
    <x v="1"/>
    <x v="4"/>
    <n v="0"/>
    <m/>
    <m/>
  </r>
  <r>
    <n v="13.066666666666666"/>
    <d v="2014-12-05T00:00:00"/>
    <x v="0"/>
    <s v="KMSS"/>
    <s v="Kachin"/>
    <s v="Waingmaw"/>
    <s v="Border Post 8"/>
    <m/>
    <m/>
    <m/>
    <n v="164"/>
    <m/>
    <m/>
    <m/>
    <m/>
    <m/>
    <m/>
    <n v="302"/>
    <n v="440"/>
    <m/>
    <n v="297"/>
    <m/>
    <m/>
    <m/>
    <n v="0"/>
    <n v="0"/>
    <n v="0"/>
    <n v="0"/>
    <n v="0"/>
    <n v="0"/>
    <n v="0"/>
    <n v="0"/>
    <n v="0"/>
    <n v="0"/>
    <n v="0"/>
    <n v="0"/>
    <n v="0"/>
    <n v="0"/>
    <x v="0"/>
    <n v="0"/>
    <s v="MMR001CMP113"/>
    <x v="1"/>
    <x v="1"/>
    <x v="3"/>
    <n v="0"/>
    <m/>
    <m/>
  </r>
  <r>
    <n v="13.066666666666666"/>
    <d v="2014-12-05T00:00:00"/>
    <x v="0"/>
    <s v="KMSS"/>
    <s v="Kachin"/>
    <s v="Waingmaw"/>
    <s v="Post 6 Camp"/>
    <m/>
    <m/>
    <m/>
    <n v="124"/>
    <m/>
    <m/>
    <m/>
    <m/>
    <m/>
    <m/>
    <n v="262"/>
    <n v="400"/>
    <m/>
    <n v="257"/>
    <m/>
    <m/>
    <m/>
    <n v="0"/>
    <n v="0"/>
    <n v="0"/>
    <n v="0"/>
    <n v="0"/>
    <n v="0"/>
    <n v="0"/>
    <n v="0"/>
    <n v="0"/>
    <n v="0"/>
    <n v="0"/>
    <n v="0"/>
    <n v="0"/>
    <n v="0"/>
    <x v="0"/>
    <n v="0"/>
    <s v="MMR001CMP160"/>
    <x v="1"/>
    <x v="1"/>
    <x v="3"/>
    <n v="0"/>
    <m/>
    <m/>
  </r>
  <r>
    <n v="13.466666666666667"/>
    <d v="2014-11-23T00:00:00"/>
    <x v="0"/>
    <s v="KBC"/>
    <s v="Kachin"/>
    <s v="Myitkyina"/>
    <s v="Jan Mai Kawng Baptist Church"/>
    <m/>
    <m/>
    <m/>
    <n v="72"/>
    <n v="36"/>
    <n v="72"/>
    <n v="36"/>
    <m/>
    <n v="36"/>
    <n v="180"/>
    <m/>
    <m/>
    <m/>
    <m/>
    <m/>
    <m/>
    <m/>
    <n v="0"/>
    <n v="0"/>
    <n v="0"/>
    <n v="0"/>
    <n v="0"/>
    <n v="0"/>
    <n v="0"/>
    <n v="0"/>
    <n v="0"/>
    <n v="0"/>
    <n v="0"/>
    <n v="0"/>
    <n v="0"/>
    <n v="0"/>
    <x v="1"/>
    <n v="0"/>
    <s v="MMR001CMP018"/>
    <x v="1"/>
    <x v="1"/>
    <x v="1"/>
    <n v="0.17733990147783252"/>
    <m/>
    <m/>
  </r>
  <r>
    <n v="13.866666666666667"/>
    <d v="2014-11-11T00:00:00"/>
    <x v="0"/>
    <s v="KBC"/>
    <s v="Kachin"/>
    <s v="Hpakant"/>
    <s v="Hlaing Naung Baptist"/>
    <m/>
    <m/>
    <n v="19"/>
    <n v="38"/>
    <n v="19"/>
    <n v="38"/>
    <n v="19"/>
    <m/>
    <n v="19"/>
    <n v="95"/>
    <m/>
    <m/>
    <m/>
    <m/>
    <m/>
    <m/>
    <m/>
    <n v="0"/>
    <n v="0"/>
    <n v="0"/>
    <n v="0"/>
    <n v="0"/>
    <n v="0"/>
    <n v="0"/>
    <n v="0"/>
    <n v="0"/>
    <n v="0"/>
    <n v="0"/>
    <n v="0"/>
    <n v="0"/>
    <n v="0"/>
    <x v="1"/>
    <n v="0"/>
    <s v="MMR001CMP148"/>
    <x v="1"/>
    <x v="1"/>
    <x v="1"/>
    <n v="1.5833333333333333"/>
    <m/>
    <m/>
  </r>
  <r>
    <n v="13.9"/>
    <d v="2014-11-10T00:00:00"/>
    <x v="1"/>
    <s v="MRCS"/>
    <s v="Kachin"/>
    <s v="Hpakant"/>
    <s v="Nam Ma Phyit, COC"/>
    <m/>
    <m/>
    <m/>
    <m/>
    <m/>
    <m/>
    <m/>
    <m/>
    <m/>
    <m/>
    <n v="50"/>
    <n v="17"/>
    <m/>
    <m/>
    <m/>
    <m/>
    <m/>
    <n v="0"/>
    <n v="0"/>
    <n v="0"/>
    <n v="0"/>
    <n v="0"/>
    <n v="0"/>
    <n v="0"/>
    <n v="0"/>
    <n v="0"/>
    <n v="0"/>
    <n v="0"/>
    <n v="0"/>
    <n v="0"/>
    <n v="0"/>
    <x v="0"/>
    <n v="0"/>
    <s v="MMR001CMP192"/>
    <x v="1"/>
    <x v="1"/>
    <x v="1"/>
    <n v="0"/>
    <m/>
    <m/>
  </r>
  <r>
    <n v="13.9"/>
    <d v="2014-11-10T00:00:00"/>
    <x v="1"/>
    <s v="MRCS"/>
    <s v="Kachin"/>
    <s v="Hpakant"/>
    <s v="Nant Ma Hpit Catholic Church"/>
    <m/>
    <m/>
    <m/>
    <m/>
    <m/>
    <m/>
    <m/>
    <m/>
    <m/>
    <m/>
    <n v="117"/>
    <n v="65"/>
    <m/>
    <m/>
    <m/>
    <m/>
    <m/>
    <n v="0"/>
    <n v="0"/>
    <n v="0"/>
    <n v="0"/>
    <n v="0"/>
    <n v="0"/>
    <n v="0"/>
    <n v="0"/>
    <n v="0"/>
    <n v="0"/>
    <n v="0"/>
    <n v="0"/>
    <n v="0"/>
    <n v="0"/>
    <x v="0"/>
    <n v="0"/>
    <s v="MMR001CMP103"/>
    <x v="1"/>
    <x v="1"/>
    <x v="1"/>
    <n v="0"/>
    <m/>
    <m/>
  </r>
  <r>
    <n v="13.9"/>
    <d v="2014-11-10T00:00:00"/>
    <x v="1"/>
    <s v="MRCS"/>
    <s v="Kachin"/>
    <s v="Puta-O"/>
    <s v="Naung Khaing"/>
    <m/>
    <m/>
    <m/>
    <m/>
    <m/>
    <m/>
    <m/>
    <m/>
    <m/>
    <m/>
    <n v="52"/>
    <n v="16"/>
    <m/>
    <m/>
    <m/>
    <m/>
    <m/>
    <n v="0"/>
    <n v="0"/>
    <n v="0"/>
    <n v="0"/>
    <n v="0"/>
    <n v="0"/>
    <n v="0"/>
    <n v="0"/>
    <n v="0"/>
    <n v="0"/>
    <n v="0"/>
    <n v="0"/>
    <n v="0"/>
    <n v="0"/>
    <x v="0"/>
    <n v="0"/>
    <s v="MMR001CMP220"/>
    <x v="1"/>
    <x v="2"/>
    <x v="2"/>
    <s v=""/>
    <m/>
    <m/>
  </r>
  <r>
    <n v="13.9"/>
    <d v="2014-11-10T00:00:00"/>
    <x v="1"/>
    <s v="MRCS"/>
    <s v="Kachin"/>
    <s v="Puta-O"/>
    <s v="Tote Tan Ward"/>
    <m/>
    <m/>
    <m/>
    <m/>
    <m/>
    <m/>
    <m/>
    <m/>
    <m/>
    <m/>
    <n v="72"/>
    <n v="11"/>
    <m/>
    <m/>
    <m/>
    <m/>
    <m/>
    <n v="0"/>
    <n v="0"/>
    <n v="0"/>
    <n v="0"/>
    <n v="0"/>
    <n v="0"/>
    <n v="0"/>
    <n v="0"/>
    <n v="0"/>
    <n v="0"/>
    <n v="0"/>
    <n v="0"/>
    <n v="0"/>
    <n v="0"/>
    <x v="0"/>
    <n v="0"/>
    <s v="MMR001CMP075"/>
    <x v="1"/>
    <x v="1"/>
    <x v="2"/>
    <n v="0"/>
    <m/>
    <m/>
  </r>
  <r>
    <n v="14.133333333333333"/>
    <d v="2014-11-03T00:00:00"/>
    <x v="0"/>
    <s v="Shalom"/>
    <s v="Kachin"/>
    <s v="Waingmaw"/>
    <s v="Hkat Cho "/>
    <m/>
    <m/>
    <n v="15"/>
    <n v="30"/>
    <n v="15"/>
    <n v="30"/>
    <n v="15"/>
    <m/>
    <n v="15"/>
    <n v="75"/>
    <m/>
    <m/>
    <m/>
    <m/>
    <m/>
    <m/>
    <m/>
    <n v="0"/>
    <n v="0"/>
    <n v="0"/>
    <n v="0"/>
    <n v="0"/>
    <n v="0"/>
    <n v="0"/>
    <n v="0"/>
    <n v="0"/>
    <n v="0"/>
    <n v="0"/>
    <n v="0"/>
    <n v="0"/>
    <n v="0"/>
    <x v="1"/>
    <n v="0"/>
    <s v="MMR001CMP028"/>
    <x v="1"/>
    <x v="1"/>
    <x v="1"/>
    <n v="0.13513513513513514"/>
    <m/>
    <m/>
  </r>
  <r>
    <n v="14.233333333333333"/>
    <d v="2014-10-31T00:00:00"/>
    <x v="0"/>
    <m/>
    <s v="Kachin"/>
    <s v="Hpakant"/>
    <s v="5 Ward Baptist Church(lon Khin)"/>
    <m/>
    <m/>
    <n v="77"/>
    <n v="154"/>
    <n v="77"/>
    <n v="154"/>
    <n v="77"/>
    <m/>
    <n v="77"/>
    <n v="385"/>
    <m/>
    <m/>
    <m/>
    <m/>
    <m/>
    <m/>
    <m/>
    <n v="0"/>
    <n v="0"/>
    <n v="0"/>
    <n v="0"/>
    <n v="0"/>
    <n v="0"/>
    <n v="0"/>
    <n v="0"/>
    <n v="0"/>
    <n v="0"/>
    <n v="0"/>
    <n v="0"/>
    <n v="0"/>
    <n v="0"/>
    <x v="1"/>
    <n v="0"/>
    <s v="MMR001CMP179"/>
    <x v="1"/>
    <x v="1"/>
    <x v="1"/>
    <n v="1.013157894736842"/>
    <m/>
    <m/>
  </r>
  <r>
    <n v="14.233333333333333"/>
    <d v="2014-10-31T00:00:00"/>
    <x v="0"/>
    <m/>
    <s v="Kachin"/>
    <s v="Hpakant"/>
    <s v="5 Ward RC Church(lon Khin)"/>
    <m/>
    <m/>
    <n v="59"/>
    <n v="118"/>
    <n v="59"/>
    <n v="118"/>
    <n v="59"/>
    <m/>
    <n v="59"/>
    <n v="295"/>
    <m/>
    <m/>
    <m/>
    <m/>
    <m/>
    <m/>
    <m/>
    <n v="0"/>
    <n v="0"/>
    <n v="0"/>
    <n v="0"/>
    <n v="0"/>
    <n v="0"/>
    <n v="0"/>
    <n v="0"/>
    <n v="0"/>
    <n v="0"/>
    <n v="0"/>
    <n v="0"/>
    <n v="0"/>
    <n v="0"/>
    <x v="1"/>
    <n v="0"/>
    <s v="MMR001CMP168"/>
    <x v="1"/>
    <x v="1"/>
    <x v="1"/>
    <n v="0.78666666666666663"/>
    <m/>
    <m/>
  </r>
  <r>
    <n v="14.233333333333333"/>
    <d v="2014-10-31T00:00:00"/>
    <x v="0"/>
    <m/>
    <s v="Kachin"/>
    <s v="Hpakant"/>
    <s v="AG Church, Hmaw Si Sa"/>
    <m/>
    <m/>
    <n v="67"/>
    <n v="134"/>
    <n v="67"/>
    <n v="134"/>
    <n v="67"/>
    <m/>
    <n v="67"/>
    <n v="335"/>
    <m/>
    <m/>
    <m/>
    <m/>
    <m/>
    <m/>
    <m/>
    <n v="0"/>
    <n v="0"/>
    <n v="0"/>
    <n v="0"/>
    <n v="0"/>
    <n v="0"/>
    <n v="0"/>
    <n v="0"/>
    <n v="0"/>
    <n v="0"/>
    <n v="0"/>
    <n v="0"/>
    <n v="0"/>
    <n v="0"/>
    <x v="1"/>
    <n v="0"/>
    <s v="MMR001CMP176"/>
    <x v="1"/>
    <x v="1"/>
    <x v="1"/>
    <n v="1"/>
    <m/>
    <m/>
  </r>
  <r>
    <n v="14.233333333333333"/>
    <d v="2014-10-31T00:00:00"/>
    <x v="0"/>
    <m/>
    <s v="Kachin"/>
    <s v="Hpakant"/>
    <s v="AG Church, Maw Wan"/>
    <m/>
    <m/>
    <n v="14"/>
    <n v="28"/>
    <n v="14"/>
    <n v="28"/>
    <n v="14"/>
    <m/>
    <n v="14"/>
    <n v="70"/>
    <m/>
    <m/>
    <m/>
    <m/>
    <m/>
    <m/>
    <m/>
    <n v="0"/>
    <n v="0"/>
    <n v="0"/>
    <n v="0"/>
    <n v="0"/>
    <n v="0"/>
    <n v="0"/>
    <n v="0"/>
    <n v="0"/>
    <n v="0"/>
    <n v="0"/>
    <n v="0"/>
    <n v="0"/>
    <n v="0"/>
    <x v="1"/>
    <n v="0"/>
    <s v="MMR001CMP190"/>
    <x v="1"/>
    <x v="1"/>
    <x v="1"/>
    <n v="1"/>
    <m/>
    <m/>
  </r>
  <r>
    <n v="14.233333333333333"/>
    <d v="2014-10-31T00:00:00"/>
    <x v="0"/>
    <m/>
    <s v="Kachin"/>
    <s v="Hpakant"/>
    <s v="Baptist Church, Hmaw Si Sar(Lon Khin)"/>
    <m/>
    <m/>
    <n v="38"/>
    <n v="76"/>
    <n v="38"/>
    <n v="76"/>
    <n v="38"/>
    <m/>
    <n v="38"/>
    <n v="190"/>
    <m/>
    <m/>
    <m/>
    <m/>
    <m/>
    <m/>
    <m/>
    <n v="0"/>
    <n v="0"/>
    <n v="0"/>
    <n v="0"/>
    <n v="0"/>
    <n v="0"/>
    <n v="0"/>
    <n v="0"/>
    <n v="0"/>
    <n v="0"/>
    <n v="0"/>
    <n v="0"/>
    <n v="0"/>
    <n v="0"/>
    <x v="1"/>
    <n v="0"/>
    <s v="MMR001CMP169"/>
    <x v="1"/>
    <x v="1"/>
    <x v="1"/>
    <n v="1.0857142857142856"/>
    <m/>
    <m/>
  </r>
  <r>
    <n v="14.233333333333333"/>
    <d v="2014-10-31T00:00:00"/>
    <x v="0"/>
    <m/>
    <s v="Kachin"/>
    <s v="Hpakant"/>
    <s v="Chin Church, Seik Mu"/>
    <m/>
    <m/>
    <n v="5"/>
    <n v="10"/>
    <n v="5"/>
    <n v="10"/>
    <n v="5"/>
    <m/>
    <n v="5"/>
    <n v="25"/>
    <m/>
    <m/>
    <m/>
    <m/>
    <m/>
    <m/>
    <m/>
    <n v="0"/>
    <n v="0"/>
    <n v="0"/>
    <n v="0"/>
    <n v="0"/>
    <n v="0"/>
    <n v="0"/>
    <n v="0"/>
    <n v="0"/>
    <n v="0"/>
    <n v="0"/>
    <n v="0"/>
    <n v="0"/>
    <n v="0"/>
    <x v="1"/>
    <n v="0"/>
    <s v="MMR001CMP109"/>
    <x v="1"/>
    <x v="1"/>
    <x v="1"/>
    <n v="0.83333333333333337"/>
    <m/>
    <m/>
  </r>
  <r>
    <n v="14.233333333333333"/>
    <d v="2014-10-31T00:00:00"/>
    <x v="0"/>
    <m/>
    <s v="Kachin"/>
    <s v="Hpakant"/>
    <s v="Dhama Rakhita, Nyein Chan Tar Yar Ward(Lon Khin)"/>
    <m/>
    <m/>
    <n v="67"/>
    <n v="134"/>
    <n v="67"/>
    <n v="134"/>
    <n v="67"/>
    <m/>
    <n v="67"/>
    <n v="335"/>
    <m/>
    <m/>
    <m/>
    <m/>
    <m/>
    <m/>
    <m/>
    <n v="0"/>
    <n v="0"/>
    <n v="0"/>
    <n v="0"/>
    <n v="0"/>
    <n v="0"/>
    <n v="0"/>
    <n v="0"/>
    <n v="0"/>
    <n v="0"/>
    <n v="0"/>
    <n v="0"/>
    <n v="0"/>
    <n v="0"/>
    <x v="1"/>
    <n v="0"/>
    <s v="MMR001CMP174"/>
    <x v="1"/>
    <x v="1"/>
    <x v="1"/>
    <n v="1.0307692307692307"/>
    <m/>
    <m/>
  </r>
  <r>
    <n v="14.233333333333333"/>
    <d v="2014-10-31T00:00:00"/>
    <x v="0"/>
    <m/>
    <s v="Kachin"/>
    <s v="Hpakant"/>
    <s v="Hmaw Wan, Anglican"/>
    <m/>
    <m/>
    <n v="10"/>
    <n v="20"/>
    <n v="10"/>
    <n v="20"/>
    <n v="10"/>
    <m/>
    <n v="10"/>
    <n v="50"/>
    <m/>
    <m/>
    <m/>
    <m/>
    <m/>
    <m/>
    <m/>
    <n v="0"/>
    <n v="0"/>
    <n v="0"/>
    <n v="0"/>
    <n v="0"/>
    <n v="0"/>
    <n v="0"/>
    <n v="0"/>
    <n v="0"/>
    <n v="0"/>
    <n v="0"/>
    <n v="0"/>
    <n v="0"/>
    <n v="0"/>
    <x v="1"/>
    <n v="0"/>
    <s v="MMR001CMP191"/>
    <x v="1"/>
    <x v="1"/>
    <x v="1"/>
    <n v="0.76923076923076927"/>
    <m/>
    <m/>
  </r>
  <r>
    <n v="14.233333333333333"/>
    <d v="2014-10-31T00:00:00"/>
    <x v="0"/>
    <m/>
    <s v="Kachin"/>
    <s v="Hpakant"/>
    <s v="Hpakant Baptist Church, Nam Ma Hpit"/>
    <m/>
    <m/>
    <n v="64"/>
    <n v="128"/>
    <n v="64"/>
    <n v="128"/>
    <n v="64"/>
    <m/>
    <n v="64"/>
    <n v="320"/>
    <m/>
    <m/>
    <m/>
    <m/>
    <m/>
    <m/>
    <m/>
    <n v="0"/>
    <n v="0"/>
    <n v="0"/>
    <n v="0"/>
    <n v="0"/>
    <n v="0"/>
    <n v="0"/>
    <n v="0"/>
    <n v="0"/>
    <n v="0"/>
    <n v="0"/>
    <n v="0"/>
    <n v="0"/>
    <n v="0"/>
    <x v="1"/>
    <n v="0"/>
    <s v="MMR001CMP229"/>
    <x v="1"/>
    <x v="1"/>
    <x v="1"/>
    <n v="0.55172413793103448"/>
    <m/>
    <m/>
  </r>
  <r>
    <n v="14.233333333333333"/>
    <d v="2014-10-31T00:00:00"/>
    <x v="0"/>
    <m/>
    <s v="Kachin"/>
    <s v="Hpakant"/>
    <s v="Lisu Baptist Church, Maw Shan Vil,. Seik Mu"/>
    <m/>
    <m/>
    <n v="25"/>
    <n v="50"/>
    <n v="25"/>
    <n v="50"/>
    <n v="25"/>
    <m/>
    <n v="25"/>
    <n v="125"/>
    <m/>
    <m/>
    <m/>
    <m/>
    <m/>
    <m/>
    <m/>
    <n v="0"/>
    <n v="0"/>
    <n v="0"/>
    <n v="0"/>
    <n v="0"/>
    <n v="0"/>
    <n v="0"/>
    <n v="0"/>
    <n v="0"/>
    <n v="0"/>
    <n v="0"/>
    <n v="0"/>
    <n v="0"/>
    <n v="0"/>
    <x v="1"/>
    <n v="0"/>
    <s v="MMR001CMP181"/>
    <x v="1"/>
    <x v="1"/>
    <x v="1"/>
    <n v="1"/>
    <m/>
    <m/>
  </r>
  <r>
    <n v="14.233333333333333"/>
    <d v="2014-10-31T00:00:00"/>
    <x v="0"/>
    <m/>
    <s v="Kachin"/>
    <s v="Hpakant"/>
    <s v="Lisu Baptist Church, Maw Wan Ward"/>
    <m/>
    <m/>
    <n v="15"/>
    <n v="30"/>
    <n v="15"/>
    <n v="30"/>
    <n v="15"/>
    <m/>
    <n v="15"/>
    <n v="75"/>
    <m/>
    <m/>
    <m/>
    <m/>
    <m/>
    <m/>
    <m/>
    <n v="0"/>
    <n v="0"/>
    <n v="0"/>
    <n v="0"/>
    <n v="0"/>
    <n v="0"/>
    <n v="0"/>
    <n v="0"/>
    <n v="0"/>
    <n v="0"/>
    <n v="0"/>
    <n v="0"/>
    <n v="0"/>
    <n v="0"/>
    <x v="1"/>
    <n v="0"/>
    <s v="MMR001CMP167"/>
    <x v="1"/>
    <x v="1"/>
    <x v="1"/>
    <n v="1"/>
    <m/>
    <m/>
  </r>
  <r>
    <n v="14.233333333333333"/>
    <d v="2014-10-31T00:00:00"/>
    <x v="1"/>
    <s v="MRCS"/>
    <s v="Kachin"/>
    <s v="Machanbaw"/>
    <s v="Machanbaw - KBC"/>
    <m/>
    <m/>
    <m/>
    <m/>
    <m/>
    <m/>
    <m/>
    <m/>
    <m/>
    <m/>
    <n v="20"/>
    <n v="8"/>
    <m/>
    <m/>
    <m/>
    <m/>
    <m/>
    <n v="0"/>
    <n v="0"/>
    <n v="0"/>
    <n v="0"/>
    <n v="0"/>
    <n v="0"/>
    <n v="0"/>
    <n v="0"/>
    <n v="0"/>
    <n v="0"/>
    <n v="0"/>
    <n v="0"/>
    <n v="0"/>
    <n v="0"/>
    <x v="0"/>
    <n v="0"/>
    <s v="MMR001CMP221"/>
    <x v="1"/>
    <x v="2"/>
    <x v="2"/>
    <s v=""/>
    <m/>
    <m/>
  </r>
  <r>
    <n v="14.233333333333333"/>
    <d v="2014-10-31T00:00:00"/>
    <x v="1"/>
    <s v="MRCS"/>
    <s v="Kachin"/>
    <s v="Hpakant"/>
    <s v="Maw Wan, Mu-yin Baptist Church"/>
    <m/>
    <m/>
    <m/>
    <m/>
    <m/>
    <m/>
    <m/>
    <m/>
    <m/>
    <m/>
    <n v="11"/>
    <n v="15"/>
    <m/>
    <m/>
    <m/>
    <m/>
    <m/>
    <n v="0"/>
    <n v="0"/>
    <n v="0"/>
    <n v="0"/>
    <n v="0"/>
    <n v="0"/>
    <n v="0"/>
    <n v="0"/>
    <n v="0"/>
    <n v="0"/>
    <n v="0"/>
    <n v="0"/>
    <n v="0"/>
    <n v="0"/>
    <x v="0"/>
    <n v="0"/>
    <s v="MMR001CMP091"/>
    <x v="1"/>
    <x v="1"/>
    <x v="1"/>
    <n v="0"/>
    <m/>
    <m/>
  </r>
  <r>
    <n v="14.233333333333333"/>
    <d v="2014-10-31T00:00:00"/>
    <x v="0"/>
    <m/>
    <s v="Kachin"/>
    <s v="Hpakant"/>
    <s v="Maw Wan, Mu-yin Baptist Church"/>
    <m/>
    <m/>
    <n v="5"/>
    <n v="10"/>
    <n v="5"/>
    <n v="10"/>
    <n v="5"/>
    <m/>
    <n v="5"/>
    <n v="25"/>
    <m/>
    <m/>
    <m/>
    <m/>
    <m/>
    <m/>
    <m/>
    <n v="0"/>
    <n v="0"/>
    <n v="0"/>
    <n v="0"/>
    <n v="0"/>
    <n v="0"/>
    <n v="0"/>
    <n v="0"/>
    <n v="0"/>
    <n v="0"/>
    <n v="0"/>
    <n v="0"/>
    <n v="0"/>
    <n v="0"/>
    <x v="1"/>
    <n v="0"/>
    <s v="MMR001CMP091"/>
    <x v="1"/>
    <x v="1"/>
    <x v="1"/>
    <n v="1"/>
    <m/>
    <m/>
  </r>
  <r>
    <n v="14.233333333333333"/>
    <d v="2014-10-31T00:00:00"/>
    <x v="0"/>
    <m/>
    <s v="Kachin"/>
    <s v="Hpakant"/>
    <s v="Nam Ma Phyit, COC"/>
    <m/>
    <m/>
    <n v="17"/>
    <n v="34"/>
    <n v="17"/>
    <n v="34"/>
    <n v="17"/>
    <m/>
    <n v="17"/>
    <n v="85"/>
    <m/>
    <m/>
    <m/>
    <m/>
    <m/>
    <m/>
    <m/>
    <n v="0"/>
    <n v="0"/>
    <n v="0"/>
    <n v="0"/>
    <n v="0"/>
    <n v="0"/>
    <n v="0"/>
    <n v="0"/>
    <n v="0"/>
    <n v="0"/>
    <n v="0"/>
    <n v="0"/>
    <n v="0"/>
    <n v="0"/>
    <x v="1"/>
    <n v="0"/>
    <s v="MMR001CMP192"/>
    <x v="1"/>
    <x v="1"/>
    <x v="1"/>
    <n v="1"/>
    <m/>
    <m/>
  </r>
  <r>
    <n v="14.233333333333333"/>
    <d v="2014-10-31T00:00:00"/>
    <x v="0"/>
    <m/>
    <s v="Kachin"/>
    <s v="Hpakant"/>
    <s v="Nant Ma Hpit Catholic Church"/>
    <m/>
    <m/>
    <n v="36"/>
    <n v="72"/>
    <n v="36"/>
    <n v="72"/>
    <n v="36"/>
    <m/>
    <n v="36"/>
    <n v="180"/>
    <m/>
    <m/>
    <m/>
    <m/>
    <m/>
    <m/>
    <m/>
    <n v="0"/>
    <n v="0"/>
    <n v="0"/>
    <n v="0"/>
    <n v="0"/>
    <n v="0"/>
    <n v="0"/>
    <n v="0"/>
    <n v="0"/>
    <n v="0"/>
    <n v="0"/>
    <n v="0"/>
    <n v="0"/>
    <n v="0"/>
    <x v="1"/>
    <n v="0"/>
    <s v="MMR001CMP103"/>
    <x v="1"/>
    <x v="1"/>
    <x v="1"/>
    <n v="0.66666666666666663"/>
    <m/>
    <s v="used in warehouse"/>
  </r>
  <r>
    <n v="14.233333333333333"/>
    <d v="2014-10-31T00:00:00"/>
    <x v="0"/>
    <m/>
    <s v="Kachin"/>
    <s v="Hpakant"/>
    <s v="Rawan Baptist Church, Maw Shan Vil., Seik Mu"/>
    <m/>
    <m/>
    <n v="12"/>
    <n v="24"/>
    <n v="12"/>
    <n v="24"/>
    <n v="12"/>
    <m/>
    <n v="12"/>
    <n v="60"/>
    <m/>
    <m/>
    <m/>
    <m/>
    <m/>
    <m/>
    <m/>
    <n v="0"/>
    <n v="0"/>
    <n v="0"/>
    <n v="0"/>
    <n v="0"/>
    <n v="0"/>
    <n v="0"/>
    <n v="0"/>
    <n v="0"/>
    <n v="0"/>
    <n v="0"/>
    <n v="0"/>
    <n v="0"/>
    <n v="0"/>
    <x v="1"/>
    <n v="0"/>
    <s v="MMR001CMP182"/>
    <x v="1"/>
    <x v="1"/>
    <x v="1"/>
    <n v="1.2"/>
    <m/>
    <m/>
  </r>
  <r>
    <n v="14.233333333333333"/>
    <d v="2014-10-31T00:00:00"/>
    <x v="0"/>
    <m/>
    <s v="Kachin"/>
    <s v="Hpakant"/>
    <s v="Sai Nai Baptish Church, Maw Shan Vil., Seki Mu"/>
    <m/>
    <m/>
    <n v="9"/>
    <n v="18"/>
    <n v="9"/>
    <n v="18"/>
    <n v="9"/>
    <m/>
    <n v="9"/>
    <n v="45"/>
    <m/>
    <m/>
    <m/>
    <m/>
    <m/>
    <m/>
    <m/>
    <n v="0"/>
    <n v="0"/>
    <n v="0"/>
    <n v="0"/>
    <n v="0"/>
    <n v="0"/>
    <n v="0"/>
    <n v="0"/>
    <n v="0"/>
    <n v="0"/>
    <n v="0"/>
    <n v="0"/>
    <n v="0"/>
    <n v="0"/>
    <x v="1"/>
    <n v="0"/>
    <s v="MMR001CMP183"/>
    <x v="1"/>
    <x v="1"/>
    <x v="1"/>
    <n v="1.125"/>
    <m/>
    <m/>
  </r>
  <r>
    <n v="14.233333333333333"/>
    <d v="2014-10-31T00:00:00"/>
    <x v="0"/>
    <m/>
    <s v="Kachin"/>
    <s v="Hpakant"/>
    <s v="Ward 2 Sai Taung Baptist Church, Seik Mu "/>
    <m/>
    <m/>
    <n v="38"/>
    <n v="76"/>
    <n v="38"/>
    <n v="76"/>
    <n v="38"/>
    <m/>
    <n v="38"/>
    <n v="190"/>
    <m/>
    <m/>
    <m/>
    <m/>
    <m/>
    <m/>
    <m/>
    <n v="0"/>
    <n v="0"/>
    <n v="0"/>
    <n v="0"/>
    <n v="0"/>
    <n v="0"/>
    <n v="0"/>
    <n v="0"/>
    <n v="0"/>
    <n v="0"/>
    <n v="0"/>
    <n v="0"/>
    <n v="0"/>
    <n v="0"/>
    <x v="1"/>
    <n v="0"/>
    <s v="MMR001CMP184"/>
    <x v="1"/>
    <x v="1"/>
    <x v="1"/>
    <n v="0.92682926829268297"/>
    <m/>
    <m/>
  </r>
  <r>
    <n v="14.233333333333333"/>
    <d v="2014-10-31T00:00:00"/>
    <x v="0"/>
    <m/>
    <s v="Kachin"/>
    <s v="Hpakant"/>
    <s v="Yumar Baptist Church"/>
    <m/>
    <m/>
    <n v="10"/>
    <n v="20"/>
    <n v="10"/>
    <n v="20"/>
    <n v="10"/>
    <m/>
    <n v="10"/>
    <n v="50"/>
    <m/>
    <m/>
    <m/>
    <m/>
    <m/>
    <m/>
    <m/>
    <n v="0"/>
    <n v="0"/>
    <n v="0"/>
    <n v="0"/>
    <n v="0"/>
    <n v="0"/>
    <n v="0"/>
    <n v="0"/>
    <n v="0"/>
    <n v="0"/>
    <n v="0"/>
    <n v="0"/>
    <n v="0"/>
    <n v="0"/>
    <x v="1"/>
    <n v="0"/>
    <s v="MMR001CMP105"/>
    <x v="1"/>
    <x v="1"/>
    <x v="1"/>
    <n v="0.5"/>
    <m/>
    <m/>
  </r>
  <r>
    <n v="14.266666666666667"/>
    <d v="2014-10-30T00:00:00"/>
    <x v="0"/>
    <m/>
    <s v="Kachin"/>
    <s v="Bhamo"/>
    <s v="Aung Thar Church"/>
    <m/>
    <m/>
    <m/>
    <m/>
    <m/>
    <m/>
    <m/>
    <m/>
    <m/>
    <m/>
    <m/>
    <m/>
    <m/>
    <m/>
    <m/>
    <m/>
    <m/>
    <n v="0"/>
    <n v="0"/>
    <n v="0"/>
    <n v="0"/>
    <n v="0"/>
    <n v="0"/>
    <n v="0"/>
    <n v="0"/>
    <n v="0"/>
    <n v="0"/>
    <n v="0"/>
    <n v="0"/>
    <n v="0"/>
    <n v="0"/>
    <x v="1"/>
    <n v="0"/>
    <s v="MMR001CMP194"/>
    <x v="1"/>
    <x v="1"/>
    <x v="1"/>
    <n v="0"/>
    <m/>
    <m/>
  </r>
  <r>
    <n v="14.433333333333334"/>
    <d v="2014-10-25T00:00:00"/>
    <x v="1"/>
    <s v="MRCS"/>
    <s v="Kachin"/>
    <s v="Hpakant"/>
    <s v="5 Ward Baptist Church(lon Khin)"/>
    <m/>
    <m/>
    <m/>
    <m/>
    <m/>
    <m/>
    <m/>
    <m/>
    <m/>
    <m/>
    <n v="229"/>
    <n v="126"/>
    <m/>
    <m/>
    <m/>
    <m/>
    <m/>
    <n v="0"/>
    <n v="0"/>
    <n v="0"/>
    <n v="0"/>
    <n v="0"/>
    <n v="0"/>
    <n v="0"/>
    <n v="0"/>
    <n v="0"/>
    <n v="0"/>
    <n v="0"/>
    <n v="0"/>
    <n v="0"/>
    <n v="0"/>
    <x v="0"/>
    <n v="0"/>
    <s v="MMR001CMP179"/>
    <x v="1"/>
    <x v="1"/>
    <x v="1"/>
    <n v="0"/>
    <m/>
    <m/>
  </r>
  <r>
    <n v="14.433333333333334"/>
    <d v="2014-10-25T00:00:00"/>
    <x v="1"/>
    <s v="MRCS"/>
    <s v="Kachin"/>
    <s v="Hpakant"/>
    <s v="5 Ward RC Church(lon Khin)"/>
    <m/>
    <m/>
    <m/>
    <m/>
    <m/>
    <m/>
    <m/>
    <m/>
    <m/>
    <m/>
    <n v="223"/>
    <n v="96"/>
    <m/>
    <m/>
    <m/>
    <m/>
    <m/>
    <n v="0"/>
    <n v="0"/>
    <n v="0"/>
    <n v="0"/>
    <n v="0"/>
    <n v="0"/>
    <n v="0"/>
    <n v="0"/>
    <n v="0"/>
    <n v="0"/>
    <n v="0"/>
    <n v="0"/>
    <n v="0"/>
    <n v="0"/>
    <x v="0"/>
    <n v="0"/>
    <s v="MMR001CMP168"/>
    <x v="1"/>
    <x v="1"/>
    <x v="1"/>
    <n v="0"/>
    <m/>
    <m/>
  </r>
  <r>
    <n v="14.433333333333334"/>
    <d v="2014-10-25T00:00:00"/>
    <x v="1"/>
    <s v="MRCS"/>
    <s v="Kachin"/>
    <s v="Hpakant"/>
    <s v="AG Church, Hmaw Si Sa"/>
    <m/>
    <m/>
    <m/>
    <m/>
    <m/>
    <m/>
    <m/>
    <m/>
    <m/>
    <m/>
    <n v="232"/>
    <n v="105"/>
    <m/>
    <m/>
    <m/>
    <m/>
    <m/>
    <n v="0"/>
    <n v="0"/>
    <n v="0"/>
    <n v="0"/>
    <n v="0"/>
    <n v="0"/>
    <n v="0"/>
    <n v="0"/>
    <n v="0"/>
    <n v="0"/>
    <n v="0"/>
    <n v="0"/>
    <n v="0"/>
    <n v="0"/>
    <x v="0"/>
    <n v="0"/>
    <s v="MMR001CMP176"/>
    <x v="1"/>
    <x v="1"/>
    <x v="1"/>
    <n v="0"/>
    <m/>
    <m/>
  </r>
  <r>
    <n v="14.433333333333334"/>
    <d v="2014-10-25T00:00:00"/>
    <x v="1"/>
    <s v="MRCS"/>
    <s v="Kachin"/>
    <s v="Hpakant"/>
    <s v="AG Church, Maw Wan"/>
    <m/>
    <m/>
    <m/>
    <m/>
    <m/>
    <m/>
    <m/>
    <m/>
    <m/>
    <m/>
    <n v="55"/>
    <n v="27"/>
    <m/>
    <m/>
    <m/>
    <m/>
    <m/>
    <n v="0"/>
    <n v="0"/>
    <n v="0"/>
    <n v="0"/>
    <n v="0"/>
    <n v="0"/>
    <n v="0"/>
    <n v="0"/>
    <n v="0"/>
    <n v="0"/>
    <n v="0"/>
    <n v="0"/>
    <n v="0"/>
    <n v="0"/>
    <x v="0"/>
    <n v="0"/>
    <s v="MMR001CMP190"/>
    <x v="1"/>
    <x v="1"/>
    <x v="1"/>
    <n v="0"/>
    <m/>
    <m/>
  </r>
  <r>
    <n v="14.433333333333334"/>
    <d v="2014-10-25T00:00:00"/>
    <x v="1"/>
    <s v="MRCS"/>
    <s v="Kachin"/>
    <s v="Hpakant"/>
    <s v="Baptist Church, Hmaw Si Sar(Lon Khin)"/>
    <m/>
    <m/>
    <m/>
    <m/>
    <m/>
    <m/>
    <m/>
    <m/>
    <m/>
    <m/>
    <n v="123"/>
    <n v="104"/>
    <m/>
    <m/>
    <m/>
    <m/>
    <m/>
    <n v="0"/>
    <n v="0"/>
    <n v="0"/>
    <n v="0"/>
    <n v="0"/>
    <n v="0"/>
    <n v="0"/>
    <n v="0"/>
    <n v="0"/>
    <n v="0"/>
    <n v="0"/>
    <n v="0"/>
    <n v="0"/>
    <n v="0"/>
    <x v="0"/>
    <n v="0"/>
    <s v="MMR001CMP169"/>
    <x v="1"/>
    <x v="1"/>
    <x v="1"/>
    <n v="0"/>
    <m/>
    <m/>
  </r>
  <r>
    <n v="14.433333333333334"/>
    <d v="2014-10-25T00:00:00"/>
    <x v="1"/>
    <s v="MRCS"/>
    <s v="Kachin"/>
    <s v="Hpakant"/>
    <s v="Baptist Church, Naung Hmee VT"/>
    <m/>
    <m/>
    <m/>
    <m/>
    <m/>
    <m/>
    <m/>
    <m/>
    <m/>
    <m/>
    <n v="48"/>
    <n v="30"/>
    <m/>
    <m/>
    <m/>
    <m/>
    <m/>
    <n v="0"/>
    <n v="0"/>
    <n v="0"/>
    <n v="0"/>
    <n v="0"/>
    <n v="0"/>
    <n v="0"/>
    <n v="0"/>
    <n v="0"/>
    <n v="0"/>
    <n v="0"/>
    <n v="0"/>
    <n v="0"/>
    <n v="0"/>
    <x v="0"/>
    <n v="0"/>
    <s v="MMR001CMP188"/>
    <x v="1"/>
    <x v="2"/>
    <x v="1"/>
    <s v=""/>
    <m/>
    <m/>
  </r>
  <r>
    <n v="14.433333333333334"/>
    <d v="2014-10-25T00:00:00"/>
    <x v="1"/>
    <s v="MRCS"/>
    <s v="Kachin"/>
    <s v="Hpakant"/>
    <s v="Chin Church, Seik Mu"/>
    <m/>
    <m/>
    <m/>
    <m/>
    <m/>
    <m/>
    <m/>
    <m/>
    <m/>
    <m/>
    <n v="15"/>
    <n v="10"/>
    <m/>
    <m/>
    <m/>
    <m/>
    <m/>
    <n v="0"/>
    <n v="0"/>
    <n v="0"/>
    <n v="0"/>
    <n v="0"/>
    <n v="0"/>
    <n v="0"/>
    <n v="0"/>
    <n v="0"/>
    <n v="0"/>
    <n v="0"/>
    <n v="0"/>
    <n v="0"/>
    <n v="0"/>
    <x v="0"/>
    <n v="0"/>
    <s v="MMR001CMP109"/>
    <x v="1"/>
    <x v="1"/>
    <x v="1"/>
    <n v="0"/>
    <m/>
    <m/>
  </r>
  <r>
    <n v="14.433333333333334"/>
    <d v="2014-10-25T00:00:00"/>
    <x v="1"/>
    <s v="MRCS"/>
    <s v="Kachin"/>
    <s v="Hpakant"/>
    <s v="Dhama Rakhita, Nyein Chan Tar Yar Ward(Lon Khin)"/>
    <m/>
    <m/>
    <m/>
    <m/>
    <m/>
    <m/>
    <m/>
    <m/>
    <m/>
    <m/>
    <n v="214"/>
    <n v="112"/>
    <m/>
    <m/>
    <m/>
    <m/>
    <m/>
    <n v="0"/>
    <n v="0"/>
    <n v="0"/>
    <n v="0"/>
    <n v="0"/>
    <n v="0"/>
    <n v="0"/>
    <n v="0"/>
    <n v="0"/>
    <n v="0"/>
    <n v="0"/>
    <n v="0"/>
    <n v="0"/>
    <n v="0"/>
    <x v="0"/>
    <n v="0"/>
    <s v="MMR001CMP174"/>
    <x v="1"/>
    <x v="1"/>
    <x v="1"/>
    <n v="0"/>
    <m/>
    <m/>
  </r>
  <r>
    <n v="14.433333333333334"/>
    <d v="2014-10-25T00:00:00"/>
    <x v="1"/>
    <s v="MRCS"/>
    <s v="Kachin"/>
    <s v="Hpakant"/>
    <s v="Hlaing Naung Baptist"/>
    <m/>
    <m/>
    <m/>
    <m/>
    <m/>
    <m/>
    <m/>
    <m/>
    <m/>
    <m/>
    <n v="37"/>
    <n v="24"/>
    <m/>
    <m/>
    <m/>
    <m/>
    <m/>
    <n v="0"/>
    <n v="0"/>
    <n v="0"/>
    <n v="0"/>
    <n v="0"/>
    <n v="0"/>
    <n v="0"/>
    <n v="0"/>
    <n v="0"/>
    <n v="0"/>
    <n v="0"/>
    <n v="0"/>
    <n v="0"/>
    <n v="0"/>
    <x v="0"/>
    <n v="0"/>
    <s v="MMR001CMP148"/>
    <x v="1"/>
    <x v="1"/>
    <x v="1"/>
    <n v="0"/>
    <m/>
    <m/>
  </r>
  <r>
    <n v="14.433333333333334"/>
    <d v="2014-10-25T00:00:00"/>
    <x v="1"/>
    <s v="MRCS"/>
    <s v="Kachin"/>
    <s v="Hpakant"/>
    <s v="Hmaw Wan, Anglican"/>
    <m/>
    <m/>
    <m/>
    <m/>
    <m/>
    <m/>
    <m/>
    <m/>
    <m/>
    <m/>
    <n v="33"/>
    <n v="24"/>
    <m/>
    <m/>
    <m/>
    <m/>
    <m/>
    <n v="0"/>
    <n v="0"/>
    <n v="0"/>
    <n v="0"/>
    <n v="0"/>
    <n v="0"/>
    <n v="0"/>
    <n v="0"/>
    <n v="0"/>
    <n v="0"/>
    <n v="0"/>
    <n v="0"/>
    <n v="0"/>
    <n v="0"/>
    <x v="0"/>
    <n v="0"/>
    <s v="MMR001CMP191"/>
    <x v="1"/>
    <x v="1"/>
    <x v="1"/>
    <n v="0"/>
    <m/>
    <m/>
  </r>
  <r>
    <n v="14.433333333333334"/>
    <d v="2014-10-25T00:00:00"/>
    <x v="1"/>
    <s v="MRCS"/>
    <s v="Kachin"/>
    <s v="Hpakant"/>
    <s v="Hpakant Baptist Church, Nam Ma Hpit"/>
    <m/>
    <m/>
    <m/>
    <m/>
    <m/>
    <m/>
    <m/>
    <m/>
    <m/>
    <m/>
    <n v="186"/>
    <n v="125"/>
    <m/>
    <m/>
    <m/>
    <m/>
    <m/>
    <n v="0"/>
    <n v="0"/>
    <n v="0"/>
    <n v="0"/>
    <n v="0"/>
    <n v="0"/>
    <n v="0"/>
    <n v="0"/>
    <n v="0"/>
    <n v="0"/>
    <n v="0"/>
    <n v="0"/>
    <n v="0"/>
    <n v="0"/>
    <x v="0"/>
    <n v="0"/>
    <s v="MMR001CMP229"/>
    <x v="1"/>
    <x v="1"/>
    <x v="1"/>
    <n v="0"/>
    <m/>
    <m/>
  </r>
  <r>
    <n v="14.433333333333334"/>
    <d v="2014-10-25T00:00:00"/>
    <x v="1"/>
    <s v="MRCS"/>
    <s v="Kachin"/>
    <s v="Hpakant"/>
    <s v="Lisu Baptist Church, Maw Shan Vil,. Seik Mu"/>
    <m/>
    <m/>
    <m/>
    <m/>
    <m/>
    <m/>
    <m/>
    <m/>
    <m/>
    <m/>
    <n v="90"/>
    <n v="39"/>
    <m/>
    <m/>
    <m/>
    <m/>
    <m/>
    <n v="0"/>
    <n v="0"/>
    <n v="0"/>
    <n v="0"/>
    <n v="0"/>
    <n v="0"/>
    <n v="0"/>
    <n v="0"/>
    <n v="0"/>
    <n v="0"/>
    <n v="0"/>
    <n v="0"/>
    <n v="0"/>
    <n v="0"/>
    <x v="0"/>
    <n v="0"/>
    <s v="MMR001CMP181"/>
    <x v="1"/>
    <x v="1"/>
    <x v="1"/>
    <n v="0"/>
    <m/>
    <m/>
  </r>
  <r>
    <n v="14.433333333333334"/>
    <d v="2014-10-25T00:00:00"/>
    <x v="1"/>
    <s v="MRCS"/>
    <s v="Kachin"/>
    <s v="Hpakant"/>
    <s v="Lisu Baptist Church, Maw Wan Ward"/>
    <m/>
    <m/>
    <m/>
    <m/>
    <m/>
    <m/>
    <m/>
    <m/>
    <m/>
    <m/>
    <n v="48"/>
    <n v="23"/>
    <m/>
    <m/>
    <m/>
    <m/>
    <m/>
    <n v="0"/>
    <n v="0"/>
    <n v="0"/>
    <n v="0"/>
    <n v="0"/>
    <n v="0"/>
    <n v="0"/>
    <n v="0"/>
    <n v="0"/>
    <n v="0"/>
    <n v="0"/>
    <n v="0"/>
    <n v="0"/>
    <n v="0"/>
    <x v="0"/>
    <n v="0"/>
    <s v="MMR001CMP167"/>
    <x v="1"/>
    <x v="1"/>
    <x v="1"/>
    <n v="0"/>
    <m/>
    <m/>
  </r>
  <r>
    <n v="14.433333333333334"/>
    <d v="2014-10-25T00:00:00"/>
    <x v="1"/>
    <s v="MRCS"/>
    <s v="Kachin"/>
    <s v="Momauk"/>
    <s v="Loi Je Baptist Church"/>
    <m/>
    <m/>
    <m/>
    <m/>
    <m/>
    <m/>
    <m/>
    <m/>
    <m/>
    <m/>
    <n v="112"/>
    <n v="59"/>
    <m/>
    <n v="74"/>
    <m/>
    <m/>
    <m/>
    <n v="0"/>
    <n v="0"/>
    <n v="0"/>
    <n v="0"/>
    <n v="0"/>
    <n v="0"/>
    <n v="0"/>
    <n v="0"/>
    <n v="0"/>
    <n v="0"/>
    <n v="0"/>
    <n v="0"/>
    <n v="0"/>
    <n v="0"/>
    <x v="0"/>
    <n v="0"/>
    <s v="MMR001CMP071"/>
    <x v="1"/>
    <x v="1"/>
    <x v="2"/>
    <n v="0"/>
    <m/>
    <m/>
  </r>
  <r>
    <n v="14.433333333333334"/>
    <d v="2014-10-25T00:00:00"/>
    <x v="1"/>
    <s v="MRCS"/>
    <s v="Kachin"/>
    <s v="Momauk"/>
    <s v="Loi Je Catholic Church"/>
    <m/>
    <m/>
    <m/>
    <m/>
    <m/>
    <m/>
    <m/>
    <m/>
    <m/>
    <m/>
    <n v="203"/>
    <n v="102"/>
    <m/>
    <n v="138"/>
    <m/>
    <m/>
    <m/>
    <n v="0"/>
    <n v="0"/>
    <n v="0"/>
    <n v="0"/>
    <n v="0"/>
    <n v="0"/>
    <n v="0"/>
    <n v="0"/>
    <n v="0"/>
    <n v="0"/>
    <n v="0"/>
    <n v="0"/>
    <n v="0"/>
    <n v="0"/>
    <x v="0"/>
    <n v="0"/>
    <s v="MMR001CMP069"/>
    <x v="1"/>
    <x v="1"/>
    <x v="2"/>
    <n v="0"/>
    <m/>
    <m/>
  </r>
  <r>
    <n v="14.433333333333334"/>
    <d v="2014-10-25T00:00:00"/>
    <x v="1"/>
    <s v="MRCS"/>
    <s v="Kachin"/>
    <s v="Momauk"/>
    <s v="Loi Je Lisu Camp"/>
    <m/>
    <m/>
    <m/>
    <m/>
    <m/>
    <m/>
    <m/>
    <m/>
    <m/>
    <m/>
    <n v="591"/>
    <n v="347"/>
    <m/>
    <n v="311"/>
    <m/>
    <m/>
    <m/>
    <n v="0"/>
    <n v="0"/>
    <n v="0"/>
    <n v="0"/>
    <n v="0"/>
    <n v="0"/>
    <n v="0"/>
    <n v="0"/>
    <n v="0"/>
    <n v="0"/>
    <n v="0"/>
    <n v="0"/>
    <n v="0"/>
    <n v="0"/>
    <x v="0"/>
    <n v="0"/>
    <s v="MMR001CMP070"/>
    <x v="1"/>
    <x v="1"/>
    <x v="2"/>
    <n v="0"/>
    <m/>
    <m/>
  </r>
  <r>
    <n v="14.866666666666667"/>
    <d v="2014-10-12T00:00:00"/>
    <x v="0"/>
    <m/>
    <s v="Kachin"/>
    <s v="Momauk"/>
    <s v="Man Bung Catholic compound"/>
    <m/>
    <m/>
    <m/>
    <m/>
    <n v="25"/>
    <m/>
    <m/>
    <m/>
    <m/>
    <m/>
    <m/>
    <m/>
    <m/>
    <m/>
    <m/>
    <m/>
    <m/>
    <n v="0"/>
    <n v="0"/>
    <n v="0"/>
    <n v="0"/>
    <n v="0"/>
    <n v="0"/>
    <n v="0"/>
    <n v="0"/>
    <n v="0"/>
    <n v="0"/>
    <n v="0"/>
    <n v="0"/>
    <n v="0"/>
    <n v="0"/>
    <x v="1"/>
    <n v="0"/>
    <s v="MMR001CMP062"/>
    <x v="1"/>
    <x v="1"/>
    <x v="1"/>
    <n v="0"/>
    <m/>
    <m/>
  </r>
  <r>
    <n v="14.933333333333334"/>
    <d v="2014-10-10T00:00:00"/>
    <x v="0"/>
    <m/>
    <s v="Kachin"/>
    <s v="Momauk"/>
    <s v="Loi Je Baptist Church"/>
    <m/>
    <m/>
    <m/>
    <m/>
    <n v="60"/>
    <m/>
    <m/>
    <m/>
    <m/>
    <m/>
    <m/>
    <m/>
    <m/>
    <m/>
    <m/>
    <m/>
    <m/>
    <n v="0"/>
    <n v="0"/>
    <n v="0"/>
    <n v="0"/>
    <n v="0"/>
    <n v="0"/>
    <n v="0"/>
    <n v="0"/>
    <n v="0"/>
    <n v="0"/>
    <n v="0"/>
    <n v="0"/>
    <n v="0"/>
    <n v="0"/>
    <x v="1"/>
    <n v="0"/>
    <s v="MMR001CMP071"/>
    <x v="1"/>
    <x v="1"/>
    <x v="2"/>
    <n v="0"/>
    <m/>
    <m/>
  </r>
  <r>
    <n v="14.933333333333334"/>
    <d v="2014-10-10T00:00:00"/>
    <x v="0"/>
    <m/>
    <s v="Kachin"/>
    <s v="Momauk"/>
    <s v="Loi Je Lisu Camp"/>
    <m/>
    <m/>
    <m/>
    <m/>
    <n v="30"/>
    <m/>
    <m/>
    <m/>
    <m/>
    <m/>
    <m/>
    <m/>
    <m/>
    <m/>
    <m/>
    <m/>
    <m/>
    <n v="0"/>
    <n v="0"/>
    <n v="0"/>
    <n v="0"/>
    <n v="0"/>
    <n v="0"/>
    <n v="0"/>
    <n v="0"/>
    <n v="0"/>
    <n v="0"/>
    <n v="0"/>
    <n v="0"/>
    <n v="0"/>
    <n v="0"/>
    <x v="1"/>
    <n v="0"/>
    <s v="MMR001CMP070"/>
    <x v="1"/>
    <x v="1"/>
    <x v="2"/>
    <n v="0"/>
    <m/>
    <m/>
  </r>
  <r>
    <n v="14.933333333333334"/>
    <d v="2014-10-10T00:00:00"/>
    <x v="0"/>
    <m/>
    <s v="Kachin"/>
    <s v="Momauk"/>
    <s v="Nyaung Na Pin "/>
    <m/>
    <m/>
    <m/>
    <m/>
    <n v="60"/>
    <m/>
    <m/>
    <m/>
    <m/>
    <m/>
    <m/>
    <m/>
    <m/>
    <m/>
    <m/>
    <m/>
    <m/>
    <n v="0"/>
    <n v="0"/>
    <n v="0"/>
    <n v="0"/>
    <n v="0"/>
    <n v="0"/>
    <n v="0"/>
    <n v="0"/>
    <n v="0"/>
    <n v="0"/>
    <n v="0"/>
    <n v="0"/>
    <n v="0"/>
    <n v="0"/>
    <x v="1"/>
    <n v="0"/>
    <s v="MMR001CMP072"/>
    <x v="1"/>
    <x v="1"/>
    <x v="2"/>
    <n v="0"/>
    <m/>
    <m/>
  </r>
  <r>
    <n v="15.233333333333333"/>
    <d v="2014-10-01T00:00:00"/>
    <x v="0"/>
    <s v="KMSS"/>
    <s v="Kachin"/>
    <s v="Hpakant"/>
    <s v="5 Ward RC Church(lon Khin)"/>
    <m/>
    <m/>
    <m/>
    <n v="156"/>
    <m/>
    <m/>
    <m/>
    <m/>
    <m/>
    <m/>
    <m/>
    <m/>
    <m/>
    <m/>
    <m/>
    <m/>
    <m/>
    <n v="0"/>
    <n v="0"/>
    <n v="0"/>
    <n v="0"/>
    <n v="0"/>
    <n v="0"/>
    <n v="0"/>
    <n v="0"/>
    <n v="0"/>
    <n v="0"/>
    <n v="0"/>
    <n v="0"/>
    <n v="0"/>
    <n v="0"/>
    <x v="1"/>
    <n v="0"/>
    <s v="MMR001CMP168"/>
    <x v="1"/>
    <x v="1"/>
    <x v="1"/>
    <n v="0"/>
    <m/>
    <m/>
  </r>
  <r>
    <n v="15.233333333333333"/>
    <d v="2014-10-01T00:00:00"/>
    <x v="0"/>
    <s v="Shalom"/>
    <s v="Kachin"/>
    <s v="Hpakant"/>
    <s v="AG Church, Hmaw Si Sa"/>
    <m/>
    <m/>
    <m/>
    <n v="130"/>
    <m/>
    <m/>
    <m/>
    <m/>
    <m/>
    <m/>
    <m/>
    <m/>
    <m/>
    <m/>
    <m/>
    <m/>
    <m/>
    <n v="0"/>
    <n v="0"/>
    <n v="0"/>
    <n v="0"/>
    <n v="0"/>
    <n v="0"/>
    <n v="0"/>
    <n v="0"/>
    <n v="0"/>
    <n v="0"/>
    <n v="0"/>
    <n v="0"/>
    <n v="0"/>
    <n v="0"/>
    <x v="1"/>
    <n v="0"/>
    <s v="MMR001CMP176"/>
    <x v="1"/>
    <x v="1"/>
    <x v="1"/>
    <n v="0"/>
    <m/>
    <m/>
  </r>
  <r>
    <n v="15.233333333333333"/>
    <d v="2014-10-01T00:00:00"/>
    <x v="0"/>
    <s v="Shalom"/>
    <s v="Kachin"/>
    <s v="Hpakant"/>
    <s v="AG Church, Maw Wan"/>
    <m/>
    <m/>
    <m/>
    <n v="30"/>
    <m/>
    <m/>
    <m/>
    <m/>
    <m/>
    <m/>
    <m/>
    <m/>
    <m/>
    <m/>
    <m/>
    <m/>
    <m/>
    <n v="0"/>
    <n v="0"/>
    <n v="0"/>
    <n v="0"/>
    <n v="0"/>
    <n v="0"/>
    <n v="0"/>
    <n v="0"/>
    <n v="0"/>
    <n v="0"/>
    <n v="0"/>
    <n v="0"/>
    <n v="0"/>
    <n v="0"/>
    <x v="1"/>
    <n v="0"/>
    <s v="MMR001CMP190"/>
    <x v="1"/>
    <x v="1"/>
    <x v="1"/>
    <n v="0"/>
    <m/>
    <m/>
  </r>
  <r>
    <n v="15.233333333333333"/>
    <d v="2014-10-01T00:00:00"/>
    <x v="0"/>
    <s v="Shalom"/>
    <s v="Kachin"/>
    <s v="Hpakant"/>
    <s v="Baptist Church, Naung Hmee VT"/>
    <m/>
    <m/>
    <m/>
    <n v="30"/>
    <m/>
    <m/>
    <m/>
    <m/>
    <m/>
    <m/>
    <m/>
    <m/>
    <m/>
    <m/>
    <m/>
    <m/>
    <m/>
    <n v="0"/>
    <n v="0"/>
    <n v="0"/>
    <n v="0"/>
    <n v="0"/>
    <n v="0"/>
    <n v="0"/>
    <n v="0"/>
    <n v="0"/>
    <n v="0"/>
    <n v="0"/>
    <n v="0"/>
    <n v="0"/>
    <n v="0"/>
    <x v="1"/>
    <n v="0"/>
    <s v="MMR001CMP188"/>
    <x v="1"/>
    <x v="2"/>
    <x v="1"/>
    <s v=""/>
    <m/>
    <m/>
  </r>
  <r>
    <n v="15.233333333333333"/>
    <d v="2014-10-01T00:00:00"/>
    <x v="0"/>
    <s v="Shalom"/>
    <s v="Kachin"/>
    <s v="Hpakant"/>
    <s v="Chin Church, Seik Mu"/>
    <m/>
    <m/>
    <m/>
    <n v="8"/>
    <m/>
    <m/>
    <m/>
    <m/>
    <m/>
    <m/>
    <m/>
    <m/>
    <m/>
    <m/>
    <m/>
    <m/>
    <m/>
    <n v="0"/>
    <n v="0"/>
    <n v="0"/>
    <n v="0"/>
    <n v="0"/>
    <n v="0"/>
    <n v="0"/>
    <n v="0"/>
    <n v="0"/>
    <n v="0"/>
    <n v="0"/>
    <n v="0"/>
    <n v="0"/>
    <n v="0"/>
    <x v="1"/>
    <n v="0"/>
    <s v="MMR001CMP109"/>
    <x v="1"/>
    <x v="1"/>
    <x v="1"/>
    <n v="0"/>
    <m/>
    <m/>
  </r>
  <r>
    <n v="15.233333333333333"/>
    <d v="2014-10-01T00:00:00"/>
    <x v="0"/>
    <s v="Shalom"/>
    <s v="Kachin"/>
    <s v="Chipwi"/>
    <s v="Chipwi KBC camp"/>
    <m/>
    <m/>
    <m/>
    <n v="214"/>
    <m/>
    <m/>
    <m/>
    <m/>
    <m/>
    <m/>
    <m/>
    <m/>
    <m/>
    <n v="214"/>
    <m/>
    <m/>
    <m/>
    <n v="0"/>
    <n v="0"/>
    <n v="0"/>
    <n v="0"/>
    <n v="0"/>
    <n v="0"/>
    <n v="0"/>
    <n v="0"/>
    <n v="0"/>
    <n v="0"/>
    <n v="0"/>
    <n v="0"/>
    <n v="0"/>
    <n v="0"/>
    <x v="0"/>
    <n v="0"/>
    <s v="MMR001CMP042"/>
    <x v="1"/>
    <x v="1"/>
    <x v="3"/>
    <n v="0"/>
    <m/>
    <m/>
  </r>
  <r>
    <n v="15.233333333333333"/>
    <d v="2014-10-01T00:00:00"/>
    <x v="0"/>
    <s v="Shalom"/>
    <s v="Kachin"/>
    <s v="Hpakant"/>
    <s v="Dhama Rakhita, Nyein Chan Tar Yar Ward(Lon Khin)"/>
    <m/>
    <m/>
    <m/>
    <n v="130"/>
    <m/>
    <m/>
    <m/>
    <m/>
    <m/>
    <m/>
    <m/>
    <m/>
    <m/>
    <m/>
    <m/>
    <m/>
    <m/>
    <n v="0"/>
    <n v="0"/>
    <n v="0"/>
    <n v="0"/>
    <n v="0"/>
    <n v="0"/>
    <n v="0"/>
    <n v="0"/>
    <n v="0"/>
    <n v="0"/>
    <n v="0"/>
    <n v="0"/>
    <n v="0"/>
    <n v="0"/>
    <x v="1"/>
    <n v="0"/>
    <s v="MMR001CMP174"/>
    <x v="1"/>
    <x v="1"/>
    <x v="1"/>
    <n v="0"/>
    <m/>
    <m/>
  </r>
  <r>
    <n v="15.233333333333333"/>
    <d v="2014-10-01T00:00:00"/>
    <x v="0"/>
    <s v="KMSS"/>
    <s v="Kachin"/>
    <s v="Momauk"/>
    <s v="Dum Bung "/>
    <m/>
    <m/>
    <m/>
    <n v="238"/>
    <m/>
    <m/>
    <m/>
    <m/>
    <m/>
    <m/>
    <m/>
    <m/>
    <m/>
    <n v="238"/>
    <m/>
    <m/>
    <m/>
    <n v="0"/>
    <n v="0"/>
    <n v="0"/>
    <n v="0"/>
    <n v="0"/>
    <n v="0"/>
    <n v="0"/>
    <n v="0"/>
    <n v="0"/>
    <n v="0"/>
    <n v="0"/>
    <n v="0"/>
    <n v="0"/>
    <n v="0"/>
    <x v="0"/>
    <n v="0"/>
    <s v="MMR001CMP123"/>
    <x v="1"/>
    <x v="1"/>
    <x v="4"/>
    <n v="0"/>
    <m/>
    <m/>
  </r>
  <r>
    <n v="15.233333333333333"/>
    <d v="2014-10-01T00:00:00"/>
    <x v="0"/>
    <s v="Shalom"/>
    <s v="Kachin"/>
    <s v="Waingmaw"/>
    <s v="Hkat Cho "/>
    <m/>
    <m/>
    <m/>
    <n v="268"/>
    <m/>
    <m/>
    <m/>
    <m/>
    <m/>
    <m/>
    <m/>
    <m/>
    <m/>
    <m/>
    <m/>
    <m/>
    <m/>
    <n v="0"/>
    <n v="0"/>
    <n v="0"/>
    <n v="0"/>
    <n v="0"/>
    <n v="0"/>
    <n v="0"/>
    <n v="0"/>
    <n v="0"/>
    <n v="0"/>
    <n v="0"/>
    <n v="0"/>
    <n v="0"/>
    <n v="0"/>
    <x v="1"/>
    <n v="0"/>
    <s v="MMR001CMP028"/>
    <x v="1"/>
    <x v="1"/>
    <x v="1"/>
    <n v="0"/>
    <m/>
    <m/>
  </r>
  <r>
    <n v="15.233333333333333"/>
    <d v="2014-10-01T00:00:00"/>
    <x v="0"/>
    <s v="Shalom"/>
    <s v="Kachin"/>
    <s v="Hpakant"/>
    <s v="Hmaw Wan, Anglican"/>
    <m/>
    <m/>
    <m/>
    <n v="20"/>
    <m/>
    <m/>
    <m/>
    <m/>
    <m/>
    <m/>
    <m/>
    <m/>
    <m/>
    <m/>
    <m/>
    <m/>
    <m/>
    <n v="0"/>
    <n v="0"/>
    <n v="0"/>
    <n v="0"/>
    <n v="0"/>
    <n v="0"/>
    <n v="0"/>
    <n v="0"/>
    <n v="0"/>
    <n v="0"/>
    <n v="0"/>
    <n v="0"/>
    <n v="0"/>
    <n v="0"/>
    <x v="1"/>
    <n v="0"/>
    <s v="MMR001CMP191"/>
    <x v="1"/>
    <x v="1"/>
    <x v="1"/>
    <n v="0"/>
    <m/>
    <m/>
  </r>
  <r>
    <n v="15.233333333333333"/>
    <d v="2014-10-01T00:00:00"/>
    <x v="0"/>
    <s v="KMSS"/>
    <s v="Kachin"/>
    <s v="Myitkyina"/>
    <s v="Jan Mai Kawng Catholic Church"/>
    <m/>
    <m/>
    <m/>
    <n v="218"/>
    <m/>
    <m/>
    <m/>
    <m/>
    <m/>
    <m/>
    <m/>
    <m/>
    <m/>
    <m/>
    <m/>
    <m/>
    <m/>
    <n v="0"/>
    <n v="0"/>
    <n v="0"/>
    <n v="0"/>
    <n v="0"/>
    <n v="0"/>
    <n v="0"/>
    <n v="0"/>
    <n v="0"/>
    <n v="0"/>
    <n v="0"/>
    <n v="0"/>
    <n v="0"/>
    <n v="0"/>
    <x v="1"/>
    <n v="0"/>
    <s v="MMR001CMP019"/>
    <x v="1"/>
    <x v="1"/>
    <x v="1"/>
    <n v="0"/>
    <m/>
    <m/>
  </r>
  <r>
    <n v="15.233333333333333"/>
    <d v="2014-10-01T00:00:00"/>
    <x v="0"/>
    <s v="Shalom"/>
    <s v="Kachin"/>
    <s v="Chipwi"/>
    <s v="Lhaovao Baptist Church (LBC)"/>
    <m/>
    <m/>
    <m/>
    <n v="278"/>
    <m/>
    <m/>
    <m/>
    <m/>
    <m/>
    <m/>
    <m/>
    <m/>
    <m/>
    <n v="278"/>
    <m/>
    <m/>
    <m/>
    <n v="0"/>
    <n v="0"/>
    <n v="0"/>
    <n v="0"/>
    <n v="0"/>
    <n v="0"/>
    <n v="0"/>
    <n v="0"/>
    <n v="0"/>
    <n v="0"/>
    <n v="0"/>
    <n v="0"/>
    <n v="0"/>
    <n v="0"/>
    <x v="0"/>
    <n v="0"/>
    <s v="MMR001CMP195"/>
    <x v="1"/>
    <x v="1"/>
    <x v="3"/>
    <n v="0"/>
    <m/>
    <m/>
  </r>
  <r>
    <n v="15.233333333333333"/>
    <d v="2014-10-01T00:00:00"/>
    <x v="0"/>
    <s v="Shalom"/>
    <s v="Kachin"/>
    <s v="Hpakant"/>
    <s v="Lisu Baptist Church, Maw Shan Vil,. Seik Mu"/>
    <m/>
    <m/>
    <m/>
    <n v="40"/>
    <m/>
    <m/>
    <m/>
    <m/>
    <m/>
    <m/>
    <m/>
    <m/>
    <m/>
    <m/>
    <m/>
    <m/>
    <m/>
    <n v="0"/>
    <n v="0"/>
    <n v="0"/>
    <n v="0"/>
    <n v="0"/>
    <n v="0"/>
    <n v="0"/>
    <n v="0"/>
    <n v="0"/>
    <n v="0"/>
    <n v="0"/>
    <n v="0"/>
    <n v="0"/>
    <n v="0"/>
    <x v="1"/>
    <n v="0"/>
    <s v="MMR001CMP181"/>
    <x v="1"/>
    <x v="1"/>
    <x v="1"/>
    <n v="0"/>
    <m/>
    <m/>
  </r>
  <r>
    <n v="15.233333333333333"/>
    <d v="2014-10-01T00:00:00"/>
    <x v="0"/>
    <s v="Shalom"/>
    <s v="Kachin"/>
    <s v="Hpakant"/>
    <s v="Lisu Baptist Church, Maw Wan Ward"/>
    <m/>
    <m/>
    <m/>
    <n v="16"/>
    <m/>
    <m/>
    <m/>
    <m/>
    <m/>
    <m/>
    <m/>
    <m/>
    <m/>
    <m/>
    <m/>
    <m/>
    <m/>
    <n v="0"/>
    <n v="0"/>
    <n v="0"/>
    <n v="0"/>
    <n v="0"/>
    <n v="0"/>
    <n v="0"/>
    <n v="0"/>
    <n v="0"/>
    <n v="0"/>
    <n v="0"/>
    <n v="0"/>
    <n v="0"/>
    <n v="0"/>
    <x v="1"/>
    <n v="0"/>
    <s v="MMR001CMP167"/>
    <x v="1"/>
    <x v="1"/>
    <x v="1"/>
    <n v="0"/>
    <m/>
    <m/>
  </r>
  <r>
    <n v="15.233333333333333"/>
    <d v="2014-10-01T00:00:00"/>
    <x v="0"/>
    <s v="KMSS"/>
    <s v="Kachin"/>
    <s v="Waingmaw"/>
    <s v="Maga Yang "/>
    <m/>
    <m/>
    <m/>
    <n v="1248"/>
    <m/>
    <m/>
    <m/>
    <m/>
    <m/>
    <m/>
    <m/>
    <m/>
    <m/>
    <n v="1248"/>
    <m/>
    <m/>
    <m/>
    <n v="0"/>
    <n v="0"/>
    <n v="0"/>
    <n v="0"/>
    <n v="0"/>
    <n v="0"/>
    <n v="0"/>
    <n v="0"/>
    <n v="0"/>
    <n v="0"/>
    <n v="0"/>
    <n v="0"/>
    <n v="0"/>
    <n v="0"/>
    <x v="0"/>
    <n v="0"/>
    <s v="MMR001CMP119"/>
    <x v="1"/>
    <x v="1"/>
    <x v="4"/>
    <n v="0"/>
    <m/>
    <m/>
  </r>
  <r>
    <n v="15.233333333333333"/>
    <d v="2014-10-01T00:00:00"/>
    <x v="0"/>
    <s v="Shalom"/>
    <s v="Kachin"/>
    <s v="Waingmaw"/>
    <s v="Maina AG Church"/>
    <m/>
    <m/>
    <m/>
    <n v="286"/>
    <m/>
    <m/>
    <m/>
    <m/>
    <m/>
    <m/>
    <m/>
    <m/>
    <m/>
    <m/>
    <m/>
    <m/>
    <m/>
    <n v="0"/>
    <n v="0"/>
    <n v="0"/>
    <n v="0"/>
    <n v="0"/>
    <n v="0"/>
    <n v="0"/>
    <n v="0"/>
    <n v="0"/>
    <n v="0"/>
    <n v="0"/>
    <n v="0"/>
    <n v="0"/>
    <n v="0"/>
    <x v="1"/>
    <n v="0"/>
    <s v="MMR001CMP031"/>
    <x v="1"/>
    <x v="1"/>
    <x v="1"/>
    <n v="0"/>
    <m/>
    <m/>
  </r>
  <r>
    <n v="15.233333333333333"/>
    <d v="2014-10-01T00:00:00"/>
    <x v="0"/>
    <s v="KMSS"/>
    <s v="Kachin"/>
    <s v="Waingmaw"/>
    <s v="Maina Catholic Church (St. Joseph)"/>
    <m/>
    <m/>
    <m/>
    <n v="462"/>
    <m/>
    <m/>
    <m/>
    <m/>
    <m/>
    <m/>
    <m/>
    <m/>
    <m/>
    <m/>
    <m/>
    <m/>
    <m/>
    <n v="0"/>
    <n v="0"/>
    <n v="0"/>
    <n v="0"/>
    <n v="0"/>
    <n v="0"/>
    <n v="0"/>
    <n v="0"/>
    <n v="0"/>
    <n v="0"/>
    <n v="0"/>
    <n v="0"/>
    <n v="0"/>
    <n v="0"/>
    <x v="1"/>
    <n v="0"/>
    <s v="MMR001CMP029"/>
    <x v="1"/>
    <x v="1"/>
    <x v="1"/>
    <n v="0"/>
    <m/>
    <m/>
  </r>
  <r>
    <n v="15.233333333333333"/>
    <d v="2014-10-01T00:00:00"/>
    <x v="0"/>
    <s v="Shalom"/>
    <s v="Kachin"/>
    <s v="Myitkyina"/>
    <s v="Maw Hpawng Hka Nan Baptist Church"/>
    <m/>
    <m/>
    <m/>
    <n v="52"/>
    <m/>
    <m/>
    <m/>
    <m/>
    <m/>
    <m/>
    <m/>
    <m/>
    <m/>
    <m/>
    <m/>
    <m/>
    <m/>
    <n v="0"/>
    <n v="0"/>
    <n v="0"/>
    <n v="0"/>
    <n v="0"/>
    <n v="0"/>
    <n v="0"/>
    <n v="0"/>
    <n v="0"/>
    <n v="0"/>
    <n v="0"/>
    <n v="0"/>
    <n v="0"/>
    <n v="0"/>
    <x v="1"/>
    <n v="0"/>
    <s v="MMR001CMP020"/>
    <x v="1"/>
    <x v="1"/>
    <x v="1"/>
    <n v="0"/>
    <m/>
    <m/>
  </r>
  <r>
    <n v="15.233333333333333"/>
    <d v="2014-10-01T00:00:00"/>
    <x v="0"/>
    <s v="Shalom"/>
    <s v="Kachin"/>
    <s v="Myitkyina"/>
    <s v="Maw Hpawng Lhaovo Baptist Church"/>
    <m/>
    <m/>
    <m/>
    <n v="42"/>
    <m/>
    <m/>
    <m/>
    <m/>
    <m/>
    <m/>
    <m/>
    <m/>
    <m/>
    <m/>
    <m/>
    <m/>
    <m/>
    <n v="0"/>
    <n v="0"/>
    <n v="0"/>
    <n v="0"/>
    <n v="0"/>
    <n v="0"/>
    <n v="0"/>
    <n v="0"/>
    <n v="0"/>
    <n v="0"/>
    <n v="0"/>
    <n v="0"/>
    <n v="0"/>
    <n v="0"/>
    <x v="1"/>
    <n v="0"/>
    <s v="MMR001CMP021"/>
    <x v="1"/>
    <x v="1"/>
    <x v="1"/>
    <n v="0"/>
    <m/>
    <m/>
  </r>
  <r>
    <n v="15.233333333333333"/>
    <d v="2014-10-01T00:00:00"/>
    <x v="0"/>
    <s v="Shalom"/>
    <s v="Kachin"/>
    <s v="Hpakant"/>
    <s v="Maw Wan, Mu-yin Baptist Church"/>
    <m/>
    <m/>
    <m/>
    <n v="10"/>
    <m/>
    <m/>
    <m/>
    <m/>
    <m/>
    <m/>
    <m/>
    <m/>
    <m/>
    <m/>
    <m/>
    <m/>
    <m/>
    <n v="0"/>
    <n v="0"/>
    <n v="0"/>
    <n v="0"/>
    <n v="0"/>
    <n v="0"/>
    <n v="0"/>
    <n v="0"/>
    <n v="0"/>
    <n v="0"/>
    <n v="0"/>
    <n v="0"/>
    <n v="0"/>
    <n v="0"/>
    <x v="1"/>
    <n v="0"/>
    <s v="MMR001CMP091"/>
    <x v="1"/>
    <x v="1"/>
    <x v="1"/>
    <n v="0"/>
    <m/>
    <m/>
  </r>
  <r>
    <n v="15.233333333333333"/>
    <d v="2014-10-01T00:00:00"/>
    <x v="0"/>
    <s v="Shalom"/>
    <s v="Kachin"/>
    <s v="Myitkyina"/>
    <s v="Myay Myint Baptist Church"/>
    <m/>
    <m/>
    <m/>
    <n v="24"/>
    <m/>
    <m/>
    <m/>
    <m/>
    <m/>
    <m/>
    <m/>
    <m/>
    <m/>
    <m/>
    <m/>
    <m/>
    <m/>
    <n v="0"/>
    <n v="0"/>
    <n v="0"/>
    <n v="0"/>
    <n v="0"/>
    <n v="0"/>
    <n v="0"/>
    <n v="0"/>
    <n v="0"/>
    <n v="0"/>
    <n v="0"/>
    <n v="0"/>
    <n v="0"/>
    <n v="0"/>
    <x v="1"/>
    <n v="0"/>
    <s v="MMR001CMP017"/>
    <x v="1"/>
    <x v="2"/>
    <x v="1"/>
    <s v=""/>
    <m/>
    <m/>
  </r>
  <r>
    <n v="15.233333333333333"/>
    <d v="2014-10-01T00:00:00"/>
    <x v="0"/>
    <s v="Shalom"/>
    <s v="Kachin"/>
    <s v="Hpakant"/>
    <s v="Nam Ma Phyit, COC"/>
    <m/>
    <m/>
    <m/>
    <n v="36"/>
    <m/>
    <m/>
    <m/>
    <m/>
    <m/>
    <m/>
    <m/>
    <m/>
    <m/>
    <m/>
    <m/>
    <m/>
    <m/>
    <n v="0"/>
    <n v="0"/>
    <n v="0"/>
    <n v="0"/>
    <n v="0"/>
    <n v="0"/>
    <n v="0"/>
    <n v="0"/>
    <n v="0"/>
    <n v="0"/>
    <n v="0"/>
    <n v="0"/>
    <n v="0"/>
    <n v="0"/>
    <x v="1"/>
    <n v="0"/>
    <s v="MMR001CMP192"/>
    <x v="1"/>
    <x v="1"/>
    <x v="1"/>
    <n v="0"/>
    <m/>
    <m/>
  </r>
  <r>
    <n v="15.233333333333333"/>
    <d v="2014-10-01T00:00:00"/>
    <x v="0"/>
    <s v="KMSS"/>
    <s v="Kachin"/>
    <s v="Myitkyina"/>
    <s v="Nan Kway St. John Catholic Church"/>
    <m/>
    <m/>
    <m/>
    <n v="144"/>
    <m/>
    <m/>
    <m/>
    <m/>
    <m/>
    <m/>
    <m/>
    <m/>
    <m/>
    <m/>
    <m/>
    <m/>
    <m/>
    <n v="0"/>
    <n v="0"/>
    <n v="0"/>
    <n v="0"/>
    <n v="0"/>
    <n v="0"/>
    <n v="0"/>
    <n v="0"/>
    <n v="0"/>
    <n v="0"/>
    <n v="0"/>
    <n v="0"/>
    <n v="0"/>
    <n v="0"/>
    <x v="1"/>
    <n v="0"/>
    <s v="MMR001CMP024"/>
    <x v="1"/>
    <x v="1"/>
    <x v="1"/>
    <n v="0"/>
    <m/>
    <m/>
  </r>
  <r>
    <n v="15.233333333333333"/>
    <d v="2014-10-01T00:00:00"/>
    <x v="0"/>
    <s v="KMSS"/>
    <s v="Kachin"/>
    <s v="Hpakant"/>
    <s v="Nant Ma Hpit Catholic Church"/>
    <m/>
    <m/>
    <m/>
    <n v="80"/>
    <m/>
    <m/>
    <m/>
    <m/>
    <m/>
    <m/>
    <m/>
    <m/>
    <m/>
    <m/>
    <m/>
    <m/>
    <m/>
    <n v="0"/>
    <n v="0"/>
    <n v="0"/>
    <n v="0"/>
    <n v="0"/>
    <n v="0"/>
    <n v="0"/>
    <n v="0"/>
    <n v="0"/>
    <n v="0"/>
    <n v="0"/>
    <n v="0"/>
    <n v="0"/>
    <n v="0"/>
    <x v="1"/>
    <n v="0"/>
    <s v="MMR001CMP103"/>
    <x v="1"/>
    <x v="1"/>
    <x v="1"/>
    <n v="0"/>
    <m/>
    <m/>
  </r>
  <r>
    <n v="15.233333333333333"/>
    <d v="2014-10-01T00:00:00"/>
    <x v="0"/>
    <s v="Shalom"/>
    <s v="Kachin"/>
    <s v="Waingmaw"/>
    <s v="Nawng Hee Village"/>
    <m/>
    <m/>
    <m/>
    <n v="36"/>
    <m/>
    <m/>
    <m/>
    <m/>
    <m/>
    <m/>
    <m/>
    <m/>
    <m/>
    <m/>
    <m/>
    <m/>
    <m/>
    <n v="0"/>
    <n v="0"/>
    <n v="0"/>
    <n v="0"/>
    <n v="0"/>
    <n v="0"/>
    <n v="0"/>
    <n v="0"/>
    <n v="0"/>
    <n v="0"/>
    <n v="0"/>
    <n v="0"/>
    <n v="0"/>
    <n v="0"/>
    <x v="1"/>
    <n v="0"/>
    <s v="MMR001CMP033"/>
    <x v="1"/>
    <x v="1"/>
    <x v="1"/>
    <n v="0"/>
    <m/>
    <m/>
  </r>
  <r>
    <n v="15.233333333333333"/>
    <d v="2014-10-01T00:00:00"/>
    <x v="0"/>
    <s v="KMSS"/>
    <s v="Kachin"/>
    <s v="Myitkyina"/>
    <s v="Pa Dauk Myaing(Pa La Na)"/>
    <m/>
    <m/>
    <m/>
    <n v="62"/>
    <m/>
    <m/>
    <m/>
    <m/>
    <m/>
    <m/>
    <m/>
    <m/>
    <m/>
    <m/>
    <m/>
    <m/>
    <m/>
    <n v="0"/>
    <n v="0"/>
    <n v="0"/>
    <n v="0"/>
    <n v="0"/>
    <n v="0"/>
    <n v="0"/>
    <n v="0"/>
    <n v="0"/>
    <n v="0"/>
    <n v="0"/>
    <n v="0"/>
    <n v="0"/>
    <n v="0"/>
    <x v="1"/>
    <n v="0"/>
    <s v="MMR001CMP162"/>
    <x v="1"/>
    <x v="1"/>
    <x v="1"/>
    <n v="0"/>
    <m/>
    <m/>
  </r>
  <r>
    <n v="15.233333333333333"/>
    <d v="2014-10-01T00:00:00"/>
    <x v="0"/>
    <s v="KMSS"/>
    <s v="Kachin"/>
    <s v="Chipwi"/>
    <s v="Pan Wa"/>
    <m/>
    <m/>
    <m/>
    <n v="130"/>
    <m/>
    <m/>
    <m/>
    <m/>
    <m/>
    <m/>
    <m/>
    <m/>
    <m/>
    <n v="130"/>
    <m/>
    <m/>
    <m/>
    <n v="0"/>
    <n v="0"/>
    <n v="0"/>
    <n v="0"/>
    <n v="0"/>
    <n v="0"/>
    <n v="0"/>
    <n v="0"/>
    <n v="0"/>
    <n v="0"/>
    <n v="0"/>
    <n v="0"/>
    <n v="0"/>
    <n v="0"/>
    <x v="0"/>
    <n v="0"/>
    <s v="MMR001CMP210"/>
    <x v="1"/>
    <x v="1"/>
    <x v="3"/>
    <n v="0"/>
    <m/>
    <m/>
  </r>
  <r>
    <n v="15.233333333333333"/>
    <d v="2014-10-01T00:00:00"/>
    <x v="0"/>
    <s v="Shalom"/>
    <s v="Kachin"/>
    <s v="Waingmaw"/>
    <s v="Qtr. 2 Lhaovo Baptist Church"/>
    <m/>
    <m/>
    <m/>
    <n v="240"/>
    <m/>
    <m/>
    <m/>
    <m/>
    <m/>
    <m/>
    <m/>
    <m/>
    <m/>
    <m/>
    <m/>
    <m/>
    <m/>
    <n v="0"/>
    <n v="0"/>
    <n v="0"/>
    <n v="0"/>
    <n v="0"/>
    <n v="0"/>
    <n v="0"/>
    <n v="0"/>
    <n v="0"/>
    <n v="0"/>
    <n v="0"/>
    <n v="0"/>
    <n v="0"/>
    <n v="0"/>
    <x v="1"/>
    <n v="0"/>
    <s v="MMR001CMP032"/>
    <x v="1"/>
    <x v="1"/>
    <x v="1"/>
    <n v="0"/>
    <m/>
    <m/>
  </r>
  <r>
    <n v="15.233333333333333"/>
    <d v="2014-10-01T00:00:00"/>
    <x v="0"/>
    <s v="Shalom"/>
    <s v="Kachin"/>
    <s v="Waingmaw"/>
    <s v="Qtr. 3 Mu-yin  Baptist Church"/>
    <m/>
    <m/>
    <m/>
    <n v="46"/>
    <m/>
    <m/>
    <m/>
    <m/>
    <m/>
    <m/>
    <m/>
    <m/>
    <m/>
    <m/>
    <m/>
    <m/>
    <m/>
    <n v="0"/>
    <n v="0"/>
    <n v="0"/>
    <n v="0"/>
    <n v="0"/>
    <n v="0"/>
    <n v="0"/>
    <n v="0"/>
    <n v="0"/>
    <n v="0"/>
    <n v="0"/>
    <n v="0"/>
    <n v="0"/>
    <n v="0"/>
    <x v="1"/>
    <n v="0"/>
    <s v="MMR001CMP030"/>
    <x v="1"/>
    <x v="1"/>
    <x v="1"/>
    <n v="0"/>
    <m/>
    <m/>
  </r>
  <r>
    <n v="15.233333333333333"/>
    <d v="2014-10-01T00:00:00"/>
    <x v="0"/>
    <s v="Shalom"/>
    <s v="Kachin"/>
    <s v="Waingmaw"/>
    <s v="Qtr. 4 Monestry (Thargaya Thayett Taw)"/>
    <m/>
    <m/>
    <m/>
    <n v="204"/>
    <m/>
    <m/>
    <m/>
    <m/>
    <m/>
    <m/>
    <m/>
    <m/>
    <m/>
    <m/>
    <m/>
    <m/>
    <m/>
    <n v="0"/>
    <n v="0"/>
    <n v="0"/>
    <n v="0"/>
    <n v="0"/>
    <n v="0"/>
    <n v="0"/>
    <n v="0"/>
    <n v="0"/>
    <n v="0"/>
    <n v="0"/>
    <n v="0"/>
    <n v="0"/>
    <n v="0"/>
    <x v="1"/>
    <n v="0"/>
    <s v="MMR001CMP026"/>
    <x v="1"/>
    <x v="1"/>
    <x v="1"/>
    <n v="0"/>
    <m/>
    <m/>
  </r>
  <r>
    <n v="15.233333333333333"/>
    <d v="2014-10-01T00:00:00"/>
    <x v="0"/>
    <s v="Shalom"/>
    <s v="Kachin"/>
    <s v="Hpakant"/>
    <s v="Rawan Baptist Church, Maw Shan Vil., Seik Mu"/>
    <m/>
    <m/>
    <m/>
    <n v="24"/>
    <m/>
    <m/>
    <m/>
    <m/>
    <m/>
    <m/>
    <m/>
    <m/>
    <m/>
    <m/>
    <m/>
    <m/>
    <m/>
    <n v="0"/>
    <n v="0"/>
    <n v="0"/>
    <n v="0"/>
    <n v="0"/>
    <n v="0"/>
    <n v="0"/>
    <n v="0"/>
    <n v="0"/>
    <n v="0"/>
    <n v="0"/>
    <n v="0"/>
    <n v="0"/>
    <n v="0"/>
    <x v="1"/>
    <n v="0"/>
    <s v="MMR001CMP182"/>
    <x v="1"/>
    <x v="1"/>
    <x v="1"/>
    <n v="0"/>
    <m/>
    <m/>
  </r>
  <r>
    <n v="15.233333333333333"/>
    <d v="2014-10-01T00:00:00"/>
    <x v="0"/>
    <s v="KMSS"/>
    <s v="Kachin"/>
    <s v="Chipwi"/>
    <s v="Saw Zam"/>
    <m/>
    <m/>
    <m/>
    <n v="56"/>
    <m/>
    <m/>
    <m/>
    <m/>
    <m/>
    <m/>
    <m/>
    <m/>
    <m/>
    <n v="56"/>
    <m/>
    <m/>
    <m/>
    <n v="0"/>
    <n v="0"/>
    <n v="0"/>
    <n v="0"/>
    <n v="0"/>
    <n v="0"/>
    <n v="0"/>
    <n v="0"/>
    <n v="0"/>
    <n v="0"/>
    <n v="0"/>
    <n v="0"/>
    <n v="0"/>
    <n v="0"/>
    <x v="0"/>
    <n v="0"/>
    <s v="MMR001CMP225"/>
    <x v="1"/>
    <x v="1"/>
    <x v="3"/>
    <n v="0"/>
    <m/>
    <m/>
  </r>
  <r>
    <n v="15.233333333333333"/>
    <d v="2014-10-01T00:00:00"/>
    <x v="0"/>
    <s v="Shalom"/>
    <s v="Kachin"/>
    <s v="Myitkyina"/>
    <s v="Shatapru Thida Aye Baptist Church"/>
    <m/>
    <m/>
    <m/>
    <n v="30"/>
    <m/>
    <m/>
    <m/>
    <m/>
    <m/>
    <m/>
    <m/>
    <m/>
    <m/>
    <m/>
    <m/>
    <m/>
    <m/>
    <n v="0"/>
    <n v="0"/>
    <n v="0"/>
    <n v="0"/>
    <n v="0"/>
    <n v="0"/>
    <n v="0"/>
    <n v="0"/>
    <n v="0"/>
    <n v="0"/>
    <n v="0"/>
    <n v="0"/>
    <n v="0"/>
    <n v="0"/>
    <x v="1"/>
    <n v="0"/>
    <s v="MMR001CMP007"/>
    <x v="1"/>
    <x v="1"/>
    <x v="1"/>
    <n v="0"/>
    <m/>
    <m/>
  </r>
  <r>
    <n v="15.233333333333333"/>
    <d v="2014-10-01T00:00:00"/>
    <x v="0"/>
    <s v="KMSS"/>
    <s v="Kachin"/>
    <s v="Mohnyin"/>
    <s v="St. Patrick Catholic Church "/>
    <m/>
    <m/>
    <m/>
    <n v="24"/>
    <m/>
    <m/>
    <m/>
    <m/>
    <m/>
    <m/>
    <m/>
    <m/>
    <m/>
    <m/>
    <m/>
    <m/>
    <m/>
    <n v="0"/>
    <n v="0"/>
    <n v="0"/>
    <n v="0"/>
    <n v="0"/>
    <n v="0"/>
    <n v="0"/>
    <n v="0"/>
    <n v="0"/>
    <n v="0"/>
    <n v="0"/>
    <n v="0"/>
    <n v="0"/>
    <n v="0"/>
    <x v="1"/>
    <n v="0"/>
    <s v="MMR001CMP080"/>
    <x v="1"/>
    <x v="1"/>
    <x v="1"/>
    <n v="0"/>
    <m/>
    <m/>
  </r>
  <r>
    <n v="15.233333333333333"/>
    <d v="2014-10-01T00:00:00"/>
    <x v="0"/>
    <s v="Shalom"/>
    <s v="Kachin"/>
    <s v="Myitkyina"/>
    <s v="Tat Kone Emanuel Church"/>
    <m/>
    <m/>
    <m/>
    <n v="26"/>
    <m/>
    <m/>
    <m/>
    <m/>
    <m/>
    <m/>
    <m/>
    <m/>
    <m/>
    <m/>
    <m/>
    <m/>
    <m/>
    <n v="0"/>
    <n v="0"/>
    <n v="0"/>
    <n v="0"/>
    <n v="0"/>
    <n v="0"/>
    <n v="0"/>
    <n v="0"/>
    <n v="0"/>
    <n v="0"/>
    <n v="0"/>
    <n v="0"/>
    <n v="0"/>
    <n v="0"/>
    <x v="1"/>
    <n v="0"/>
    <s v="MMR001CMP004"/>
    <x v="1"/>
    <x v="1"/>
    <x v="1"/>
    <n v="0"/>
    <m/>
    <m/>
  </r>
  <r>
    <n v="15.233333333333333"/>
    <d v="2014-10-01T00:00:00"/>
    <x v="0"/>
    <s v="Shalom"/>
    <s v="Kachin"/>
    <s v="Waingmaw"/>
    <s v="Thargaya Lisu Baptist Church"/>
    <m/>
    <m/>
    <m/>
    <n v="144"/>
    <m/>
    <m/>
    <m/>
    <m/>
    <m/>
    <m/>
    <m/>
    <m/>
    <m/>
    <m/>
    <m/>
    <m/>
    <m/>
    <n v="0"/>
    <n v="0"/>
    <n v="0"/>
    <n v="0"/>
    <n v="0"/>
    <n v="0"/>
    <n v="0"/>
    <n v="0"/>
    <n v="0"/>
    <n v="0"/>
    <n v="0"/>
    <n v="0"/>
    <n v="0"/>
    <n v="0"/>
    <x v="1"/>
    <n v="0"/>
    <s v="MMR001CMP037"/>
    <x v="1"/>
    <x v="1"/>
    <x v="1"/>
    <n v="0"/>
    <m/>
    <m/>
  </r>
  <r>
    <n v="15.233333333333333"/>
    <d v="2014-10-01T00:00:00"/>
    <x v="0"/>
    <s v="Shalom"/>
    <s v="Kachin"/>
    <s v="Waingmaw"/>
    <s v="Waingmaw AG Church"/>
    <m/>
    <m/>
    <m/>
    <n v="150"/>
    <m/>
    <m/>
    <m/>
    <m/>
    <m/>
    <m/>
    <m/>
    <m/>
    <m/>
    <m/>
    <m/>
    <m/>
    <m/>
    <n v="0"/>
    <n v="0"/>
    <n v="0"/>
    <n v="0"/>
    <n v="0"/>
    <n v="0"/>
    <n v="0"/>
    <n v="0"/>
    <n v="0"/>
    <n v="0"/>
    <n v="0"/>
    <n v="0"/>
    <n v="0"/>
    <n v="0"/>
    <x v="1"/>
    <n v="0"/>
    <s v="MMR001CMP038"/>
    <x v="1"/>
    <x v="1"/>
    <x v="1"/>
    <n v="0"/>
    <m/>
    <m/>
  </r>
  <r>
    <n v="15.233333333333333"/>
    <d v="2014-10-01T00:00:00"/>
    <x v="0"/>
    <s v="Shalom"/>
    <s v="Kachin"/>
    <s v="Myitkyina"/>
    <s v="Wun Tho Buddhist Monastery"/>
    <m/>
    <m/>
    <m/>
    <n v="12"/>
    <m/>
    <m/>
    <m/>
    <m/>
    <m/>
    <m/>
    <m/>
    <m/>
    <m/>
    <m/>
    <m/>
    <m/>
    <m/>
    <n v="0"/>
    <n v="0"/>
    <n v="0"/>
    <n v="0"/>
    <n v="0"/>
    <n v="0"/>
    <n v="0"/>
    <n v="0"/>
    <n v="0"/>
    <n v="0"/>
    <n v="0"/>
    <n v="0"/>
    <n v="0"/>
    <n v="0"/>
    <x v="1"/>
    <n v="0"/>
    <s v="MMR001CMP022"/>
    <x v="1"/>
    <x v="1"/>
    <x v="1"/>
    <n v="0"/>
    <m/>
    <m/>
  </r>
  <r>
    <n v="15.566666666666666"/>
    <d v="2014-09-21T00:00:00"/>
    <x v="0"/>
    <m/>
    <s v="Kachin"/>
    <s v="Momauk"/>
    <s v="Nhkawng Pa "/>
    <m/>
    <m/>
    <m/>
    <n v="604"/>
    <m/>
    <m/>
    <m/>
    <m/>
    <m/>
    <m/>
    <m/>
    <m/>
    <m/>
    <n v="784"/>
    <m/>
    <m/>
    <m/>
    <n v="0"/>
    <n v="0"/>
    <n v="0"/>
    <n v="0"/>
    <n v="0"/>
    <n v="0"/>
    <n v="0"/>
    <n v="0"/>
    <n v="0"/>
    <n v="0"/>
    <n v="0"/>
    <n v="0"/>
    <n v="0"/>
    <n v="0"/>
    <x v="0"/>
    <n v="0"/>
    <s v="MMR001CMP131"/>
    <x v="1"/>
    <x v="1"/>
    <x v="3"/>
    <n v="0"/>
    <m/>
    <m/>
  </r>
  <r>
    <n v="15.6"/>
    <d v="2014-09-20T00:00:00"/>
    <x v="0"/>
    <m/>
    <s v="Kachin"/>
    <s v="Momauk"/>
    <s v="Pa Kahtawng "/>
    <m/>
    <m/>
    <m/>
    <n v="1238"/>
    <m/>
    <m/>
    <m/>
    <m/>
    <m/>
    <m/>
    <m/>
    <m/>
    <m/>
    <n v="1761"/>
    <m/>
    <m/>
    <m/>
    <n v="0"/>
    <n v="0"/>
    <n v="0"/>
    <n v="0"/>
    <n v="0"/>
    <n v="0"/>
    <n v="0"/>
    <n v="0"/>
    <n v="0"/>
    <n v="0"/>
    <n v="0"/>
    <n v="0"/>
    <n v="0"/>
    <n v="0"/>
    <x v="0"/>
    <n v="0"/>
    <s v="MMR001CMP126"/>
    <x v="1"/>
    <x v="1"/>
    <x v="4"/>
    <n v="0"/>
    <m/>
    <m/>
  </r>
  <r>
    <n v="16.233333333333334"/>
    <d v="2014-09-01T00:00:00"/>
    <x v="2"/>
    <m/>
    <s v="Kachin"/>
    <s v="Waingmaw"/>
    <s v="Hkau Shau (BP 12)"/>
    <m/>
    <m/>
    <m/>
    <m/>
    <m/>
    <m/>
    <m/>
    <m/>
    <m/>
    <m/>
    <m/>
    <n v="407"/>
    <m/>
    <m/>
    <m/>
    <m/>
    <m/>
    <n v="0"/>
    <n v="0"/>
    <n v="0"/>
    <n v="0"/>
    <n v="0"/>
    <n v="0"/>
    <n v="0"/>
    <n v="0"/>
    <n v="0"/>
    <n v="0"/>
    <n v="0"/>
    <n v="0"/>
    <n v="0"/>
    <n v="0"/>
    <x v="0"/>
    <n v="0"/>
    <s v="MMR001CMP115"/>
    <x v="1"/>
    <x v="1"/>
    <x v="3"/>
    <n v="0"/>
    <m/>
    <m/>
  </r>
  <r>
    <n v="16.233333333333334"/>
    <d v="2014-09-01T00:00:00"/>
    <x v="2"/>
    <m/>
    <s v="Kachin"/>
    <s v="Chipwi"/>
    <s v="Hpare Hkyer - BP6"/>
    <m/>
    <m/>
    <m/>
    <m/>
    <m/>
    <m/>
    <m/>
    <m/>
    <m/>
    <m/>
    <m/>
    <n v="347"/>
    <m/>
    <m/>
    <m/>
    <m/>
    <m/>
    <n v="0"/>
    <n v="0"/>
    <n v="0"/>
    <n v="0"/>
    <n v="0"/>
    <n v="0"/>
    <n v="0"/>
    <n v="0"/>
    <n v="0"/>
    <n v="0"/>
    <n v="0"/>
    <n v="0"/>
    <n v="0"/>
    <n v="0"/>
    <x v="0"/>
    <n v="0"/>
    <s v="MMR001CMP043"/>
    <x v="1"/>
    <x v="1"/>
    <x v="3"/>
    <n v="0"/>
    <m/>
    <m/>
  </r>
  <r>
    <n v="16.233333333333334"/>
    <d v="2014-09-01T00:00:00"/>
    <x v="2"/>
    <m/>
    <s v="Kachin"/>
    <s v="Waingmaw"/>
    <s v="Maga Yang "/>
    <m/>
    <m/>
    <m/>
    <m/>
    <m/>
    <m/>
    <m/>
    <m/>
    <m/>
    <m/>
    <m/>
    <n v="917"/>
    <m/>
    <m/>
    <m/>
    <m/>
    <m/>
    <n v="0"/>
    <n v="0"/>
    <n v="0"/>
    <n v="0"/>
    <n v="0"/>
    <n v="0"/>
    <n v="0"/>
    <n v="0"/>
    <n v="0"/>
    <n v="0"/>
    <n v="0"/>
    <n v="0"/>
    <n v="0"/>
    <n v="0"/>
    <x v="0"/>
    <n v="0"/>
    <s v="MMR001CMP119"/>
    <x v="1"/>
    <x v="1"/>
    <x v="4"/>
    <n v="0"/>
    <m/>
    <m/>
  </r>
  <r>
    <n v="16.233333333333334"/>
    <d v="2014-09-01T00:00:00"/>
    <x v="2"/>
    <m/>
    <s v="Kachin"/>
    <s v="Waingmaw"/>
    <s v="Pajau - Jan Mai"/>
    <m/>
    <m/>
    <m/>
    <m/>
    <m/>
    <m/>
    <m/>
    <m/>
    <m/>
    <m/>
    <m/>
    <n v="291"/>
    <m/>
    <m/>
    <m/>
    <m/>
    <m/>
    <n v="0"/>
    <n v="0"/>
    <n v="0"/>
    <n v="0"/>
    <n v="0"/>
    <n v="0"/>
    <n v="0"/>
    <n v="0"/>
    <n v="0"/>
    <n v="0"/>
    <n v="0"/>
    <n v="0"/>
    <n v="0"/>
    <n v="0"/>
    <x v="0"/>
    <n v="0"/>
    <s v="MMR001CMP120"/>
    <x v="1"/>
    <x v="1"/>
    <x v="3"/>
    <n v="0"/>
    <m/>
    <m/>
  </r>
  <r>
    <n v="16.233333333333334"/>
    <d v="2014-09-01T00:00:00"/>
    <x v="2"/>
    <m/>
    <s v="Kachin"/>
    <s v="Waingmaw"/>
    <s v="Shing Jai"/>
    <m/>
    <m/>
    <m/>
    <m/>
    <m/>
    <m/>
    <m/>
    <m/>
    <m/>
    <m/>
    <m/>
    <n v="288"/>
    <m/>
    <m/>
    <m/>
    <m/>
    <m/>
    <n v="0"/>
    <n v="0"/>
    <n v="0"/>
    <n v="0"/>
    <n v="0"/>
    <n v="0"/>
    <n v="0"/>
    <n v="0"/>
    <n v="0"/>
    <n v="0"/>
    <n v="0"/>
    <n v="0"/>
    <n v="0"/>
    <n v="0"/>
    <x v="0"/>
    <n v="0"/>
    <s v="MMR001CMP041"/>
    <x v="1"/>
    <x v="1"/>
    <x v="3"/>
    <n v="0"/>
    <m/>
    <m/>
  </r>
  <r>
    <n v="16.233333333333334"/>
    <d v="2014-09-01T00:00:00"/>
    <x v="2"/>
    <m/>
    <s v="Kachin"/>
    <s v="Waingmaw"/>
    <s v="Zai Awng - Mung Ga Zup"/>
    <m/>
    <m/>
    <m/>
    <m/>
    <m/>
    <m/>
    <m/>
    <m/>
    <m/>
    <m/>
    <m/>
    <n v="905"/>
    <m/>
    <m/>
    <m/>
    <m/>
    <m/>
    <n v="0"/>
    <n v="0"/>
    <n v="0"/>
    <n v="0"/>
    <n v="0"/>
    <n v="0"/>
    <n v="0"/>
    <n v="0"/>
    <n v="0"/>
    <n v="0"/>
    <n v="0"/>
    <n v="0"/>
    <n v="0"/>
    <n v="0"/>
    <x v="0"/>
    <n v="0"/>
    <s v="MMR001CMP111"/>
    <x v="1"/>
    <x v="1"/>
    <x v="4"/>
    <n v="0"/>
    <m/>
    <m/>
  </r>
  <r>
    <n v="16.7"/>
    <d v="2014-08-18T00:00:00"/>
    <x v="0"/>
    <m/>
    <s v="Kachin"/>
    <s v="Mansi"/>
    <s v="Bum Tsit Pa Camp II"/>
    <m/>
    <m/>
    <m/>
    <m/>
    <n v="70"/>
    <m/>
    <m/>
    <m/>
    <m/>
    <m/>
    <m/>
    <m/>
    <m/>
    <m/>
    <m/>
    <m/>
    <m/>
    <n v="0"/>
    <n v="0"/>
    <n v="0"/>
    <n v="0"/>
    <n v="0"/>
    <n v="0"/>
    <n v="0"/>
    <n v="0"/>
    <n v="0"/>
    <n v="0"/>
    <n v="0"/>
    <n v="0"/>
    <n v="0"/>
    <n v="0"/>
    <x v="1"/>
    <n v="0"/>
    <s v="MMR001CMP226"/>
    <x v="1"/>
    <x v="1"/>
    <x v="4"/>
    <n v="0"/>
    <m/>
    <m/>
  </r>
  <r>
    <n v="16.966666666666665"/>
    <d v="2014-08-10T00:00:00"/>
    <x v="0"/>
    <m/>
    <s v="Kachin"/>
    <s v="Momauk"/>
    <s v="Pa Kahtawng "/>
    <m/>
    <m/>
    <m/>
    <n v="100"/>
    <n v="52"/>
    <n v="156"/>
    <n v="40"/>
    <m/>
    <n v="52"/>
    <n v="210"/>
    <m/>
    <m/>
    <m/>
    <m/>
    <m/>
    <m/>
    <m/>
    <n v="0"/>
    <n v="0"/>
    <n v="0"/>
    <n v="0"/>
    <n v="0"/>
    <n v="0"/>
    <n v="0"/>
    <n v="0"/>
    <n v="0"/>
    <n v="0"/>
    <n v="0"/>
    <n v="0"/>
    <n v="0"/>
    <n v="0"/>
    <x v="1"/>
    <n v="0"/>
    <s v="MMR001CMP126"/>
    <x v="1"/>
    <x v="1"/>
    <x v="4"/>
    <n v="5.9084194977843424E-2"/>
    <m/>
    <m/>
  </r>
  <r>
    <n v="17.066666666666666"/>
    <d v="2014-08-07T00:00:00"/>
    <x v="0"/>
    <s v="Shalom"/>
    <s v="Kachin"/>
    <s v="Chipwi"/>
    <s v="Lhaovao Baptist Church (LBC)"/>
    <m/>
    <m/>
    <n v="50"/>
    <n v="25"/>
    <n v="50"/>
    <n v="25"/>
    <m/>
    <n v="25"/>
    <n v="125"/>
    <m/>
    <m/>
    <m/>
    <m/>
    <m/>
    <m/>
    <m/>
    <m/>
    <n v="0"/>
    <n v="0"/>
    <n v="0"/>
    <n v="0"/>
    <n v="0"/>
    <n v="0"/>
    <n v="0"/>
    <n v="0"/>
    <n v="0"/>
    <n v="0"/>
    <n v="0"/>
    <n v="0"/>
    <n v="0"/>
    <n v="0"/>
    <x v="1"/>
    <n v="0"/>
    <s v="MMR001CMP195"/>
    <x v="1"/>
    <x v="1"/>
    <x v="3"/>
    <n v="0"/>
    <m/>
    <m/>
  </r>
  <r>
    <n v="17.066666666666666"/>
    <d v="2014-08-07T00:00:00"/>
    <x v="0"/>
    <s v="Shalom"/>
    <s v="Kachin"/>
    <s v="Waingmaw"/>
    <s v="Qtr. 2 Lhaovo Baptist Church"/>
    <m/>
    <m/>
    <n v="24"/>
    <n v="12"/>
    <n v="24"/>
    <n v="12"/>
    <m/>
    <n v="12"/>
    <n v="60"/>
    <m/>
    <m/>
    <m/>
    <m/>
    <m/>
    <m/>
    <m/>
    <m/>
    <n v="0"/>
    <n v="0"/>
    <n v="0"/>
    <n v="0"/>
    <n v="0"/>
    <n v="0"/>
    <n v="0"/>
    <n v="0"/>
    <n v="0"/>
    <n v="0"/>
    <n v="0"/>
    <n v="0"/>
    <n v="0"/>
    <n v="0"/>
    <x v="1"/>
    <n v="0"/>
    <s v="MMR001CMP032"/>
    <x v="1"/>
    <x v="1"/>
    <x v="1"/>
    <n v="0"/>
    <m/>
    <m/>
  </r>
  <r>
    <n v="17.166666666666668"/>
    <d v="2014-08-04T00:00:00"/>
    <x v="0"/>
    <m/>
    <s v="Kachin"/>
    <s v="Bhamo"/>
    <m/>
    <m/>
    <m/>
    <m/>
    <m/>
    <n v="5"/>
    <m/>
    <m/>
    <m/>
    <m/>
    <m/>
    <m/>
    <m/>
    <m/>
    <m/>
    <m/>
    <m/>
    <m/>
    <n v="0"/>
    <n v="0"/>
    <n v="0"/>
    <n v="0"/>
    <n v="0"/>
    <n v="0"/>
    <n v="0"/>
    <n v="0"/>
    <n v="0"/>
    <n v="0"/>
    <n v="0"/>
    <n v="0"/>
    <n v="0"/>
    <n v="0"/>
    <x v="1"/>
    <n v="0"/>
    <s v=""/>
    <x v="0"/>
    <x v="0"/>
    <x v="0"/>
    <s v=""/>
    <m/>
    <m/>
  </r>
  <r>
    <n v="17.166666666666668"/>
    <d v="2014-08-04T00:00:00"/>
    <x v="0"/>
    <m/>
    <s v="Kachin"/>
    <s v="Momauk"/>
    <s v="Loi Je Catholic Church"/>
    <m/>
    <m/>
    <m/>
    <m/>
    <n v="116"/>
    <m/>
    <m/>
    <m/>
    <m/>
    <m/>
    <m/>
    <m/>
    <m/>
    <m/>
    <m/>
    <m/>
    <m/>
    <n v="0"/>
    <n v="0"/>
    <n v="0"/>
    <n v="0"/>
    <n v="0"/>
    <n v="0"/>
    <n v="0"/>
    <n v="0"/>
    <n v="0"/>
    <n v="0"/>
    <n v="0"/>
    <n v="0"/>
    <n v="0"/>
    <n v="0"/>
    <x v="1"/>
    <n v="0"/>
    <s v="MMR001CMP069"/>
    <x v="1"/>
    <x v="1"/>
    <x v="2"/>
    <n v="0"/>
    <m/>
    <m/>
  </r>
  <r>
    <n v="17.166666666666668"/>
    <d v="2014-08-04T00:00:00"/>
    <x v="0"/>
    <m/>
    <s v="Kachin"/>
    <s v="Momauk"/>
    <s v="Loi Je Lisu Camp"/>
    <m/>
    <m/>
    <m/>
    <n v="84"/>
    <n v="36"/>
    <n v="84"/>
    <n v="36"/>
    <m/>
    <n v="36"/>
    <n v="180"/>
    <m/>
    <m/>
    <m/>
    <m/>
    <m/>
    <m/>
    <m/>
    <n v="0"/>
    <n v="0"/>
    <n v="0"/>
    <n v="0"/>
    <n v="0"/>
    <n v="0"/>
    <n v="0"/>
    <n v="0"/>
    <n v="0"/>
    <n v="0"/>
    <n v="0"/>
    <n v="0"/>
    <n v="0"/>
    <n v="0"/>
    <x v="1"/>
    <n v="0"/>
    <s v="MMR001CMP070"/>
    <x v="1"/>
    <x v="1"/>
    <x v="2"/>
    <n v="0.19148936170212766"/>
    <m/>
    <m/>
  </r>
  <r>
    <n v="17.166666666666668"/>
    <d v="2014-08-04T00:00:00"/>
    <x v="0"/>
    <m/>
    <s v="Kachin"/>
    <s v="Mansi"/>
    <s v="Maing Khaung Catholic Church"/>
    <m/>
    <m/>
    <m/>
    <m/>
    <m/>
    <m/>
    <m/>
    <m/>
    <n v="2"/>
    <m/>
    <m/>
    <m/>
    <m/>
    <m/>
    <m/>
    <m/>
    <m/>
    <n v="0"/>
    <n v="0"/>
    <n v="0"/>
    <n v="0"/>
    <n v="0"/>
    <n v="0"/>
    <n v="0"/>
    <n v="0"/>
    <n v="0"/>
    <n v="0"/>
    <n v="0"/>
    <n v="0"/>
    <n v="0"/>
    <n v="0"/>
    <x v="1"/>
    <n v="0"/>
    <s v="MMR001CMP223"/>
    <x v="1"/>
    <x v="1"/>
    <x v="1"/>
    <n v="0"/>
    <m/>
    <m/>
  </r>
  <r>
    <n v="17.366666666666667"/>
    <d v="2014-07-29T00:00:00"/>
    <x v="0"/>
    <m/>
    <s v="Kachin"/>
    <s v="Momauk"/>
    <s v="Je Yang Hka "/>
    <m/>
    <m/>
    <m/>
    <n v="254"/>
    <n v="204"/>
    <n v="254"/>
    <n v="134"/>
    <m/>
    <n v="134"/>
    <n v="608"/>
    <m/>
    <m/>
    <m/>
    <m/>
    <m/>
    <m/>
    <m/>
    <n v="0"/>
    <n v="0"/>
    <n v="0"/>
    <n v="0"/>
    <n v="0"/>
    <n v="0"/>
    <n v="0"/>
    <n v="0"/>
    <n v="0"/>
    <n v="0"/>
    <n v="0"/>
    <n v="0"/>
    <n v="0"/>
    <n v="0"/>
    <x v="1"/>
    <n v="0"/>
    <s v="MMR001CMP121"/>
    <x v="1"/>
    <x v="1"/>
    <x v="4"/>
    <n v="7.9056047197640117E-2"/>
    <m/>
    <m/>
  </r>
  <r>
    <n v="17.366666666666667"/>
    <d v="2014-07-29T00:00:00"/>
    <x v="0"/>
    <m/>
    <s v="Kachin"/>
    <s v="Waingmaw"/>
    <s v="Woi Chyai "/>
    <m/>
    <m/>
    <m/>
    <n v="46"/>
    <n v="46"/>
    <n v="46"/>
    <n v="16"/>
    <m/>
    <n v="16"/>
    <n v="142"/>
    <m/>
    <m/>
    <m/>
    <m/>
    <m/>
    <m/>
    <m/>
    <n v="0"/>
    <n v="0"/>
    <n v="0"/>
    <n v="0"/>
    <n v="0"/>
    <n v="0"/>
    <n v="0"/>
    <n v="0"/>
    <n v="0"/>
    <n v="0"/>
    <n v="0"/>
    <n v="0"/>
    <n v="0"/>
    <n v="0"/>
    <x v="1"/>
    <n v="0"/>
    <s v="MMR001CMP116"/>
    <x v="1"/>
    <x v="1"/>
    <x v="1"/>
    <n v="1.1869436201780416E-2"/>
    <m/>
    <m/>
  </r>
  <r>
    <n v="17.5"/>
    <d v="2014-07-25T00:00:00"/>
    <x v="0"/>
    <m/>
    <s v="Kachin"/>
    <s v="Bhamo"/>
    <s v="Lisu Boarding-House"/>
    <m/>
    <m/>
    <m/>
    <m/>
    <n v="7"/>
    <n v="3"/>
    <m/>
    <m/>
    <n v="4"/>
    <n v="9"/>
    <m/>
    <m/>
    <m/>
    <m/>
    <m/>
    <m/>
    <m/>
    <n v="0"/>
    <n v="0"/>
    <n v="0"/>
    <n v="0"/>
    <n v="0"/>
    <n v="0"/>
    <n v="0"/>
    <n v="0"/>
    <n v="0"/>
    <n v="0"/>
    <n v="0"/>
    <n v="0"/>
    <n v="0"/>
    <n v="0"/>
    <x v="1"/>
    <n v="0"/>
    <s v="MMR001CMP049"/>
    <x v="1"/>
    <x v="1"/>
    <x v="1"/>
    <n v="0"/>
    <m/>
    <m/>
  </r>
  <r>
    <n v="17.633333333333333"/>
    <d v="2014-07-21T00:00:00"/>
    <x v="0"/>
    <m/>
    <s v="Kachin"/>
    <s v="Bhamo"/>
    <s v="Lisu Boarding-House"/>
    <m/>
    <m/>
    <m/>
    <n v="10"/>
    <n v="36"/>
    <n v="10"/>
    <n v="5"/>
    <m/>
    <n v="33"/>
    <n v="117"/>
    <m/>
    <m/>
    <m/>
    <m/>
    <m/>
    <m/>
    <m/>
    <n v="0"/>
    <n v="0"/>
    <n v="0"/>
    <n v="0"/>
    <n v="0"/>
    <n v="0"/>
    <n v="0"/>
    <n v="0"/>
    <n v="0"/>
    <n v="0"/>
    <n v="0"/>
    <n v="0"/>
    <n v="0"/>
    <n v="0"/>
    <x v="1"/>
    <n v="0"/>
    <s v="MMR001CMP049"/>
    <x v="1"/>
    <x v="1"/>
    <x v="1"/>
    <n v="4.3103448275862072E-2"/>
    <m/>
    <m/>
  </r>
  <r>
    <n v="17.633333333333333"/>
    <d v="2014-07-21T00:00:00"/>
    <x v="0"/>
    <m/>
    <s v="Kachin"/>
    <s v="Momauk"/>
    <s v="Momauk Baptist Church"/>
    <m/>
    <m/>
    <m/>
    <m/>
    <n v="75"/>
    <m/>
    <m/>
    <m/>
    <m/>
    <m/>
    <m/>
    <m/>
    <m/>
    <m/>
    <m/>
    <m/>
    <m/>
    <n v="0"/>
    <n v="0"/>
    <n v="0"/>
    <n v="0"/>
    <n v="0"/>
    <n v="0"/>
    <n v="0"/>
    <n v="0"/>
    <n v="0"/>
    <n v="0"/>
    <n v="0"/>
    <n v="0"/>
    <n v="0"/>
    <n v="0"/>
    <x v="1"/>
    <n v="0"/>
    <s v="MMR001CMP056"/>
    <x v="1"/>
    <x v="1"/>
    <x v="1"/>
    <n v="0"/>
    <m/>
    <m/>
  </r>
  <r>
    <n v="18.033333333333335"/>
    <d v="2014-07-09T00:00:00"/>
    <x v="0"/>
    <m/>
    <s v="Kachin"/>
    <s v="Mansi"/>
    <s v="Maing Khaung"/>
    <m/>
    <m/>
    <m/>
    <m/>
    <m/>
    <n v="10"/>
    <m/>
    <m/>
    <m/>
    <m/>
    <m/>
    <m/>
    <m/>
    <m/>
    <m/>
    <m/>
    <m/>
    <n v="0"/>
    <n v="0"/>
    <n v="0"/>
    <n v="0"/>
    <n v="0"/>
    <n v="0"/>
    <n v="0"/>
    <n v="0"/>
    <n v="0"/>
    <n v="0"/>
    <n v="0"/>
    <n v="0"/>
    <n v="0"/>
    <n v="0"/>
    <x v="1"/>
    <n v="0"/>
    <s v="MMR001CMP218"/>
    <x v="1"/>
    <x v="1"/>
    <x v="1"/>
    <n v="0"/>
    <m/>
    <m/>
  </r>
  <r>
    <n v="18.033333333333335"/>
    <d v="2014-07-09T00:00:00"/>
    <x v="0"/>
    <m/>
    <s v="Kachin"/>
    <s v="Mansi"/>
    <s v="Maing Khaung Catholic Church"/>
    <m/>
    <m/>
    <m/>
    <n v="35"/>
    <n v="13"/>
    <n v="70"/>
    <n v="13"/>
    <m/>
    <n v="13"/>
    <n v="25"/>
    <m/>
    <m/>
    <m/>
    <m/>
    <m/>
    <m/>
    <m/>
    <n v="0"/>
    <n v="0"/>
    <n v="0"/>
    <n v="0"/>
    <n v="0"/>
    <n v="0"/>
    <n v="0"/>
    <n v="0"/>
    <n v="0"/>
    <n v="0"/>
    <n v="0"/>
    <n v="0"/>
    <n v="0"/>
    <n v="0"/>
    <x v="1"/>
    <n v="0"/>
    <s v="MMR001CMP223"/>
    <x v="1"/>
    <x v="1"/>
    <x v="1"/>
    <n v="0.10569105691056911"/>
    <m/>
    <m/>
  </r>
  <r>
    <n v="18.166666666666668"/>
    <d v="2014-07-05T00:00:00"/>
    <x v="3"/>
    <s v="MRCS"/>
    <s v="Kachin"/>
    <s v="Waingmaw"/>
    <s v="Waingmaw AG Church"/>
    <m/>
    <m/>
    <m/>
    <m/>
    <m/>
    <m/>
    <m/>
    <m/>
    <m/>
    <m/>
    <m/>
    <m/>
    <m/>
    <n v="124"/>
    <m/>
    <m/>
    <m/>
    <n v="0"/>
    <n v="0"/>
    <n v="0"/>
    <n v="0"/>
    <n v="0"/>
    <n v="0"/>
    <n v="0"/>
    <n v="0"/>
    <n v="0"/>
    <n v="0"/>
    <n v="0"/>
    <n v="0"/>
    <n v="0"/>
    <n v="0"/>
    <x v="0"/>
    <n v="0"/>
    <s v="MMR001CMP038"/>
    <x v="1"/>
    <x v="1"/>
    <x v="1"/>
    <n v="0"/>
    <m/>
    <m/>
  </r>
  <r>
    <n v="18.233333333333334"/>
    <d v="2014-07-03T00:00:00"/>
    <x v="0"/>
    <m/>
    <s v="Kachin"/>
    <s v="Mansi"/>
    <s v="Maing Khaung"/>
    <m/>
    <m/>
    <m/>
    <m/>
    <m/>
    <n v="9"/>
    <m/>
    <m/>
    <n v="19"/>
    <n v="1"/>
    <m/>
    <m/>
    <m/>
    <m/>
    <m/>
    <m/>
    <m/>
    <n v="0"/>
    <n v="0"/>
    <n v="0"/>
    <n v="0"/>
    <n v="0"/>
    <n v="0"/>
    <n v="0"/>
    <n v="0"/>
    <n v="0"/>
    <n v="0"/>
    <n v="0"/>
    <n v="0"/>
    <n v="0"/>
    <n v="0"/>
    <x v="1"/>
    <n v="0"/>
    <s v="MMR001CMP218"/>
    <x v="1"/>
    <x v="1"/>
    <x v="1"/>
    <n v="0"/>
    <m/>
    <m/>
  </r>
  <r>
    <n v="18.233333333333334"/>
    <d v="2014-07-03T00:00:00"/>
    <x v="0"/>
    <m/>
    <s v="Kachin"/>
    <s v="Mansi"/>
    <s v="Maing Khaung Catholic Church"/>
    <m/>
    <m/>
    <m/>
    <n v="50"/>
    <n v="15"/>
    <m/>
    <n v="15"/>
    <m/>
    <n v="15"/>
    <n v="60"/>
    <m/>
    <m/>
    <m/>
    <m/>
    <m/>
    <m/>
    <m/>
    <n v="0"/>
    <n v="0"/>
    <n v="0"/>
    <n v="0"/>
    <n v="0"/>
    <n v="0"/>
    <n v="0"/>
    <n v="0"/>
    <n v="0"/>
    <n v="0"/>
    <n v="0"/>
    <n v="0"/>
    <n v="0"/>
    <n v="0"/>
    <x v="1"/>
    <n v="0"/>
    <s v="MMR001CMP223"/>
    <x v="1"/>
    <x v="1"/>
    <x v="1"/>
    <n v="0.12195121951219512"/>
    <m/>
    <m/>
  </r>
  <r>
    <n v="18.3"/>
    <d v="2014-07-01T00:00:00"/>
    <x v="0"/>
    <m/>
    <s v="Kachin"/>
    <s v="Mansi"/>
    <s v="Maing Khaung"/>
    <m/>
    <m/>
    <m/>
    <m/>
    <n v="19"/>
    <m/>
    <n v="19"/>
    <m/>
    <m/>
    <n v="100"/>
    <m/>
    <m/>
    <m/>
    <m/>
    <m/>
    <m/>
    <m/>
    <n v="0"/>
    <n v="0"/>
    <n v="0"/>
    <n v="0"/>
    <n v="0"/>
    <n v="0"/>
    <n v="0"/>
    <n v="0"/>
    <n v="0"/>
    <n v="0"/>
    <n v="0"/>
    <n v="0"/>
    <n v="0"/>
    <n v="0"/>
    <x v="1"/>
    <n v="0"/>
    <s v="MMR001CMP218"/>
    <x v="1"/>
    <x v="1"/>
    <x v="1"/>
    <n v="5.1075268817204304E-2"/>
    <m/>
    <m/>
  </r>
  <r>
    <n v="18.5"/>
    <d v="2014-06-25T00:00:00"/>
    <x v="3"/>
    <s v="MRCS"/>
    <s v="Kachin"/>
    <s v="Momauk"/>
    <s v="Momauk Baptist Church"/>
    <m/>
    <m/>
    <m/>
    <m/>
    <m/>
    <m/>
    <m/>
    <m/>
    <m/>
    <m/>
    <m/>
    <m/>
    <m/>
    <n v="832"/>
    <m/>
    <m/>
    <m/>
    <n v="0"/>
    <n v="0"/>
    <n v="0"/>
    <n v="0"/>
    <n v="0"/>
    <n v="0"/>
    <n v="0"/>
    <n v="0"/>
    <n v="0"/>
    <n v="0"/>
    <n v="0"/>
    <n v="0"/>
    <n v="0"/>
    <n v="0"/>
    <x v="0"/>
    <n v="0"/>
    <s v="MMR001CMP056"/>
    <x v="1"/>
    <x v="1"/>
    <x v="1"/>
    <n v="0"/>
    <m/>
    <m/>
  </r>
  <r>
    <n v="18.533333333333335"/>
    <d v="2014-06-24T00:00:00"/>
    <x v="3"/>
    <s v="MRCS"/>
    <s v="Kachin"/>
    <s v="Myitkyina"/>
    <s v="Maw Hpawng Hka Nan Baptist Church"/>
    <m/>
    <m/>
    <m/>
    <m/>
    <m/>
    <m/>
    <m/>
    <m/>
    <m/>
    <m/>
    <m/>
    <m/>
    <m/>
    <n v="44"/>
    <m/>
    <m/>
    <m/>
    <n v="0"/>
    <n v="0"/>
    <n v="0"/>
    <n v="0"/>
    <n v="0"/>
    <n v="0"/>
    <n v="0"/>
    <n v="0"/>
    <n v="0"/>
    <n v="0"/>
    <n v="0"/>
    <n v="0"/>
    <n v="0"/>
    <n v="0"/>
    <x v="0"/>
    <n v="0"/>
    <s v="MMR001CMP020"/>
    <x v="1"/>
    <x v="1"/>
    <x v="1"/>
    <n v="0"/>
    <m/>
    <m/>
  </r>
  <r>
    <n v="18.533333333333335"/>
    <d v="2014-06-24T00:00:00"/>
    <x v="3"/>
    <s v="MRCS"/>
    <s v="Kachin"/>
    <s v="Myitkyina"/>
    <s v="Maw Hpawng Lhaovo Baptist Church"/>
    <m/>
    <m/>
    <m/>
    <m/>
    <m/>
    <m/>
    <m/>
    <m/>
    <m/>
    <m/>
    <m/>
    <m/>
    <m/>
    <n v="28"/>
    <m/>
    <m/>
    <m/>
    <n v="0"/>
    <n v="0"/>
    <n v="0"/>
    <n v="0"/>
    <n v="0"/>
    <n v="0"/>
    <n v="0"/>
    <n v="0"/>
    <n v="0"/>
    <n v="0"/>
    <n v="0"/>
    <n v="0"/>
    <n v="0"/>
    <n v="0"/>
    <x v="0"/>
    <n v="0"/>
    <s v="MMR001CMP021"/>
    <x v="1"/>
    <x v="1"/>
    <x v="1"/>
    <n v="0"/>
    <m/>
    <m/>
  </r>
  <r>
    <n v="18.566666666666666"/>
    <d v="2014-06-23T00:00:00"/>
    <x v="3"/>
    <s v="MRCS"/>
    <s v="Kachin"/>
    <s v="Myitkyina"/>
    <s v="Tat Kone San Pya Baptist Church"/>
    <m/>
    <m/>
    <m/>
    <m/>
    <m/>
    <m/>
    <m/>
    <m/>
    <m/>
    <m/>
    <m/>
    <m/>
    <m/>
    <n v="88"/>
    <m/>
    <m/>
    <m/>
    <n v="0"/>
    <n v="0"/>
    <n v="0"/>
    <n v="0"/>
    <n v="0"/>
    <n v="0"/>
    <n v="0"/>
    <n v="0"/>
    <n v="0"/>
    <n v="0"/>
    <n v="0"/>
    <n v="0"/>
    <n v="0"/>
    <n v="0"/>
    <x v="0"/>
    <n v="0"/>
    <s v="MMR001CMP005"/>
    <x v="1"/>
    <x v="1"/>
    <x v="1"/>
    <n v="0"/>
    <m/>
    <m/>
  </r>
  <r>
    <n v="18.600000000000001"/>
    <d v="2014-06-22T00:00:00"/>
    <x v="3"/>
    <s v="MRCS"/>
    <s v="Kachin"/>
    <s v="Momauk"/>
    <s v="Momauk Catholic Church (St. Patrick)"/>
    <m/>
    <m/>
    <m/>
    <m/>
    <m/>
    <m/>
    <m/>
    <m/>
    <m/>
    <m/>
    <m/>
    <m/>
    <m/>
    <n v="462"/>
    <m/>
    <m/>
    <m/>
    <n v="0"/>
    <n v="0"/>
    <n v="0"/>
    <n v="0"/>
    <n v="0"/>
    <n v="0"/>
    <n v="0"/>
    <n v="0"/>
    <n v="0"/>
    <n v="0"/>
    <n v="0"/>
    <n v="0"/>
    <n v="0"/>
    <n v="0"/>
    <x v="0"/>
    <n v="0"/>
    <s v="MMR001CMP057"/>
    <x v="1"/>
    <x v="2"/>
    <x v="1"/>
    <s v=""/>
    <m/>
    <m/>
  </r>
  <r>
    <n v="18.633333333333333"/>
    <d v="2014-06-21T00:00:00"/>
    <x v="3"/>
    <s v="MRCS"/>
    <s v="Kachin"/>
    <s v="Myitkyina"/>
    <s v="Du Kahtawng Qtr. 14"/>
    <m/>
    <m/>
    <m/>
    <m/>
    <m/>
    <m/>
    <m/>
    <m/>
    <m/>
    <m/>
    <m/>
    <m/>
    <m/>
    <n v="12"/>
    <m/>
    <m/>
    <m/>
    <n v="0"/>
    <n v="0"/>
    <n v="0"/>
    <n v="0"/>
    <n v="0"/>
    <n v="0"/>
    <n v="0"/>
    <n v="0"/>
    <n v="0"/>
    <n v="0"/>
    <n v="0"/>
    <n v="0"/>
    <n v="0"/>
    <n v="0"/>
    <x v="0"/>
    <n v="0"/>
    <s v="MMR001CMP012"/>
    <x v="1"/>
    <x v="1"/>
    <x v="1"/>
    <n v="0"/>
    <m/>
    <m/>
  </r>
  <r>
    <n v="18.633333333333333"/>
    <d v="2014-06-21T00:00:00"/>
    <x v="3"/>
    <s v="MRCS"/>
    <s v="Kachin"/>
    <s v="Myitkyina"/>
    <s v="Du Kahtawng Qtr. 4"/>
    <m/>
    <m/>
    <m/>
    <m/>
    <m/>
    <m/>
    <m/>
    <m/>
    <m/>
    <m/>
    <m/>
    <m/>
    <m/>
    <n v="12"/>
    <m/>
    <m/>
    <m/>
    <n v="0"/>
    <n v="0"/>
    <n v="0"/>
    <n v="0"/>
    <n v="0"/>
    <n v="0"/>
    <n v="0"/>
    <n v="0"/>
    <n v="0"/>
    <n v="0"/>
    <n v="0"/>
    <n v="0"/>
    <n v="0"/>
    <n v="0"/>
    <x v="0"/>
    <n v="0"/>
    <s v="MMR001CMP010"/>
    <x v="1"/>
    <x v="1"/>
    <x v="1"/>
    <n v="0"/>
    <m/>
    <m/>
  </r>
  <r>
    <n v="18.633333333333333"/>
    <d v="2014-06-21T00:00:00"/>
    <x v="3"/>
    <s v="MRCS"/>
    <s v="Kachin"/>
    <s v="Myitkyina"/>
    <s v="Du Kahtawng Qtr. 5"/>
    <m/>
    <m/>
    <m/>
    <m/>
    <m/>
    <m/>
    <m/>
    <m/>
    <m/>
    <m/>
    <m/>
    <m/>
    <m/>
    <n v="16"/>
    <m/>
    <m/>
    <m/>
    <n v="0"/>
    <n v="0"/>
    <n v="0"/>
    <n v="0"/>
    <n v="0"/>
    <n v="0"/>
    <n v="0"/>
    <n v="0"/>
    <n v="0"/>
    <n v="0"/>
    <n v="0"/>
    <n v="0"/>
    <n v="0"/>
    <n v="0"/>
    <x v="0"/>
    <n v="0"/>
    <s v="MMR001CMP011"/>
    <x v="1"/>
    <x v="1"/>
    <x v="1"/>
    <n v="0"/>
    <m/>
    <m/>
  </r>
  <r>
    <n v="18.666666666666668"/>
    <d v="2014-06-20T00:00:00"/>
    <x v="3"/>
    <s v="MRCS"/>
    <s v="Kachin"/>
    <s v="Myitkyina"/>
    <s v="Tat Kone Emanuel Church"/>
    <m/>
    <m/>
    <m/>
    <m/>
    <m/>
    <m/>
    <m/>
    <m/>
    <m/>
    <m/>
    <m/>
    <m/>
    <m/>
    <n v="16"/>
    <m/>
    <m/>
    <m/>
    <n v="0"/>
    <n v="0"/>
    <n v="0"/>
    <n v="0"/>
    <n v="0"/>
    <n v="0"/>
    <n v="0"/>
    <n v="0"/>
    <n v="0"/>
    <n v="0"/>
    <n v="0"/>
    <n v="0"/>
    <n v="0"/>
    <n v="0"/>
    <x v="0"/>
    <n v="0"/>
    <s v="MMR001CMP004"/>
    <x v="1"/>
    <x v="1"/>
    <x v="1"/>
    <n v="0"/>
    <m/>
    <m/>
  </r>
  <r>
    <n v="18.766666666666666"/>
    <d v="2014-06-17T00:00:00"/>
    <x v="0"/>
    <m/>
    <s v="Kachin"/>
    <s v="Mansi"/>
    <s v="Maing Khaung"/>
    <m/>
    <m/>
    <m/>
    <n v="10"/>
    <n v="3"/>
    <n v="10"/>
    <n v="3"/>
    <m/>
    <n v="3"/>
    <n v="10"/>
    <m/>
    <m/>
    <m/>
    <m/>
    <m/>
    <m/>
    <m/>
    <n v="0"/>
    <n v="0"/>
    <n v="0"/>
    <n v="0"/>
    <n v="0"/>
    <n v="0"/>
    <n v="0"/>
    <n v="0"/>
    <n v="0"/>
    <n v="0"/>
    <n v="0"/>
    <n v="0"/>
    <n v="0"/>
    <n v="0"/>
    <x v="1"/>
    <n v="0"/>
    <s v="MMR001CMP218"/>
    <x v="1"/>
    <x v="1"/>
    <x v="1"/>
    <n v="8.0645161290322578E-3"/>
    <m/>
    <m/>
  </r>
  <r>
    <n v="18.833333333333332"/>
    <d v="2014-06-15T00:00:00"/>
    <x v="3"/>
    <s v="MRCS"/>
    <s v="Kachin"/>
    <s v="Shwegu"/>
    <s v="Shwe Gu Baptist Church"/>
    <m/>
    <m/>
    <m/>
    <m/>
    <m/>
    <m/>
    <m/>
    <m/>
    <m/>
    <m/>
    <m/>
    <m/>
    <m/>
    <n v="158"/>
    <m/>
    <m/>
    <m/>
    <n v="0"/>
    <n v="0"/>
    <n v="0"/>
    <n v="0"/>
    <n v="0"/>
    <n v="0"/>
    <n v="0"/>
    <n v="0"/>
    <n v="0"/>
    <n v="0"/>
    <n v="0"/>
    <n v="0"/>
    <n v="0"/>
    <n v="0"/>
    <x v="0"/>
    <n v="0"/>
    <s v="MMR001CMP067"/>
    <x v="1"/>
    <x v="1"/>
    <x v="1"/>
    <n v="0"/>
    <m/>
    <m/>
  </r>
  <r>
    <n v="18.833333333333332"/>
    <d v="2014-06-15T00:00:00"/>
    <x v="3"/>
    <s v="MRCS"/>
    <s v="Kachin"/>
    <s v="Shwegu"/>
    <s v="Shwe Gu Catholic Church"/>
    <m/>
    <m/>
    <m/>
    <m/>
    <m/>
    <m/>
    <m/>
    <m/>
    <m/>
    <m/>
    <m/>
    <m/>
    <m/>
    <n v="112"/>
    <m/>
    <m/>
    <m/>
    <n v="0"/>
    <n v="0"/>
    <n v="0"/>
    <n v="0"/>
    <n v="0"/>
    <n v="0"/>
    <n v="0"/>
    <n v="0"/>
    <n v="0"/>
    <n v="0"/>
    <n v="0"/>
    <n v="0"/>
    <n v="0"/>
    <n v="0"/>
    <x v="0"/>
    <n v="0"/>
    <s v="MMR001CMP068"/>
    <x v="1"/>
    <x v="1"/>
    <x v="1"/>
    <n v="0"/>
    <m/>
    <m/>
  </r>
  <r>
    <n v="18.866666666666667"/>
    <d v="2014-06-14T00:00:00"/>
    <x v="3"/>
    <s v="MRCS"/>
    <s v="Kachin"/>
    <s v="Myitkyina"/>
    <s v="Jan Mai Kawng Baptist Church"/>
    <m/>
    <m/>
    <m/>
    <m/>
    <m/>
    <m/>
    <m/>
    <m/>
    <m/>
    <m/>
    <m/>
    <m/>
    <m/>
    <n v="406"/>
    <m/>
    <m/>
    <m/>
    <n v="0"/>
    <n v="0"/>
    <n v="0"/>
    <n v="0"/>
    <n v="0"/>
    <n v="0"/>
    <n v="0"/>
    <n v="0"/>
    <n v="0"/>
    <n v="0"/>
    <n v="0"/>
    <n v="0"/>
    <n v="0"/>
    <n v="0"/>
    <x v="0"/>
    <n v="0"/>
    <s v="MMR001CMP018"/>
    <x v="1"/>
    <x v="1"/>
    <x v="1"/>
    <n v="0"/>
    <m/>
    <m/>
  </r>
  <r>
    <n v="18.866666666666667"/>
    <d v="2014-06-14T00:00:00"/>
    <x v="3"/>
    <s v="MRCS"/>
    <s v="Kachin"/>
    <s v="Myitkyina"/>
    <s v="Jan Mai Kawng Catholic Church"/>
    <m/>
    <m/>
    <m/>
    <m/>
    <m/>
    <m/>
    <m/>
    <m/>
    <m/>
    <m/>
    <m/>
    <m/>
    <m/>
    <n v="216"/>
    <m/>
    <m/>
    <m/>
    <n v="0"/>
    <n v="0"/>
    <n v="0"/>
    <n v="0"/>
    <n v="0"/>
    <n v="0"/>
    <n v="0"/>
    <n v="0"/>
    <n v="0"/>
    <n v="0"/>
    <n v="0"/>
    <n v="0"/>
    <n v="0"/>
    <n v="0"/>
    <x v="0"/>
    <n v="0"/>
    <s v="MMR001CMP019"/>
    <x v="1"/>
    <x v="1"/>
    <x v="1"/>
    <n v="0"/>
    <m/>
    <m/>
  </r>
  <r>
    <n v="18.899999999999999"/>
    <d v="2014-06-13T00:00:00"/>
    <x v="0"/>
    <m/>
    <s v="Kachin"/>
    <s v="Mansi"/>
    <s v="Maing Khaung"/>
    <m/>
    <m/>
    <m/>
    <n v="54"/>
    <n v="18"/>
    <n v="45"/>
    <n v="18"/>
    <m/>
    <n v="18"/>
    <n v="50"/>
    <m/>
    <m/>
    <m/>
    <m/>
    <m/>
    <m/>
    <m/>
    <n v="0"/>
    <n v="0"/>
    <n v="0"/>
    <n v="0"/>
    <n v="0"/>
    <n v="0"/>
    <n v="0"/>
    <n v="0"/>
    <n v="0"/>
    <n v="0"/>
    <n v="0"/>
    <n v="0"/>
    <n v="0"/>
    <n v="0"/>
    <x v="1"/>
    <n v="0"/>
    <s v="MMR001CMP218"/>
    <x v="1"/>
    <x v="1"/>
    <x v="1"/>
    <n v="4.8387096774193547E-2"/>
    <m/>
    <m/>
  </r>
  <r>
    <n v="19.100000000000001"/>
    <d v="2014-06-07T00:00:00"/>
    <x v="3"/>
    <s v="MRCS"/>
    <s v="Kachin"/>
    <s v="Mohnyin"/>
    <s v="Nawng Ing (Indawgyi) Baptist Church  "/>
    <m/>
    <m/>
    <m/>
    <m/>
    <m/>
    <m/>
    <m/>
    <m/>
    <m/>
    <m/>
    <m/>
    <m/>
    <m/>
    <n v="40"/>
    <m/>
    <m/>
    <m/>
    <n v="0"/>
    <n v="0"/>
    <n v="0"/>
    <n v="0"/>
    <n v="0"/>
    <n v="0"/>
    <n v="0"/>
    <n v="0"/>
    <n v="0"/>
    <n v="0"/>
    <n v="0"/>
    <n v="0"/>
    <n v="0"/>
    <n v="0"/>
    <x v="0"/>
    <n v="0"/>
    <s v="MMR001CMP152"/>
    <x v="1"/>
    <x v="1"/>
    <x v="1"/>
    <n v="0"/>
    <m/>
    <m/>
  </r>
  <r>
    <n v="19.133333333333333"/>
    <d v="2014-06-06T00:00:00"/>
    <x v="3"/>
    <s v="MRCS"/>
    <s v="Kachin"/>
    <s v="Mohnyin"/>
    <s v="St. Patrick Catholic Church "/>
    <m/>
    <m/>
    <m/>
    <m/>
    <m/>
    <m/>
    <m/>
    <m/>
    <m/>
    <m/>
    <m/>
    <m/>
    <m/>
    <n v="24"/>
    <m/>
    <m/>
    <m/>
    <n v="0"/>
    <n v="0"/>
    <n v="0"/>
    <n v="0"/>
    <n v="0"/>
    <n v="0"/>
    <n v="0"/>
    <n v="0"/>
    <n v="0"/>
    <n v="0"/>
    <n v="0"/>
    <n v="0"/>
    <n v="0"/>
    <n v="0"/>
    <x v="0"/>
    <n v="0"/>
    <s v="MMR001CMP080"/>
    <x v="1"/>
    <x v="1"/>
    <x v="1"/>
    <n v="0"/>
    <m/>
    <m/>
  </r>
  <r>
    <n v="19.2"/>
    <d v="2014-06-04T00:00:00"/>
    <x v="0"/>
    <s v="KBC"/>
    <s v="Kachin"/>
    <s v="Momauk"/>
    <s v="Momauk Baptist Church"/>
    <m/>
    <m/>
    <m/>
    <m/>
    <n v="80"/>
    <m/>
    <m/>
    <m/>
    <m/>
    <m/>
    <m/>
    <m/>
    <m/>
    <m/>
    <m/>
    <m/>
    <m/>
    <n v="0"/>
    <n v="0"/>
    <n v="0"/>
    <n v="0"/>
    <n v="0"/>
    <n v="0"/>
    <n v="0"/>
    <n v="0"/>
    <n v="0"/>
    <n v="0"/>
    <n v="0"/>
    <n v="0"/>
    <n v="0"/>
    <n v="0"/>
    <x v="1"/>
    <n v="0"/>
    <s v="MMR001CMP056"/>
    <x v="1"/>
    <x v="1"/>
    <x v="1"/>
    <n v="0"/>
    <s v="No"/>
    <m/>
  </r>
  <r>
    <n v="19.366666666666667"/>
    <d v="2014-05-30T00:00:00"/>
    <x v="3"/>
    <s v="MRCS"/>
    <s v="Kachin"/>
    <s v="Myitkyina"/>
    <s v="Wun Tho Buddhist Monastery"/>
    <m/>
    <m/>
    <m/>
    <m/>
    <m/>
    <m/>
    <m/>
    <m/>
    <m/>
    <m/>
    <m/>
    <m/>
    <m/>
    <n v="12"/>
    <m/>
    <m/>
    <m/>
    <n v="0"/>
    <n v="0"/>
    <n v="0"/>
    <n v="0"/>
    <n v="0"/>
    <n v="0"/>
    <n v="0"/>
    <n v="0"/>
    <n v="0"/>
    <n v="0"/>
    <n v="0"/>
    <n v="0"/>
    <n v="0"/>
    <n v="0"/>
    <x v="0"/>
    <n v="0"/>
    <s v="MMR001CMP022"/>
    <x v="1"/>
    <x v="1"/>
    <x v="1"/>
    <n v="0"/>
    <m/>
    <m/>
  </r>
  <r>
    <n v="19.433333333333334"/>
    <d v="2014-05-28T00:00:00"/>
    <x v="3"/>
    <s v="MRCS"/>
    <s v="Kachin"/>
    <s v="Myitkyina"/>
    <s v="Tat Kone Baptist Church"/>
    <m/>
    <m/>
    <m/>
    <m/>
    <m/>
    <m/>
    <m/>
    <m/>
    <m/>
    <m/>
    <m/>
    <m/>
    <m/>
    <n v="120"/>
    <m/>
    <m/>
    <m/>
    <n v="0"/>
    <n v="0"/>
    <n v="0"/>
    <n v="0"/>
    <n v="0"/>
    <n v="0"/>
    <n v="0"/>
    <n v="0"/>
    <n v="0"/>
    <n v="0"/>
    <n v="0"/>
    <n v="0"/>
    <n v="0"/>
    <n v="0"/>
    <x v="0"/>
    <n v="0"/>
    <s v="MMR001CMP001"/>
    <x v="1"/>
    <x v="1"/>
    <x v="1"/>
    <n v="0"/>
    <m/>
    <m/>
  </r>
  <r>
    <n v="19.433333333333334"/>
    <d v="2014-05-28T00:00:00"/>
    <x v="3"/>
    <s v="MRCS"/>
    <s v="Kachin"/>
    <s v="Myitkyina"/>
    <s v="Tat Kone COC Baptist - Tat Kone Htoi San"/>
    <m/>
    <m/>
    <m/>
    <m/>
    <m/>
    <m/>
    <m/>
    <m/>
    <m/>
    <m/>
    <m/>
    <m/>
    <m/>
    <n v="138"/>
    <m/>
    <m/>
    <m/>
    <n v="0"/>
    <n v="0"/>
    <n v="0"/>
    <n v="0"/>
    <n v="0"/>
    <n v="0"/>
    <n v="0"/>
    <n v="0"/>
    <n v="0"/>
    <n v="0"/>
    <n v="0"/>
    <n v="0"/>
    <n v="0"/>
    <n v="0"/>
    <x v="0"/>
    <n v="0"/>
    <s v="MMR001CMP023"/>
    <x v="1"/>
    <x v="1"/>
    <x v="1"/>
    <n v="0"/>
    <m/>
    <m/>
  </r>
  <r>
    <n v="19.433333333333334"/>
    <d v="2014-05-28T00:00:00"/>
    <x v="3"/>
    <s v="MRCS"/>
    <s v="Kachin"/>
    <s v="Myitkyina"/>
    <s v="Tat Kone Galile Baptist Church"/>
    <m/>
    <m/>
    <m/>
    <m/>
    <m/>
    <m/>
    <m/>
    <m/>
    <m/>
    <m/>
    <m/>
    <m/>
    <m/>
    <n v="58"/>
    <m/>
    <m/>
    <m/>
    <n v="0"/>
    <n v="0"/>
    <n v="0"/>
    <n v="0"/>
    <n v="0"/>
    <n v="0"/>
    <n v="0"/>
    <n v="0"/>
    <n v="0"/>
    <n v="0"/>
    <n v="0"/>
    <n v="0"/>
    <n v="0"/>
    <n v="0"/>
    <x v="0"/>
    <n v="0"/>
    <s v="MMR001CMP003"/>
    <x v="1"/>
    <x v="1"/>
    <x v="1"/>
    <n v="0"/>
    <m/>
    <m/>
  </r>
  <r>
    <n v="19.466666666666665"/>
    <d v="2014-05-27T00:00:00"/>
    <x v="0"/>
    <s v="Shalom"/>
    <s v="Kachin"/>
    <s v="Chipwi"/>
    <s v="Chipwi KBC camp"/>
    <m/>
    <m/>
    <n v="36"/>
    <n v="18"/>
    <n v="36"/>
    <n v="18"/>
    <m/>
    <n v="18"/>
    <n v="90"/>
    <m/>
    <m/>
    <m/>
    <m/>
    <m/>
    <m/>
    <m/>
    <m/>
    <n v="0"/>
    <n v="0"/>
    <n v="0"/>
    <n v="0"/>
    <n v="0"/>
    <n v="0"/>
    <n v="0"/>
    <n v="0"/>
    <n v="0"/>
    <n v="0"/>
    <n v="0"/>
    <n v="0"/>
    <n v="0"/>
    <n v="0"/>
    <x v="1"/>
    <n v="0"/>
    <s v="MMR001CMP042"/>
    <x v="1"/>
    <x v="1"/>
    <x v="3"/>
    <n v="0"/>
    <m/>
    <m/>
  </r>
  <r>
    <n v="19.466666666666665"/>
    <d v="2014-05-27T00:00:00"/>
    <x v="0"/>
    <s v="Shalom"/>
    <s v="Kachin"/>
    <s v="Waingmaw"/>
    <s v="Hkat Cho "/>
    <m/>
    <m/>
    <n v="2"/>
    <n v="1"/>
    <n v="2"/>
    <n v="1"/>
    <m/>
    <n v="1"/>
    <n v="5"/>
    <m/>
    <m/>
    <m/>
    <m/>
    <m/>
    <m/>
    <m/>
    <m/>
    <n v="0"/>
    <n v="0"/>
    <n v="0"/>
    <n v="0"/>
    <n v="0"/>
    <n v="0"/>
    <n v="0"/>
    <n v="0"/>
    <n v="0"/>
    <n v="0"/>
    <n v="0"/>
    <n v="0"/>
    <n v="0"/>
    <n v="0"/>
    <x v="1"/>
    <n v="0"/>
    <s v="MMR001CMP028"/>
    <x v="1"/>
    <x v="1"/>
    <x v="1"/>
    <n v="0"/>
    <m/>
    <m/>
  </r>
  <r>
    <n v="19.466666666666665"/>
    <d v="2014-05-27T00:00:00"/>
    <x v="0"/>
    <s v="Shalom"/>
    <s v="Kachin"/>
    <s v="Waingmaw"/>
    <s v="Maina AG Church"/>
    <m/>
    <m/>
    <n v="50"/>
    <n v="25"/>
    <n v="50"/>
    <n v="25"/>
    <m/>
    <n v="25"/>
    <n v="125"/>
    <m/>
    <m/>
    <m/>
    <m/>
    <m/>
    <m/>
    <m/>
    <m/>
    <n v="0"/>
    <n v="0"/>
    <n v="0"/>
    <n v="0"/>
    <n v="0"/>
    <n v="0"/>
    <n v="0"/>
    <n v="0"/>
    <n v="0"/>
    <n v="0"/>
    <n v="0"/>
    <n v="0"/>
    <n v="0"/>
    <n v="0"/>
    <x v="1"/>
    <n v="0"/>
    <s v="MMR001CMP031"/>
    <x v="1"/>
    <x v="1"/>
    <x v="1"/>
    <n v="0"/>
    <m/>
    <m/>
  </r>
  <r>
    <n v="19.466666666666665"/>
    <d v="2014-05-27T00:00:00"/>
    <x v="0"/>
    <s v="Shalom"/>
    <s v="Kachin"/>
    <s v="Myitkyina"/>
    <s v="Maw Hpawng Hka Nan Baptist Church"/>
    <m/>
    <m/>
    <n v="12"/>
    <n v="6"/>
    <n v="12"/>
    <n v="6"/>
    <m/>
    <n v="6"/>
    <n v="30"/>
    <m/>
    <m/>
    <m/>
    <m/>
    <m/>
    <m/>
    <m/>
    <m/>
    <n v="0"/>
    <n v="0"/>
    <n v="0"/>
    <n v="0"/>
    <n v="0"/>
    <n v="0"/>
    <n v="0"/>
    <n v="0"/>
    <n v="0"/>
    <n v="0"/>
    <n v="0"/>
    <n v="0"/>
    <n v="0"/>
    <n v="0"/>
    <x v="1"/>
    <n v="0"/>
    <s v="MMR001CMP020"/>
    <x v="1"/>
    <x v="1"/>
    <x v="1"/>
    <n v="0"/>
    <m/>
    <m/>
  </r>
  <r>
    <n v="19.466666666666665"/>
    <d v="2014-05-27T00:00:00"/>
    <x v="0"/>
    <s v="Shalom"/>
    <s v="Kachin"/>
    <s v="Waingmaw"/>
    <s v="Qtr. 4 Monestry (Thargaya Thayett Taw)"/>
    <m/>
    <m/>
    <n v="3"/>
    <n v="3"/>
    <n v="6"/>
    <n v="3"/>
    <m/>
    <n v="3"/>
    <n v="15"/>
    <m/>
    <m/>
    <m/>
    <m/>
    <m/>
    <m/>
    <m/>
    <m/>
    <n v="0"/>
    <n v="0"/>
    <n v="0"/>
    <n v="0"/>
    <n v="0"/>
    <n v="0"/>
    <n v="0"/>
    <n v="0"/>
    <n v="0"/>
    <n v="0"/>
    <n v="0"/>
    <n v="0"/>
    <n v="0"/>
    <n v="0"/>
    <x v="1"/>
    <n v="0"/>
    <s v="MMR001CMP026"/>
    <x v="1"/>
    <x v="1"/>
    <x v="1"/>
    <n v="0"/>
    <m/>
    <m/>
  </r>
  <r>
    <n v="19.466666666666665"/>
    <d v="2014-05-27T00:00:00"/>
    <x v="0"/>
    <s v="Shalom"/>
    <s v="Kachin"/>
    <s v="Waingmaw"/>
    <s v="Thargaya Lisu Baptist Church"/>
    <m/>
    <m/>
    <n v="18"/>
    <n v="9"/>
    <n v="18"/>
    <n v="9"/>
    <m/>
    <n v="9"/>
    <n v="45"/>
    <m/>
    <m/>
    <m/>
    <m/>
    <m/>
    <m/>
    <m/>
    <m/>
    <n v="0"/>
    <n v="0"/>
    <n v="0"/>
    <n v="0"/>
    <n v="0"/>
    <n v="0"/>
    <n v="0"/>
    <n v="0"/>
    <n v="0"/>
    <n v="0"/>
    <n v="0"/>
    <n v="0"/>
    <n v="0"/>
    <n v="0"/>
    <x v="1"/>
    <n v="0"/>
    <s v="MMR001CMP037"/>
    <x v="1"/>
    <x v="1"/>
    <x v="1"/>
    <n v="0"/>
    <m/>
    <m/>
  </r>
  <r>
    <n v="19.5"/>
    <d v="2014-05-26T00:00:00"/>
    <x v="3"/>
    <s v="MRCS"/>
    <s v="Kachin"/>
    <s v="Waingmaw"/>
    <s v="Nawng Hee Village"/>
    <m/>
    <m/>
    <m/>
    <m/>
    <m/>
    <m/>
    <m/>
    <m/>
    <m/>
    <m/>
    <m/>
    <m/>
    <m/>
    <n v="36"/>
    <m/>
    <m/>
    <m/>
    <n v="0"/>
    <n v="0"/>
    <n v="0"/>
    <n v="0"/>
    <n v="0"/>
    <n v="0"/>
    <n v="0"/>
    <n v="0"/>
    <n v="0"/>
    <n v="0"/>
    <n v="0"/>
    <n v="0"/>
    <n v="0"/>
    <n v="0"/>
    <x v="0"/>
    <n v="0"/>
    <s v="MMR001CMP033"/>
    <x v="1"/>
    <x v="1"/>
    <x v="1"/>
    <n v="0"/>
    <m/>
    <m/>
  </r>
  <r>
    <n v="19.533333333333335"/>
    <d v="2014-05-25T00:00:00"/>
    <x v="3"/>
    <s v="MRCS"/>
    <s v="Kachin"/>
    <s v="Waingmaw"/>
    <s v="Hkat Cho "/>
    <m/>
    <m/>
    <m/>
    <m/>
    <m/>
    <m/>
    <m/>
    <m/>
    <m/>
    <m/>
    <m/>
    <m/>
    <m/>
    <n v="224"/>
    <m/>
    <m/>
    <m/>
    <n v="0"/>
    <n v="0"/>
    <n v="0"/>
    <n v="0"/>
    <n v="0"/>
    <n v="0"/>
    <n v="0"/>
    <n v="0"/>
    <n v="0"/>
    <n v="0"/>
    <n v="0"/>
    <n v="0"/>
    <n v="0"/>
    <n v="0"/>
    <x v="0"/>
    <n v="0"/>
    <s v="MMR001CMP028"/>
    <x v="1"/>
    <x v="1"/>
    <x v="1"/>
    <n v="0"/>
    <m/>
    <m/>
  </r>
  <r>
    <n v="19.533333333333335"/>
    <d v="2014-05-25T00:00:00"/>
    <x v="3"/>
    <s v="MRCS"/>
    <s v="Kachin"/>
    <s v="Waingmaw"/>
    <s v="Qtr. 4 Monestry (Thargaya Thayett Taw)"/>
    <m/>
    <m/>
    <m/>
    <m/>
    <m/>
    <m/>
    <m/>
    <m/>
    <m/>
    <m/>
    <m/>
    <m/>
    <m/>
    <n v="182"/>
    <m/>
    <m/>
    <m/>
    <n v="0"/>
    <n v="0"/>
    <n v="0"/>
    <n v="0"/>
    <n v="0"/>
    <n v="0"/>
    <n v="0"/>
    <n v="0"/>
    <n v="0"/>
    <n v="0"/>
    <n v="0"/>
    <n v="0"/>
    <n v="0"/>
    <n v="0"/>
    <x v="0"/>
    <n v="0"/>
    <s v="MMR001CMP026"/>
    <x v="1"/>
    <x v="1"/>
    <x v="1"/>
    <n v="0"/>
    <m/>
    <m/>
  </r>
  <r>
    <n v="19.633333333333333"/>
    <d v="2014-05-22T00:00:00"/>
    <x v="3"/>
    <s v="MRCS"/>
    <s v="Kachin"/>
    <s v="Waingmaw"/>
    <s v="Mading Baptist Church"/>
    <m/>
    <m/>
    <m/>
    <m/>
    <m/>
    <m/>
    <m/>
    <m/>
    <m/>
    <m/>
    <m/>
    <m/>
    <m/>
    <n v="46"/>
    <m/>
    <m/>
    <m/>
    <n v="0"/>
    <n v="0"/>
    <n v="0"/>
    <n v="0"/>
    <n v="0"/>
    <n v="0"/>
    <n v="0"/>
    <n v="0"/>
    <n v="0"/>
    <n v="0"/>
    <n v="0"/>
    <n v="0"/>
    <n v="0"/>
    <n v="0"/>
    <x v="0"/>
    <n v="0"/>
    <s v="MMR001CMP027"/>
    <x v="1"/>
    <x v="1"/>
    <x v="1"/>
    <n v="0"/>
    <m/>
    <m/>
  </r>
  <r>
    <n v="19.633333333333333"/>
    <d v="2014-05-22T00:00:00"/>
    <x v="3"/>
    <s v="MRCS"/>
    <s v="Kachin"/>
    <s v="Waingmaw"/>
    <s v="Qtr. 2 Lhaovo Baptist Church"/>
    <m/>
    <m/>
    <m/>
    <m/>
    <m/>
    <m/>
    <m/>
    <m/>
    <m/>
    <m/>
    <m/>
    <m/>
    <m/>
    <n v="88"/>
    <m/>
    <m/>
    <m/>
    <n v="0"/>
    <n v="0"/>
    <n v="0"/>
    <n v="0"/>
    <n v="0"/>
    <n v="0"/>
    <n v="0"/>
    <n v="0"/>
    <n v="0"/>
    <n v="0"/>
    <n v="0"/>
    <n v="0"/>
    <n v="0"/>
    <n v="0"/>
    <x v="0"/>
    <n v="0"/>
    <s v="MMR001CMP032"/>
    <x v="1"/>
    <x v="1"/>
    <x v="1"/>
    <n v="0"/>
    <m/>
    <m/>
  </r>
  <r>
    <n v="19.633333333333333"/>
    <d v="2014-05-22T00:00:00"/>
    <x v="3"/>
    <s v="MRCS"/>
    <s v="Kachin"/>
    <s v="Waingmaw"/>
    <s v="Qtr. 2 Myoma Baptist Church"/>
    <m/>
    <m/>
    <m/>
    <m/>
    <m/>
    <m/>
    <m/>
    <m/>
    <m/>
    <m/>
    <m/>
    <m/>
    <m/>
    <n v="140"/>
    <m/>
    <m/>
    <m/>
    <n v="0"/>
    <n v="0"/>
    <n v="0"/>
    <n v="0"/>
    <n v="0"/>
    <n v="0"/>
    <n v="0"/>
    <n v="0"/>
    <n v="0"/>
    <n v="0"/>
    <n v="0"/>
    <n v="0"/>
    <n v="0"/>
    <n v="0"/>
    <x v="0"/>
    <n v="0"/>
    <s v="MMR001CMP025"/>
    <x v="1"/>
    <x v="1"/>
    <x v="1"/>
    <n v="0"/>
    <m/>
    <m/>
  </r>
  <r>
    <n v="19.666666666666668"/>
    <d v="2014-05-21T00:00:00"/>
    <x v="3"/>
    <s v="MRCS"/>
    <s v="Kachin"/>
    <s v="Myitkyina"/>
    <s v="Myay Myint Baptist Church"/>
    <m/>
    <m/>
    <m/>
    <m/>
    <m/>
    <m/>
    <m/>
    <m/>
    <m/>
    <m/>
    <m/>
    <m/>
    <m/>
    <n v="24"/>
    <m/>
    <m/>
    <m/>
    <n v="0"/>
    <n v="0"/>
    <n v="0"/>
    <n v="0"/>
    <n v="0"/>
    <n v="0"/>
    <n v="0"/>
    <n v="0"/>
    <n v="0"/>
    <n v="0"/>
    <n v="0"/>
    <n v="0"/>
    <n v="0"/>
    <n v="0"/>
    <x v="0"/>
    <n v="0"/>
    <s v="MMR001CMP017"/>
    <x v="1"/>
    <x v="2"/>
    <x v="1"/>
    <s v=""/>
    <m/>
    <m/>
  </r>
  <r>
    <n v="19.666666666666668"/>
    <d v="2014-05-21T00:00:00"/>
    <x v="3"/>
    <s v="MRCS"/>
    <s v="Kachin"/>
    <s v="Myitkyina"/>
    <s v="Shatapru Thida Aye Baptist Church"/>
    <m/>
    <m/>
    <m/>
    <m/>
    <m/>
    <m/>
    <m/>
    <m/>
    <m/>
    <m/>
    <m/>
    <m/>
    <m/>
    <n v="30"/>
    <m/>
    <m/>
    <m/>
    <n v="0"/>
    <n v="0"/>
    <n v="0"/>
    <n v="0"/>
    <n v="0"/>
    <n v="0"/>
    <n v="0"/>
    <n v="0"/>
    <n v="0"/>
    <n v="0"/>
    <n v="0"/>
    <n v="0"/>
    <n v="0"/>
    <n v="0"/>
    <x v="0"/>
    <n v="0"/>
    <s v="MMR001CMP007"/>
    <x v="1"/>
    <x v="1"/>
    <x v="1"/>
    <n v="0"/>
    <m/>
    <m/>
  </r>
  <r>
    <n v="19.666666666666668"/>
    <d v="2014-05-21T00:00:00"/>
    <x v="3"/>
    <s v="MRCS"/>
    <s v="Kachin"/>
    <s v="Waingmaw"/>
    <s v="Thargaya Lisu Baptist Church"/>
    <m/>
    <m/>
    <m/>
    <m/>
    <m/>
    <m/>
    <m/>
    <m/>
    <m/>
    <m/>
    <m/>
    <m/>
    <m/>
    <n v="136"/>
    <m/>
    <m/>
    <m/>
    <n v="0"/>
    <n v="0"/>
    <n v="0"/>
    <n v="0"/>
    <n v="0"/>
    <n v="0"/>
    <n v="0"/>
    <n v="0"/>
    <n v="0"/>
    <n v="0"/>
    <n v="0"/>
    <n v="0"/>
    <n v="0"/>
    <n v="0"/>
    <x v="0"/>
    <n v="0"/>
    <s v="MMR001CMP037"/>
    <x v="1"/>
    <x v="1"/>
    <x v="1"/>
    <n v="0"/>
    <m/>
    <m/>
  </r>
  <r>
    <n v="19.7"/>
    <d v="2014-05-20T00:00:00"/>
    <x v="3"/>
    <s v="MRCS"/>
    <s v="Kachin"/>
    <s v="Myitkyina"/>
    <s v="Kyun Pin Thar Baptist Church"/>
    <m/>
    <m/>
    <m/>
    <m/>
    <m/>
    <m/>
    <m/>
    <m/>
    <m/>
    <m/>
    <m/>
    <m/>
    <m/>
    <n v="88"/>
    <m/>
    <m/>
    <m/>
    <n v="0"/>
    <n v="0"/>
    <n v="0"/>
    <n v="0"/>
    <n v="0"/>
    <n v="0"/>
    <n v="0"/>
    <n v="0"/>
    <n v="0"/>
    <n v="0"/>
    <n v="0"/>
    <n v="0"/>
    <n v="0"/>
    <n v="0"/>
    <x v="0"/>
    <n v="0"/>
    <s v="MMR001CMP013"/>
    <x v="1"/>
    <x v="1"/>
    <x v="1"/>
    <n v="0"/>
    <m/>
    <m/>
  </r>
  <r>
    <n v="19.7"/>
    <d v="2014-05-20T00:00:00"/>
    <x v="3"/>
    <s v="MRCS"/>
    <s v="Kachin"/>
    <s v="Myitkyina"/>
    <s v="Le Kone Bethlehem Church"/>
    <m/>
    <m/>
    <m/>
    <m/>
    <m/>
    <m/>
    <m/>
    <m/>
    <m/>
    <m/>
    <m/>
    <m/>
    <m/>
    <n v="188"/>
    <m/>
    <m/>
    <m/>
    <n v="0"/>
    <n v="0"/>
    <n v="0"/>
    <n v="0"/>
    <n v="0"/>
    <n v="0"/>
    <n v="0"/>
    <n v="0"/>
    <n v="0"/>
    <n v="0"/>
    <n v="0"/>
    <n v="0"/>
    <n v="0"/>
    <n v="0"/>
    <x v="0"/>
    <n v="0"/>
    <s v="MMR001CMP015"/>
    <x v="1"/>
    <x v="1"/>
    <x v="1"/>
    <n v="0"/>
    <m/>
    <m/>
  </r>
  <r>
    <n v="19.7"/>
    <d v="2014-05-20T00:00:00"/>
    <x v="3"/>
    <s v="MRCS"/>
    <s v="Kachin"/>
    <s v="Myitkyina"/>
    <s v="Le Kone Ziun Baptist Church "/>
    <m/>
    <m/>
    <m/>
    <m/>
    <m/>
    <m/>
    <m/>
    <m/>
    <m/>
    <m/>
    <m/>
    <m/>
    <m/>
    <n v="278"/>
    <m/>
    <m/>
    <m/>
    <n v="0"/>
    <n v="0"/>
    <n v="0"/>
    <n v="0"/>
    <n v="0"/>
    <n v="0"/>
    <n v="0"/>
    <n v="0"/>
    <n v="0"/>
    <n v="0"/>
    <n v="0"/>
    <n v="0"/>
    <n v="0"/>
    <n v="0"/>
    <x v="0"/>
    <n v="0"/>
    <s v="MMR001CMP014"/>
    <x v="1"/>
    <x v="1"/>
    <x v="1"/>
    <n v="0"/>
    <m/>
    <m/>
  </r>
  <r>
    <n v="19.7"/>
    <d v="2014-05-20T00:00:00"/>
    <x v="3"/>
    <s v="MRCS"/>
    <s v="Kachin"/>
    <s v="Waingmaw"/>
    <s v="Maina KBC (Bawng Ring)"/>
    <m/>
    <m/>
    <m/>
    <m/>
    <m/>
    <m/>
    <m/>
    <m/>
    <m/>
    <m/>
    <m/>
    <m/>
    <m/>
    <n v="824"/>
    <m/>
    <m/>
    <m/>
    <n v="0"/>
    <n v="0"/>
    <n v="0"/>
    <n v="0"/>
    <n v="0"/>
    <n v="0"/>
    <n v="0"/>
    <n v="0"/>
    <n v="0"/>
    <n v="0"/>
    <n v="0"/>
    <n v="0"/>
    <n v="0"/>
    <n v="0"/>
    <x v="0"/>
    <n v="0"/>
    <s v="MMR001CMP040"/>
    <x v="1"/>
    <x v="1"/>
    <x v="1"/>
    <n v="0"/>
    <m/>
    <m/>
  </r>
  <r>
    <n v="19.7"/>
    <d v="2014-05-20T00:00:00"/>
    <x v="3"/>
    <s v="MRCS"/>
    <s v="Kachin"/>
    <s v="Myitkyina"/>
    <s v="Maliyang Baptist Church"/>
    <m/>
    <m/>
    <m/>
    <m/>
    <m/>
    <m/>
    <m/>
    <m/>
    <m/>
    <m/>
    <m/>
    <m/>
    <m/>
    <n v="142"/>
    <m/>
    <m/>
    <m/>
    <n v="0"/>
    <n v="0"/>
    <n v="0"/>
    <n v="0"/>
    <n v="0"/>
    <n v="0"/>
    <n v="0"/>
    <n v="0"/>
    <n v="0"/>
    <n v="0"/>
    <n v="0"/>
    <n v="0"/>
    <n v="0"/>
    <n v="0"/>
    <x v="0"/>
    <n v="0"/>
    <s v="MMR001CMP016"/>
    <x v="1"/>
    <x v="1"/>
    <x v="1"/>
    <n v="0"/>
    <m/>
    <m/>
  </r>
  <r>
    <n v="19.733333333333334"/>
    <d v="2014-05-19T00:00:00"/>
    <x v="3"/>
    <s v="MRCS"/>
    <s v="Kachin"/>
    <s v="Waingmaw"/>
    <s v="Maina AG Church"/>
    <m/>
    <m/>
    <m/>
    <m/>
    <m/>
    <m/>
    <m/>
    <m/>
    <m/>
    <m/>
    <m/>
    <m/>
    <m/>
    <n v="224"/>
    <m/>
    <m/>
    <m/>
    <n v="0"/>
    <n v="0"/>
    <n v="0"/>
    <n v="0"/>
    <n v="0"/>
    <n v="0"/>
    <n v="0"/>
    <n v="0"/>
    <n v="0"/>
    <n v="0"/>
    <n v="0"/>
    <n v="0"/>
    <n v="0"/>
    <n v="0"/>
    <x v="0"/>
    <n v="0"/>
    <s v="MMR001CMP031"/>
    <x v="1"/>
    <x v="1"/>
    <x v="1"/>
    <n v="0"/>
    <m/>
    <m/>
  </r>
  <r>
    <n v="19.733333333333334"/>
    <d v="2014-05-19T00:00:00"/>
    <x v="3"/>
    <s v="MRCS"/>
    <s v="Kachin"/>
    <s v="Waingmaw"/>
    <s v="Maina Lawang Baptist Church"/>
    <m/>
    <m/>
    <m/>
    <m/>
    <m/>
    <m/>
    <m/>
    <m/>
    <m/>
    <m/>
    <m/>
    <m/>
    <m/>
    <n v="230"/>
    <m/>
    <m/>
    <m/>
    <n v="0"/>
    <n v="0"/>
    <n v="0"/>
    <n v="0"/>
    <n v="0"/>
    <n v="0"/>
    <n v="0"/>
    <n v="0"/>
    <n v="0"/>
    <n v="0"/>
    <n v="0"/>
    <n v="0"/>
    <n v="0"/>
    <n v="0"/>
    <x v="0"/>
    <n v="0"/>
    <s v="MMR001CMP039"/>
    <x v="1"/>
    <x v="1"/>
    <x v="1"/>
    <n v="0"/>
    <m/>
    <m/>
  </r>
  <r>
    <n v="19.733333333333334"/>
    <d v="2014-05-19T00:00:00"/>
    <x v="3"/>
    <s v="MRCS"/>
    <s v="Kachin"/>
    <s v="Waingmaw"/>
    <s v="Qtr. 3 Mu-yin  Baptist Church"/>
    <m/>
    <m/>
    <m/>
    <m/>
    <m/>
    <m/>
    <m/>
    <m/>
    <m/>
    <m/>
    <m/>
    <m/>
    <m/>
    <n v="60"/>
    <m/>
    <m/>
    <m/>
    <n v="0"/>
    <n v="0"/>
    <n v="0"/>
    <n v="0"/>
    <n v="0"/>
    <n v="0"/>
    <n v="0"/>
    <n v="0"/>
    <n v="0"/>
    <n v="0"/>
    <n v="0"/>
    <n v="0"/>
    <n v="0"/>
    <n v="0"/>
    <x v="0"/>
    <n v="0"/>
    <s v="MMR001CMP030"/>
    <x v="1"/>
    <x v="1"/>
    <x v="1"/>
    <n v="0"/>
    <m/>
    <m/>
  </r>
  <r>
    <n v="19.833333333333332"/>
    <d v="2014-05-16T00:00:00"/>
    <x v="3"/>
    <s v="MRCS"/>
    <s v="Kachin"/>
    <s v="Waingmaw"/>
    <s v="Maina Catholic Church (St. Joseph)"/>
    <m/>
    <m/>
    <m/>
    <m/>
    <m/>
    <m/>
    <m/>
    <m/>
    <m/>
    <m/>
    <m/>
    <m/>
    <m/>
    <n v="470"/>
    <m/>
    <m/>
    <m/>
    <n v="0"/>
    <n v="0"/>
    <n v="0"/>
    <n v="0"/>
    <n v="0"/>
    <n v="0"/>
    <n v="0"/>
    <n v="0"/>
    <n v="0"/>
    <n v="0"/>
    <n v="0"/>
    <n v="0"/>
    <n v="0"/>
    <n v="0"/>
    <x v="0"/>
    <n v="0"/>
    <s v="MMR001CMP029"/>
    <x v="1"/>
    <x v="1"/>
    <x v="1"/>
    <n v="0"/>
    <m/>
    <m/>
  </r>
  <r>
    <n v="19.833333333333332"/>
    <d v="2014-05-16T00:00:00"/>
    <x v="0"/>
    <s v="UNHCR"/>
    <s v="Kachin"/>
    <s v="Bhamo"/>
    <s v="Mu-yin Baptist Church"/>
    <m/>
    <m/>
    <m/>
    <n v="10"/>
    <n v="4"/>
    <n v="10"/>
    <n v="4"/>
    <n v="4"/>
    <n v="4"/>
    <n v="18"/>
    <m/>
    <m/>
    <m/>
    <m/>
    <m/>
    <m/>
    <m/>
    <n v="0"/>
    <n v="0"/>
    <n v="0"/>
    <n v="0"/>
    <n v="0"/>
    <n v="0"/>
    <n v="0"/>
    <n v="0"/>
    <n v="0"/>
    <n v="0"/>
    <n v="0"/>
    <n v="0"/>
    <n v="0"/>
    <n v="0"/>
    <x v="1"/>
    <n v="0"/>
    <s v="MMR001CMP051"/>
    <x v="1"/>
    <x v="1"/>
    <x v="1"/>
    <n v="0.17391304347826086"/>
    <s v="No"/>
    <m/>
  </r>
  <r>
    <n v="19.833333333333332"/>
    <d v="2014-05-16T00:00:00"/>
    <x v="3"/>
    <s v="MRCS"/>
    <s v="Kachin"/>
    <s v="Myitkyina"/>
    <s v="Nan Kway St. John Catholic Church"/>
    <m/>
    <m/>
    <m/>
    <m/>
    <m/>
    <m/>
    <m/>
    <m/>
    <m/>
    <m/>
    <m/>
    <m/>
    <m/>
    <n v="142"/>
    <m/>
    <m/>
    <m/>
    <n v="0"/>
    <n v="0"/>
    <n v="0"/>
    <n v="0"/>
    <n v="0"/>
    <n v="0"/>
    <n v="0"/>
    <n v="0"/>
    <n v="0"/>
    <n v="0"/>
    <n v="0"/>
    <n v="0"/>
    <n v="0"/>
    <n v="0"/>
    <x v="0"/>
    <n v="0"/>
    <s v="MMR001CMP024"/>
    <x v="1"/>
    <x v="1"/>
    <x v="1"/>
    <n v="0"/>
    <m/>
    <m/>
  </r>
  <r>
    <n v="19.833333333333332"/>
    <d v="2014-05-16T00:00:00"/>
    <x v="0"/>
    <s v="UNHCR"/>
    <s v="Kachin"/>
    <s v="Bhamo"/>
    <s v="Ta Gun Taing Monastery (Shwe Kyi Na)"/>
    <m/>
    <m/>
    <m/>
    <n v="24"/>
    <n v="13"/>
    <n v="24"/>
    <n v="13"/>
    <n v="13"/>
    <n v="13"/>
    <n v="33"/>
    <m/>
    <m/>
    <m/>
    <m/>
    <m/>
    <m/>
    <m/>
    <n v="0"/>
    <n v="0"/>
    <n v="0"/>
    <n v="0"/>
    <n v="0"/>
    <n v="0"/>
    <n v="0"/>
    <n v="0"/>
    <n v="0"/>
    <n v="0"/>
    <n v="0"/>
    <n v="0"/>
    <n v="0"/>
    <n v="0"/>
    <x v="1"/>
    <n v="0"/>
    <s v="MMR001CMP055"/>
    <x v="1"/>
    <x v="1"/>
    <x v="1"/>
    <n v="0.52"/>
    <s v="No"/>
    <m/>
  </r>
  <r>
    <n v="19.866666666666667"/>
    <d v="2014-05-15T00:00:00"/>
    <x v="0"/>
    <s v="UNHCR"/>
    <s v="Kachin"/>
    <s v="Mansi"/>
    <s v="Maing Khaung"/>
    <m/>
    <m/>
    <n v="10"/>
    <n v="10"/>
    <n v="5"/>
    <n v="15"/>
    <n v="5"/>
    <n v="5"/>
    <n v="5"/>
    <n v="20"/>
    <m/>
    <m/>
    <m/>
    <m/>
    <m/>
    <m/>
    <m/>
    <n v="0"/>
    <n v="0"/>
    <n v="0"/>
    <n v="0"/>
    <n v="0"/>
    <n v="0"/>
    <n v="0"/>
    <n v="0"/>
    <n v="0"/>
    <n v="0"/>
    <n v="0"/>
    <n v="0"/>
    <n v="0"/>
    <n v="0"/>
    <x v="1"/>
    <n v="0"/>
    <s v="MMR001CMP218"/>
    <x v="1"/>
    <x v="1"/>
    <x v="1"/>
    <n v="1.3440860215053764E-2"/>
    <s v="No"/>
    <m/>
  </r>
  <r>
    <n v="19.866666666666667"/>
    <d v="2014-05-15T00:00:00"/>
    <x v="0"/>
    <s v="UNHCR"/>
    <s v="Kachin"/>
    <s v="Bhamo"/>
    <s v="AD-2000 Tharthana Compound"/>
    <m/>
    <m/>
    <m/>
    <n v="10"/>
    <n v="4"/>
    <n v="12"/>
    <n v="4"/>
    <n v="4"/>
    <n v="4"/>
    <n v="12"/>
    <m/>
    <m/>
    <m/>
    <m/>
    <m/>
    <m/>
    <m/>
    <n v="0"/>
    <n v="0"/>
    <n v="0"/>
    <n v="0"/>
    <n v="0"/>
    <n v="0"/>
    <n v="0"/>
    <n v="0"/>
    <n v="0"/>
    <n v="0"/>
    <n v="0"/>
    <n v="0"/>
    <n v="0"/>
    <n v="0"/>
    <x v="1"/>
    <n v="0"/>
    <s v="MMR001CMP050"/>
    <x v="1"/>
    <x v="1"/>
    <x v="1"/>
    <n v="1.4598540145985401E-2"/>
    <s v="No"/>
    <m/>
  </r>
  <r>
    <n v="19.899999999999999"/>
    <d v="2014-05-14T00:00:00"/>
    <x v="0"/>
    <s v="UNHCR"/>
    <s v="Kachin"/>
    <s v="Bhamo"/>
    <s v="AD-2000 Tharthana Compound"/>
    <m/>
    <m/>
    <n v="11"/>
    <n v="12"/>
    <n v="4"/>
    <n v="12"/>
    <n v="4"/>
    <n v="4"/>
    <n v="4"/>
    <n v="15"/>
    <m/>
    <m/>
    <m/>
    <m/>
    <m/>
    <m/>
    <m/>
    <n v="0"/>
    <n v="0"/>
    <n v="0"/>
    <n v="0"/>
    <n v="0"/>
    <n v="0"/>
    <n v="0"/>
    <n v="0"/>
    <n v="0"/>
    <n v="0"/>
    <n v="0"/>
    <n v="0"/>
    <n v="0"/>
    <n v="0"/>
    <x v="1"/>
    <n v="0"/>
    <s v="MMR001CMP050"/>
    <x v="1"/>
    <x v="1"/>
    <x v="1"/>
    <n v="1.4598540145985401E-2"/>
    <s v="No"/>
    <m/>
  </r>
  <r>
    <n v="19.899999999999999"/>
    <d v="2014-05-14T00:00:00"/>
    <x v="0"/>
    <s v="UNHCR"/>
    <s v="Kachin"/>
    <s v="Momauk"/>
    <s v="Momauk Baptist Church"/>
    <m/>
    <m/>
    <n v="5"/>
    <n v="6"/>
    <n v="32"/>
    <n v="6"/>
    <n v="2"/>
    <n v="2"/>
    <n v="2"/>
    <n v="10"/>
    <m/>
    <m/>
    <m/>
    <m/>
    <m/>
    <m/>
    <m/>
    <n v="0"/>
    <n v="0"/>
    <n v="0"/>
    <n v="0"/>
    <n v="0"/>
    <n v="0"/>
    <n v="0"/>
    <n v="0"/>
    <n v="0"/>
    <n v="0"/>
    <n v="0"/>
    <n v="0"/>
    <n v="0"/>
    <n v="0"/>
    <x v="1"/>
    <n v="0"/>
    <s v="MMR001CMP056"/>
    <x v="1"/>
    <x v="1"/>
    <x v="1"/>
    <n v="9.6618357487922701E-3"/>
    <s v="No"/>
    <m/>
  </r>
  <r>
    <n v="19.899999999999999"/>
    <d v="2014-05-14T00:00:00"/>
    <x v="0"/>
    <s v="UNHCR"/>
    <s v="Kachin"/>
    <s v="Bhamo"/>
    <s v="Ta Gun Taing Monastery (Shwe Kyi Na)"/>
    <m/>
    <m/>
    <n v="17"/>
    <n v="108"/>
    <n v="36"/>
    <n v="108"/>
    <n v="36"/>
    <n v="36"/>
    <n v="36"/>
    <n v="142"/>
    <m/>
    <m/>
    <m/>
    <m/>
    <m/>
    <m/>
    <m/>
    <n v="0"/>
    <n v="0"/>
    <n v="0"/>
    <n v="0"/>
    <n v="0"/>
    <n v="0"/>
    <n v="0"/>
    <n v="0"/>
    <n v="0"/>
    <n v="0"/>
    <n v="0"/>
    <n v="0"/>
    <n v="0"/>
    <n v="0"/>
    <x v="1"/>
    <n v="0"/>
    <s v="MMR001CMP055"/>
    <x v="1"/>
    <x v="1"/>
    <x v="1"/>
    <n v="1.44"/>
    <s v="No"/>
    <m/>
  </r>
  <r>
    <n v="19.933333333333334"/>
    <d v="2014-05-13T00:00:00"/>
    <x v="3"/>
    <s v="MRCS"/>
    <s v="Kachin"/>
    <s v="Myitkyina"/>
    <s v="Njang Dung Baptist Church "/>
    <m/>
    <m/>
    <m/>
    <m/>
    <m/>
    <m/>
    <m/>
    <m/>
    <m/>
    <m/>
    <m/>
    <m/>
    <m/>
    <n v="112"/>
    <m/>
    <m/>
    <m/>
    <n v="0"/>
    <n v="0"/>
    <n v="0"/>
    <n v="0"/>
    <n v="0"/>
    <n v="0"/>
    <n v="0"/>
    <n v="0"/>
    <n v="0"/>
    <n v="0"/>
    <n v="0"/>
    <n v="0"/>
    <n v="0"/>
    <n v="0"/>
    <x v="0"/>
    <n v="0"/>
    <s v="MMR001CMP002"/>
    <x v="1"/>
    <x v="1"/>
    <x v="1"/>
    <n v="0"/>
    <m/>
    <m/>
  </r>
  <r>
    <n v="19.966666666666665"/>
    <d v="2014-05-12T00:00:00"/>
    <x v="3"/>
    <s v="MRCS"/>
    <s v="Kachin"/>
    <s v="Myitkyina"/>
    <s v="Shwe Zet Baptist Church"/>
    <m/>
    <m/>
    <m/>
    <m/>
    <m/>
    <m/>
    <m/>
    <m/>
    <m/>
    <m/>
    <m/>
    <m/>
    <m/>
    <n v="168"/>
    <m/>
    <m/>
    <m/>
    <n v="0"/>
    <n v="0"/>
    <n v="0"/>
    <n v="0"/>
    <n v="0"/>
    <n v="0"/>
    <n v="0"/>
    <n v="0"/>
    <n v="0"/>
    <n v="0"/>
    <n v="0"/>
    <n v="0"/>
    <n v="0"/>
    <n v="0"/>
    <x v="0"/>
    <n v="0"/>
    <s v="MMR001CMP009"/>
    <x v="1"/>
    <x v="1"/>
    <x v="1"/>
    <n v="0"/>
    <m/>
    <m/>
  </r>
  <r>
    <n v="19.966666666666665"/>
    <d v="2014-05-12T00:00:00"/>
    <x v="0"/>
    <m/>
    <s v="Shan_North"/>
    <s v="Muse"/>
    <s v="Muse Catholic Church"/>
    <m/>
    <m/>
    <m/>
    <n v="68"/>
    <n v="9"/>
    <n v="118"/>
    <n v="9"/>
    <n v="0"/>
    <n v="9"/>
    <n v="45"/>
    <m/>
    <m/>
    <m/>
    <m/>
    <m/>
    <m/>
    <m/>
    <n v="0"/>
    <n v="0"/>
    <n v="0"/>
    <n v="0"/>
    <n v="0"/>
    <n v="0"/>
    <n v="0"/>
    <n v="0"/>
    <n v="0"/>
    <n v="0"/>
    <n v="0"/>
    <n v="0"/>
    <n v="0"/>
    <n v="0"/>
    <x v="1"/>
    <n v="0"/>
    <s v="MMR015CMP216"/>
    <x v="2"/>
    <x v="1"/>
    <x v="1"/>
    <n v="0.34615384615384615"/>
    <m/>
    <s v="Items distributed to other affected people"/>
  </r>
  <r>
    <n v="19.966666666666665"/>
    <d v="2014-05-12T00:00:00"/>
    <x v="0"/>
    <m/>
    <s v="Shan_North"/>
    <s v="Muse"/>
    <s v="Muse Catholic Church"/>
    <m/>
    <m/>
    <m/>
    <n v="82"/>
    <n v="41"/>
    <n v="82"/>
    <n v="41"/>
    <m/>
    <n v="41"/>
    <n v="205"/>
    <m/>
    <m/>
    <m/>
    <m/>
    <m/>
    <m/>
    <m/>
    <n v="0"/>
    <n v="0"/>
    <n v="0"/>
    <n v="0"/>
    <n v="0"/>
    <n v="0"/>
    <n v="0"/>
    <n v="0"/>
    <n v="0"/>
    <n v="0"/>
    <n v="0"/>
    <n v="0"/>
    <n v="0"/>
    <n v="0"/>
    <x v="1"/>
    <n v="0"/>
    <s v="MMR015CMP216"/>
    <x v="2"/>
    <x v="1"/>
    <x v="1"/>
    <n v="1.5769230769230769"/>
    <m/>
    <m/>
  </r>
  <r>
    <n v="19.966666666666665"/>
    <d v="2014-05-12T00:00:00"/>
    <x v="3"/>
    <s v="MRCS"/>
    <s v="Kachin"/>
    <s v="Myitkyina"/>
    <s v="Man Hkring Baptist Church"/>
    <m/>
    <m/>
    <m/>
    <m/>
    <m/>
    <m/>
    <m/>
    <m/>
    <m/>
    <m/>
    <m/>
    <m/>
    <m/>
    <n v="184"/>
    <m/>
    <m/>
    <m/>
    <n v="0"/>
    <n v="0"/>
    <n v="0"/>
    <n v="0"/>
    <n v="0"/>
    <n v="0"/>
    <n v="0"/>
    <n v="0"/>
    <n v="0"/>
    <n v="0"/>
    <n v="0"/>
    <n v="0"/>
    <n v="0"/>
    <n v="0"/>
    <x v="0"/>
    <n v="0"/>
    <s v="MMR001CMP008"/>
    <x v="1"/>
    <x v="1"/>
    <x v="1"/>
    <n v="0"/>
    <m/>
    <m/>
  </r>
  <r>
    <n v="20"/>
    <d v="2014-05-11T00:00:00"/>
    <x v="0"/>
    <m/>
    <s v="Shan_North"/>
    <s v="Muse"/>
    <s v="Muse Baptist Church"/>
    <m/>
    <m/>
    <m/>
    <n v="138"/>
    <n v="19"/>
    <n v="238"/>
    <n v="19"/>
    <n v="0"/>
    <n v="19"/>
    <n v="95"/>
    <m/>
    <m/>
    <m/>
    <m/>
    <m/>
    <m/>
    <m/>
    <n v="0"/>
    <n v="0"/>
    <n v="0"/>
    <n v="0"/>
    <n v="0"/>
    <n v="0"/>
    <n v="0"/>
    <n v="0"/>
    <n v="0"/>
    <n v="0"/>
    <n v="0"/>
    <n v="0"/>
    <n v="0"/>
    <n v="0"/>
    <x v="1"/>
    <n v="0"/>
    <s v="MMR015CMP213"/>
    <x v="2"/>
    <x v="1"/>
    <x v="1"/>
    <n v="0.34545454545454546"/>
    <m/>
    <s v="Items distributed to other affected people"/>
  </r>
  <r>
    <n v="20"/>
    <d v="2014-05-11T00:00:00"/>
    <x v="0"/>
    <m/>
    <s v="Shan_North"/>
    <s v="Muse"/>
    <s v="Muse Baptist Church"/>
    <m/>
    <m/>
    <m/>
    <n v="162"/>
    <n v="81"/>
    <n v="162"/>
    <n v="81"/>
    <m/>
    <n v="81"/>
    <n v="405"/>
    <m/>
    <m/>
    <m/>
    <m/>
    <m/>
    <m/>
    <m/>
    <n v="0"/>
    <n v="0"/>
    <n v="0"/>
    <n v="0"/>
    <n v="0"/>
    <n v="0"/>
    <n v="0"/>
    <n v="0"/>
    <n v="0"/>
    <n v="0"/>
    <n v="0"/>
    <n v="0"/>
    <n v="0"/>
    <n v="0"/>
    <x v="1"/>
    <n v="0"/>
    <s v="MMR015CMP213"/>
    <x v="2"/>
    <x v="1"/>
    <x v="1"/>
    <n v="1.4727272727272727"/>
    <m/>
    <m/>
  </r>
  <r>
    <n v="20.066666666666666"/>
    <d v="2014-05-09T00:00:00"/>
    <x v="3"/>
    <s v="MRCS"/>
    <s v="Kachin"/>
    <s v="Myitkyina"/>
    <s v="Pa Dauk Myaing(Pa La Na)"/>
    <m/>
    <m/>
    <m/>
    <m/>
    <m/>
    <m/>
    <m/>
    <m/>
    <m/>
    <m/>
    <m/>
    <m/>
    <m/>
    <n v="58"/>
    <m/>
    <m/>
    <m/>
    <n v="0"/>
    <n v="0"/>
    <n v="0"/>
    <n v="0"/>
    <n v="0"/>
    <n v="0"/>
    <n v="0"/>
    <n v="0"/>
    <n v="0"/>
    <n v="0"/>
    <n v="0"/>
    <n v="0"/>
    <n v="0"/>
    <n v="0"/>
    <x v="0"/>
    <n v="0"/>
    <s v="MMR001CMP162"/>
    <x v="1"/>
    <x v="1"/>
    <x v="1"/>
    <n v="0"/>
    <m/>
    <m/>
  </r>
  <r>
    <n v="20.066666666666666"/>
    <d v="2014-05-09T00:00:00"/>
    <x v="3"/>
    <s v="MRCS"/>
    <s v="Kachin"/>
    <s v="Myitkyina"/>
    <s v="Shatapru Sut Ngai Tawng"/>
    <m/>
    <m/>
    <m/>
    <m/>
    <m/>
    <m/>
    <m/>
    <m/>
    <m/>
    <m/>
    <m/>
    <m/>
    <m/>
    <n v="208"/>
    <m/>
    <m/>
    <m/>
    <n v="0"/>
    <n v="0"/>
    <n v="0"/>
    <n v="0"/>
    <n v="0"/>
    <n v="0"/>
    <n v="0"/>
    <n v="0"/>
    <n v="0"/>
    <n v="0"/>
    <n v="0"/>
    <n v="0"/>
    <n v="0"/>
    <n v="0"/>
    <x v="0"/>
    <n v="0"/>
    <s v="MMR001CMP006"/>
    <x v="1"/>
    <x v="1"/>
    <x v="1"/>
    <n v="0"/>
    <m/>
    <m/>
  </r>
  <r>
    <n v="20.666666666666668"/>
    <d v="2014-04-21T00:00:00"/>
    <x v="0"/>
    <m/>
    <s v="Shan_North"/>
    <s v="Namhkan"/>
    <s v="Nam Hkam (KBC Jaw Wang) II"/>
    <m/>
    <m/>
    <m/>
    <n v="0"/>
    <n v="1"/>
    <n v="167"/>
    <n v="1"/>
    <n v="0"/>
    <n v="1"/>
    <n v="0"/>
    <m/>
    <m/>
    <m/>
    <m/>
    <m/>
    <m/>
    <m/>
    <n v="0"/>
    <n v="0"/>
    <n v="0"/>
    <n v="0"/>
    <n v="0"/>
    <n v="0"/>
    <n v="0"/>
    <n v="0"/>
    <n v="0"/>
    <n v="0"/>
    <n v="0"/>
    <n v="0"/>
    <n v="0"/>
    <n v="0"/>
    <x v="1"/>
    <n v="0"/>
    <s v="MMR015CMP214"/>
    <x v="2"/>
    <x v="1"/>
    <x v="1"/>
    <n v="2.4390243902439025E-2"/>
    <m/>
    <s v="Items distributed to other affected people"/>
  </r>
  <r>
    <n v="20.666666666666668"/>
    <d v="2014-04-21T00:00:00"/>
    <x v="0"/>
    <m/>
    <s v="Shan_North"/>
    <s v="Namhkan"/>
    <s v="Nam Hkam (KBC Jaw Wang) II"/>
    <m/>
    <m/>
    <m/>
    <n v="90"/>
    <n v="49"/>
    <n v="98"/>
    <n v="49"/>
    <m/>
    <n v="49"/>
    <n v="225"/>
    <m/>
    <m/>
    <m/>
    <m/>
    <m/>
    <m/>
    <m/>
    <n v="0"/>
    <n v="0"/>
    <n v="0"/>
    <n v="0"/>
    <n v="0"/>
    <n v="0"/>
    <n v="0"/>
    <n v="0"/>
    <n v="0"/>
    <n v="0"/>
    <n v="0"/>
    <n v="0"/>
    <n v="0"/>
    <n v="0"/>
    <x v="1"/>
    <n v="0"/>
    <s v="MMR015CMP214"/>
    <x v="2"/>
    <x v="1"/>
    <x v="1"/>
    <n v="1.1951219512195121"/>
    <m/>
    <m/>
  </r>
  <r>
    <n v="20.666666666666668"/>
    <d v="2014-04-21T00:00:00"/>
    <x v="0"/>
    <s v="UNHCR"/>
    <s v="Kachin"/>
    <s v="Bhamo"/>
    <s v="AD-2000 Tharthana Compound"/>
    <m/>
    <m/>
    <n v="5"/>
    <n v="6"/>
    <n v="2"/>
    <n v="6"/>
    <n v="2"/>
    <n v="2"/>
    <n v="2"/>
    <n v="6"/>
    <m/>
    <m/>
    <m/>
    <m/>
    <m/>
    <m/>
    <m/>
    <n v="0"/>
    <n v="0"/>
    <n v="0"/>
    <n v="0"/>
    <n v="0"/>
    <n v="0"/>
    <n v="0"/>
    <n v="0"/>
    <n v="0"/>
    <n v="0"/>
    <n v="0"/>
    <n v="0"/>
    <n v="0"/>
    <n v="0"/>
    <x v="1"/>
    <n v="0"/>
    <s v="MMR001CMP050"/>
    <x v="1"/>
    <x v="1"/>
    <x v="1"/>
    <n v="7.2992700729927005E-3"/>
    <s v="No"/>
    <m/>
  </r>
  <r>
    <n v="20.666666666666668"/>
    <d v="2014-04-21T00:00:00"/>
    <x v="0"/>
    <m/>
    <s v="Kachin"/>
    <s v="Mansi"/>
    <s v="Bum Tsit Pa Camp II"/>
    <m/>
    <m/>
    <m/>
    <n v="800"/>
    <n v="400"/>
    <m/>
    <n v="100"/>
    <m/>
    <n v="400"/>
    <n v="2000"/>
    <m/>
    <m/>
    <m/>
    <m/>
    <m/>
    <m/>
    <m/>
    <n v="0"/>
    <n v="0"/>
    <n v="0"/>
    <n v="0"/>
    <n v="0"/>
    <n v="0"/>
    <n v="0"/>
    <n v="0"/>
    <n v="0"/>
    <n v="0"/>
    <n v="0"/>
    <n v="0"/>
    <n v="0"/>
    <n v="0"/>
    <x v="1"/>
    <n v="0"/>
    <s v="MMR001CMP226"/>
    <x v="1"/>
    <x v="1"/>
    <x v="4"/>
    <n v="0.45662100456621002"/>
    <m/>
    <m/>
  </r>
  <r>
    <n v="20.666666666666668"/>
    <d v="2014-04-21T00:00:00"/>
    <x v="0"/>
    <s v="UNHCR"/>
    <s v="Kachin"/>
    <s v="Mansi"/>
    <s v="Mansi Baptist Church"/>
    <m/>
    <m/>
    <n v="20"/>
    <n v="30"/>
    <n v="13"/>
    <n v="40"/>
    <n v="13"/>
    <n v="13"/>
    <n v="13"/>
    <n v="25"/>
    <m/>
    <m/>
    <m/>
    <m/>
    <m/>
    <m/>
    <m/>
    <n v="0"/>
    <n v="0"/>
    <n v="0"/>
    <n v="0"/>
    <n v="0"/>
    <n v="0"/>
    <n v="0"/>
    <n v="0"/>
    <n v="0"/>
    <n v="0"/>
    <n v="0"/>
    <n v="0"/>
    <n v="0"/>
    <n v="0"/>
    <x v="1"/>
    <n v="0"/>
    <s v="MMR001CMP066"/>
    <x v="1"/>
    <x v="1"/>
    <x v="1"/>
    <n v="5.8823529411764705E-2"/>
    <s v="No"/>
    <m/>
  </r>
  <r>
    <n v="20.666666666666668"/>
    <d v="2014-04-21T00:00:00"/>
    <x v="0"/>
    <s v="UNHCR"/>
    <s v="Kachin"/>
    <s v="Momauk"/>
    <s v="Momauk Baptist Church"/>
    <m/>
    <m/>
    <n v="15"/>
    <n v="16"/>
    <n v="50"/>
    <n v="16"/>
    <n v="7"/>
    <n v="7"/>
    <n v="7"/>
    <n v="13"/>
    <m/>
    <m/>
    <m/>
    <m/>
    <m/>
    <m/>
    <m/>
    <n v="0"/>
    <n v="0"/>
    <n v="0"/>
    <n v="0"/>
    <n v="0"/>
    <n v="0"/>
    <n v="0"/>
    <n v="0"/>
    <n v="0"/>
    <n v="0"/>
    <n v="0"/>
    <n v="0"/>
    <n v="0"/>
    <n v="0"/>
    <x v="1"/>
    <n v="0"/>
    <s v="MMR001CMP056"/>
    <x v="1"/>
    <x v="1"/>
    <x v="1"/>
    <n v="3.3816425120772944E-2"/>
    <s v="No"/>
    <m/>
  </r>
  <r>
    <n v="20.7"/>
    <d v="2014-04-20T00:00:00"/>
    <x v="0"/>
    <m/>
    <s v="Kachin"/>
    <s v="Mansi"/>
    <s v="Man Wing Baptist Church"/>
    <m/>
    <m/>
    <m/>
    <n v="220"/>
    <n v="110"/>
    <n v="1000"/>
    <n v="110"/>
    <m/>
    <n v="110"/>
    <n v="550"/>
    <m/>
    <m/>
    <m/>
    <m/>
    <m/>
    <m/>
    <m/>
    <n v="0"/>
    <n v="0"/>
    <n v="0"/>
    <n v="0"/>
    <n v="0"/>
    <n v="0"/>
    <n v="0"/>
    <n v="0"/>
    <n v="0"/>
    <n v="0"/>
    <n v="0"/>
    <n v="0"/>
    <n v="0"/>
    <n v="0"/>
    <x v="1"/>
    <n v="0"/>
    <s v="MMR001CMP133"/>
    <x v="1"/>
    <x v="1"/>
    <x v="1"/>
    <n v="0.96491228070175439"/>
    <m/>
    <m/>
  </r>
  <r>
    <n v="20.733333333333334"/>
    <d v="2014-04-19T00:00:00"/>
    <x v="0"/>
    <m/>
    <s v="Kachin"/>
    <s v="Mansi"/>
    <s v="Man Wing Catholic Church"/>
    <m/>
    <m/>
    <m/>
    <n v="400"/>
    <n v="190"/>
    <n v="870"/>
    <n v="190"/>
    <m/>
    <n v="190"/>
    <n v="1000"/>
    <m/>
    <m/>
    <m/>
    <m/>
    <m/>
    <m/>
    <m/>
    <n v="0"/>
    <n v="0"/>
    <n v="0"/>
    <n v="0"/>
    <n v="0"/>
    <n v="0"/>
    <n v="0"/>
    <n v="0"/>
    <n v="0"/>
    <n v="0"/>
    <n v="0"/>
    <n v="0"/>
    <n v="0"/>
    <n v="0"/>
    <x v="1"/>
    <n v="0"/>
    <s v="MMR001CMP132"/>
    <x v="1"/>
    <x v="1"/>
    <x v="1"/>
    <n v="0.41484716157205243"/>
    <m/>
    <m/>
  </r>
  <r>
    <n v="20.8"/>
    <d v="2014-04-17T00:00:00"/>
    <x v="0"/>
    <s v="UNHCR"/>
    <s v="Kachin"/>
    <s v="Momauk"/>
    <s v="Momauk Baptist Church"/>
    <m/>
    <m/>
    <m/>
    <n v="8"/>
    <n v="4"/>
    <n v="12"/>
    <n v="4"/>
    <n v="4"/>
    <n v="4"/>
    <n v="41"/>
    <m/>
    <m/>
    <m/>
    <m/>
    <m/>
    <m/>
    <m/>
    <n v="0"/>
    <n v="0"/>
    <n v="0"/>
    <n v="0"/>
    <n v="0"/>
    <n v="0"/>
    <n v="0"/>
    <n v="0"/>
    <n v="0"/>
    <n v="0"/>
    <n v="0"/>
    <n v="0"/>
    <n v="0"/>
    <n v="0"/>
    <x v="1"/>
    <n v="0"/>
    <s v="MMR001CMP056"/>
    <x v="1"/>
    <x v="1"/>
    <x v="1"/>
    <n v="1.932367149758454E-2"/>
    <s v="No"/>
    <m/>
  </r>
  <r>
    <n v="20.9"/>
    <d v="2014-04-14T00:00:00"/>
    <x v="0"/>
    <s v="UNHCR"/>
    <s v="Kachin"/>
    <s v="Momauk"/>
    <s v="Momauk Baptist Church"/>
    <m/>
    <m/>
    <m/>
    <n v="10"/>
    <n v="5"/>
    <n v="15"/>
    <n v="5"/>
    <n v="5"/>
    <n v="5"/>
    <m/>
    <m/>
    <m/>
    <m/>
    <m/>
    <m/>
    <m/>
    <m/>
    <n v="0"/>
    <n v="0"/>
    <n v="0"/>
    <n v="0"/>
    <n v="0"/>
    <n v="0"/>
    <n v="0"/>
    <n v="0"/>
    <n v="0"/>
    <n v="0"/>
    <n v="0"/>
    <n v="0"/>
    <n v="0"/>
    <n v="0"/>
    <x v="1"/>
    <n v="0"/>
    <s v="MMR001CMP056"/>
    <x v="1"/>
    <x v="1"/>
    <x v="1"/>
    <n v="2.4154589371980676E-2"/>
    <s v="No"/>
    <m/>
  </r>
  <r>
    <n v="21.066666666666666"/>
    <d v="2014-04-09T00:00:00"/>
    <x v="3"/>
    <s v="MRCS"/>
    <s v="Kachin"/>
    <s v="Bhamo"/>
    <s v="Yoe Kyi Monastery"/>
    <m/>
    <m/>
    <m/>
    <m/>
    <m/>
    <m/>
    <m/>
    <m/>
    <m/>
    <m/>
    <m/>
    <m/>
    <m/>
    <n v="42"/>
    <m/>
    <m/>
    <m/>
    <n v="0"/>
    <n v="0"/>
    <n v="0"/>
    <n v="0"/>
    <n v="0"/>
    <n v="0"/>
    <n v="0"/>
    <n v="0"/>
    <n v="0"/>
    <n v="0"/>
    <n v="0"/>
    <n v="0"/>
    <n v="0"/>
    <n v="0"/>
    <x v="0"/>
    <n v="0"/>
    <s v="MMR001CMP053"/>
    <x v="1"/>
    <x v="1"/>
    <x v="1"/>
    <n v="0"/>
    <m/>
    <m/>
  </r>
  <r>
    <n v="21.066666666666666"/>
    <d v="2014-04-09T00:00:00"/>
    <x v="3"/>
    <s v="MRCS"/>
    <s v="Kachin"/>
    <s v="Bhamo"/>
    <s v="Ta Gun Taing Monastery (Shwe Kyi Na)"/>
    <m/>
    <m/>
    <m/>
    <m/>
    <m/>
    <m/>
    <m/>
    <m/>
    <m/>
    <m/>
    <m/>
    <m/>
    <m/>
    <n v="122"/>
    <m/>
    <m/>
    <m/>
    <n v="0"/>
    <n v="0"/>
    <n v="0"/>
    <n v="0"/>
    <n v="0"/>
    <n v="0"/>
    <n v="0"/>
    <n v="0"/>
    <n v="0"/>
    <n v="0"/>
    <n v="0"/>
    <n v="0"/>
    <n v="0"/>
    <n v="0"/>
    <x v="0"/>
    <n v="0"/>
    <s v="MMR001CMP055"/>
    <x v="1"/>
    <x v="1"/>
    <x v="1"/>
    <n v="0"/>
    <m/>
    <m/>
  </r>
  <r>
    <n v="21.1"/>
    <d v="2014-04-08T00:00:00"/>
    <x v="3"/>
    <s v="MRCS"/>
    <s v="Kachin"/>
    <s v="Bhamo"/>
    <s v="Htoi San Church"/>
    <m/>
    <m/>
    <m/>
    <m/>
    <m/>
    <m/>
    <m/>
    <m/>
    <m/>
    <m/>
    <m/>
    <m/>
    <m/>
    <n v="90"/>
    <m/>
    <m/>
    <m/>
    <n v="0"/>
    <n v="0"/>
    <n v="0"/>
    <n v="0"/>
    <n v="0"/>
    <n v="0"/>
    <n v="0"/>
    <n v="0"/>
    <n v="0"/>
    <n v="0"/>
    <n v="0"/>
    <n v="0"/>
    <n v="0"/>
    <n v="0"/>
    <x v="0"/>
    <n v="0"/>
    <s v="MMR001CMP052"/>
    <x v="1"/>
    <x v="1"/>
    <x v="1"/>
    <n v="0"/>
    <m/>
    <m/>
  </r>
  <r>
    <n v="21.1"/>
    <d v="2014-04-08T00:00:00"/>
    <x v="3"/>
    <s v="MRCS"/>
    <s v="Kachin"/>
    <s v="Momauk"/>
    <s v="Mandalay Monestry"/>
    <m/>
    <m/>
    <m/>
    <m/>
    <m/>
    <m/>
    <m/>
    <m/>
    <m/>
    <m/>
    <m/>
    <m/>
    <m/>
    <n v="10"/>
    <m/>
    <m/>
    <m/>
    <n v="0"/>
    <n v="0"/>
    <n v="0"/>
    <n v="0"/>
    <n v="0"/>
    <n v="0"/>
    <n v="0"/>
    <n v="0"/>
    <n v="0"/>
    <n v="0"/>
    <n v="0"/>
    <n v="0"/>
    <n v="0"/>
    <n v="0"/>
    <x v="0"/>
    <n v="0"/>
    <s v="MMR001CMP058"/>
    <x v="1"/>
    <x v="2"/>
    <x v="1"/>
    <s v=""/>
    <m/>
    <m/>
  </r>
  <r>
    <n v="21.1"/>
    <d v="2014-04-08T00:00:00"/>
    <x v="3"/>
    <s v="MRCS"/>
    <s v="Kachin"/>
    <s v="Momauk"/>
    <s v="Ni Thaw Ka Monestry"/>
    <m/>
    <m/>
    <m/>
    <m/>
    <m/>
    <m/>
    <m/>
    <m/>
    <m/>
    <m/>
    <m/>
    <m/>
    <m/>
    <n v="46"/>
    <m/>
    <m/>
    <m/>
    <n v="0"/>
    <n v="0"/>
    <n v="0"/>
    <n v="0"/>
    <n v="0"/>
    <n v="0"/>
    <n v="0"/>
    <n v="0"/>
    <n v="0"/>
    <n v="0"/>
    <n v="0"/>
    <n v="0"/>
    <n v="0"/>
    <n v="0"/>
    <x v="0"/>
    <n v="0"/>
    <s v="MMR001CMP059"/>
    <x v="1"/>
    <x v="1"/>
    <x v="1"/>
    <n v="0"/>
    <m/>
    <m/>
  </r>
  <r>
    <n v="21.1"/>
    <d v="2014-04-08T00:00:00"/>
    <x v="3"/>
    <s v="MRCS"/>
    <s v="Kachin"/>
    <s v="Bhamo"/>
    <s v="Phan Khar Kone"/>
    <m/>
    <m/>
    <m/>
    <m/>
    <m/>
    <m/>
    <m/>
    <m/>
    <m/>
    <m/>
    <m/>
    <m/>
    <m/>
    <n v="372"/>
    <m/>
    <m/>
    <m/>
    <n v="0"/>
    <n v="0"/>
    <n v="0"/>
    <n v="0"/>
    <n v="0"/>
    <n v="0"/>
    <n v="0"/>
    <n v="0"/>
    <n v="0"/>
    <n v="0"/>
    <n v="0"/>
    <n v="0"/>
    <n v="0"/>
    <n v="0"/>
    <x v="0"/>
    <n v="0"/>
    <s v="MMR001CMP193"/>
    <x v="1"/>
    <x v="1"/>
    <x v="1"/>
    <n v="0"/>
    <m/>
    <m/>
  </r>
  <r>
    <n v="21.133333333333333"/>
    <d v="2014-04-07T00:00:00"/>
    <x v="3"/>
    <s v="MRCS"/>
    <s v="Kachin"/>
    <s v="Mansi"/>
    <s v="Maing Khaung"/>
    <m/>
    <m/>
    <m/>
    <m/>
    <m/>
    <m/>
    <m/>
    <m/>
    <m/>
    <m/>
    <m/>
    <m/>
    <m/>
    <n v="478"/>
    <m/>
    <m/>
    <m/>
    <n v="0"/>
    <n v="0"/>
    <n v="0"/>
    <n v="0"/>
    <n v="0"/>
    <n v="0"/>
    <n v="0"/>
    <n v="0"/>
    <n v="0"/>
    <n v="0"/>
    <n v="0"/>
    <n v="0"/>
    <n v="0"/>
    <n v="0"/>
    <x v="0"/>
    <n v="0"/>
    <s v="MMR001CMP218"/>
    <x v="1"/>
    <x v="1"/>
    <x v="1"/>
    <n v="0"/>
    <m/>
    <m/>
  </r>
  <r>
    <n v="21.133333333333333"/>
    <d v="2014-04-07T00:00:00"/>
    <x v="3"/>
    <s v="MRCS"/>
    <s v="Kachin"/>
    <s v="Mansi"/>
    <s v="Maing Khaung Catholic Church"/>
    <m/>
    <m/>
    <m/>
    <m/>
    <m/>
    <m/>
    <m/>
    <m/>
    <m/>
    <m/>
    <m/>
    <m/>
    <m/>
    <n v="158"/>
    <m/>
    <m/>
    <m/>
    <n v="0"/>
    <n v="0"/>
    <n v="0"/>
    <n v="0"/>
    <n v="0"/>
    <n v="0"/>
    <n v="0"/>
    <n v="0"/>
    <n v="0"/>
    <n v="0"/>
    <n v="0"/>
    <n v="0"/>
    <n v="0"/>
    <n v="0"/>
    <x v="0"/>
    <n v="0"/>
    <s v="MMR001CMP223"/>
    <x v="1"/>
    <x v="1"/>
    <x v="1"/>
    <n v="0"/>
    <m/>
    <m/>
  </r>
  <r>
    <n v="21.133333333333333"/>
    <d v="2014-04-07T00:00:00"/>
    <x v="3"/>
    <s v="MRCS"/>
    <s v="Kachin"/>
    <s v="Mansi"/>
    <s v="Host Families"/>
    <m/>
    <m/>
    <m/>
    <m/>
    <m/>
    <m/>
    <m/>
    <m/>
    <m/>
    <m/>
    <m/>
    <m/>
    <m/>
    <n v="558"/>
    <m/>
    <m/>
    <m/>
    <n v="0"/>
    <n v="0"/>
    <n v="0"/>
    <n v="0"/>
    <n v="0"/>
    <n v="0"/>
    <n v="0"/>
    <n v="0"/>
    <n v="0"/>
    <n v="0"/>
    <n v="0"/>
    <n v="0"/>
    <n v="0"/>
    <n v="0"/>
    <x v="0"/>
    <n v="0"/>
    <s v="MMR001CMP163"/>
    <x v="1"/>
    <x v="1"/>
    <x v="1"/>
    <n v="0"/>
    <m/>
    <m/>
  </r>
  <r>
    <n v="21.133333333333333"/>
    <d v="2014-04-07T00:00:00"/>
    <x v="3"/>
    <s v="MRCS"/>
    <s v="Kachin"/>
    <s v="Mansi"/>
    <s v="Mansi Baptist Church"/>
    <m/>
    <m/>
    <m/>
    <m/>
    <m/>
    <m/>
    <m/>
    <m/>
    <m/>
    <m/>
    <m/>
    <m/>
    <m/>
    <n v="262"/>
    <m/>
    <m/>
    <m/>
    <n v="0"/>
    <n v="0"/>
    <n v="0"/>
    <n v="0"/>
    <n v="0"/>
    <n v="0"/>
    <n v="0"/>
    <n v="0"/>
    <n v="0"/>
    <n v="0"/>
    <n v="0"/>
    <n v="0"/>
    <n v="0"/>
    <n v="0"/>
    <x v="0"/>
    <n v="0"/>
    <s v="MMR001CMP066"/>
    <x v="1"/>
    <x v="1"/>
    <x v="1"/>
    <n v="0"/>
    <m/>
    <m/>
  </r>
  <r>
    <n v="21.166666666666668"/>
    <d v="2014-04-06T00:00:00"/>
    <x v="3"/>
    <s v="MRCS"/>
    <s v="Kachin"/>
    <s v="Hpakant"/>
    <s v="Baptist Church, Naung Hmee VT"/>
    <m/>
    <m/>
    <m/>
    <m/>
    <m/>
    <m/>
    <m/>
    <m/>
    <m/>
    <m/>
    <m/>
    <m/>
    <m/>
    <n v="30"/>
    <m/>
    <m/>
    <m/>
    <n v="0"/>
    <n v="0"/>
    <n v="0"/>
    <n v="0"/>
    <n v="0"/>
    <n v="0"/>
    <n v="0"/>
    <n v="0"/>
    <n v="0"/>
    <n v="0"/>
    <n v="0"/>
    <n v="0"/>
    <n v="0"/>
    <n v="0"/>
    <x v="0"/>
    <n v="0"/>
    <s v="MMR001CMP188"/>
    <x v="1"/>
    <x v="2"/>
    <x v="1"/>
    <s v=""/>
    <m/>
    <m/>
  </r>
  <r>
    <n v="21.2"/>
    <d v="2014-04-05T00:00:00"/>
    <x v="3"/>
    <s v="MRCS"/>
    <s v="Kachin"/>
    <s v="Hpakant"/>
    <s v="Hlaing Naung Baptist"/>
    <m/>
    <m/>
    <m/>
    <m/>
    <m/>
    <m/>
    <m/>
    <m/>
    <m/>
    <m/>
    <m/>
    <m/>
    <m/>
    <n v="44"/>
    <m/>
    <m/>
    <m/>
    <n v="0"/>
    <n v="0"/>
    <n v="0"/>
    <n v="0"/>
    <n v="0"/>
    <n v="0"/>
    <n v="0"/>
    <n v="0"/>
    <n v="0"/>
    <n v="0"/>
    <n v="0"/>
    <n v="0"/>
    <n v="0"/>
    <n v="0"/>
    <x v="0"/>
    <n v="0"/>
    <s v="MMR001CMP148"/>
    <x v="1"/>
    <x v="1"/>
    <x v="1"/>
    <n v="0"/>
    <m/>
    <m/>
  </r>
  <r>
    <n v="21.3"/>
    <d v="2014-04-02T00:00:00"/>
    <x v="0"/>
    <s v="UNHCR"/>
    <s v="Kachin"/>
    <s v="Bhamo"/>
    <s v="Mu-yin Baptist Church"/>
    <m/>
    <m/>
    <m/>
    <m/>
    <n v="1"/>
    <n v="3"/>
    <n v="2"/>
    <m/>
    <n v="3"/>
    <m/>
    <m/>
    <m/>
    <m/>
    <m/>
    <m/>
    <m/>
    <m/>
    <n v="0"/>
    <n v="0"/>
    <n v="0"/>
    <n v="0"/>
    <n v="0"/>
    <n v="0"/>
    <n v="0"/>
    <n v="0"/>
    <n v="0"/>
    <n v="0"/>
    <n v="0"/>
    <n v="0"/>
    <n v="0"/>
    <n v="0"/>
    <x v="1"/>
    <n v="0"/>
    <s v="MMR001CMP051"/>
    <x v="1"/>
    <x v="1"/>
    <x v="1"/>
    <n v="8.6956521739130432E-2"/>
    <s v="No"/>
    <m/>
  </r>
  <r>
    <n v="22.5"/>
    <d v="2014-02-25T00:00:00"/>
    <x v="3"/>
    <s v="MRCS"/>
    <s v="Kachin"/>
    <s v="Mogaung"/>
    <s v="Kyun Taw Baptist Church "/>
    <m/>
    <m/>
    <m/>
    <m/>
    <m/>
    <m/>
    <m/>
    <m/>
    <m/>
    <m/>
    <m/>
    <m/>
    <m/>
    <n v="26"/>
    <m/>
    <m/>
    <m/>
    <n v="0"/>
    <n v="0"/>
    <n v="0"/>
    <n v="0"/>
    <n v="0"/>
    <n v="0"/>
    <n v="0"/>
    <n v="0"/>
    <n v="0"/>
    <n v="0"/>
    <n v="0"/>
    <n v="0"/>
    <n v="0"/>
    <n v="0"/>
    <x v="0"/>
    <n v="0"/>
    <s v="MMR001CMP078"/>
    <x v="1"/>
    <x v="1"/>
    <x v="1"/>
    <n v="0"/>
    <m/>
    <m/>
  </r>
  <r>
    <n v="22.5"/>
    <d v="2014-02-25T00:00:00"/>
    <x v="3"/>
    <s v="MRCS"/>
    <s v="Kachin"/>
    <s v="Mogaung"/>
    <s v="Mang Hawng Baptist Church"/>
    <m/>
    <m/>
    <m/>
    <m/>
    <m/>
    <m/>
    <m/>
    <m/>
    <m/>
    <m/>
    <m/>
    <m/>
    <m/>
    <n v="26"/>
    <m/>
    <m/>
    <m/>
    <n v="0"/>
    <n v="0"/>
    <n v="0"/>
    <n v="0"/>
    <n v="0"/>
    <n v="0"/>
    <n v="0"/>
    <n v="0"/>
    <n v="0"/>
    <n v="0"/>
    <n v="0"/>
    <n v="0"/>
    <n v="0"/>
    <n v="0"/>
    <x v="0"/>
    <n v="0"/>
    <s v="MMR001CMP077"/>
    <x v="1"/>
    <x v="1"/>
    <x v="1"/>
    <n v="0"/>
    <m/>
    <m/>
  </r>
  <r>
    <n v="22.5"/>
    <d v="2014-02-25T00:00:00"/>
    <x v="3"/>
    <s v="MRCS"/>
    <s v="Kachin"/>
    <s v="Mogaung"/>
    <s v="Nat Gyi Kone Baptist Church "/>
    <m/>
    <m/>
    <m/>
    <m/>
    <m/>
    <m/>
    <m/>
    <m/>
    <m/>
    <m/>
    <m/>
    <m/>
    <m/>
    <n v="28"/>
    <m/>
    <m/>
    <m/>
    <n v="0"/>
    <n v="0"/>
    <n v="0"/>
    <n v="0"/>
    <n v="0"/>
    <n v="0"/>
    <n v="0"/>
    <n v="0"/>
    <n v="0"/>
    <n v="0"/>
    <n v="0"/>
    <n v="0"/>
    <n v="0"/>
    <n v="0"/>
    <x v="0"/>
    <n v="0"/>
    <s v="MMR001CMP079"/>
    <x v="1"/>
    <x v="1"/>
    <x v="1"/>
    <n v="0"/>
    <m/>
    <m/>
  </r>
  <r>
    <n v="22.566666666666666"/>
    <d v="2014-02-23T00:00:00"/>
    <x v="3"/>
    <s v="MRCS"/>
    <s v="Kachin"/>
    <s v="Chipwi"/>
    <s v="Chipwi KBC camp"/>
    <m/>
    <m/>
    <m/>
    <m/>
    <m/>
    <m/>
    <m/>
    <m/>
    <m/>
    <m/>
    <m/>
    <m/>
    <m/>
    <n v="222"/>
    <m/>
    <m/>
    <m/>
    <n v="0"/>
    <n v="0"/>
    <n v="0"/>
    <n v="0"/>
    <n v="0"/>
    <n v="0"/>
    <n v="0"/>
    <n v="0"/>
    <n v="0"/>
    <n v="0"/>
    <n v="0"/>
    <n v="0"/>
    <n v="0"/>
    <n v="0"/>
    <x v="0"/>
    <n v="0"/>
    <s v="MMR001CMP042"/>
    <x v="1"/>
    <x v="1"/>
    <x v="3"/>
    <n v="0"/>
    <m/>
    <m/>
  </r>
  <r>
    <n v="22.566666666666666"/>
    <d v="2014-02-23T00:00:00"/>
    <x v="3"/>
    <s v="MRCS"/>
    <s v="Kachin"/>
    <s v="Chipwi"/>
    <s v="Lhaovao Baptist Church (LBC)"/>
    <m/>
    <m/>
    <m/>
    <m/>
    <m/>
    <m/>
    <m/>
    <m/>
    <m/>
    <m/>
    <m/>
    <m/>
    <m/>
    <n v="278"/>
    <m/>
    <m/>
    <m/>
    <n v="0"/>
    <n v="0"/>
    <n v="0"/>
    <n v="0"/>
    <n v="0"/>
    <n v="0"/>
    <n v="0"/>
    <n v="0"/>
    <n v="0"/>
    <n v="0"/>
    <n v="0"/>
    <n v="0"/>
    <n v="0"/>
    <n v="0"/>
    <x v="0"/>
    <n v="0"/>
    <s v="MMR001CMP195"/>
    <x v="1"/>
    <x v="1"/>
    <x v="3"/>
    <n v="0"/>
    <m/>
    <m/>
  </r>
  <r>
    <n v="22.566666666666666"/>
    <d v="2014-02-23T00:00:00"/>
    <x v="3"/>
    <s v="MRCS"/>
    <s v="Kachin"/>
    <s v="Momauk"/>
    <s v="Seng Ja "/>
    <m/>
    <m/>
    <m/>
    <m/>
    <m/>
    <m/>
    <m/>
    <m/>
    <m/>
    <m/>
    <m/>
    <m/>
    <m/>
    <n v="376"/>
    <m/>
    <m/>
    <m/>
    <n v="0"/>
    <n v="0"/>
    <n v="0"/>
    <n v="0"/>
    <n v="0"/>
    <n v="0"/>
    <n v="0"/>
    <n v="0"/>
    <n v="0"/>
    <n v="0"/>
    <n v="0"/>
    <n v="0"/>
    <n v="0"/>
    <n v="0"/>
    <x v="0"/>
    <n v="0"/>
    <s v="MMR001CMP073"/>
    <x v="1"/>
    <x v="1"/>
    <x v="2"/>
    <n v="0"/>
    <m/>
    <m/>
  </r>
  <r>
    <n v="22.6"/>
    <d v="2014-02-22T00:00:00"/>
    <x v="3"/>
    <s v="MRCS"/>
    <s v="Kachin"/>
    <s v="Chipwi"/>
    <s v="Pan Wa"/>
    <m/>
    <m/>
    <m/>
    <m/>
    <m/>
    <m/>
    <m/>
    <m/>
    <m/>
    <m/>
    <m/>
    <m/>
    <m/>
    <n v="126"/>
    <m/>
    <m/>
    <m/>
    <n v="0"/>
    <n v="0"/>
    <n v="0"/>
    <n v="0"/>
    <n v="0"/>
    <n v="0"/>
    <n v="0"/>
    <n v="0"/>
    <n v="0"/>
    <n v="0"/>
    <n v="0"/>
    <n v="0"/>
    <n v="0"/>
    <n v="0"/>
    <x v="0"/>
    <n v="0"/>
    <s v="MMR001CMP210"/>
    <x v="1"/>
    <x v="1"/>
    <x v="3"/>
    <n v="0"/>
    <m/>
    <m/>
  </r>
  <r>
    <n v="22.6"/>
    <d v="2014-02-22T00:00:00"/>
    <x v="3"/>
    <s v="MRCS"/>
    <s v="Kachin"/>
    <s v="Chipwi"/>
    <s v="Saw Zam"/>
    <m/>
    <m/>
    <m/>
    <m/>
    <m/>
    <m/>
    <m/>
    <m/>
    <m/>
    <m/>
    <m/>
    <m/>
    <m/>
    <n v="58"/>
    <m/>
    <m/>
    <m/>
    <n v="0"/>
    <n v="0"/>
    <n v="0"/>
    <n v="0"/>
    <n v="0"/>
    <n v="0"/>
    <n v="0"/>
    <n v="0"/>
    <n v="0"/>
    <n v="0"/>
    <n v="0"/>
    <n v="0"/>
    <n v="0"/>
    <n v="0"/>
    <x v="0"/>
    <n v="0"/>
    <s v="MMR001CMP225"/>
    <x v="1"/>
    <x v="1"/>
    <x v="3"/>
    <n v="0"/>
    <m/>
    <m/>
  </r>
  <r>
    <n v="22.6"/>
    <d v="2014-02-22T00:00:00"/>
    <x v="3"/>
    <s v="MRCS"/>
    <s v="Kachin"/>
    <s v="Sumprabum"/>
    <s v="Sumprabum"/>
    <m/>
    <m/>
    <m/>
    <m/>
    <m/>
    <m/>
    <m/>
    <m/>
    <m/>
    <m/>
    <m/>
    <m/>
    <m/>
    <n v="16"/>
    <m/>
    <m/>
    <m/>
    <n v="0"/>
    <n v="0"/>
    <n v="0"/>
    <n v="0"/>
    <n v="0"/>
    <n v="0"/>
    <n v="0"/>
    <n v="0"/>
    <n v="0"/>
    <n v="0"/>
    <n v="0"/>
    <n v="0"/>
    <n v="0"/>
    <n v="0"/>
    <x v="0"/>
    <n v="0"/>
    <s v="MMR001CMP206"/>
    <x v="1"/>
    <x v="1"/>
    <x v="1"/>
    <n v="0"/>
    <m/>
    <m/>
  </r>
  <r>
    <n v="23.4"/>
    <d v="2014-01-29T00:00:00"/>
    <x v="0"/>
    <s v="UNHCR"/>
    <s v="Kachin"/>
    <s v="Mansi"/>
    <s v="Maing Khaung"/>
    <m/>
    <m/>
    <m/>
    <n v="100"/>
    <n v="58"/>
    <n v="100"/>
    <n v="58"/>
    <m/>
    <n v="58"/>
    <n v="290"/>
    <m/>
    <m/>
    <m/>
    <m/>
    <m/>
    <m/>
    <m/>
    <n v="0"/>
    <n v="0"/>
    <n v="0"/>
    <n v="0"/>
    <n v="0"/>
    <n v="0"/>
    <n v="0"/>
    <n v="0"/>
    <n v="0"/>
    <n v="0"/>
    <n v="0"/>
    <n v="0"/>
    <n v="0"/>
    <n v="0"/>
    <x v="1"/>
    <n v="0"/>
    <s v="MMR001CMP218"/>
    <x v="1"/>
    <x v="1"/>
    <x v="1"/>
    <n v="0.15591397849462366"/>
    <s v="No"/>
    <m/>
  </r>
  <r>
    <n v="23.433333333333334"/>
    <d v="2014-01-28T00:00:00"/>
    <x v="0"/>
    <m/>
    <s v="Kachin"/>
    <s v="Mansi"/>
    <s v="Maing Khaung Catholic Church"/>
    <m/>
    <m/>
    <m/>
    <n v="18"/>
    <n v="10"/>
    <n v="18"/>
    <n v="40"/>
    <m/>
    <n v="10"/>
    <n v="50"/>
    <m/>
    <m/>
    <m/>
    <m/>
    <m/>
    <m/>
    <m/>
    <n v="0"/>
    <n v="0"/>
    <n v="0"/>
    <n v="0"/>
    <n v="0"/>
    <n v="0"/>
    <n v="0"/>
    <n v="0"/>
    <n v="0"/>
    <n v="0"/>
    <n v="0"/>
    <n v="0"/>
    <n v="0"/>
    <n v="0"/>
    <x v="1"/>
    <n v="0"/>
    <s v="MMR001CMP223"/>
    <x v="1"/>
    <x v="1"/>
    <x v="1"/>
    <n v="0.32520325203252032"/>
    <m/>
    <m/>
  </r>
  <r>
    <n v="23.466666666666665"/>
    <d v="2014-01-27T00:00:00"/>
    <x v="2"/>
    <s v="KBC"/>
    <s v="Kachin"/>
    <s v="Waingmaw"/>
    <s v="Hkau Shau (BP 12)"/>
    <m/>
    <m/>
    <m/>
    <m/>
    <m/>
    <n v="181"/>
    <n v="181"/>
    <n v="181"/>
    <m/>
    <n v="181"/>
    <m/>
    <m/>
    <m/>
    <m/>
    <m/>
    <m/>
    <m/>
    <n v="0"/>
    <n v="0"/>
    <n v="0"/>
    <n v="0"/>
    <n v="0"/>
    <n v="0"/>
    <n v="0"/>
    <n v="0"/>
    <n v="0"/>
    <n v="0"/>
    <n v="0"/>
    <n v="0"/>
    <n v="0"/>
    <n v="0"/>
    <x v="1"/>
    <n v="0"/>
    <s v="MMR001CMP115"/>
    <x v="1"/>
    <x v="1"/>
    <x v="3"/>
    <n v="1.1753246753246753"/>
    <s v="No"/>
    <m/>
  </r>
  <r>
    <n v="23.466666666666665"/>
    <d v="2014-01-27T00:00:00"/>
    <x v="2"/>
    <s v="KBC"/>
    <s v="Kachin"/>
    <s v="Chipwi"/>
    <s v="Hpare Hkyer - BP6"/>
    <m/>
    <m/>
    <m/>
    <m/>
    <m/>
    <n v="155"/>
    <n v="155"/>
    <n v="155"/>
    <m/>
    <n v="155"/>
    <m/>
    <m/>
    <m/>
    <m/>
    <m/>
    <m/>
    <m/>
    <n v="0"/>
    <n v="0"/>
    <n v="0"/>
    <n v="0"/>
    <n v="0"/>
    <n v="0"/>
    <n v="0"/>
    <n v="0"/>
    <n v="0"/>
    <n v="0"/>
    <n v="0"/>
    <n v="0"/>
    <n v="0"/>
    <n v="0"/>
    <x v="1"/>
    <n v="0"/>
    <s v="MMR001CMP043"/>
    <x v="1"/>
    <x v="1"/>
    <x v="3"/>
    <n v="1.0064935064935066"/>
    <s v="No"/>
    <m/>
  </r>
  <r>
    <n v="23.533333333333335"/>
    <d v="2014-01-25T00:00:00"/>
    <x v="0"/>
    <s v="UNHCR"/>
    <s v="Kachin"/>
    <s v="Momauk"/>
    <s v="Dum Bung "/>
    <m/>
    <m/>
    <m/>
    <n v="62"/>
    <n v="31"/>
    <n v="62"/>
    <n v="31"/>
    <m/>
    <n v="31"/>
    <n v="155"/>
    <m/>
    <m/>
    <m/>
    <m/>
    <m/>
    <m/>
    <m/>
    <n v="0"/>
    <n v="0"/>
    <n v="0"/>
    <n v="0"/>
    <n v="0"/>
    <n v="0"/>
    <n v="0"/>
    <n v="0"/>
    <n v="0"/>
    <n v="0"/>
    <n v="0"/>
    <n v="0"/>
    <n v="0"/>
    <n v="0"/>
    <x v="1"/>
    <n v="0"/>
    <s v="MMR001CMP123"/>
    <x v="1"/>
    <x v="1"/>
    <x v="4"/>
    <n v="0.26724137931034481"/>
    <s v="No"/>
    <m/>
  </r>
  <r>
    <n v="23.533333333333335"/>
    <d v="2014-01-25T00:00:00"/>
    <x v="2"/>
    <s v="KBC"/>
    <s v="Kachin"/>
    <s v="Waingmaw"/>
    <s v="Pajau - Jan Mai"/>
    <m/>
    <m/>
    <m/>
    <m/>
    <m/>
    <n v="191"/>
    <n v="191"/>
    <n v="191"/>
    <m/>
    <n v="191"/>
    <m/>
    <m/>
    <m/>
    <m/>
    <m/>
    <m/>
    <m/>
    <n v="0"/>
    <n v="0"/>
    <n v="0"/>
    <n v="0"/>
    <n v="0"/>
    <n v="0"/>
    <n v="0"/>
    <n v="0"/>
    <n v="0"/>
    <n v="0"/>
    <n v="0"/>
    <n v="0"/>
    <n v="0"/>
    <n v="0"/>
    <x v="1"/>
    <n v="0"/>
    <s v="MMR001CMP120"/>
    <x v="1"/>
    <x v="1"/>
    <x v="3"/>
    <n v="1"/>
    <s v="No"/>
    <m/>
  </r>
  <r>
    <n v="23.533333333333335"/>
    <d v="2014-01-25T00:00:00"/>
    <x v="2"/>
    <s v="KBC"/>
    <s v="Kachin"/>
    <s v="Waingmaw"/>
    <s v="Shing Jai"/>
    <m/>
    <m/>
    <m/>
    <m/>
    <m/>
    <n v="198"/>
    <n v="198"/>
    <n v="198"/>
    <m/>
    <n v="198"/>
    <m/>
    <m/>
    <m/>
    <m/>
    <m/>
    <m/>
    <m/>
    <n v="0"/>
    <n v="0"/>
    <n v="0"/>
    <n v="0"/>
    <n v="0"/>
    <n v="0"/>
    <n v="0"/>
    <n v="0"/>
    <n v="0"/>
    <n v="0"/>
    <n v="0"/>
    <n v="0"/>
    <n v="0"/>
    <n v="0"/>
    <x v="1"/>
    <n v="0"/>
    <s v="MMR001CMP041"/>
    <x v="1"/>
    <x v="1"/>
    <x v="3"/>
    <n v="1.0819672131147542"/>
    <s v="No"/>
    <m/>
  </r>
  <r>
    <n v="23.533333333333335"/>
    <d v="2014-01-25T00:00:00"/>
    <x v="2"/>
    <s v="KBC"/>
    <s v="Kachin"/>
    <s v="Waingmaw"/>
    <s v="Zai Awng - Mung Ga Zup"/>
    <m/>
    <m/>
    <m/>
    <m/>
    <m/>
    <n v="646"/>
    <n v="646"/>
    <n v="646"/>
    <m/>
    <n v="646"/>
    <m/>
    <m/>
    <m/>
    <m/>
    <m/>
    <m/>
    <m/>
    <n v="0"/>
    <n v="0"/>
    <n v="0"/>
    <n v="0"/>
    <n v="0"/>
    <n v="0"/>
    <n v="0"/>
    <n v="0"/>
    <n v="0"/>
    <n v="0"/>
    <n v="0"/>
    <n v="0"/>
    <n v="0"/>
    <n v="0"/>
    <x v="1"/>
    <n v="0"/>
    <s v="MMR001CMP111"/>
    <x v="1"/>
    <x v="1"/>
    <x v="4"/>
    <n v="1.0419354838709678"/>
    <s v="No"/>
    <m/>
  </r>
  <r>
    <n v="23.566666666666666"/>
    <d v="2014-01-24T00:00:00"/>
    <x v="4"/>
    <m/>
    <s v="Kachin"/>
    <s v="Mansi"/>
    <s v="Bum Tsit Pa "/>
    <m/>
    <m/>
    <m/>
    <m/>
    <m/>
    <m/>
    <m/>
    <m/>
    <m/>
    <m/>
    <m/>
    <n v="838"/>
    <m/>
    <m/>
    <m/>
    <m/>
    <m/>
    <n v="0"/>
    <n v="0"/>
    <n v="0"/>
    <n v="0"/>
    <n v="0"/>
    <n v="0"/>
    <n v="0"/>
    <n v="0"/>
    <n v="0"/>
    <n v="0"/>
    <n v="0"/>
    <n v="0"/>
    <n v="0"/>
    <n v="0"/>
    <x v="0"/>
    <n v="0"/>
    <s v="MMR001CMP129"/>
    <x v="1"/>
    <x v="1"/>
    <x v="4"/>
    <n v="0"/>
    <s v="No"/>
    <m/>
  </r>
  <r>
    <n v="23.566666666666666"/>
    <d v="2014-01-24T00:00:00"/>
    <x v="0"/>
    <s v="UNHCR"/>
    <s v="Kachin"/>
    <s v="Momauk"/>
    <s v="Pa Kahtawng "/>
    <m/>
    <m/>
    <m/>
    <n v="60"/>
    <n v="30"/>
    <n v="60"/>
    <n v="30"/>
    <m/>
    <n v="30"/>
    <n v="150"/>
    <m/>
    <m/>
    <m/>
    <m/>
    <m/>
    <m/>
    <m/>
    <n v="0"/>
    <n v="0"/>
    <n v="0"/>
    <n v="0"/>
    <n v="0"/>
    <n v="0"/>
    <n v="0"/>
    <n v="0"/>
    <n v="0"/>
    <n v="0"/>
    <n v="0"/>
    <n v="0"/>
    <n v="0"/>
    <n v="0"/>
    <x v="1"/>
    <n v="0"/>
    <s v="MMR001CMP126"/>
    <x v="1"/>
    <x v="1"/>
    <x v="4"/>
    <n v="4.4313146233382568E-2"/>
    <s v="No"/>
    <m/>
  </r>
  <r>
    <n v="23.7"/>
    <d v="2014-01-20T00:00:00"/>
    <x v="1"/>
    <s v="MRCS"/>
    <s v="Kachin"/>
    <s v="Machanbaw"/>
    <s v="Machanbaw - KBC"/>
    <m/>
    <m/>
    <m/>
    <n v="8"/>
    <n v="16"/>
    <n v="16"/>
    <n v="8"/>
    <m/>
    <m/>
    <m/>
    <n v="19"/>
    <n v="9"/>
    <m/>
    <m/>
    <m/>
    <m/>
    <m/>
    <n v="0"/>
    <n v="0"/>
    <n v="0"/>
    <n v="0"/>
    <n v="0"/>
    <n v="0"/>
    <n v="0"/>
    <n v="0"/>
    <n v="0"/>
    <n v="0"/>
    <n v="0"/>
    <n v="0"/>
    <n v="0"/>
    <n v="0"/>
    <x v="0"/>
    <n v="0"/>
    <s v="MMR001CMP221"/>
    <x v="1"/>
    <x v="2"/>
    <x v="2"/>
    <s v=""/>
    <m/>
    <m/>
  </r>
  <r>
    <n v="23.7"/>
    <d v="2014-01-20T00:00:00"/>
    <x v="4"/>
    <s v="KMSS"/>
    <s v="Kachin"/>
    <s v="Waingmaw"/>
    <s v="Maga Yang "/>
    <m/>
    <m/>
    <m/>
    <m/>
    <m/>
    <m/>
    <m/>
    <m/>
    <m/>
    <m/>
    <n v="1497"/>
    <n v="925"/>
    <m/>
    <m/>
    <m/>
    <m/>
    <m/>
    <n v="0"/>
    <n v="0"/>
    <n v="0"/>
    <n v="0"/>
    <n v="0"/>
    <n v="0"/>
    <n v="0"/>
    <n v="0"/>
    <n v="0"/>
    <n v="0"/>
    <n v="0"/>
    <n v="0"/>
    <n v="0"/>
    <n v="0"/>
    <x v="0"/>
    <n v="0"/>
    <s v="MMR001CMP119"/>
    <x v="1"/>
    <x v="1"/>
    <x v="4"/>
    <n v="0"/>
    <s v="No"/>
    <m/>
  </r>
  <r>
    <n v="23.7"/>
    <d v="2014-01-20T00:00:00"/>
    <x v="1"/>
    <s v="MRCS"/>
    <s v="Kachin"/>
    <s v="Puta-O"/>
    <s v="Naung Khaing"/>
    <m/>
    <m/>
    <m/>
    <n v="17"/>
    <n v="34"/>
    <n v="34"/>
    <n v="17"/>
    <m/>
    <m/>
    <m/>
    <n v="31"/>
    <n v="28"/>
    <m/>
    <m/>
    <m/>
    <m/>
    <m/>
    <n v="0"/>
    <n v="0"/>
    <n v="0"/>
    <n v="0"/>
    <n v="0"/>
    <n v="0"/>
    <n v="0"/>
    <n v="0"/>
    <n v="0"/>
    <n v="0"/>
    <n v="0"/>
    <n v="0"/>
    <n v="0"/>
    <n v="0"/>
    <x v="0"/>
    <n v="0"/>
    <s v="MMR001CMP220"/>
    <x v="1"/>
    <x v="2"/>
    <x v="2"/>
    <s v=""/>
    <m/>
    <m/>
  </r>
  <r>
    <n v="23.7"/>
    <d v="2014-01-20T00:00:00"/>
    <x v="4"/>
    <s v="KMSS"/>
    <s v="Kachin"/>
    <s v="Waingmaw"/>
    <s v="Post 6 Camp"/>
    <m/>
    <m/>
    <m/>
    <m/>
    <m/>
    <m/>
    <m/>
    <n v="127"/>
    <m/>
    <m/>
    <m/>
    <m/>
    <m/>
    <m/>
    <m/>
    <m/>
    <m/>
    <n v="0"/>
    <n v="0"/>
    <n v="0"/>
    <n v="0"/>
    <n v="0"/>
    <n v="0"/>
    <n v="0"/>
    <n v="0"/>
    <n v="0"/>
    <n v="0"/>
    <n v="0"/>
    <n v="0"/>
    <n v="0"/>
    <n v="0"/>
    <x v="1"/>
    <n v="0"/>
    <s v="MMR001CMP160"/>
    <x v="1"/>
    <x v="1"/>
    <x v="3"/>
    <n v="0"/>
    <s v="No"/>
    <m/>
  </r>
  <r>
    <n v="23.7"/>
    <d v="2014-01-20T00:00:00"/>
    <x v="4"/>
    <s v="KMSS"/>
    <s v="Kachin"/>
    <s v="Waingmaw"/>
    <s v="Post 6 Camp"/>
    <m/>
    <m/>
    <m/>
    <m/>
    <m/>
    <m/>
    <m/>
    <m/>
    <m/>
    <m/>
    <n v="443"/>
    <n v="218"/>
    <m/>
    <m/>
    <m/>
    <m/>
    <m/>
    <n v="0"/>
    <n v="0"/>
    <n v="0"/>
    <n v="0"/>
    <n v="0"/>
    <n v="0"/>
    <n v="0"/>
    <n v="0"/>
    <n v="0"/>
    <n v="0"/>
    <n v="0"/>
    <n v="0"/>
    <n v="0"/>
    <n v="0"/>
    <x v="0"/>
    <n v="0"/>
    <s v="MMR001CMP160"/>
    <x v="1"/>
    <x v="1"/>
    <x v="3"/>
    <n v="0"/>
    <s v="No"/>
    <m/>
  </r>
  <r>
    <n v="23.7"/>
    <d v="2014-01-20T00:00:00"/>
    <x v="1"/>
    <s v="MRCS"/>
    <s v="Kachin"/>
    <s v="Puta-O"/>
    <s v="Tote Tan Ward"/>
    <m/>
    <m/>
    <m/>
    <n v="18"/>
    <n v="36"/>
    <n v="36"/>
    <n v="18"/>
    <m/>
    <m/>
    <m/>
    <n v="53"/>
    <n v="42"/>
    <m/>
    <m/>
    <m/>
    <m/>
    <m/>
    <n v="0"/>
    <n v="0"/>
    <n v="0"/>
    <n v="0"/>
    <n v="0"/>
    <n v="0"/>
    <n v="0"/>
    <n v="0"/>
    <n v="0"/>
    <n v="0"/>
    <n v="0"/>
    <n v="0"/>
    <n v="0"/>
    <n v="0"/>
    <x v="0"/>
    <n v="0"/>
    <s v="MMR001CMP075"/>
    <x v="1"/>
    <x v="1"/>
    <x v="2"/>
    <n v="1.2857142857142858"/>
    <m/>
    <m/>
  </r>
  <r>
    <n v="23.833333333333332"/>
    <d v="2014-01-16T00:00:00"/>
    <x v="0"/>
    <s v="UNHCR"/>
    <s v="Kachin"/>
    <s v="Mansi"/>
    <s v="Bum Tsit Pa "/>
    <m/>
    <m/>
    <m/>
    <n v="45"/>
    <n v="30"/>
    <n v="45"/>
    <n v="30"/>
    <m/>
    <n v="30"/>
    <n v="150"/>
    <m/>
    <m/>
    <m/>
    <m/>
    <m/>
    <m/>
    <m/>
    <n v="0"/>
    <n v="0"/>
    <n v="0"/>
    <n v="0"/>
    <n v="0"/>
    <n v="0"/>
    <n v="0"/>
    <n v="0"/>
    <n v="0"/>
    <n v="0"/>
    <n v="0"/>
    <n v="0"/>
    <n v="0"/>
    <n v="0"/>
    <x v="1"/>
    <n v="0"/>
    <s v="MMR001CMP129"/>
    <x v="1"/>
    <x v="1"/>
    <x v="4"/>
    <n v="0.12244897959183673"/>
    <s v="No"/>
    <m/>
  </r>
  <r>
    <n v="23.833333333333332"/>
    <d v="2014-01-16T00:00:00"/>
    <x v="4"/>
    <s v="KMSS"/>
    <s v="Kachin"/>
    <s v="Waingmaw"/>
    <s v="Maga Yang "/>
    <m/>
    <m/>
    <m/>
    <m/>
    <m/>
    <m/>
    <m/>
    <n v="600"/>
    <m/>
    <m/>
    <m/>
    <m/>
    <m/>
    <m/>
    <m/>
    <m/>
    <m/>
    <n v="0"/>
    <n v="0"/>
    <n v="0"/>
    <n v="0"/>
    <n v="0"/>
    <n v="0"/>
    <n v="0"/>
    <n v="0"/>
    <n v="0"/>
    <n v="0"/>
    <n v="0"/>
    <n v="0"/>
    <n v="0"/>
    <n v="0"/>
    <x v="1"/>
    <n v="0"/>
    <s v="MMR001CMP119"/>
    <x v="1"/>
    <x v="1"/>
    <x v="4"/>
    <n v="0"/>
    <s v="No"/>
    <m/>
  </r>
  <r>
    <n v="23.9"/>
    <d v="2014-01-14T00:00:00"/>
    <x v="4"/>
    <s v="KMSS"/>
    <s v="Kachin"/>
    <s v="Waingmaw"/>
    <s v="Border Post 8"/>
    <m/>
    <m/>
    <m/>
    <m/>
    <m/>
    <m/>
    <m/>
    <n v="180"/>
    <m/>
    <m/>
    <m/>
    <m/>
    <m/>
    <m/>
    <m/>
    <m/>
    <m/>
    <n v="0"/>
    <n v="0"/>
    <n v="0"/>
    <n v="0"/>
    <n v="0"/>
    <n v="0"/>
    <n v="0"/>
    <n v="0"/>
    <n v="0"/>
    <n v="0"/>
    <n v="0"/>
    <n v="0"/>
    <n v="0"/>
    <n v="0"/>
    <x v="1"/>
    <n v="0"/>
    <s v="MMR001CMP113"/>
    <x v="1"/>
    <x v="1"/>
    <x v="3"/>
    <n v="0"/>
    <s v="No"/>
    <m/>
  </r>
  <r>
    <n v="23.9"/>
    <d v="2014-01-14T00:00:00"/>
    <x v="4"/>
    <s v="KMSS"/>
    <s v="Kachin"/>
    <s v="Waingmaw"/>
    <s v="Border Post 8"/>
    <m/>
    <m/>
    <m/>
    <m/>
    <m/>
    <m/>
    <m/>
    <m/>
    <m/>
    <m/>
    <n v="501"/>
    <n v="335"/>
    <m/>
    <m/>
    <m/>
    <m/>
    <m/>
    <n v="0"/>
    <n v="0"/>
    <n v="0"/>
    <n v="0"/>
    <n v="0"/>
    <n v="0"/>
    <n v="0"/>
    <n v="0"/>
    <n v="0"/>
    <n v="0"/>
    <n v="0"/>
    <n v="0"/>
    <n v="0"/>
    <n v="0"/>
    <x v="0"/>
    <n v="0"/>
    <s v="MMR001CMP113"/>
    <x v="1"/>
    <x v="1"/>
    <x v="3"/>
    <n v="0"/>
    <s v="No"/>
    <m/>
  </r>
  <r>
    <n v="23.9"/>
    <d v="2014-01-14T00:00:00"/>
    <x v="0"/>
    <s v="UNHCR"/>
    <s v="Kachin"/>
    <s v="Mansi"/>
    <s v="Lana Zup Ja "/>
    <m/>
    <m/>
    <m/>
    <n v="140"/>
    <n v="70"/>
    <n v="140"/>
    <n v="70"/>
    <m/>
    <n v="70"/>
    <n v="350"/>
    <m/>
    <m/>
    <m/>
    <m/>
    <m/>
    <m/>
    <m/>
    <n v="0"/>
    <n v="0"/>
    <n v="0"/>
    <n v="0"/>
    <n v="0"/>
    <n v="0"/>
    <n v="0"/>
    <n v="0"/>
    <n v="0"/>
    <n v="0"/>
    <n v="0"/>
    <n v="0"/>
    <n v="0"/>
    <n v="0"/>
    <x v="1"/>
    <n v="0"/>
    <s v="MMR001CMP128"/>
    <x v="1"/>
    <x v="1"/>
    <x v="4"/>
    <n v="0.12844036697247707"/>
    <s v="No"/>
    <m/>
  </r>
  <r>
    <n v="23.966666666666665"/>
    <d v="2014-01-12T00:00:00"/>
    <x v="4"/>
    <s v="KMSS"/>
    <s v="Kachin"/>
    <s v="Momauk"/>
    <s v="Dum Bung "/>
    <m/>
    <m/>
    <m/>
    <m/>
    <m/>
    <m/>
    <m/>
    <n v="125"/>
    <m/>
    <m/>
    <m/>
    <m/>
    <m/>
    <m/>
    <m/>
    <m/>
    <m/>
    <n v="0"/>
    <n v="0"/>
    <n v="0"/>
    <n v="0"/>
    <n v="0"/>
    <n v="0"/>
    <n v="0"/>
    <n v="0"/>
    <n v="0"/>
    <n v="0"/>
    <n v="0"/>
    <n v="0"/>
    <n v="0"/>
    <n v="0"/>
    <x v="1"/>
    <n v="0"/>
    <s v="MMR001CMP123"/>
    <x v="1"/>
    <x v="1"/>
    <x v="4"/>
    <n v="0"/>
    <s v="No"/>
    <m/>
  </r>
  <r>
    <n v="23.966666666666665"/>
    <d v="2014-01-12T00:00:00"/>
    <x v="4"/>
    <s v="KMSS"/>
    <s v="Kachin"/>
    <s v="Momauk"/>
    <s v="Dum Bung "/>
    <m/>
    <m/>
    <m/>
    <m/>
    <m/>
    <m/>
    <m/>
    <m/>
    <m/>
    <m/>
    <n v="393"/>
    <n v="232"/>
    <m/>
    <m/>
    <m/>
    <m/>
    <m/>
    <n v="0"/>
    <n v="0"/>
    <n v="0"/>
    <n v="0"/>
    <n v="0"/>
    <n v="0"/>
    <n v="0"/>
    <n v="0"/>
    <n v="0"/>
    <n v="0"/>
    <n v="0"/>
    <n v="0"/>
    <n v="0"/>
    <n v="0"/>
    <x v="0"/>
    <n v="0"/>
    <s v="MMR001CMP123"/>
    <x v="1"/>
    <x v="1"/>
    <x v="4"/>
    <n v="0"/>
    <s v="No"/>
    <m/>
  </r>
  <r>
    <n v="24"/>
    <d v="2014-01-11T00:00:00"/>
    <x v="0"/>
    <m/>
    <s v="Kachin"/>
    <s v="Bhamo"/>
    <s v="Phan Khar Kone"/>
    <m/>
    <m/>
    <m/>
    <m/>
    <n v="10"/>
    <m/>
    <m/>
    <m/>
    <m/>
    <m/>
    <m/>
    <m/>
    <m/>
    <m/>
    <m/>
    <m/>
    <m/>
    <n v="0"/>
    <n v="0"/>
    <n v="0"/>
    <n v="0"/>
    <n v="0"/>
    <n v="0"/>
    <n v="0"/>
    <n v="0"/>
    <n v="0"/>
    <n v="0"/>
    <n v="0"/>
    <n v="0"/>
    <n v="0"/>
    <n v="0"/>
    <x v="1"/>
    <n v="0"/>
    <s v="MMR001CMP193"/>
    <x v="1"/>
    <x v="1"/>
    <x v="1"/>
    <n v="0"/>
    <m/>
    <m/>
  </r>
  <r>
    <n v="24.066666666666666"/>
    <d v="2014-01-09T00:00:00"/>
    <x v="5"/>
    <s v="KBC"/>
    <s v="Kachin"/>
    <s v="Mansi"/>
    <s v="IDPs scattered in South Mansi"/>
    <m/>
    <m/>
    <m/>
    <m/>
    <m/>
    <m/>
    <m/>
    <m/>
    <m/>
    <m/>
    <n v="142"/>
    <n v="284"/>
    <n v="852"/>
    <n v="426"/>
    <m/>
    <m/>
    <m/>
    <n v="0"/>
    <n v="0"/>
    <n v="0"/>
    <n v="0"/>
    <n v="0"/>
    <n v="0"/>
    <n v="0"/>
    <n v="0"/>
    <n v="0"/>
    <n v="0"/>
    <n v="0"/>
    <n v="0"/>
    <n v="0"/>
    <n v="0"/>
    <x v="0"/>
    <n v="0"/>
    <s v="MMR001CMP217"/>
    <x v="1"/>
    <x v="2"/>
    <x v="0"/>
    <s v=""/>
    <m/>
    <m/>
  </r>
  <r>
    <n v="24.133333333333333"/>
    <d v="2014-01-07T00:00:00"/>
    <x v="0"/>
    <s v="UNHCR"/>
    <s v="Kachin"/>
    <s v="Bhamo"/>
    <s v="Robert Church"/>
    <m/>
    <m/>
    <m/>
    <n v="44"/>
    <n v="30"/>
    <n v="44"/>
    <n v="20"/>
    <n v="20"/>
    <m/>
    <m/>
    <m/>
    <m/>
    <m/>
    <m/>
    <m/>
    <m/>
    <m/>
    <n v="0"/>
    <n v="0"/>
    <n v="0"/>
    <n v="0"/>
    <n v="0"/>
    <n v="0"/>
    <n v="0"/>
    <n v="0"/>
    <n v="0"/>
    <n v="0"/>
    <n v="0"/>
    <n v="0"/>
    <n v="0"/>
    <n v="0"/>
    <x v="1"/>
    <n v="0"/>
    <s v="MMR001CMP047"/>
    <x v="1"/>
    <x v="1"/>
    <x v="1"/>
    <n v="3.0674846625766871E-2"/>
    <s v="No"/>
    <m/>
  </r>
  <r>
    <n v="24.333333333333332"/>
    <d v="2014-01-01T00:00:00"/>
    <x v="6"/>
    <s v="MRCS"/>
    <s v="Kachin"/>
    <s v="Mogaung"/>
    <s v="Mang Hawng Baptist Church"/>
    <m/>
    <m/>
    <m/>
    <m/>
    <m/>
    <m/>
    <n v="14"/>
    <m/>
    <m/>
    <m/>
    <m/>
    <m/>
    <m/>
    <m/>
    <m/>
    <m/>
    <m/>
    <n v="0"/>
    <n v="0"/>
    <n v="0"/>
    <n v="0"/>
    <n v="0"/>
    <n v="0"/>
    <n v="0"/>
    <n v="0"/>
    <n v="0"/>
    <n v="0"/>
    <n v="0"/>
    <n v="0"/>
    <n v="0"/>
    <n v="0"/>
    <x v="1"/>
    <n v="0"/>
    <s v="MMR001CMP077"/>
    <x v="1"/>
    <x v="1"/>
    <x v="1"/>
    <n v="0.77777777777777779"/>
    <s v="No"/>
    <m/>
  </r>
  <r>
    <n v="24.333333333333332"/>
    <d v="2014-01-01T00:00:00"/>
    <x v="6"/>
    <s v="MRCS"/>
    <s v="Kachin"/>
    <s v="Mohnyin"/>
    <s v="Nant Mun"/>
    <m/>
    <m/>
    <m/>
    <m/>
    <m/>
    <m/>
    <n v="12"/>
    <m/>
    <m/>
    <m/>
    <m/>
    <m/>
    <m/>
    <m/>
    <m/>
    <m/>
    <m/>
    <n v="0"/>
    <n v="0"/>
    <n v="0"/>
    <n v="0"/>
    <n v="0"/>
    <n v="0"/>
    <n v="0"/>
    <n v="0"/>
    <n v="0"/>
    <n v="0"/>
    <n v="0"/>
    <n v="0"/>
    <n v="0"/>
    <n v="0"/>
    <x v="1"/>
    <n v="0"/>
    <s v="MMR001CMP081"/>
    <x v="1"/>
    <x v="2"/>
    <x v="1"/>
    <s v=""/>
    <s v="No"/>
    <m/>
  </r>
  <r>
    <n v="24.333333333333332"/>
    <d v="2014-01-01T00:00:00"/>
    <x v="6"/>
    <s v="MRCS"/>
    <s v="Kachin"/>
    <s v="Mogaung"/>
    <s v="Nat Gyi Kone Baptist Church "/>
    <m/>
    <m/>
    <m/>
    <m/>
    <m/>
    <m/>
    <n v="13"/>
    <m/>
    <m/>
    <m/>
    <m/>
    <m/>
    <m/>
    <m/>
    <m/>
    <m/>
    <m/>
    <n v="0"/>
    <n v="0"/>
    <n v="0"/>
    <n v="0"/>
    <n v="0"/>
    <n v="0"/>
    <n v="0"/>
    <n v="0"/>
    <n v="0"/>
    <n v="0"/>
    <n v="0"/>
    <n v="0"/>
    <n v="0"/>
    <n v="0"/>
    <x v="1"/>
    <n v="0"/>
    <s v="MMR001CMP079"/>
    <x v="1"/>
    <x v="1"/>
    <x v="1"/>
    <n v="0.9285714285714286"/>
    <s v="No"/>
    <m/>
  </r>
  <r>
    <n v="24.333333333333332"/>
    <d v="2014-01-01T00:00:00"/>
    <x v="6"/>
    <s v="MRCS"/>
    <s v="Kachin"/>
    <s v="Chipwi"/>
    <s v="Pan Wa"/>
    <m/>
    <m/>
    <m/>
    <m/>
    <m/>
    <m/>
    <n v="92"/>
    <m/>
    <m/>
    <m/>
    <m/>
    <m/>
    <m/>
    <m/>
    <m/>
    <m/>
    <m/>
    <n v="0"/>
    <n v="0"/>
    <n v="0"/>
    <n v="0"/>
    <n v="0"/>
    <n v="0"/>
    <n v="0"/>
    <n v="0"/>
    <n v="0"/>
    <n v="0"/>
    <n v="0"/>
    <n v="0"/>
    <n v="0"/>
    <n v="0"/>
    <x v="1"/>
    <n v="0"/>
    <s v="MMR001CMP210"/>
    <x v="1"/>
    <x v="1"/>
    <x v="3"/>
    <n v="1.4153846153846155"/>
    <s v="No"/>
    <m/>
  </r>
  <r>
    <n v="24.633333333333333"/>
    <d v="2013-12-23T00:00:00"/>
    <x v="0"/>
    <s v="UNHCR"/>
    <s v="Kachin"/>
    <s v="Bhamo"/>
    <s v="AD-2000 Tharthana Compound"/>
    <m/>
    <m/>
    <n v="10"/>
    <n v="10"/>
    <n v="7"/>
    <n v="10"/>
    <n v="7"/>
    <n v="7"/>
    <m/>
    <m/>
    <m/>
    <m/>
    <m/>
    <m/>
    <m/>
    <m/>
    <m/>
    <n v="0"/>
    <n v="0"/>
    <n v="0"/>
    <n v="0"/>
    <n v="0"/>
    <n v="0"/>
    <n v="0"/>
    <n v="0"/>
    <n v="0"/>
    <n v="0"/>
    <n v="0"/>
    <n v="0"/>
    <n v="0"/>
    <n v="0"/>
    <x v="1"/>
    <n v="0"/>
    <s v="MMR001CMP050"/>
    <x v="1"/>
    <x v="1"/>
    <x v="1"/>
    <n v="2.5547445255474453E-2"/>
    <s v="No"/>
    <m/>
  </r>
  <r>
    <n v="24.633333333333333"/>
    <d v="2013-12-23T00:00:00"/>
    <x v="5"/>
    <s v="KBC"/>
    <s v="Kachin"/>
    <s v="Waingmaw"/>
    <s v="IDP Boarding School, A Len Bum"/>
    <m/>
    <m/>
    <m/>
    <m/>
    <m/>
    <m/>
    <m/>
    <m/>
    <m/>
    <m/>
    <n v="2"/>
    <n v="111"/>
    <n v="226"/>
    <n v="113"/>
    <m/>
    <m/>
    <m/>
    <n v="0"/>
    <n v="0"/>
    <n v="0"/>
    <n v="0"/>
    <n v="0"/>
    <n v="0"/>
    <n v="0"/>
    <n v="0"/>
    <n v="0"/>
    <n v="0"/>
    <n v="0"/>
    <n v="0"/>
    <n v="0"/>
    <n v="0"/>
    <x v="0"/>
    <n v="0"/>
    <s v="MMR001CMP208"/>
    <x v="1"/>
    <x v="1"/>
    <x v="4"/>
    <s v=""/>
    <m/>
    <m/>
  </r>
  <r>
    <n v="24.633333333333333"/>
    <d v="2013-12-23T00:00:00"/>
    <x v="5"/>
    <s v="KBC"/>
    <s v="Kachin"/>
    <s v="Waingmaw"/>
    <s v="Qtr. 2 Lhaovo Baptist Church"/>
    <m/>
    <m/>
    <m/>
    <m/>
    <m/>
    <m/>
    <m/>
    <m/>
    <m/>
    <m/>
    <n v="59"/>
    <n v="196"/>
    <n v="510"/>
    <n v="255"/>
    <m/>
    <m/>
    <m/>
    <n v="0"/>
    <n v="0"/>
    <n v="0"/>
    <n v="0"/>
    <n v="0"/>
    <n v="0"/>
    <n v="0"/>
    <n v="0"/>
    <n v="0"/>
    <n v="0"/>
    <n v="0"/>
    <n v="0"/>
    <n v="0"/>
    <n v="0"/>
    <x v="0"/>
    <n v="0"/>
    <s v="MMR001CMP032"/>
    <x v="1"/>
    <x v="1"/>
    <x v="1"/>
    <n v="0"/>
    <m/>
    <m/>
  </r>
  <r>
    <n v="24.7"/>
    <d v="2013-12-21T00:00:00"/>
    <x v="5"/>
    <s v="KBC"/>
    <s v="Kachin"/>
    <s v="Waingmaw"/>
    <s v="Thargaya Lisu Baptist Church"/>
    <m/>
    <m/>
    <m/>
    <m/>
    <m/>
    <m/>
    <m/>
    <m/>
    <m/>
    <m/>
    <n v="75"/>
    <n v="139"/>
    <n v="428"/>
    <n v="214"/>
    <m/>
    <m/>
    <m/>
    <n v="0"/>
    <n v="0"/>
    <n v="0"/>
    <n v="0"/>
    <n v="0"/>
    <n v="0"/>
    <n v="0"/>
    <n v="0"/>
    <n v="0"/>
    <n v="0"/>
    <n v="0"/>
    <n v="0"/>
    <n v="0"/>
    <n v="0"/>
    <x v="0"/>
    <n v="0"/>
    <s v="MMR001CMP037"/>
    <x v="1"/>
    <x v="1"/>
    <x v="1"/>
    <n v="0"/>
    <m/>
    <m/>
  </r>
  <r>
    <n v="24.733333333333334"/>
    <d v="2013-12-20T00:00:00"/>
    <x v="5"/>
    <s v="KBC"/>
    <s v="Kachin"/>
    <s v="Waingmaw"/>
    <s v="Maina AG Church"/>
    <m/>
    <m/>
    <m/>
    <m/>
    <m/>
    <m/>
    <m/>
    <m/>
    <m/>
    <m/>
    <n v="141"/>
    <n v="265"/>
    <n v="812"/>
    <n v="406"/>
    <m/>
    <m/>
    <m/>
    <n v="0"/>
    <n v="0"/>
    <n v="0"/>
    <n v="0"/>
    <n v="0"/>
    <n v="0"/>
    <n v="0"/>
    <n v="0"/>
    <n v="0"/>
    <n v="0"/>
    <n v="0"/>
    <n v="0"/>
    <n v="0"/>
    <n v="0"/>
    <x v="0"/>
    <n v="0"/>
    <s v="MMR001CMP031"/>
    <x v="1"/>
    <x v="1"/>
    <x v="1"/>
    <n v="0"/>
    <m/>
    <m/>
  </r>
  <r>
    <n v="24.733333333333334"/>
    <d v="2013-12-20T00:00:00"/>
    <x v="5"/>
    <s v="KBC"/>
    <s v="Kachin"/>
    <s v="Waingmaw"/>
    <s v="Maina Lawang Baptist Church"/>
    <m/>
    <m/>
    <m/>
    <m/>
    <m/>
    <m/>
    <m/>
    <m/>
    <m/>
    <m/>
    <n v="47"/>
    <n v="85"/>
    <n v="264"/>
    <n v="132"/>
    <m/>
    <m/>
    <m/>
    <n v="0"/>
    <n v="0"/>
    <n v="0"/>
    <n v="0"/>
    <n v="0"/>
    <n v="0"/>
    <n v="0"/>
    <n v="0"/>
    <n v="0"/>
    <n v="0"/>
    <n v="0"/>
    <n v="0"/>
    <n v="0"/>
    <n v="0"/>
    <x v="0"/>
    <n v="0"/>
    <s v="MMR001CMP039"/>
    <x v="1"/>
    <x v="1"/>
    <x v="1"/>
    <n v="0"/>
    <m/>
    <m/>
  </r>
  <r>
    <n v="24.733333333333334"/>
    <d v="2013-12-20T00:00:00"/>
    <x v="5"/>
    <s v="KBC"/>
    <s v="Kachin"/>
    <s v="Waingmaw"/>
    <s v="Qtr. 4 Monestry (Thargaya Thayett Taw)"/>
    <m/>
    <m/>
    <m/>
    <m/>
    <m/>
    <m/>
    <m/>
    <m/>
    <m/>
    <m/>
    <n v="102"/>
    <n v="188"/>
    <n v="580"/>
    <n v="290"/>
    <m/>
    <m/>
    <m/>
    <n v="0"/>
    <n v="0"/>
    <n v="0"/>
    <n v="0"/>
    <n v="0"/>
    <n v="0"/>
    <n v="0"/>
    <n v="0"/>
    <n v="0"/>
    <n v="0"/>
    <n v="0"/>
    <n v="0"/>
    <n v="0"/>
    <n v="0"/>
    <x v="0"/>
    <n v="0"/>
    <s v="MMR001CMP026"/>
    <x v="1"/>
    <x v="1"/>
    <x v="1"/>
    <n v="0"/>
    <m/>
    <m/>
  </r>
  <r>
    <n v="24.766666666666666"/>
    <d v="2013-12-19T00:00:00"/>
    <x v="5"/>
    <s v="KBC"/>
    <s v="Kachin"/>
    <s v="Waingmaw"/>
    <s v="Maina KBC (Bawng Ring)"/>
    <m/>
    <m/>
    <m/>
    <m/>
    <m/>
    <m/>
    <m/>
    <m/>
    <m/>
    <m/>
    <n v="414"/>
    <n v="764"/>
    <n v="2356"/>
    <n v="1178"/>
    <m/>
    <m/>
    <m/>
    <n v="0"/>
    <n v="0"/>
    <n v="0"/>
    <n v="0"/>
    <n v="0"/>
    <n v="0"/>
    <n v="0"/>
    <n v="0"/>
    <n v="0"/>
    <n v="0"/>
    <n v="0"/>
    <n v="0"/>
    <n v="0"/>
    <n v="0"/>
    <x v="0"/>
    <n v="0"/>
    <s v="MMR001CMP040"/>
    <x v="1"/>
    <x v="1"/>
    <x v="1"/>
    <n v="0"/>
    <m/>
    <m/>
  </r>
  <r>
    <n v="24.8"/>
    <d v="2013-12-18T00:00:00"/>
    <x v="5"/>
    <s v="KBC"/>
    <s v="Kachin"/>
    <s v="Waingmaw"/>
    <s v="Hkat Cho "/>
    <m/>
    <m/>
    <m/>
    <m/>
    <m/>
    <m/>
    <m/>
    <m/>
    <m/>
    <m/>
    <n v="134"/>
    <n v="238"/>
    <n v="744"/>
    <n v="372"/>
    <m/>
    <m/>
    <m/>
    <n v="0"/>
    <n v="0"/>
    <n v="0"/>
    <n v="0"/>
    <n v="0"/>
    <n v="0"/>
    <n v="0"/>
    <n v="0"/>
    <n v="0"/>
    <n v="0"/>
    <n v="0"/>
    <n v="0"/>
    <n v="0"/>
    <n v="0"/>
    <x v="0"/>
    <n v="0"/>
    <s v="MMR001CMP028"/>
    <x v="1"/>
    <x v="1"/>
    <x v="1"/>
    <n v="0"/>
    <m/>
    <m/>
  </r>
  <r>
    <n v="24.8"/>
    <d v="2013-12-18T00:00:00"/>
    <x v="0"/>
    <s v="UNHCR"/>
    <s v="Kachin"/>
    <s v="Bhamo"/>
    <s v="Host Families"/>
    <m/>
    <m/>
    <m/>
    <m/>
    <n v="4"/>
    <m/>
    <m/>
    <m/>
    <m/>
    <m/>
    <m/>
    <m/>
    <m/>
    <m/>
    <m/>
    <m/>
    <m/>
    <n v="0"/>
    <n v="0"/>
    <n v="0"/>
    <n v="0"/>
    <n v="0"/>
    <n v="0"/>
    <n v="0"/>
    <n v="0"/>
    <n v="0"/>
    <n v="0"/>
    <n v="0"/>
    <n v="0"/>
    <n v="0"/>
    <n v="0"/>
    <x v="1"/>
    <n v="0"/>
    <s v="MMR001CMP163"/>
    <x v="1"/>
    <x v="1"/>
    <x v="1"/>
    <n v="0"/>
    <s v="No"/>
    <m/>
  </r>
  <r>
    <n v="24.8"/>
    <d v="2013-12-18T00:00:00"/>
    <x v="5"/>
    <s v="KBC"/>
    <s v="Kachin"/>
    <s v="Waingmaw"/>
    <s v="Mading Baptist Church"/>
    <m/>
    <m/>
    <m/>
    <m/>
    <m/>
    <m/>
    <m/>
    <m/>
    <m/>
    <m/>
    <n v="23"/>
    <n v="45"/>
    <n v="136"/>
    <n v="68"/>
    <m/>
    <m/>
    <m/>
    <n v="0"/>
    <n v="0"/>
    <n v="0"/>
    <n v="0"/>
    <n v="0"/>
    <n v="0"/>
    <n v="0"/>
    <n v="0"/>
    <n v="0"/>
    <n v="0"/>
    <n v="0"/>
    <n v="0"/>
    <n v="0"/>
    <n v="0"/>
    <x v="0"/>
    <n v="0"/>
    <s v="MMR001CMP027"/>
    <x v="1"/>
    <x v="1"/>
    <x v="1"/>
    <n v="0"/>
    <m/>
    <m/>
  </r>
  <r>
    <n v="24.8"/>
    <d v="2013-12-18T00:00:00"/>
    <x v="5"/>
    <s v="KBC"/>
    <s v="Kachin"/>
    <s v="Waingmaw"/>
    <s v="Qtr. 3 Mu-yin  Baptist Church"/>
    <m/>
    <m/>
    <m/>
    <m/>
    <m/>
    <m/>
    <m/>
    <m/>
    <m/>
    <m/>
    <n v="30"/>
    <n v="57"/>
    <n v="174"/>
    <n v="87"/>
    <m/>
    <m/>
    <m/>
    <n v="0"/>
    <n v="0"/>
    <n v="0"/>
    <n v="0"/>
    <n v="0"/>
    <n v="0"/>
    <n v="0"/>
    <n v="0"/>
    <n v="0"/>
    <n v="0"/>
    <n v="0"/>
    <n v="0"/>
    <n v="0"/>
    <n v="0"/>
    <x v="0"/>
    <n v="0"/>
    <s v="MMR001CMP030"/>
    <x v="1"/>
    <x v="1"/>
    <x v="1"/>
    <n v="0"/>
    <m/>
    <m/>
  </r>
  <r>
    <n v="24.833333333333332"/>
    <d v="2013-12-17T00:00:00"/>
    <x v="5"/>
    <s v="KBC"/>
    <s v="Kachin"/>
    <s v="Waingmaw"/>
    <s v="Qtr. 2 Myoma Baptist Church"/>
    <m/>
    <m/>
    <m/>
    <m/>
    <m/>
    <m/>
    <m/>
    <m/>
    <m/>
    <m/>
    <n v="73"/>
    <n v="146"/>
    <n v="438"/>
    <n v="219"/>
    <m/>
    <m/>
    <m/>
    <n v="0"/>
    <n v="0"/>
    <n v="0"/>
    <n v="0"/>
    <n v="0"/>
    <n v="0"/>
    <n v="0"/>
    <n v="0"/>
    <n v="0"/>
    <n v="0"/>
    <n v="0"/>
    <n v="0"/>
    <n v="0"/>
    <n v="0"/>
    <x v="0"/>
    <n v="0"/>
    <s v="MMR001CMP025"/>
    <x v="1"/>
    <x v="1"/>
    <x v="1"/>
    <n v="0"/>
    <m/>
    <m/>
  </r>
  <r>
    <n v="24.833333333333332"/>
    <d v="2013-12-17T00:00:00"/>
    <x v="5"/>
    <s v="KBC"/>
    <s v="Kachin"/>
    <s v="Waingmaw"/>
    <s v="Shing Jai"/>
    <m/>
    <m/>
    <m/>
    <m/>
    <m/>
    <m/>
    <m/>
    <m/>
    <m/>
    <m/>
    <n v="188"/>
    <n v="343"/>
    <n v="1062"/>
    <n v="531"/>
    <m/>
    <m/>
    <m/>
    <n v="0"/>
    <n v="0"/>
    <n v="0"/>
    <n v="0"/>
    <n v="0"/>
    <n v="0"/>
    <n v="0"/>
    <n v="0"/>
    <n v="0"/>
    <n v="0"/>
    <n v="0"/>
    <n v="0"/>
    <n v="0"/>
    <n v="0"/>
    <x v="0"/>
    <n v="0"/>
    <s v="MMR001CMP041"/>
    <x v="1"/>
    <x v="1"/>
    <x v="3"/>
    <n v="0"/>
    <m/>
    <m/>
  </r>
  <r>
    <n v="24.866666666666667"/>
    <d v="2013-12-16T00:00:00"/>
    <x v="5"/>
    <s v="KBC"/>
    <s v="Kachin"/>
    <s v="Waingmaw"/>
    <s v="Waingmaw AG Church"/>
    <m/>
    <m/>
    <m/>
    <m/>
    <m/>
    <m/>
    <m/>
    <m/>
    <m/>
    <m/>
    <n v="77"/>
    <n v="153"/>
    <n v="460"/>
    <n v="230"/>
    <m/>
    <m/>
    <m/>
    <n v="0"/>
    <n v="0"/>
    <n v="0"/>
    <n v="0"/>
    <n v="0"/>
    <n v="0"/>
    <n v="0"/>
    <n v="0"/>
    <n v="0"/>
    <n v="0"/>
    <n v="0"/>
    <n v="0"/>
    <n v="0"/>
    <n v="0"/>
    <x v="0"/>
    <n v="0"/>
    <s v="MMR001CMP038"/>
    <x v="1"/>
    <x v="1"/>
    <x v="1"/>
    <n v="0"/>
    <m/>
    <m/>
  </r>
  <r>
    <n v="24.966666666666665"/>
    <d v="2013-12-13T00:00:00"/>
    <x v="5"/>
    <s v="Solidarities"/>
    <s v="Kachin"/>
    <s v="Mansi"/>
    <s v="Mansi Baptist Church"/>
    <m/>
    <m/>
    <m/>
    <m/>
    <m/>
    <m/>
    <m/>
    <m/>
    <m/>
    <m/>
    <n v="13"/>
    <n v="53"/>
    <n v="132"/>
    <n v="66"/>
    <m/>
    <m/>
    <m/>
    <n v="0"/>
    <n v="0"/>
    <n v="0"/>
    <n v="0"/>
    <n v="0"/>
    <n v="0"/>
    <n v="0"/>
    <n v="0"/>
    <n v="0"/>
    <n v="0"/>
    <n v="0"/>
    <n v="0"/>
    <n v="0"/>
    <n v="0"/>
    <x v="0"/>
    <n v="0"/>
    <s v="MMR001CMP066"/>
    <x v="1"/>
    <x v="1"/>
    <x v="1"/>
    <n v="0"/>
    <m/>
    <m/>
  </r>
  <r>
    <n v="25.033333333333335"/>
    <d v="2013-12-11T00:00:00"/>
    <x v="7"/>
    <s v="WPN"/>
    <s v="Kachin"/>
    <s v="Mansi"/>
    <s v="Bum Tsit Pa "/>
    <m/>
    <m/>
    <m/>
    <m/>
    <m/>
    <n v="278"/>
    <m/>
    <m/>
    <m/>
    <m/>
    <m/>
    <m/>
    <m/>
    <m/>
    <m/>
    <m/>
    <m/>
    <n v="0"/>
    <n v="0"/>
    <n v="0"/>
    <n v="0"/>
    <n v="0"/>
    <n v="0"/>
    <n v="0"/>
    <n v="0"/>
    <n v="0"/>
    <n v="0"/>
    <n v="0"/>
    <n v="0"/>
    <n v="0"/>
    <n v="0"/>
    <x v="1"/>
    <n v="0"/>
    <s v="MMR001CMP129"/>
    <x v="1"/>
    <x v="1"/>
    <x v="4"/>
    <n v="0"/>
    <s v="No"/>
    <m/>
  </r>
  <r>
    <n v="25.033333333333335"/>
    <d v="2013-12-11T00:00:00"/>
    <x v="7"/>
    <s v="WPN"/>
    <s v="Kachin"/>
    <s v="Mansi"/>
    <s v="Bum Tsit Pa "/>
    <m/>
    <m/>
    <m/>
    <m/>
    <m/>
    <n v="174"/>
    <m/>
    <m/>
    <m/>
    <m/>
    <m/>
    <m/>
    <m/>
    <m/>
    <m/>
    <m/>
    <m/>
    <n v="0"/>
    <n v="0"/>
    <n v="0"/>
    <n v="0"/>
    <n v="0"/>
    <n v="0"/>
    <n v="0"/>
    <n v="0"/>
    <n v="0"/>
    <n v="0"/>
    <n v="0"/>
    <n v="0"/>
    <n v="0"/>
    <n v="0"/>
    <x v="1"/>
    <n v="0"/>
    <s v="MMR001CMP129"/>
    <x v="1"/>
    <x v="1"/>
    <x v="4"/>
    <n v="0"/>
    <s v="No"/>
    <m/>
  </r>
  <r>
    <n v="25.033333333333335"/>
    <d v="2013-12-11T00:00:00"/>
    <x v="7"/>
    <s v="WPN"/>
    <s v="Kachin"/>
    <s v="Mansi"/>
    <s v="Lana Zup Ja "/>
    <m/>
    <m/>
    <m/>
    <m/>
    <m/>
    <n v="543"/>
    <m/>
    <m/>
    <m/>
    <m/>
    <m/>
    <m/>
    <m/>
    <m/>
    <m/>
    <m/>
    <m/>
    <n v="0"/>
    <n v="0"/>
    <n v="0"/>
    <n v="0"/>
    <n v="0"/>
    <n v="0"/>
    <n v="0"/>
    <n v="0"/>
    <n v="0"/>
    <n v="0"/>
    <n v="0"/>
    <n v="0"/>
    <n v="0"/>
    <n v="0"/>
    <x v="1"/>
    <n v="0"/>
    <s v="MMR001CMP128"/>
    <x v="1"/>
    <x v="1"/>
    <x v="4"/>
    <n v="0"/>
    <s v="No"/>
    <m/>
  </r>
  <r>
    <n v="25.033333333333335"/>
    <d v="2013-12-11T00:00:00"/>
    <x v="7"/>
    <s v="WPN"/>
    <s v="Kachin"/>
    <s v="Mansi"/>
    <s v="Lung Kawk  ( Hka Hkye Zup)"/>
    <m/>
    <m/>
    <m/>
    <m/>
    <m/>
    <n v="38"/>
    <m/>
    <m/>
    <m/>
    <m/>
    <m/>
    <m/>
    <m/>
    <m/>
    <m/>
    <m/>
    <m/>
    <n v="0"/>
    <n v="0"/>
    <n v="0"/>
    <n v="0"/>
    <n v="0"/>
    <n v="0"/>
    <n v="0"/>
    <n v="0"/>
    <n v="0"/>
    <n v="0"/>
    <n v="0"/>
    <n v="0"/>
    <n v="0"/>
    <n v="0"/>
    <x v="1"/>
    <n v="0"/>
    <s v="MMR001CMP135"/>
    <x v="1"/>
    <x v="2"/>
    <x v="4"/>
    <s v=""/>
    <s v="No"/>
    <m/>
  </r>
  <r>
    <n v="25.033333333333335"/>
    <d v="2013-12-11T00:00:00"/>
    <x v="7"/>
    <s v="WPN"/>
    <s v="Kachin"/>
    <s v="Momauk"/>
    <s v="Nhkawng Pa "/>
    <m/>
    <m/>
    <m/>
    <m/>
    <m/>
    <n v="350"/>
    <m/>
    <m/>
    <m/>
    <m/>
    <m/>
    <m/>
    <m/>
    <m/>
    <m/>
    <m/>
    <m/>
    <n v="0"/>
    <n v="0"/>
    <n v="0"/>
    <n v="0"/>
    <n v="0"/>
    <n v="0"/>
    <n v="0"/>
    <n v="0"/>
    <n v="0"/>
    <n v="0"/>
    <n v="0"/>
    <n v="0"/>
    <n v="0"/>
    <n v="0"/>
    <x v="1"/>
    <n v="0"/>
    <s v="MMR001CMP131"/>
    <x v="1"/>
    <x v="1"/>
    <x v="3"/>
    <n v="0"/>
    <s v="No"/>
    <m/>
  </r>
  <r>
    <n v="25.033333333333335"/>
    <d v="2013-12-11T00:00:00"/>
    <x v="7"/>
    <s v="WPN"/>
    <s v="Kachin"/>
    <s v="Momauk"/>
    <s v="Pa Kahtawng "/>
    <m/>
    <m/>
    <m/>
    <m/>
    <m/>
    <n v="417"/>
    <m/>
    <m/>
    <m/>
    <m/>
    <m/>
    <m/>
    <m/>
    <m/>
    <m/>
    <m/>
    <m/>
    <n v="0"/>
    <n v="0"/>
    <n v="0"/>
    <n v="0"/>
    <n v="0"/>
    <n v="0"/>
    <n v="0"/>
    <n v="0"/>
    <n v="0"/>
    <n v="0"/>
    <n v="0"/>
    <n v="0"/>
    <n v="0"/>
    <n v="0"/>
    <x v="1"/>
    <n v="0"/>
    <s v="MMR001CMP126"/>
    <x v="1"/>
    <x v="1"/>
    <x v="4"/>
    <n v="0"/>
    <s v="No"/>
    <m/>
  </r>
  <r>
    <n v="25.066666666666666"/>
    <d v="2013-12-10T00:00:00"/>
    <x v="4"/>
    <m/>
    <s v="Kachin"/>
    <s v="Mansi"/>
    <s v="Man Wing Catholic Church"/>
    <m/>
    <m/>
    <m/>
    <m/>
    <m/>
    <m/>
    <m/>
    <m/>
    <m/>
    <m/>
    <m/>
    <n v="256"/>
    <m/>
    <m/>
    <m/>
    <m/>
    <m/>
    <n v="0"/>
    <n v="0"/>
    <n v="0"/>
    <n v="0"/>
    <n v="0"/>
    <n v="0"/>
    <n v="0"/>
    <n v="0"/>
    <n v="0"/>
    <n v="0"/>
    <n v="0"/>
    <n v="0"/>
    <n v="0"/>
    <n v="0"/>
    <x v="0"/>
    <n v="0"/>
    <s v="MMR001CMP132"/>
    <x v="1"/>
    <x v="1"/>
    <x v="1"/>
    <n v="0"/>
    <s v="No"/>
    <m/>
  </r>
  <r>
    <n v="25.233333333333334"/>
    <d v="2013-12-05T00:00:00"/>
    <x v="5"/>
    <s v="KBC"/>
    <s v="Kachin"/>
    <s v="Momauk"/>
    <s v="Dum Bung "/>
    <m/>
    <m/>
    <m/>
    <m/>
    <m/>
    <m/>
    <m/>
    <m/>
    <m/>
    <m/>
    <n v="120"/>
    <n v="240"/>
    <n v="720"/>
    <n v="360"/>
    <m/>
    <m/>
    <m/>
    <n v="0"/>
    <n v="0"/>
    <n v="0"/>
    <n v="0"/>
    <n v="0"/>
    <n v="0"/>
    <n v="0"/>
    <n v="0"/>
    <n v="0"/>
    <n v="0"/>
    <n v="0"/>
    <n v="0"/>
    <n v="0"/>
    <n v="0"/>
    <x v="0"/>
    <n v="0"/>
    <s v="MMR001CMP123"/>
    <x v="1"/>
    <x v="1"/>
    <x v="4"/>
    <n v="0"/>
    <m/>
    <m/>
  </r>
  <r>
    <n v="25.266666666666666"/>
    <d v="2013-12-04T00:00:00"/>
    <x v="0"/>
    <s v="UNHCR"/>
    <s v="Kachin"/>
    <s v="Bhamo"/>
    <s v="Aung Thar Church"/>
    <m/>
    <m/>
    <m/>
    <m/>
    <m/>
    <n v="10"/>
    <n v="5"/>
    <n v="5"/>
    <m/>
    <m/>
    <m/>
    <m/>
    <m/>
    <m/>
    <m/>
    <m/>
    <m/>
    <n v="0"/>
    <n v="0"/>
    <n v="0"/>
    <n v="0"/>
    <n v="0"/>
    <n v="0"/>
    <n v="0"/>
    <n v="0"/>
    <n v="0"/>
    <n v="0"/>
    <n v="0"/>
    <n v="0"/>
    <n v="0"/>
    <n v="0"/>
    <x v="1"/>
    <n v="0"/>
    <s v="MMR001CMP194"/>
    <x v="1"/>
    <x v="1"/>
    <x v="1"/>
    <n v="0.41666666666666669"/>
    <s v="No"/>
    <m/>
  </r>
  <r>
    <n v="25.266666666666666"/>
    <d v="2013-12-04T00:00:00"/>
    <x v="0"/>
    <s v="UNHCR"/>
    <s v="Kachin"/>
    <s v="Bhamo"/>
    <s v="Robert Church"/>
    <m/>
    <m/>
    <m/>
    <m/>
    <m/>
    <n v="120"/>
    <m/>
    <m/>
    <m/>
    <m/>
    <m/>
    <m/>
    <m/>
    <m/>
    <m/>
    <m/>
    <m/>
    <n v="0"/>
    <n v="0"/>
    <n v="0"/>
    <n v="0"/>
    <n v="0"/>
    <n v="0"/>
    <n v="0"/>
    <n v="0"/>
    <n v="0"/>
    <n v="0"/>
    <n v="0"/>
    <n v="0"/>
    <n v="0"/>
    <n v="0"/>
    <x v="1"/>
    <n v="0"/>
    <s v="MMR001CMP047"/>
    <x v="1"/>
    <x v="1"/>
    <x v="1"/>
    <n v="0"/>
    <s v="No"/>
    <m/>
  </r>
  <r>
    <n v="25.266666666666666"/>
    <d v="2013-12-04T00:00:00"/>
    <x v="0"/>
    <s v="UNHCR"/>
    <s v="Kachin"/>
    <s v="Bhamo"/>
    <s v="Robert Church"/>
    <m/>
    <m/>
    <m/>
    <m/>
    <n v="5"/>
    <m/>
    <m/>
    <m/>
    <m/>
    <m/>
    <m/>
    <m/>
    <m/>
    <m/>
    <m/>
    <m/>
    <m/>
    <n v="0"/>
    <n v="0"/>
    <n v="0"/>
    <n v="0"/>
    <n v="0"/>
    <n v="0"/>
    <n v="0"/>
    <n v="0"/>
    <n v="0"/>
    <n v="0"/>
    <n v="0"/>
    <n v="0"/>
    <n v="0"/>
    <n v="0"/>
    <x v="1"/>
    <n v="0"/>
    <s v="MMR001CMP047"/>
    <x v="1"/>
    <x v="1"/>
    <x v="1"/>
    <n v="0"/>
    <s v="No"/>
    <m/>
  </r>
  <r>
    <n v="25.3"/>
    <d v="2013-12-03T00:00:00"/>
    <x v="5"/>
    <s v="KBC"/>
    <s v="Kachin"/>
    <s v="Waingmaw"/>
    <s v="Border Post 8"/>
    <m/>
    <m/>
    <m/>
    <m/>
    <m/>
    <m/>
    <m/>
    <m/>
    <m/>
    <m/>
    <n v="181"/>
    <n v="362"/>
    <n v="1086"/>
    <n v="543"/>
    <m/>
    <m/>
    <m/>
    <n v="0"/>
    <n v="0"/>
    <n v="0"/>
    <n v="0"/>
    <n v="0"/>
    <n v="0"/>
    <n v="0"/>
    <n v="0"/>
    <n v="0"/>
    <n v="0"/>
    <n v="0"/>
    <n v="0"/>
    <n v="0"/>
    <n v="0"/>
    <x v="0"/>
    <n v="0"/>
    <s v="MMR001CMP113"/>
    <x v="1"/>
    <x v="1"/>
    <x v="3"/>
    <n v="0"/>
    <m/>
    <m/>
  </r>
  <r>
    <n v="25.3"/>
    <d v="2013-12-03T00:00:00"/>
    <x v="0"/>
    <s v="UNHCR"/>
    <s v="Kachin"/>
    <s v="Momauk"/>
    <s v="Momauk Baptist Church"/>
    <m/>
    <m/>
    <m/>
    <n v="25"/>
    <n v="13"/>
    <n v="25"/>
    <n v="13"/>
    <n v="13"/>
    <m/>
    <m/>
    <m/>
    <m/>
    <m/>
    <m/>
    <m/>
    <m/>
    <m/>
    <n v="0"/>
    <n v="0"/>
    <n v="0"/>
    <n v="0"/>
    <n v="0"/>
    <n v="0"/>
    <n v="0"/>
    <n v="0"/>
    <n v="0"/>
    <n v="0"/>
    <n v="0"/>
    <n v="0"/>
    <n v="0"/>
    <n v="0"/>
    <x v="1"/>
    <n v="0"/>
    <s v="MMR001CMP056"/>
    <x v="1"/>
    <x v="1"/>
    <x v="1"/>
    <n v="6.280193236714976E-2"/>
    <s v="No"/>
    <m/>
  </r>
  <r>
    <n v="25.333333333333332"/>
    <d v="2013-12-02T00:00:00"/>
    <x v="5"/>
    <s v="KBC"/>
    <s v="Kachin"/>
    <s v="Waingmaw"/>
    <s v="Post 6 Camp"/>
    <m/>
    <m/>
    <m/>
    <m/>
    <m/>
    <m/>
    <m/>
    <m/>
    <m/>
    <m/>
    <n v="124"/>
    <n v="248"/>
    <n v="744"/>
    <n v="372"/>
    <m/>
    <m/>
    <m/>
    <n v="0"/>
    <n v="0"/>
    <n v="0"/>
    <n v="0"/>
    <n v="0"/>
    <n v="0"/>
    <n v="0"/>
    <n v="0"/>
    <n v="0"/>
    <n v="0"/>
    <n v="0"/>
    <n v="0"/>
    <n v="0"/>
    <n v="0"/>
    <x v="0"/>
    <n v="0"/>
    <s v="MMR001CMP160"/>
    <x v="1"/>
    <x v="1"/>
    <x v="3"/>
    <n v="0"/>
    <m/>
    <m/>
  </r>
  <r>
    <n v="25.366666666666667"/>
    <d v="2013-12-01T00:00:00"/>
    <x v="0"/>
    <s v="UNHCR"/>
    <s v="Kachin"/>
    <s v="Bhamo"/>
    <s v="Robert Church"/>
    <m/>
    <m/>
    <m/>
    <m/>
    <m/>
    <n v="30"/>
    <m/>
    <m/>
    <m/>
    <m/>
    <m/>
    <m/>
    <m/>
    <m/>
    <m/>
    <m/>
    <m/>
    <n v="0"/>
    <n v="0"/>
    <n v="0"/>
    <n v="0"/>
    <n v="0"/>
    <n v="0"/>
    <n v="0"/>
    <n v="0"/>
    <n v="0"/>
    <n v="0"/>
    <n v="0"/>
    <n v="0"/>
    <n v="0"/>
    <n v="0"/>
    <x v="1"/>
    <n v="0"/>
    <s v="MMR001CMP047"/>
    <x v="1"/>
    <x v="1"/>
    <x v="1"/>
    <n v="0"/>
    <s v="No"/>
    <m/>
  </r>
  <r>
    <n v="25.4"/>
    <d v="2013-11-30T00:00:00"/>
    <x v="8"/>
    <s v="MDCG"/>
    <s v="Kachin"/>
    <s v="Shwegu"/>
    <s v="Shwe Gu Baptist Church"/>
    <m/>
    <m/>
    <m/>
    <m/>
    <m/>
    <n v="197"/>
    <m/>
    <m/>
    <m/>
    <m/>
    <n v="226"/>
    <n v="68"/>
    <n v="0"/>
    <m/>
    <m/>
    <m/>
    <m/>
    <n v="0"/>
    <n v="0"/>
    <n v="0"/>
    <n v="0"/>
    <n v="0"/>
    <n v="0"/>
    <n v="0"/>
    <n v="0"/>
    <n v="0"/>
    <n v="0"/>
    <n v="0"/>
    <n v="0"/>
    <n v="0"/>
    <n v="0"/>
    <x v="0"/>
    <n v="0"/>
    <s v="MMR001CMP067"/>
    <x v="1"/>
    <x v="1"/>
    <x v="1"/>
    <n v="0"/>
    <s v="No"/>
    <m/>
  </r>
  <r>
    <n v="25.4"/>
    <d v="2013-11-30T00:00:00"/>
    <x v="5"/>
    <m/>
    <s v="Kachin"/>
    <s v="Shwegu"/>
    <s v="Shwe Gu Baptist Church"/>
    <m/>
    <m/>
    <m/>
    <m/>
    <m/>
    <m/>
    <m/>
    <m/>
    <m/>
    <n v="204"/>
    <m/>
    <m/>
    <m/>
    <m/>
    <m/>
    <m/>
    <m/>
    <n v="0"/>
    <n v="0"/>
    <n v="0"/>
    <n v="0"/>
    <n v="0"/>
    <n v="0"/>
    <n v="0"/>
    <n v="0"/>
    <n v="0"/>
    <n v="0"/>
    <n v="0"/>
    <n v="0"/>
    <n v="0"/>
    <n v="0"/>
    <x v="1"/>
    <n v="0"/>
    <s v="MMR001CMP067"/>
    <x v="1"/>
    <x v="1"/>
    <x v="1"/>
    <n v="0"/>
    <s v="No"/>
    <m/>
  </r>
  <r>
    <n v="25.4"/>
    <d v="2013-11-30T00:00:00"/>
    <x v="8"/>
    <s v="MDCG"/>
    <s v="Kachin"/>
    <s v="Shwegu"/>
    <s v="Shwe Gu Catholic Church"/>
    <m/>
    <m/>
    <m/>
    <m/>
    <m/>
    <n v="142"/>
    <m/>
    <m/>
    <m/>
    <m/>
    <n v="182"/>
    <n v="60"/>
    <n v="0"/>
    <m/>
    <m/>
    <m/>
    <m/>
    <n v="0"/>
    <n v="0"/>
    <n v="0"/>
    <n v="0"/>
    <n v="0"/>
    <n v="0"/>
    <n v="0"/>
    <n v="0"/>
    <n v="0"/>
    <n v="0"/>
    <n v="0"/>
    <n v="0"/>
    <n v="0"/>
    <n v="0"/>
    <x v="0"/>
    <n v="0"/>
    <s v="MMR001CMP068"/>
    <x v="1"/>
    <x v="1"/>
    <x v="1"/>
    <n v="0"/>
    <s v="No"/>
    <m/>
  </r>
  <r>
    <n v="25.4"/>
    <d v="2013-11-30T00:00:00"/>
    <x v="5"/>
    <m/>
    <s v="Kachin"/>
    <s v="Shwegu"/>
    <s v="Shwe Gu Catholic Church"/>
    <m/>
    <m/>
    <m/>
    <m/>
    <m/>
    <m/>
    <m/>
    <m/>
    <m/>
    <n v="126"/>
    <m/>
    <m/>
    <m/>
    <m/>
    <m/>
    <m/>
    <m/>
    <n v="0"/>
    <n v="0"/>
    <n v="0"/>
    <n v="0"/>
    <n v="0"/>
    <n v="0"/>
    <n v="0"/>
    <n v="0"/>
    <n v="0"/>
    <n v="0"/>
    <n v="0"/>
    <n v="0"/>
    <n v="0"/>
    <n v="0"/>
    <x v="1"/>
    <n v="0"/>
    <s v="MMR001CMP068"/>
    <x v="1"/>
    <x v="1"/>
    <x v="1"/>
    <n v="0"/>
    <s v="No"/>
    <m/>
  </r>
  <r>
    <n v="25.4"/>
    <d v="2013-11-30T00:00:00"/>
    <x v="8"/>
    <s v="MDCG"/>
    <s v="Kachin"/>
    <s v="Bhamo"/>
    <s v="AD-2000 Tharthana Compound"/>
    <m/>
    <m/>
    <m/>
    <m/>
    <m/>
    <n v="104"/>
    <m/>
    <m/>
    <m/>
    <m/>
    <n v="146"/>
    <n v="39"/>
    <n v="0"/>
    <m/>
    <m/>
    <m/>
    <m/>
    <n v="0"/>
    <n v="0"/>
    <n v="0"/>
    <n v="0"/>
    <n v="0"/>
    <n v="0"/>
    <n v="0"/>
    <n v="0"/>
    <n v="0"/>
    <n v="0"/>
    <n v="0"/>
    <n v="0"/>
    <n v="0"/>
    <n v="0"/>
    <x v="0"/>
    <n v="0"/>
    <s v="MMR001CMP050"/>
    <x v="1"/>
    <x v="1"/>
    <x v="1"/>
    <n v="0"/>
    <s v="No"/>
    <m/>
  </r>
  <r>
    <n v="25.4"/>
    <d v="2013-11-30T00:00:00"/>
    <x v="5"/>
    <m/>
    <s v="Kachin"/>
    <s v="Bhamo"/>
    <s v="AD-2000 Tharthana Compound"/>
    <m/>
    <m/>
    <m/>
    <m/>
    <m/>
    <m/>
    <m/>
    <m/>
    <m/>
    <n v="660"/>
    <m/>
    <m/>
    <m/>
    <m/>
    <m/>
    <m/>
    <m/>
    <n v="0"/>
    <n v="0"/>
    <n v="0"/>
    <n v="0"/>
    <n v="0"/>
    <n v="0"/>
    <n v="0"/>
    <n v="0"/>
    <n v="0"/>
    <n v="0"/>
    <n v="0"/>
    <n v="0"/>
    <n v="0"/>
    <n v="0"/>
    <x v="1"/>
    <n v="0"/>
    <s v="MMR001CMP050"/>
    <x v="1"/>
    <x v="1"/>
    <x v="1"/>
    <n v="0"/>
    <s v="No"/>
    <m/>
  </r>
  <r>
    <n v="25.4"/>
    <d v="2013-11-30T00:00:00"/>
    <x v="0"/>
    <s v="UNHCR"/>
    <s v="Kachin"/>
    <s v="Bhamo"/>
    <s v="AD-2000 Tharthana Compound"/>
    <m/>
    <m/>
    <m/>
    <n v="6"/>
    <n v="6"/>
    <n v="6"/>
    <n v="6"/>
    <n v="6"/>
    <m/>
    <m/>
    <m/>
    <m/>
    <m/>
    <m/>
    <m/>
    <m/>
    <m/>
    <n v="0"/>
    <n v="0"/>
    <n v="0"/>
    <n v="0"/>
    <n v="0"/>
    <n v="0"/>
    <n v="0"/>
    <n v="0"/>
    <n v="0"/>
    <n v="0"/>
    <n v="0"/>
    <n v="0"/>
    <n v="0"/>
    <n v="0"/>
    <x v="1"/>
    <n v="0"/>
    <s v="MMR001CMP050"/>
    <x v="1"/>
    <x v="1"/>
    <x v="1"/>
    <n v="2.1897810218978103E-2"/>
    <s v="No"/>
    <m/>
  </r>
  <r>
    <n v="25.4"/>
    <d v="2013-11-30T00:00:00"/>
    <x v="5"/>
    <m/>
    <s v="Kachin"/>
    <s v="Bhamo"/>
    <s v="Aung Thar Church"/>
    <m/>
    <m/>
    <m/>
    <m/>
    <m/>
    <m/>
    <m/>
    <m/>
    <m/>
    <m/>
    <m/>
    <m/>
    <m/>
    <m/>
    <m/>
    <m/>
    <m/>
    <n v="0"/>
    <n v="0"/>
    <n v="0"/>
    <n v="0"/>
    <n v="0"/>
    <n v="0"/>
    <n v="0"/>
    <n v="0"/>
    <n v="0"/>
    <n v="0"/>
    <n v="0"/>
    <n v="0"/>
    <n v="0"/>
    <n v="0"/>
    <x v="1"/>
    <n v="0"/>
    <s v="MMR001CMP194"/>
    <x v="1"/>
    <x v="2"/>
    <x v="1"/>
    <n v="0"/>
    <s v="No"/>
    <m/>
  </r>
  <r>
    <n v="25.4"/>
    <d v="2013-11-30T00:00:00"/>
    <x v="5"/>
    <s v="KBC"/>
    <s v="Kachin"/>
    <s v="Waingmaw"/>
    <s v="Border Post 8"/>
    <m/>
    <m/>
    <m/>
    <m/>
    <m/>
    <m/>
    <m/>
    <m/>
    <m/>
    <m/>
    <m/>
    <m/>
    <m/>
    <m/>
    <m/>
    <m/>
    <m/>
    <n v="0"/>
    <n v="0"/>
    <n v="0"/>
    <n v="0"/>
    <n v="0"/>
    <n v="0"/>
    <n v="0"/>
    <n v="0"/>
    <n v="0"/>
    <n v="0"/>
    <n v="0"/>
    <n v="0"/>
    <n v="0"/>
    <n v="0"/>
    <x v="1"/>
    <n v="0"/>
    <s v="MMR001CMP113"/>
    <x v="1"/>
    <x v="1"/>
    <x v="3"/>
    <n v="0"/>
    <s v="No"/>
    <m/>
  </r>
  <r>
    <n v="25.4"/>
    <d v="2013-11-30T00:00:00"/>
    <x v="8"/>
    <s v="MDCG"/>
    <s v="Kachin"/>
    <s v="Mansi"/>
    <s v="Bum Tsit Pa "/>
    <m/>
    <m/>
    <m/>
    <m/>
    <m/>
    <n v="819"/>
    <m/>
    <m/>
    <m/>
    <m/>
    <n v="966"/>
    <n v="484"/>
    <n v="0"/>
    <m/>
    <m/>
    <m/>
    <m/>
    <n v="0"/>
    <n v="0"/>
    <n v="0"/>
    <n v="0"/>
    <n v="0"/>
    <n v="0"/>
    <n v="0"/>
    <n v="0"/>
    <n v="0"/>
    <n v="0"/>
    <n v="0"/>
    <n v="0"/>
    <n v="0"/>
    <n v="0"/>
    <x v="0"/>
    <n v="0"/>
    <s v="MMR001CMP129"/>
    <x v="1"/>
    <x v="1"/>
    <x v="4"/>
    <n v="0"/>
    <s v="No"/>
    <m/>
  </r>
  <r>
    <n v="25.4"/>
    <d v="2013-11-30T00:00:00"/>
    <x v="5"/>
    <s v="KBC"/>
    <s v="Kachin"/>
    <s v="Mansi"/>
    <s v="Bum Tsit Pa "/>
    <m/>
    <m/>
    <m/>
    <m/>
    <m/>
    <m/>
    <m/>
    <m/>
    <m/>
    <n v="321"/>
    <m/>
    <m/>
    <m/>
    <m/>
    <m/>
    <m/>
    <m/>
    <n v="0"/>
    <n v="0"/>
    <n v="0"/>
    <n v="0"/>
    <n v="0"/>
    <n v="0"/>
    <n v="0"/>
    <n v="0"/>
    <n v="0"/>
    <n v="0"/>
    <n v="0"/>
    <n v="0"/>
    <n v="0"/>
    <n v="0"/>
    <x v="1"/>
    <n v="0"/>
    <s v="MMR001CMP129"/>
    <x v="1"/>
    <x v="1"/>
    <x v="4"/>
    <n v="0"/>
    <s v="No"/>
    <m/>
  </r>
  <r>
    <n v="25.4"/>
    <d v="2013-11-30T00:00:00"/>
    <x v="0"/>
    <s v="UNHCR"/>
    <s v="Kachin"/>
    <s v="Mansi"/>
    <s v="Bum Tsit Pa "/>
    <m/>
    <m/>
    <m/>
    <m/>
    <m/>
    <m/>
    <m/>
    <m/>
    <m/>
    <m/>
    <m/>
    <m/>
    <m/>
    <m/>
    <m/>
    <m/>
    <m/>
    <n v="0"/>
    <n v="0"/>
    <n v="0"/>
    <n v="0"/>
    <n v="0"/>
    <n v="0"/>
    <n v="0"/>
    <n v="0"/>
    <n v="0"/>
    <n v="0"/>
    <n v="0"/>
    <n v="0"/>
    <n v="0"/>
    <n v="0"/>
    <x v="1"/>
    <n v="0"/>
    <s v="MMR001CMP129"/>
    <x v="1"/>
    <x v="1"/>
    <x v="4"/>
    <n v="0"/>
    <s v="No"/>
    <m/>
  </r>
  <r>
    <n v="25.4"/>
    <d v="2013-11-30T00:00:00"/>
    <x v="5"/>
    <s v="KBC"/>
    <s v="Kachin"/>
    <s v="Momauk"/>
    <s v="Dum Bung "/>
    <m/>
    <m/>
    <m/>
    <m/>
    <m/>
    <m/>
    <m/>
    <m/>
    <m/>
    <m/>
    <m/>
    <m/>
    <m/>
    <m/>
    <m/>
    <m/>
    <m/>
    <n v="0"/>
    <n v="0"/>
    <n v="0"/>
    <n v="0"/>
    <n v="0"/>
    <n v="0"/>
    <n v="0"/>
    <n v="0"/>
    <n v="0"/>
    <n v="0"/>
    <n v="0"/>
    <n v="0"/>
    <n v="0"/>
    <n v="0"/>
    <x v="1"/>
    <n v="0"/>
    <s v="MMR001CMP123"/>
    <x v="1"/>
    <x v="1"/>
    <x v="4"/>
    <n v="0"/>
    <s v="No"/>
    <m/>
  </r>
  <r>
    <n v="25.4"/>
    <d v="2013-11-30T00:00:00"/>
    <x v="0"/>
    <s v="UNHCR"/>
    <s v="Kachin"/>
    <s v="Momauk"/>
    <s v="Dum Bung "/>
    <m/>
    <m/>
    <m/>
    <m/>
    <m/>
    <m/>
    <m/>
    <m/>
    <m/>
    <m/>
    <m/>
    <m/>
    <m/>
    <m/>
    <m/>
    <m/>
    <m/>
    <n v="0"/>
    <n v="0"/>
    <n v="0"/>
    <n v="0"/>
    <n v="0"/>
    <n v="0"/>
    <n v="0"/>
    <n v="0"/>
    <n v="0"/>
    <n v="0"/>
    <n v="0"/>
    <n v="0"/>
    <n v="0"/>
    <n v="0"/>
    <x v="1"/>
    <n v="0"/>
    <s v="MMR001CMP123"/>
    <x v="1"/>
    <x v="1"/>
    <x v="4"/>
    <n v="0"/>
    <s v="No"/>
    <m/>
  </r>
  <r>
    <n v="25.4"/>
    <d v="2013-11-30T00:00:00"/>
    <x v="5"/>
    <s v="KBC"/>
    <s v="Kachin"/>
    <s v="Waingmaw"/>
    <s v="Hkat Cho "/>
    <m/>
    <m/>
    <m/>
    <m/>
    <m/>
    <m/>
    <m/>
    <m/>
    <m/>
    <m/>
    <m/>
    <m/>
    <m/>
    <m/>
    <m/>
    <m/>
    <m/>
    <n v="0"/>
    <n v="0"/>
    <n v="0"/>
    <n v="0"/>
    <n v="0"/>
    <n v="0"/>
    <n v="0"/>
    <n v="0"/>
    <n v="0"/>
    <n v="0"/>
    <n v="0"/>
    <n v="0"/>
    <n v="0"/>
    <n v="0"/>
    <x v="1"/>
    <n v="0"/>
    <s v="MMR001CMP028"/>
    <x v="1"/>
    <x v="1"/>
    <x v="1"/>
    <n v="0"/>
    <s v="No"/>
    <m/>
  </r>
  <r>
    <n v="25.4"/>
    <d v="2013-11-30T00:00:00"/>
    <x v="5"/>
    <s v="KBC"/>
    <s v="Kachin"/>
    <s v="Waingmaw"/>
    <s v="Hkau Shau (BP 12)"/>
    <m/>
    <m/>
    <m/>
    <m/>
    <m/>
    <m/>
    <m/>
    <m/>
    <m/>
    <m/>
    <m/>
    <m/>
    <m/>
    <m/>
    <m/>
    <m/>
    <m/>
    <n v="0"/>
    <n v="0"/>
    <n v="0"/>
    <n v="0"/>
    <n v="0"/>
    <n v="0"/>
    <n v="0"/>
    <n v="0"/>
    <n v="0"/>
    <n v="0"/>
    <n v="0"/>
    <n v="0"/>
    <n v="0"/>
    <n v="0"/>
    <x v="1"/>
    <n v="0"/>
    <s v="MMR001CMP115"/>
    <x v="1"/>
    <x v="1"/>
    <x v="3"/>
    <n v="0"/>
    <s v="No"/>
    <m/>
  </r>
  <r>
    <n v="25.4"/>
    <d v="2013-11-30T00:00:00"/>
    <x v="5"/>
    <s v="KBC"/>
    <s v="Kachin"/>
    <s v="Momauk"/>
    <s v="Hpun Lum Yang "/>
    <m/>
    <m/>
    <m/>
    <m/>
    <m/>
    <m/>
    <m/>
    <m/>
    <m/>
    <n v="978"/>
    <m/>
    <m/>
    <m/>
    <m/>
    <m/>
    <m/>
    <m/>
    <n v="0"/>
    <n v="0"/>
    <n v="0"/>
    <n v="0"/>
    <n v="0"/>
    <n v="0"/>
    <n v="0"/>
    <n v="0"/>
    <n v="0"/>
    <n v="0"/>
    <n v="0"/>
    <n v="0"/>
    <n v="0"/>
    <n v="0"/>
    <x v="1"/>
    <n v="0"/>
    <s v="MMR001CMP122"/>
    <x v="1"/>
    <x v="1"/>
    <x v="4"/>
    <n v="0"/>
    <s v="No"/>
    <m/>
  </r>
  <r>
    <n v="25.4"/>
    <d v="2013-11-30T00:00:00"/>
    <x v="8"/>
    <s v="MDCG"/>
    <s v="Kachin"/>
    <s v="Bhamo"/>
    <s v="Htoi San Church"/>
    <m/>
    <m/>
    <m/>
    <m/>
    <m/>
    <n v="105"/>
    <m/>
    <m/>
    <m/>
    <m/>
    <n v="154"/>
    <n v="26"/>
    <n v="0"/>
    <m/>
    <m/>
    <m/>
    <m/>
    <n v="0"/>
    <n v="0"/>
    <n v="0"/>
    <n v="0"/>
    <n v="0"/>
    <n v="0"/>
    <n v="0"/>
    <n v="0"/>
    <n v="0"/>
    <n v="0"/>
    <n v="0"/>
    <n v="0"/>
    <n v="0"/>
    <n v="0"/>
    <x v="0"/>
    <n v="0"/>
    <s v="MMR001CMP052"/>
    <x v="1"/>
    <x v="1"/>
    <x v="1"/>
    <n v="0"/>
    <s v="No"/>
    <m/>
  </r>
  <r>
    <n v="25.4"/>
    <d v="2013-11-30T00:00:00"/>
    <x v="5"/>
    <m/>
    <s v="Kachin"/>
    <s v="Bhamo"/>
    <s v="Htoi San Church"/>
    <m/>
    <m/>
    <m/>
    <m/>
    <m/>
    <m/>
    <m/>
    <m/>
    <m/>
    <n v="138"/>
    <m/>
    <m/>
    <m/>
    <m/>
    <m/>
    <m/>
    <m/>
    <n v="0"/>
    <n v="0"/>
    <n v="0"/>
    <n v="0"/>
    <n v="0"/>
    <n v="0"/>
    <n v="0"/>
    <n v="0"/>
    <n v="0"/>
    <n v="0"/>
    <n v="0"/>
    <n v="0"/>
    <n v="0"/>
    <n v="0"/>
    <x v="1"/>
    <n v="0"/>
    <s v="MMR001CMP052"/>
    <x v="1"/>
    <x v="1"/>
    <x v="1"/>
    <n v="0"/>
    <s v="No"/>
    <m/>
  </r>
  <r>
    <n v="25.4"/>
    <d v="2013-11-30T00:00:00"/>
    <x v="5"/>
    <s v="KBC"/>
    <s v="Kachin"/>
    <s v="Momauk"/>
    <s v="Je Yang Hka "/>
    <m/>
    <m/>
    <m/>
    <m/>
    <m/>
    <m/>
    <m/>
    <m/>
    <m/>
    <n v="5268"/>
    <m/>
    <m/>
    <m/>
    <m/>
    <m/>
    <m/>
    <m/>
    <n v="0"/>
    <n v="0"/>
    <n v="0"/>
    <n v="0"/>
    <n v="0"/>
    <n v="0"/>
    <n v="0"/>
    <n v="0"/>
    <n v="0"/>
    <n v="0"/>
    <n v="0"/>
    <n v="0"/>
    <n v="0"/>
    <n v="0"/>
    <x v="1"/>
    <n v="0"/>
    <s v="MMR001CMP121"/>
    <x v="1"/>
    <x v="1"/>
    <x v="4"/>
    <n v="0"/>
    <s v="No"/>
    <m/>
  </r>
  <r>
    <n v="25.4"/>
    <d v="2013-11-30T00:00:00"/>
    <x v="8"/>
    <s v="MDCG"/>
    <s v="Kachin"/>
    <s v="Mansi"/>
    <s v="Lagatyan "/>
    <m/>
    <m/>
    <m/>
    <m/>
    <m/>
    <n v="447"/>
    <m/>
    <m/>
    <m/>
    <m/>
    <n v="398"/>
    <n v="390"/>
    <n v="0"/>
    <m/>
    <m/>
    <m/>
    <m/>
    <n v="0"/>
    <n v="0"/>
    <n v="0"/>
    <n v="0"/>
    <n v="0"/>
    <n v="0"/>
    <n v="0"/>
    <n v="0"/>
    <n v="0"/>
    <n v="0"/>
    <n v="0"/>
    <n v="0"/>
    <n v="0"/>
    <n v="0"/>
    <x v="0"/>
    <n v="0"/>
    <s v="MMR001CMP202"/>
    <x v="1"/>
    <x v="2"/>
    <x v="1"/>
    <s v=""/>
    <s v="No"/>
    <m/>
  </r>
  <r>
    <n v="25.4"/>
    <d v="2013-11-30T00:00:00"/>
    <x v="5"/>
    <m/>
    <s v="Kachin"/>
    <s v="Mansi"/>
    <s v="Lagatyan "/>
    <m/>
    <m/>
    <m/>
    <m/>
    <m/>
    <m/>
    <m/>
    <m/>
    <m/>
    <m/>
    <m/>
    <m/>
    <m/>
    <m/>
    <m/>
    <m/>
    <m/>
    <n v="0"/>
    <n v="0"/>
    <n v="0"/>
    <n v="0"/>
    <n v="0"/>
    <n v="0"/>
    <n v="0"/>
    <n v="0"/>
    <n v="0"/>
    <n v="0"/>
    <n v="0"/>
    <n v="0"/>
    <n v="0"/>
    <n v="0"/>
    <x v="1"/>
    <n v="0"/>
    <s v="MMR001CMP202"/>
    <x v="1"/>
    <x v="2"/>
    <x v="1"/>
    <s v=""/>
    <s v="No"/>
    <m/>
  </r>
  <r>
    <n v="25.4"/>
    <d v="2013-11-30T00:00:00"/>
    <x v="5"/>
    <s v="KBC"/>
    <s v="Kachin"/>
    <s v="Waingmaw"/>
    <s v="Laiza Market 3 - Laiza Gat"/>
    <m/>
    <m/>
    <m/>
    <m/>
    <m/>
    <m/>
    <m/>
    <m/>
    <m/>
    <n v="729"/>
    <m/>
    <m/>
    <m/>
    <m/>
    <m/>
    <m/>
    <m/>
    <n v="0"/>
    <n v="0"/>
    <n v="0"/>
    <n v="0"/>
    <n v="0"/>
    <n v="0"/>
    <n v="0"/>
    <n v="0"/>
    <n v="0"/>
    <n v="0"/>
    <n v="0"/>
    <n v="0"/>
    <n v="0"/>
    <n v="0"/>
    <x v="1"/>
    <n v="0"/>
    <s v="MMR001CMP117"/>
    <x v="1"/>
    <x v="2"/>
    <x v="4"/>
    <s v=""/>
    <s v="No"/>
    <m/>
  </r>
  <r>
    <n v="25.4"/>
    <d v="2013-11-30T00:00:00"/>
    <x v="5"/>
    <s v="LDO"/>
    <s v="Kachin"/>
    <s v="Mansi"/>
    <s v="Lana Zup Ja "/>
    <m/>
    <m/>
    <m/>
    <m/>
    <m/>
    <m/>
    <m/>
    <m/>
    <m/>
    <m/>
    <m/>
    <m/>
    <m/>
    <m/>
    <m/>
    <m/>
    <m/>
    <n v="0"/>
    <n v="0"/>
    <n v="0"/>
    <n v="0"/>
    <n v="0"/>
    <n v="0"/>
    <n v="0"/>
    <n v="0"/>
    <n v="0"/>
    <n v="0"/>
    <n v="0"/>
    <n v="0"/>
    <n v="0"/>
    <n v="0"/>
    <x v="1"/>
    <n v="0"/>
    <s v="MMR001CMP128"/>
    <x v="1"/>
    <x v="1"/>
    <x v="4"/>
    <n v="0"/>
    <s v="No"/>
    <m/>
  </r>
  <r>
    <n v="25.4"/>
    <d v="2013-11-30T00:00:00"/>
    <x v="0"/>
    <s v="UNHCR"/>
    <s v="Kachin"/>
    <s v="Mansi"/>
    <s v="Lana Zup Ja "/>
    <m/>
    <m/>
    <m/>
    <m/>
    <m/>
    <m/>
    <m/>
    <m/>
    <m/>
    <m/>
    <m/>
    <m/>
    <m/>
    <m/>
    <m/>
    <m/>
    <m/>
    <n v="0"/>
    <n v="0"/>
    <n v="0"/>
    <n v="0"/>
    <n v="0"/>
    <n v="0"/>
    <n v="0"/>
    <n v="0"/>
    <n v="0"/>
    <n v="0"/>
    <n v="0"/>
    <n v="0"/>
    <n v="0"/>
    <n v="0"/>
    <x v="1"/>
    <n v="0"/>
    <s v="MMR001CMP128"/>
    <x v="1"/>
    <x v="1"/>
    <x v="4"/>
    <n v="0"/>
    <s v="No"/>
    <m/>
  </r>
  <r>
    <n v="25.4"/>
    <d v="2013-11-30T00:00:00"/>
    <x v="5"/>
    <s v="KBC"/>
    <s v="Kachin"/>
    <s v="Chipwi"/>
    <s v="Lhaovao Baptist Church (LBC)"/>
    <m/>
    <m/>
    <m/>
    <m/>
    <m/>
    <m/>
    <m/>
    <m/>
    <m/>
    <m/>
    <m/>
    <m/>
    <m/>
    <m/>
    <m/>
    <m/>
    <m/>
    <n v="0"/>
    <n v="0"/>
    <n v="0"/>
    <n v="0"/>
    <n v="0"/>
    <n v="0"/>
    <n v="0"/>
    <n v="0"/>
    <n v="0"/>
    <n v="0"/>
    <n v="0"/>
    <n v="0"/>
    <n v="0"/>
    <n v="0"/>
    <x v="1"/>
    <n v="0"/>
    <s v="MMR001CMP195"/>
    <x v="1"/>
    <x v="1"/>
    <x v="3"/>
    <n v="0"/>
    <s v="No"/>
    <m/>
  </r>
  <r>
    <n v="25.4"/>
    <d v="2013-11-30T00:00:00"/>
    <x v="8"/>
    <s v="MDCG"/>
    <s v="Kachin"/>
    <s v="Bhamo"/>
    <s v="Lisu Boarding-House"/>
    <m/>
    <m/>
    <m/>
    <m/>
    <m/>
    <n v="206"/>
    <m/>
    <m/>
    <m/>
    <m/>
    <n v="242"/>
    <n v="156"/>
    <n v="0"/>
    <m/>
    <m/>
    <m/>
    <m/>
    <n v="0"/>
    <n v="0"/>
    <n v="0"/>
    <n v="0"/>
    <n v="0"/>
    <n v="0"/>
    <n v="0"/>
    <n v="0"/>
    <n v="0"/>
    <n v="0"/>
    <n v="0"/>
    <n v="0"/>
    <n v="0"/>
    <n v="0"/>
    <x v="0"/>
    <n v="0"/>
    <s v="MMR001CMP049"/>
    <x v="1"/>
    <x v="1"/>
    <x v="1"/>
    <n v="0"/>
    <s v="No"/>
    <m/>
  </r>
  <r>
    <n v="25.4"/>
    <d v="2013-11-30T00:00:00"/>
    <x v="5"/>
    <m/>
    <s v="Kachin"/>
    <s v="Bhamo"/>
    <s v="Lisu Boarding-House"/>
    <m/>
    <m/>
    <m/>
    <m/>
    <m/>
    <m/>
    <m/>
    <m/>
    <m/>
    <n v="120"/>
    <m/>
    <m/>
    <m/>
    <m/>
    <m/>
    <m/>
    <m/>
    <n v="0"/>
    <n v="0"/>
    <n v="0"/>
    <n v="0"/>
    <n v="0"/>
    <n v="0"/>
    <n v="0"/>
    <n v="0"/>
    <n v="0"/>
    <n v="0"/>
    <n v="0"/>
    <n v="0"/>
    <n v="0"/>
    <n v="0"/>
    <x v="1"/>
    <n v="0"/>
    <s v="MMR001CMP049"/>
    <x v="1"/>
    <x v="1"/>
    <x v="1"/>
    <n v="0"/>
    <s v="No"/>
    <m/>
  </r>
  <r>
    <n v="25.4"/>
    <d v="2013-11-30T00:00:00"/>
    <x v="5"/>
    <m/>
    <s v="Kachin"/>
    <s v="Momauk"/>
    <s v="Loi Je Baptist Church"/>
    <m/>
    <m/>
    <m/>
    <m/>
    <m/>
    <m/>
    <m/>
    <m/>
    <m/>
    <n v="105"/>
    <m/>
    <m/>
    <m/>
    <m/>
    <m/>
    <m/>
    <m/>
    <n v="0"/>
    <n v="0"/>
    <n v="0"/>
    <n v="0"/>
    <n v="0"/>
    <n v="0"/>
    <n v="0"/>
    <n v="0"/>
    <n v="0"/>
    <n v="0"/>
    <n v="0"/>
    <n v="0"/>
    <n v="0"/>
    <n v="0"/>
    <x v="1"/>
    <n v="0"/>
    <s v="MMR001CMP071"/>
    <x v="1"/>
    <x v="1"/>
    <x v="2"/>
    <n v="0"/>
    <s v="No"/>
    <m/>
  </r>
  <r>
    <n v="25.4"/>
    <d v="2013-11-30T00:00:00"/>
    <x v="5"/>
    <m/>
    <s v="Kachin"/>
    <s v="Momauk"/>
    <s v="Loi Je Catholic Church"/>
    <m/>
    <m/>
    <m/>
    <m/>
    <m/>
    <m/>
    <m/>
    <m/>
    <m/>
    <n v="246"/>
    <m/>
    <m/>
    <m/>
    <m/>
    <m/>
    <m/>
    <m/>
    <n v="0"/>
    <n v="0"/>
    <n v="0"/>
    <n v="0"/>
    <n v="0"/>
    <n v="0"/>
    <n v="0"/>
    <n v="0"/>
    <n v="0"/>
    <n v="0"/>
    <n v="0"/>
    <n v="0"/>
    <n v="0"/>
    <n v="0"/>
    <x v="1"/>
    <n v="0"/>
    <s v="MMR001CMP069"/>
    <x v="1"/>
    <x v="1"/>
    <x v="2"/>
    <n v="0"/>
    <s v="No"/>
    <m/>
  </r>
  <r>
    <n v="25.4"/>
    <d v="2013-11-30T00:00:00"/>
    <x v="5"/>
    <m/>
    <s v="Kachin"/>
    <s v="Momauk"/>
    <s v="Loi Je Lisu Camp"/>
    <m/>
    <m/>
    <m/>
    <m/>
    <m/>
    <m/>
    <m/>
    <m/>
    <m/>
    <n v="369"/>
    <m/>
    <m/>
    <m/>
    <m/>
    <m/>
    <m/>
    <m/>
    <n v="0"/>
    <n v="0"/>
    <n v="0"/>
    <n v="0"/>
    <n v="0"/>
    <n v="0"/>
    <n v="0"/>
    <n v="0"/>
    <n v="0"/>
    <n v="0"/>
    <n v="0"/>
    <n v="0"/>
    <n v="0"/>
    <n v="0"/>
    <x v="1"/>
    <n v="0"/>
    <s v="MMR001CMP070"/>
    <x v="1"/>
    <x v="1"/>
    <x v="2"/>
    <n v="0"/>
    <s v="No"/>
    <m/>
  </r>
  <r>
    <n v="25.4"/>
    <d v="2013-11-30T00:00:00"/>
    <x v="5"/>
    <s v="LDO"/>
    <s v="Kachin"/>
    <s v="Mansi"/>
    <s v="Lung Kawk  ( Hka Hkye Zup)"/>
    <m/>
    <m/>
    <m/>
    <m/>
    <m/>
    <m/>
    <m/>
    <m/>
    <m/>
    <m/>
    <m/>
    <m/>
    <m/>
    <m/>
    <m/>
    <m/>
    <m/>
    <n v="0"/>
    <n v="0"/>
    <n v="0"/>
    <n v="0"/>
    <n v="0"/>
    <n v="0"/>
    <n v="0"/>
    <n v="0"/>
    <n v="0"/>
    <n v="0"/>
    <n v="0"/>
    <n v="0"/>
    <n v="0"/>
    <n v="0"/>
    <x v="1"/>
    <n v="0"/>
    <s v="MMR001CMP135"/>
    <x v="1"/>
    <x v="2"/>
    <x v="4"/>
    <s v=""/>
    <s v="No"/>
    <m/>
  </r>
  <r>
    <n v="25.4"/>
    <d v="2013-11-30T00:00:00"/>
    <x v="5"/>
    <s v="KBC"/>
    <s v="Kachin"/>
    <s v="Waingmaw"/>
    <s v="Mading Baptist Church"/>
    <m/>
    <m/>
    <m/>
    <m/>
    <m/>
    <m/>
    <m/>
    <m/>
    <m/>
    <m/>
    <m/>
    <m/>
    <m/>
    <m/>
    <m/>
    <m/>
    <m/>
    <n v="0"/>
    <n v="0"/>
    <n v="0"/>
    <n v="0"/>
    <n v="0"/>
    <n v="0"/>
    <n v="0"/>
    <n v="0"/>
    <n v="0"/>
    <n v="0"/>
    <n v="0"/>
    <n v="0"/>
    <n v="0"/>
    <n v="0"/>
    <x v="1"/>
    <n v="0"/>
    <s v="MMR001CMP027"/>
    <x v="1"/>
    <x v="1"/>
    <x v="1"/>
    <n v="0"/>
    <s v="No"/>
    <m/>
  </r>
  <r>
    <n v="25.4"/>
    <d v="2013-11-30T00:00:00"/>
    <x v="5"/>
    <s v="KBC"/>
    <s v="Kachin"/>
    <s v="Waingmaw"/>
    <s v="Maga Yang "/>
    <m/>
    <m/>
    <m/>
    <m/>
    <m/>
    <m/>
    <m/>
    <m/>
    <m/>
    <m/>
    <m/>
    <m/>
    <m/>
    <m/>
    <m/>
    <m/>
    <m/>
    <n v="0"/>
    <n v="0"/>
    <n v="0"/>
    <n v="0"/>
    <n v="0"/>
    <n v="0"/>
    <n v="0"/>
    <n v="0"/>
    <n v="0"/>
    <n v="0"/>
    <n v="0"/>
    <n v="0"/>
    <n v="0"/>
    <n v="0"/>
    <x v="1"/>
    <n v="0"/>
    <s v="MMR001CMP119"/>
    <x v="1"/>
    <x v="1"/>
    <x v="4"/>
    <n v="0"/>
    <s v="No"/>
    <m/>
  </r>
  <r>
    <n v="25.4"/>
    <d v="2013-11-30T00:00:00"/>
    <x v="5"/>
    <s v="KBC"/>
    <s v="Kachin"/>
    <s v="Waingmaw"/>
    <s v="Maina AG Church"/>
    <m/>
    <m/>
    <m/>
    <m/>
    <m/>
    <m/>
    <m/>
    <m/>
    <m/>
    <m/>
    <m/>
    <m/>
    <m/>
    <m/>
    <m/>
    <m/>
    <m/>
    <n v="0"/>
    <n v="0"/>
    <n v="0"/>
    <n v="0"/>
    <n v="0"/>
    <n v="0"/>
    <n v="0"/>
    <n v="0"/>
    <n v="0"/>
    <n v="0"/>
    <n v="0"/>
    <n v="0"/>
    <n v="0"/>
    <n v="0"/>
    <x v="1"/>
    <n v="0"/>
    <s v="MMR001CMP031"/>
    <x v="1"/>
    <x v="1"/>
    <x v="1"/>
    <n v="0"/>
    <s v="No"/>
    <m/>
  </r>
  <r>
    <n v="25.4"/>
    <d v="2013-11-30T00:00:00"/>
    <x v="5"/>
    <s v="KBC"/>
    <s v="Kachin"/>
    <s v="Waingmaw"/>
    <s v="Maina KBC (Bawng Ring)"/>
    <m/>
    <m/>
    <m/>
    <m/>
    <m/>
    <m/>
    <m/>
    <m/>
    <m/>
    <m/>
    <m/>
    <m/>
    <m/>
    <m/>
    <m/>
    <m/>
    <m/>
    <n v="0"/>
    <n v="0"/>
    <n v="0"/>
    <n v="0"/>
    <n v="0"/>
    <n v="0"/>
    <n v="0"/>
    <n v="0"/>
    <n v="0"/>
    <n v="0"/>
    <n v="0"/>
    <n v="0"/>
    <n v="0"/>
    <n v="0"/>
    <x v="1"/>
    <n v="0"/>
    <s v="MMR001CMP040"/>
    <x v="1"/>
    <x v="1"/>
    <x v="1"/>
    <n v="0"/>
    <s v="No"/>
    <m/>
  </r>
  <r>
    <n v="25.4"/>
    <d v="2013-11-30T00:00:00"/>
    <x v="5"/>
    <s v="KBC"/>
    <s v="Kachin"/>
    <s v="Waingmaw"/>
    <s v="Maina Lawang Baptist Church"/>
    <m/>
    <m/>
    <m/>
    <m/>
    <m/>
    <m/>
    <m/>
    <m/>
    <m/>
    <m/>
    <m/>
    <m/>
    <m/>
    <m/>
    <m/>
    <m/>
    <m/>
    <n v="0"/>
    <n v="0"/>
    <n v="0"/>
    <n v="0"/>
    <n v="0"/>
    <n v="0"/>
    <n v="0"/>
    <n v="0"/>
    <n v="0"/>
    <n v="0"/>
    <n v="0"/>
    <n v="0"/>
    <n v="0"/>
    <n v="0"/>
    <x v="1"/>
    <n v="0"/>
    <s v="MMR001CMP039"/>
    <x v="1"/>
    <x v="1"/>
    <x v="1"/>
    <n v="0"/>
    <s v="No"/>
    <m/>
  </r>
  <r>
    <n v="25.4"/>
    <d v="2013-11-30T00:00:00"/>
    <x v="5"/>
    <m/>
    <s v="Kachin"/>
    <s v="Momauk"/>
    <s v="Man Bung Catholic compound"/>
    <m/>
    <m/>
    <m/>
    <m/>
    <m/>
    <m/>
    <m/>
    <m/>
    <m/>
    <n v="141"/>
    <m/>
    <m/>
    <m/>
    <m/>
    <m/>
    <m/>
    <m/>
    <n v="0"/>
    <n v="0"/>
    <n v="0"/>
    <n v="0"/>
    <n v="0"/>
    <n v="0"/>
    <n v="0"/>
    <n v="0"/>
    <n v="0"/>
    <n v="0"/>
    <n v="0"/>
    <n v="0"/>
    <n v="0"/>
    <n v="0"/>
    <x v="1"/>
    <n v="0"/>
    <s v="MMR001CMP062"/>
    <x v="1"/>
    <x v="1"/>
    <x v="1"/>
    <n v="0"/>
    <s v="No"/>
    <m/>
  </r>
  <r>
    <n v="25.4"/>
    <d v="2013-11-30T00:00:00"/>
    <x v="8"/>
    <s v="MDCG"/>
    <s v="Kachin"/>
    <s v="Mansi"/>
    <s v="Man Wing Baptist Church"/>
    <m/>
    <m/>
    <m/>
    <m/>
    <m/>
    <n v="347"/>
    <m/>
    <m/>
    <m/>
    <m/>
    <n v="386"/>
    <n v="234"/>
    <n v="0"/>
    <m/>
    <m/>
    <m/>
    <m/>
    <n v="0"/>
    <n v="0"/>
    <n v="0"/>
    <n v="0"/>
    <n v="0"/>
    <n v="0"/>
    <n v="0"/>
    <n v="0"/>
    <n v="0"/>
    <n v="0"/>
    <n v="0"/>
    <n v="0"/>
    <n v="0"/>
    <n v="0"/>
    <x v="0"/>
    <n v="0"/>
    <s v="MMR001CMP133"/>
    <x v="1"/>
    <x v="1"/>
    <x v="1"/>
    <n v="0"/>
    <s v="No"/>
    <m/>
  </r>
  <r>
    <n v="25.4"/>
    <d v="2013-11-30T00:00:00"/>
    <x v="5"/>
    <m/>
    <s v="Kachin"/>
    <s v="Mansi"/>
    <s v="Man Wing Baptist Church"/>
    <m/>
    <m/>
    <m/>
    <m/>
    <m/>
    <m/>
    <m/>
    <m/>
    <m/>
    <n v="444"/>
    <m/>
    <m/>
    <m/>
    <m/>
    <m/>
    <m/>
    <m/>
    <n v="0"/>
    <n v="0"/>
    <n v="0"/>
    <n v="0"/>
    <n v="0"/>
    <n v="0"/>
    <n v="0"/>
    <n v="0"/>
    <n v="0"/>
    <n v="0"/>
    <n v="0"/>
    <n v="0"/>
    <n v="0"/>
    <n v="0"/>
    <x v="1"/>
    <n v="0"/>
    <s v="MMR001CMP133"/>
    <x v="1"/>
    <x v="1"/>
    <x v="1"/>
    <n v="0"/>
    <s v="No"/>
    <m/>
  </r>
  <r>
    <n v="25.4"/>
    <d v="2013-11-30T00:00:00"/>
    <x v="8"/>
    <s v="MDCG"/>
    <s v="Kachin"/>
    <s v="Mansi"/>
    <s v="Man Wing Catholic Church"/>
    <m/>
    <m/>
    <m/>
    <m/>
    <m/>
    <n v="770"/>
    <m/>
    <m/>
    <m/>
    <m/>
    <n v="889"/>
    <n v="492"/>
    <n v="0"/>
    <m/>
    <m/>
    <m/>
    <m/>
    <n v="0"/>
    <n v="0"/>
    <n v="0"/>
    <n v="0"/>
    <n v="0"/>
    <n v="0"/>
    <n v="0"/>
    <n v="0"/>
    <n v="0"/>
    <n v="0"/>
    <n v="0"/>
    <n v="0"/>
    <n v="0"/>
    <n v="0"/>
    <x v="0"/>
    <n v="0"/>
    <s v="MMR001CMP132"/>
    <x v="1"/>
    <x v="1"/>
    <x v="1"/>
    <n v="0"/>
    <s v="No"/>
    <m/>
  </r>
  <r>
    <n v="25.4"/>
    <d v="2013-11-30T00:00:00"/>
    <x v="5"/>
    <m/>
    <s v="Kachin"/>
    <s v="Mansi"/>
    <s v="Man Wing Catholic Church"/>
    <m/>
    <m/>
    <m/>
    <m/>
    <m/>
    <m/>
    <m/>
    <m/>
    <m/>
    <n v="1080"/>
    <m/>
    <m/>
    <m/>
    <m/>
    <m/>
    <m/>
    <m/>
    <n v="0"/>
    <n v="0"/>
    <n v="0"/>
    <n v="0"/>
    <n v="0"/>
    <n v="0"/>
    <n v="0"/>
    <n v="0"/>
    <n v="0"/>
    <n v="0"/>
    <n v="0"/>
    <n v="0"/>
    <n v="0"/>
    <n v="0"/>
    <x v="1"/>
    <n v="0"/>
    <s v="MMR001CMP132"/>
    <x v="1"/>
    <x v="1"/>
    <x v="1"/>
    <n v="0"/>
    <s v="No"/>
    <m/>
  </r>
  <r>
    <n v="25.4"/>
    <d v="2013-11-30T00:00:00"/>
    <x v="5"/>
    <m/>
    <s v="Kachin"/>
    <s v="Mansi"/>
    <s v="Mansi Baptist Church"/>
    <m/>
    <m/>
    <m/>
    <m/>
    <m/>
    <m/>
    <m/>
    <m/>
    <m/>
    <n v="225"/>
    <m/>
    <m/>
    <m/>
    <m/>
    <m/>
    <m/>
    <m/>
    <n v="0"/>
    <n v="0"/>
    <n v="0"/>
    <n v="0"/>
    <n v="0"/>
    <n v="0"/>
    <n v="0"/>
    <n v="0"/>
    <n v="0"/>
    <n v="0"/>
    <n v="0"/>
    <n v="0"/>
    <n v="0"/>
    <n v="0"/>
    <x v="1"/>
    <n v="0"/>
    <s v="MMR001CMP066"/>
    <x v="1"/>
    <x v="1"/>
    <x v="1"/>
    <n v="0"/>
    <s v="No"/>
    <m/>
  </r>
  <r>
    <n v="25.4"/>
    <d v="2013-11-30T00:00:00"/>
    <x v="8"/>
    <s v="MDCG"/>
    <s v="Shan_North"/>
    <s v="Kutkai"/>
    <s v="Mine Yu Lay village"/>
    <m/>
    <m/>
    <m/>
    <m/>
    <m/>
    <n v="258"/>
    <m/>
    <m/>
    <m/>
    <m/>
    <n v="349"/>
    <n v="175"/>
    <n v="0"/>
    <m/>
    <m/>
    <m/>
    <m/>
    <n v="0"/>
    <n v="0"/>
    <n v="0"/>
    <n v="0"/>
    <n v="0"/>
    <n v="0"/>
    <n v="0"/>
    <n v="0"/>
    <n v="0"/>
    <n v="0"/>
    <n v="0"/>
    <n v="0"/>
    <n v="0"/>
    <n v="0"/>
    <x v="0"/>
    <n v="0"/>
    <s v="MMR015CMP018"/>
    <x v="1"/>
    <x v="1"/>
    <x v="2"/>
    <n v="0"/>
    <s v="No"/>
    <m/>
  </r>
  <r>
    <n v="25.4"/>
    <d v="2013-11-30T00:00:00"/>
    <x v="5"/>
    <m/>
    <s v="Kachin"/>
    <s v="Momauk"/>
    <s v="Momauk Baptist Church"/>
    <m/>
    <m/>
    <m/>
    <m/>
    <m/>
    <m/>
    <m/>
    <m/>
    <m/>
    <n v="906"/>
    <m/>
    <m/>
    <m/>
    <m/>
    <m/>
    <m/>
    <m/>
    <n v="0"/>
    <n v="0"/>
    <n v="0"/>
    <n v="0"/>
    <n v="0"/>
    <n v="0"/>
    <n v="0"/>
    <n v="0"/>
    <n v="0"/>
    <n v="0"/>
    <n v="0"/>
    <n v="0"/>
    <n v="0"/>
    <n v="0"/>
    <x v="1"/>
    <n v="0"/>
    <s v="MMR001CMP056"/>
    <x v="1"/>
    <x v="1"/>
    <x v="1"/>
    <n v="0"/>
    <s v="No"/>
    <m/>
  </r>
  <r>
    <n v="25.4"/>
    <d v="2013-11-30T00:00:00"/>
    <x v="5"/>
    <m/>
    <s v="Kachin"/>
    <s v="Momauk"/>
    <s v="Momauk Catholic Church (St. Patrick)"/>
    <m/>
    <m/>
    <m/>
    <m/>
    <m/>
    <m/>
    <m/>
    <m/>
    <m/>
    <n v="543"/>
    <m/>
    <m/>
    <m/>
    <m/>
    <m/>
    <m/>
    <m/>
    <n v="0"/>
    <n v="0"/>
    <n v="0"/>
    <n v="0"/>
    <n v="0"/>
    <n v="0"/>
    <n v="0"/>
    <n v="0"/>
    <n v="0"/>
    <n v="0"/>
    <n v="0"/>
    <n v="0"/>
    <n v="0"/>
    <n v="0"/>
    <x v="1"/>
    <n v="0"/>
    <s v="MMR001CMP057"/>
    <x v="1"/>
    <x v="2"/>
    <x v="1"/>
    <s v=""/>
    <s v="No"/>
    <m/>
  </r>
  <r>
    <n v="25.4"/>
    <d v="2013-11-30T00:00:00"/>
    <x v="5"/>
    <s v="KBC"/>
    <s v="Kachin"/>
    <s v="Mansi"/>
    <s v="Nam Lim Pa - Scattered IDPs in forest"/>
    <m/>
    <m/>
    <m/>
    <m/>
    <m/>
    <m/>
    <m/>
    <m/>
    <m/>
    <m/>
    <m/>
    <m/>
    <m/>
    <m/>
    <m/>
    <m/>
    <m/>
    <n v="0"/>
    <n v="0"/>
    <n v="0"/>
    <n v="0"/>
    <n v="0"/>
    <n v="0"/>
    <n v="0"/>
    <n v="0"/>
    <n v="0"/>
    <n v="0"/>
    <n v="0"/>
    <n v="0"/>
    <n v="0"/>
    <n v="0"/>
    <x v="1"/>
    <n v="0"/>
    <s v="MMR001CMP137"/>
    <x v="1"/>
    <x v="2"/>
    <x v="0"/>
    <s v=""/>
    <s v="No"/>
    <m/>
  </r>
  <r>
    <n v="25.4"/>
    <d v="2013-11-30T00:00:00"/>
    <x v="5"/>
    <m/>
    <s v="Kachin"/>
    <s v="Bhamo"/>
    <s v="Nant Hlaing Church"/>
    <m/>
    <m/>
    <m/>
    <m/>
    <m/>
    <m/>
    <m/>
    <m/>
    <m/>
    <n v="57"/>
    <m/>
    <m/>
    <m/>
    <m/>
    <m/>
    <m/>
    <m/>
    <n v="0"/>
    <n v="0"/>
    <n v="0"/>
    <n v="0"/>
    <n v="0"/>
    <n v="0"/>
    <n v="0"/>
    <n v="0"/>
    <n v="0"/>
    <n v="0"/>
    <n v="0"/>
    <n v="0"/>
    <n v="0"/>
    <n v="0"/>
    <x v="1"/>
    <n v="0"/>
    <s v="MMR001CMP054"/>
    <x v="1"/>
    <x v="1"/>
    <x v="1"/>
    <n v="0"/>
    <s v="No"/>
    <m/>
  </r>
  <r>
    <n v="25.4"/>
    <d v="2013-11-30T00:00:00"/>
    <x v="8"/>
    <s v="MDCG"/>
    <s v="Shan_North"/>
    <s v="Hseni"/>
    <s v="Narte"/>
    <m/>
    <m/>
    <m/>
    <m/>
    <m/>
    <n v="201"/>
    <m/>
    <m/>
    <m/>
    <m/>
    <n v="266"/>
    <n v="126"/>
    <n v="0"/>
    <m/>
    <m/>
    <m/>
    <m/>
    <n v="0"/>
    <n v="0"/>
    <n v="0"/>
    <n v="0"/>
    <n v="0"/>
    <n v="0"/>
    <n v="0"/>
    <n v="0"/>
    <n v="0"/>
    <n v="0"/>
    <n v="0"/>
    <n v="0"/>
    <n v="0"/>
    <n v="0"/>
    <x v="0"/>
    <n v="0"/>
    <s v="MMR015CMP207"/>
    <x v="1"/>
    <x v="1"/>
    <x v="1"/>
    <n v="0"/>
    <s v="No"/>
    <m/>
  </r>
  <r>
    <n v="25.4"/>
    <d v="2013-11-30T00:00:00"/>
    <x v="5"/>
    <s v="LDO"/>
    <s v="Kachin"/>
    <s v="Momauk"/>
    <s v="Nhkawng Pa "/>
    <m/>
    <m/>
    <m/>
    <m/>
    <m/>
    <m/>
    <m/>
    <m/>
    <m/>
    <m/>
    <m/>
    <m/>
    <m/>
    <m/>
    <m/>
    <m/>
    <m/>
    <n v="0"/>
    <n v="0"/>
    <n v="0"/>
    <n v="0"/>
    <n v="0"/>
    <n v="0"/>
    <n v="0"/>
    <n v="0"/>
    <n v="0"/>
    <n v="0"/>
    <n v="0"/>
    <n v="0"/>
    <n v="0"/>
    <n v="0"/>
    <x v="1"/>
    <n v="0"/>
    <s v="MMR001CMP131"/>
    <x v="1"/>
    <x v="1"/>
    <x v="3"/>
    <n v="0"/>
    <s v="No"/>
    <m/>
  </r>
  <r>
    <n v="25.4"/>
    <d v="2013-11-30T00:00:00"/>
    <x v="5"/>
    <m/>
    <s v="Kachin"/>
    <s v="Momauk"/>
    <s v="Ni Thaw Ka Monestry"/>
    <m/>
    <m/>
    <m/>
    <m/>
    <m/>
    <m/>
    <m/>
    <m/>
    <m/>
    <n v="60"/>
    <m/>
    <m/>
    <m/>
    <m/>
    <m/>
    <m/>
    <m/>
    <n v="0"/>
    <n v="0"/>
    <n v="0"/>
    <n v="0"/>
    <n v="0"/>
    <n v="0"/>
    <n v="0"/>
    <n v="0"/>
    <n v="0"/>
    <n v="0"/>
    <n v="0"/>
    <n v="0"/>
    <n v="0"/>
    <n v="0"/>
    <x v="1"/>
    <n v="0"/>
    <s v="MMR001CMP059"/>
    <x v="1"/>
    <x v="1"/>
    <x v="1"/>
    <n v="0"/>
    <s v="No"/>
    <m/>
  </r>
  <r>
    <n v="25.4"/>
    <d v="2013-11-30T00:00:00"/>
    <x v="5"/>
    <m/>
    <s v="Kachin"/>
    <s v="Momauk"/>
    <s v="Nyaung Na Pin "/>
    <m/>
    <m/>
    <m/>
    <m/>
    <m/>
    <m/>
    <m/>
    <m/>
    <m/>
    <n v="135"/>
    <m/>
    <m/>
    <m/>
    <m/>
    <m/>
    <m/>
    <m/>
    <n v="0"/>
    <n v="0"/>
    <n v="0"/>
    <n v="0"/>
    <n v="0"/>
    <n v="0"/>
    <n v="0"/>
    <n v="0"/>
    <n v="0"/>
    <n v="0"/>
    <n v="0"/>
    <n v="0"/>
    <n v="0"/>
    <n v="0"/>
    <x v="1"/>
    <n v="0"/>
    <s v="MMR001CMP072"/>
    <x v="1"/>
    <x v="1"/>
    <x v="2"/>
    <n v="0"/>
    <s v="No"/>
    <m/>
  </r>
  <r>
    <n v="25.4"/>
    <d v="2013-11-30T00:00:00"/>
    <x v="5"/>
    <s v="LDO"/>
    <s v="Kachin"/>
    <s v="Momauk"/>
    <s v="Pa Kahtawng "/>
    <m/>
    <m/>
    <m/>
    <m/>
    <m/>
    <m/>
    <m/>
    <m/>
    <m/>
    <m/>
    <m/>
    <m/>
    <m/>
    <m/>
    <m/>
    <m/>
    <m/>
    <n v="0"/>
    <n v="0"/>
    <n v="0"/>
    <n v="0"/>
    <n v="0"/>
    <n v="0"/>
    <n v="0"/>
    <n v="0"/>
    <n v="0"/>
    <n v="0"/>
    <n v="0"/>
    <n v="0"/>
    <n v="0"/>
    <n v="0"/>
    <x v="1"/>
    <n v="0"/>
    <s v="MMR001CMP126"/>
    <x v="1"/>
    <x v="1"/>
    <x v="4"/>
    <n v="0"/>
    <s v="No"/>
    <m/>
  </r>
  <r>
    <n v="25.4"/>
    <d v="2013-11-30T00:00:00"/>
    <x v="0"/>
    <s v="UNHCR"/>
    <s v="Kachin"/>
    <s v="Momauk"/>
    <s v="Pa Kahtawng "/>
    <m/>
    <m/>
    <m/>
    <m/>
    <m/>
    <m/>
    <m/>
    <m/>
    <m/>
    <m/>
    <m/>
    <m/>
    <m/>
    <m/>
    <m/>
    <m/>
    <m/>
    <n v="0"/>
    <n v="0"/>
    <n v="0"/>
    <n v="0"/>
    <n v="0"/>
    <n v="0"/>
    <n v="0"/>
    <n v="0"/>
    <n v="0"/>
    <n v="0"/>
    <n v="0"/>
    <n v="0"/>
    <n v="0"/>
    <n v="0"/>
    <x v="1"/>
    <n v="0"/>
    <s v="MMR001CMP126"/>
    <x v="1"/>
    <x v="1"/>
    <x v="4"/>
    <n v="0"/>
    <s v="No"/>
    <m/>
  </r>
  <r>
    <n v="25.4"/>
    <d v="2013-11-30T00:00:00"/>
    <x v="5"/>
    <s v="KBC"/>
    <s v="Kachin"/>
    <s v="Waingmaw"/>
    <s v="Pajau - Jan Mai"/>
    <m/>
    <m/>
    <m/>
    <m/>
    <m/>
    <m/>
    <m/>
    <m/>
    <m/>
    <m/>
    <m/>
    <m/>
    <m/>
    <m/>
    <m/>
    <m/>
    <m/>
    <n v="0"/>
    <n v="0"/>
    <n v="0"/>
    <n v="0"/>
    <n v="0"/>
    <n v="0"/>
    <n v="0"/>
    <n v="0"/>
    <n v="0"/>
    <n v="0"/>
    <n v="0"/>
    <n v="0"/>
    <n v="0"/>
    <n v="0"/>
    <x v="1"/>
    <n v="0"/>
    <s v="MMR001CMP120"/>
    <x v="1"/>
    <x v="1"/>
    <x v="3"/>
    <n v="0"/>
    <s v="No"/>
    <m/>
  </r>
  <r>
    <n v="25.4"/>
    <d v="2013-11-30T00:00:00"/>
    <x v="8"/>
    <s v="MDCG"/>
    <s v="Kachin"/>
    <s v="Bhamo"/>
    <s v="Phan Khar Kone"/>
    <m/>
    <m/>
    <m/>
    <m/>
    <m/>
    <n v="320"/>
    <m/>
    <m/>
    <m/>
    <m/>
    <n v="234"/>
    <n v="336"/>
    <n v="0"/>
    <m/>
    <m/>
    <m/>
    <m/>
    <n v="0"/>
    <n v="0"/>
    <n v="0"/>
    <n v="0"/>
    <n v="0"/>
    <n v="0"/>
    <n v="0"/>
    <n v="0"/>
    <n v="0"/>
    <n v="0"/>
    <n v="0"/>
    <n v="0"/>
    <n v="0"/>
    <n v="0"/>
    <x v="0"/>
    <n v="0"/>
    <s v="MMR001CMP193"/>
    <x v="1"/>
    <x v="1"/>
    <x v="1"/>
    <n v="0"/>
    <s v="No"/>
    <m/>
  </r>
  <r>
    <n v="25.4"/>
    <d v="2013-11-30T00:00:00"/>
    <x v="5"/>
    <m/>
    <s v="Kachin"/>
    <s v="Bhamo"/>
    <s v="Phan Khar Kone"/>
    <m/>
    <m/>
    <m/>
    <m/>
    <m/>
    <m/>
    <m/>
    <m/>
    <m/>
    <m/>
    <m/>
    <m/>
    <m/>
    <m/>
    <m/>
    <m/>
    <m/>
    <n v="0"/>
    <n v="0"/>
    <n v="0"/>
    <n v="0"/>
    <n v="0"/>
    <n v="0"/>
    <n v="0"/>
    <n v="0"/>
    <n v="0"/>
    <n v="0"/>
    <n v="0"/>
    <n v="0"/>
    <n v="0"/>
    <n v="0"/>
    <x v="1"/>
    <n v="0"/>
    <s v="MMR001CMP193"/>
    <x v="1"/>
    <x v="1"/>
    <x v="1"/>
    <n v="0"/>
    <s v="No"/>
    <m/>
  </r>
  <r>
    <n v="25.4"/>
    <d v="2013-11-30T00:00:00"/>
    <x v="5"/>
    <s v="KBC"/>
    <s v="Kachin"/>
    <s v="Waingmaw"/>
    <s v="Post 6 Camp"/>
    <m/>
    <m/>
    <m/>
    <m/>
    <m/>
    <m/>
    <m/>
    <m/>
    <m/>
    <m/>
    <m/>
    <m/>
    <m/>
    <m/>
    <m/>
    <m/>
    <m/>
    <n v="0"/>
    <n v="0"/>
    <n v="0"/>
    <n v="0"/>
    <n v="0"/>
    <n v="0"/>
    <n v="0"/>
    <n v="0"/>
    <n v="0"/>
    <n v="0"/>
    <n v="0"/>
    <n v="0"/>
    <n v="0"/>
    <n v="0"/>
    <x v="1"/>
    <n v="0"/>
    <s v="MMR001CMP160"/>
    <x v="1"/>
    <x v="1"/>
    <x v="3"/>
    <n v="0"/>
    <s v="No"/>
    <m/>
  </r>
  <r>
    <n v="25.4"/>
    <d v="2013-11-30T00:00:00"/>
    <x v="5"/>
    <s v="KBC"/>
    <s v="Kachin"/>
    <s v="Waingmaw"/>
    <s v="Qtr. 2 Myoma Baptist Church"/>
    <m/>
    <m/>
    <m/>
    <m/>
    <m/>
    <m/>
    <m/>
    <m/>
    <m/>
    <m/>
    <m/>
    <m/>
    <m/>
    <m/>
    <m/>
    <m/>
    <m/>
    <n v="0"/>
    <n v="0"/>
    <n v="0"/>
    <n v="0"/>
    <n v="0"/>
    <n v="0"/>
    <n v="0"/>
    <n v="0"/>
    <n v="0"/>
    <n v="0"/>
    <n v="0"/>
    <n v="0"/>
    <n v="0"/>
    <n v="0"/>
    <x v="1"/>
    <n v="0"/>
    <s v="MMR001CMP025"/>
    <x v="1"/>
    <x v="1"/>
    <x v="1"/>
    <n v="0"/>
    <s v="No"/>
    <m/>
  </r>
  <r>
    <n v="25.4"/>
    <d v="2013-11-30T00:00:00"/>
    <x v="5"/>
    <s v="KBC"/>
    <s v="Kachin"/>
    <s v="Waingmaw"/>
    <s v="Qtr. 3 Mu-yin  Baptist Church"/>
    <m/>
    <m/>
    <m/>
    <m/>
    <m/>
    <m/>
    <m/>
    <m/>
    <m/>
    <m/>
    <m/>
    <m/>
    <m/>
    <m/>
    <m/>
    <m/>
    <m/>
    <n v="0"/>
    <n v="0"/>
    <n v="0"/>
    <n v="0"/>
    <n v="0"/>
    <n v="0"/>
    <n v="0"/>
    <n v="0"/>
    <n v="0"/>
    <n v="0"/>
    <n v="0"/>
    <n v="0"/>
    <n v="0"/>
    <n v="0"/>
    <x v="1"/>
    <n v="0"/>
    <s v="MMR001CMP030"/>
    <x v="1"/>
    <x v="1"/>
    <x v="1"/>
    <n v="0"/>
    <s v="No"/>
    <m/>
  </r>
  <r>
    <n v="25.4"/>
    <d v="2013-11-30T00:00:00"/>
    <x v="5"/>
    <s v="KBC"/>
    <s v="Kachin"/>
    <s v="Waingmaw"/>
    <s v="Qtr. 4 Monestry (Thargaya Thayett Taw)"/>
    <m/>
    <m/>
    <m/>
    <m/>
    <m/>
    <m/>
    <m/>
    <m/>
    <m/>
    <m/>
    <m/>
    <m/>
    <m/>
    <m/>
    <m/>
    <m/>
    <m/>
    <n v="0"/>
    <n v="0"/>
    <n v="0"/>
    <n v="0"/>
    <n v="0"/>
    <n v="0"/>
    <n v="0"/>
    <n v="0"/>
    <n v="0"/>
    <n v="0"/>
    <n v="0"/>
    <n v="0"/>
    <n v="0"/>
    <n v="0"/>
    <x v="1"/>
    <n v="0"/>
    <s v="MMR001CMP026"/>
    <x v="1"/>
    <x v="1"/>
    <x v="1"/>
    <n v="0"/>
    <s v="No"/>
    <m/>
  </r>
  <r>
    <n v="25.4"/>
    <d v="2013-11-30T00:00:00"/>
    <x v="5"/>
    <m/>
    <s v="Kachin"/>
    <s v="Bhamo"/>
    <s v="Robert Church"/>
    <m/>
    <m/>
    <m/>
    <m/>
    <m/>
    <m/>
    <m/>
    <m/>
    <m/>
    <n v="1164"/>
    <m/>
    <m/>
    <m/>
    <m/>
    <m/>
    <m/>
    <m/>
    <n v="0"/>
    <n v="0"/>
    <n v="0"/>
    <n v="0"/>
    <n v="0"/>
    <n v="0"/>
    <n v="0"/>
    <n v="0"/>
    <n v="0"/>
    <n v="0"/>
    <n v="0"/>
    <n v="0"/>
    <n v="0"/>
    <n v="0"/>
    <x v="1"/>
    <n v="0"/>
    <s v="MMR001CMP047"/>
    <x v="1"/>
    <x v="1"/>
    <x v="1"/>
    <n v="0"/>
    <s v="No"/>
    <m/>
  </r>
  <r>
    <n v="25.4"/>
    <d v="2013-11-30T00:00:00"/>
    <x v="0"/>
    <s v="UNHCR"/>
    <s v="Kachin"/>
    <s v="Bhamo"/>
    <s v="Robert Church"/>
    <m/>
    <m/>
    <m/>
    <n v="75"/>
    <n v="36"/>
    <n v="75"/>
    <n v="36"/>
    <n v="36"/>
    <m/>
    <m/>
    <m/>
    <m/>
    <m/>
    <m/>
    <m/>
    <m/>
    <m/>
    <n v="0"/>
    <n v="0"/>
    <n v="0"/>
    <n v="0"/>
    <n v="0"/>
    <n v="0"/>
    <n v="0"/>
    <n v="0"/>
    <n v="0"/>
    <n v="0"/>
    <n v="0"/>
    <n v="0"/>
    <n v="0"/>
    <n v="0"/>
    <x v="1"/>
    <n v="0"/>
    <s v="MMR001CMP047"/>
    <x v="1"/>
    <x v="1"/>
    <x v="1"/>
    <n v="5.5214723926380369E-2"/>
    <s v="No"/>
    <m/>
  </r>
  <r>
    <n v="25.4"/>
    <d v="2013-11-30T00:00:00"/>
    <x v="5"/>
    <m/>
    <s v="Kachin"/>
    <s v="Momauk"/>
    <s v="Seng Ja "/>
    <m/>
    <m/>
    <m/>
    <m/>
    <m/>
    <m/>
    <m/>
    <m/>
    <m/>
    <n v="99"/>
    <m/>
    <m/>
    <m/>
    <m/>
    <m/>
    <m/>
    <m/>
    <n v="0"/>
    <n v="0"/>
    <n v="0"/>
    <n v="0"/>
    <n v="0"/>
    <n v="0"/>
    <n v="0"/>
    <n v="0"/>
    <n v="0"/>
    <n v="0"/>
    <n v="0"/>
    <n v="0"/>
    <n v="0"/>
    <n v="0"/>
    <x v="1"/>
    <n v="0"/>
    <s v="MMR001CMP073"/>
    <x v="1"/>
    <x v="1"/>
    <x v="2"/>
    <n v="0"/>
    <s v="No"/>
    <m/>
  </r>
  <r>
    <n v="25.4"/>
    <d v="2013-11-30T00:00:00"/>
    <x v="5"/>
    <s v="KBC"/>
    <s v="Kachin"/>
    <s v="Waingmaw"/>
    <s v="Shing Jai"/>
    <m/>
    <m/>
    <m/>
    <m/>
    <m/>
    <m/>
    <m/>
    <m/>
    <m/>
    <m/>
    <m/>
    <m/>
    <m/>
    <m/>
    <m/>
    <m/>
    <m/>
    <n v="0"/>
    <n v="0"/>
    <n v="0"/>
    <n v="0"/>
    <n v="0"/>
    <n v="0"/>
    <n v="0"/>
    <n v="0"/>
    <n v="0"/>
    <n v="0"/>
    <n v="0"/>
    <n v="0"/>
    <n v="0"/>
    <n v="0"/>
    <x v="1"/>
    <n v="0"/>
    <s v="MMR001CMP041"/>
    <x v="1"/>
    <x v="1"/>
    <x v="3"/>
    <n v="0"/>
    <s v="No"/>
    <m/>
  </r>
  <r>
    <n v="25.4"/>
    <d v="2013-11-30T00:00:00"/>
    <x v="5"/>
    <s v="KBC"/>
    <s v="Kachin"/>
    <s v="Waingmaw"/>
    <s v="Thargaya Lisu Baptist Church"/>
    <m/>
    <m/>
    <m/>
    <m/>
    <m/>
    <m/>
    <m/>
    <m/>
    <m/>
    <m/>
    <m/>
    <m/>
    <m/>
    <m/>
    <m/>
    <m/>
    <m/>
    <n v="0"/>
    <n v="0"/>
    <n v="0"/>
    <n v="0"/>
    <n v="0"/>
    <n v="0"/>
    <n v="0"/>
    <n v="0"/>
    <n v="0"/>
    <n v="0"/>
    <n v="0"/>
    <n v="0"/>
    <n v="0"/>
    <n v="0"/>
    <x v="1"/>
    <n v="0"/>
    <s v="MMR001CMP037"/>
    <x v="1"/>
    <x v="1"/>
    <x v="1"/>
    <n v="0"/>
    <s v="No"/>
    <m/>
  </r>
  <r>
    <n v="25.4"/>
    <d v="2013-11-30T00:00:00"/>
    <x v="5"/>
    <s v="KBC"/>
    <s v="Kachin"/>
    <s v="Waingmaw"/>
    <s v="Waingmaw AG Church"/>
    <m/>
    <m/>
    <m/>
    <m/>
    <m/>
    <m/>
    <m/>
    <m/>
    <m/>
    <m/>
    <m/>
    <m/>
    <m/>
    <m/>
    <m/>
    <m/>
    <m/>
    <n v="0"/>
    <n v="0"/>
    <n v="0"/>
    <n v="0"/>
    <n v="0"/>
    <n v="0"/>
    <n v="0"/>
    <n v="0"/>
    <n v="0"/>
    <n v="0"/>
    <n v="0"/>
    <n v="0"/>
    <n v="0"/>
    <n v="0"/>
    <x v="1"/>
    <n v="0"/>
    <s v="MMR001CMP038"/>
    <x v="1"/>
    <x v="1"/>
    <x v="1"/>
    <n v="0"/>
    <s v="No"/>
    <m/>
  </r>
  <r>
    <n v="25.4"/>
    <d v="2013-11-30T00:00:00"/>
    <x v="5"/>
    <s v="KBC"/>
    <s v="Kachin"/>
    <s v="Waingmaw"/>
    <s v="Woi Chyai "/>
    <m/>
    <m/>
    <m/>
    <m/>
    <m/>
    <m/>
    <m/>
    <m/>
    <m/>
    <n v="1851"/>
    <m/>
    <m/>
    <m/>
    <m/>
    <m/>
    <m/>
    <m/>
    <n v="0"/>
    <n v="0"/>
    <n v="0"/>
    <n v="0"/>
    <n v="0"/>
    <n v="0"/>
    <n v="0"/>
    <n v="0"/>
    <n v="0"/>
    <n v="0"/>
    <n v="0"/>
    <n v="0"/>
    <n v="0"/>
    <n v="0"/>
    <x v="1"/>
    <n v="0"/>
    <s v="MMR001CMP116"/>
    <x v="1"/>
    <x v="1"/>
    <x v="1"/>
    <n v="0"/>
    <s v="No"/>
    <m/>
  </r>
  <r>
    <n v="25.4"/>
    <d v="2013-11-30T00:00:00"/>
    <x v="8"/>
    <s v="MDCG"/>
    <s v="Kachin"/>
    <s v="Bhamo"/>
    <s v="Yoe Kyi Monastery"/>
    <m/>
    <m/>
    <m/>
    <m/>
    <m/>
    <n v="64"/>
    <m/>
    <m/>
    <m/>
    <m/>
    <n v="58"/>
    <n v="52"/>
    <n v="0"/>
    <m/>
    <m/>
    <m/>
    <m/>
    <n v="0"/>
    <n v="0"/>
    <n v="0"/>
    <n v="0"/>
    <n v="0"/>
    <n v="0"/>
    <n v="0"/>
    <n v="0"/>
    <n v="0"/>
    <n v="0"/>
    <n v="0"/>
    <n v="0"/>
    <n v="0"/>
    <n v="0"/>
    <x v="0"/>
    <n v="0"/>
    <s v="MMR001CMP053"/>
    <x v="1"/>
    <x v="1"/>
    <x v="1"/>
    <n v="0"/>
    <s v="No"/>
    <m/>
  </r>
  <r>
    <n v="25.4"/>
    <d v="2013-11-30T00:00:00"/>
    <x v="5"/>
    <m/>
    <s v="Kachin"/>
    <s v="Bhamo"/>
    <s v="Yoe Kyi Monastery"/>
    <m/>
    <m/>
    <m/>
    <m/>
    <m/>
    <m/>
    <m/>
    <m/>
    <m/>
    <n v="99"/>
    <m/>
    <m/>
    <m/>
    <m/>
    <m/>
    <m/>
    <m/>
    <n v="0"/>
    <n v="0"/>
    <n v="0"/>
    <n v="0"/>
    <n v="0"/>
    <n v="0"/>
    <n v="0"/>
    <n v="0"/>
    <n v="0"/>
    <n v="0"/>
    <n v="0"/>
    <n v="0"/>
    <n v="0"/>
    <n v="0"/>
    <x v="1"/>
    <n v="0"/>
    <s v="MMR001CMP053"/>
    <x v="1"/>
    <x v="1"/>
    <x v="1"/>
    <n v="0"/>
    <s v="No"/>
    <m/>
  </r>
  <r>
    <n v="25.4"/>
    <d v="2013-11-30T00:00:00"/>
    <x v="5"/>
    <s v="KBC"/>
    <s v="Kachin"/>
    <s v="Waingmaw"/>
    <s v="Zai Awng - Mung Ga Zup"/>
    <m/>
    <m/>
    <m/>
    <m/>
    <m/>
    <m/>
    <m/>
    <m/>
    <m/>
    <m/>
    <m/>
    <m/>
    <m/>
    <m/>
    <m/>
    <m/>
    <m/>
    <n v="0"/>
    <n v="0"/>
    <n v="0"/>
    <n v="0"/>
    <n v="0"/>
    <n v="0"/>
    <n v="0"/>
    <n v="0"/>
    <n v="0"/>
    <n v="0"/>
    <n v="0"/>
    <n v="0"/>
    <n v="0"/>
    <n v="0"/>
    <x v="1"/>
    <n v="0"/>
    <s v="MMR001CMP111"/>
    <x v="1"/>
    <x v="1"/>
    <x v="4"/>
    <n v="0"/>
    <s v="No"/>
    <m/>
  </r>
  <r>
    <n v="25.4"/>
    <d v="2013-11-30T00:00:00"/>
    <x v="8"/>
    <s v="MDCG"/>
    <s v="Kachin"/>
    <s v="Bhamo"/>
    <s v="Ta Gun Taing Monastery (Shwe Kyi Na)"/>
    <m/>
    <m/>
    <m/>
    <m/>
    <m/>
    <n v="135"/>
    <m/>
    <m/>
    <m/>
    <m/>
    <n v="68"/>
    <n v="61"/>
    <n v="0"/>
    <m/>
    <m/>
    <m/>
    <m/>
    <n v="0"/>
    <n v="0"/>
    <n v="0"/>
    <n v="0"/>
    <n v="0"/>
    <n v="0"/>
    <n v="0"/>
    <n v="0"/>
    <n v="0"/>
    <n v="0"/>
    <n v="0"/>
    <n v="0"/>
    <n v="0"/>
    <n v="0"/>
    <x v="0"/>
    <n v="0"/>
    <s v="MMR001CMP055"/>
    <x v="1"/>
    <x v="1"/>
    <x v="1"/>
    <n v="0"/>
    <s v="No"/>
    <m/>
  </r>
  <r>
    <n v="25.4"/>
    <d v="2013-11-30T00:00:00"/>
    <x v="5"/>
    <m/>
    <s v="Kachin"/>
    <s v="Bhamo"/>
    <s v="Ta Gun Taing Monastery (Shwe Kyi Na)"/>
    <m/>
    <m/>
    <m/>
    <m/>
    <m/>
    <m/>
    <m/>
    <m/>
    <m/>
    <m/>
    <m/>
    <m/>
    <m/>
    <m/>
    <m/>
    <m/>
    <m/>
    <n v="0"/>
    <n v="0"/>
    <n v="0"/>
    <n v="0"/>
    <n v="0"/>
    <n v="0"/>
    <n v="0"/>
    <n v="0"/>
    <n v="0"/>
    <n v="0"/>
    <n v="0"/>
    <n v="0"/>
    <n v="0"/>
    <n v="0"/>
    <x v="1"/>
    <n v="0"/>
    <s v="MMR001CMP055"/>
    <x v="1"/>
    <x v="1"/>
    <x v="1"/>
    <n v="0"/>
    <s v="No"/>
    <m/>
  </r>
  <r>
    <n v="25.433333333333334"/>
    <d v="2013-11-29T00:00:00"/>
    <x v="5"/>
    <s v="KBC"/>
    <s v="Kachin"/>
    <s v="Waingmaw"/>
    <s v="Hkau Shau (BP 12)"/>
    <m/>
    <m/>
    <m/>
    <m/>
    <m/>
    <m/>
    <m/>
    <m/>
    <m/>
    <m/>
    <n v="177"/>
    <n v="354"/>
    <n v="1062"/>
    <n v="531"/>
    <m/>
    <m/>
    <m/>
    <n v="0"/>
    <n v="0"/>
    <n v="0"/>
    <n v="0"/>
    <n v="0"/>
    <n v="0"/>
    <n v="0"/>
    <n v="0"/>
    <n v="0"/>
    <n v="0"/>
    <n v="0"/>
    <n v="0"/>
    <n v="0"/>
    <n v="0"/>
    <x v="0"/>
    <n v="0"/>
    <s v="MMR001CMP115"/>
    <x v="1"/>
    <x v="1"/>
    <x v="3"/>
    <n v="0"/>
    <m/>
    <m/>
  </r>
  <r>
    <n v="25.466666666666665"/>
    <d v="2013-11-28T00:00:00"/>
    <x v="0"/>
    <s v="UNHCR"/>
    <s v="Kachin"/>
    <s v="Mansi"/>
    <s v="Mansi Baptist Church"/>
    <m/>
    <m/>
    <m/>
    <n v="20"/>
    <n v="7"/>
    <n v="22"/>
    <n v="7"/>
    <n v="7"/>
    <m/>
    <m/>
    <m/>
    <m/>
    <m/>
    <m/>
    <m/>
    <m/>
    <m/>
    <n v="0"/>
    <n v="0"/>
    <n v="0"/>
    <n v="0"/>
    <n v="0"/>
    <n v="0"/>
    <n v="0"/>
    <n v="0"/>
    <n v="0"/>
    <n v="0"/>
    <n v="0"/>
    <n v="0"/>
    <n v="0"/>
    <n v="0"/>
    <x v="1"/>
    <n v="0"/>
    <s v="MMR001CMP066"/>
    <x v="1"/>
    <x v="1"/>
    <x v="1"/>
    <n v="3.1674208144796379E-2"/>
    <s v="No"/>
    <m/>
  </r>
  <r>
    <n v="25.466666666666665"/>
    <d v="2013-11-28T00:00:00"/>
    <x v="5"/>
    <s v="KBC"/>
    <s v="Kachin"/>
    <s v="Waingmaw"/>
    <s v="Zai Awng - Mung Ga Zup"/>
    <m/>
    <m/>
    <m/>
    <m/>
    <m/>
    <m/>
    <m/>
    <m/>
    <m/>
    <m/>
    <n v="636"/>
    <n v="1272"/>
    <n v="3816"/>
    <n v="1908"/>
    <m/>
    <m/>
    <m/>
    <n v="0"/>
    <n v="0"/>
    <n v="0"/>
    <n v="0"/>
    <n v="0"/>
    <n v="0"/>
    <n v="0"/>
    <n v="0"/>
    <n v="0"/>
    <n v="0"/>
    <n v="0"/>
    <n v="0"/>
    <n v="0"/>
    <n v="0"/>
    <x v="0"/>
    <n v="0"/>
    <s v="MMR001CMP111"/>
    <x v="1"/>
    <x v="1"/>
    <x v="4"/>
    <n v="0"/>
    <m/>
    <m/>
  </r>
  <r>
    <n v="25.533333333333335"/>
    <d v="2013-11-26T00:00:00"/>
    <x v="0"/>
    <s v="UNHCR"/>
    <s v="Kachin"/>
    <s v="Bhamo"/>
    <s v="Aung Thar Church"/>
    <m/>
    <m/>
    <m/>
    <n v="11"/>
    <n v="5"/>
    <n v="11"/>
    <n v="5"/>
    <n v="5"/>
    <m/>
    <m/>
    <m/>
    <m/>
    <m/>
    <m/>
    <m/>
    <m/>
    <m/>
    <n v="0"/>
    <n v="0"/>
    <n v="0"/>
    <n v="0"/>
    <n v="0"/>
    <n v="0"/>
    <n v="0"/>
    <n v="0"/>
    <n v="0"/>
    <n v="0"/>
    <n v="0"/>
    <n v="0"/>
    <n v="0"/>
    <n v="0"/>
    <x v="1"/>
    <n v="0"/>
    <s v="MMR001CMP194"/>
    <x v="1"/>
    <x v="1"/>
    <x v="1"/>
    <n v="0.41666666666666669"/>
    <s v="No"/>
    <m/>
  </r>
  <r>
    <n v="25.533333333333335"/>
    <d v="2013-11-26T00:00:00"/>
    <x v="0"/>
    <s v="UNHCR"/>
    <s v="Kachin"/>
    <s v="Bhamo"/>
    <s v="Host Families"/>
    <m/>
    <m/>
    <m/>
    <n v="25"/>
    <n v="13"/>
    <n v="25"/>
    <n v="13"/>
    <n v="13"/>
    <m/>
    <m/>
    <m/>
    <m/>
    <m/>
    <m/>
    <m/>
    <m/>
    <m/>
    <n v="0"/>
    <n v="0"/>
    <n v="0"/>
    <n v="0"/>
    <n v="0"/>
    <n v="0"/>
    <n v="0"/>
    <n v="0"/>
    <n v="0"/>
    <n v="0"/>
    <n v="0"/>
    <n v="0"/>
    <n v="0"/>
    <n v="0"/>
    <x v="1"/>
    <n v="0"/>
    <s v="MMR001CMP163"/>
    <x v="1"/>
    <x v="1"/>
    <x v="1"/>
    <n v="6.1611374407582936E-2"/>
    <s v="No"/>
    <m/>
  </r>
  <r>
    <n v="25.533333333333335"/>
    <d v="2013-11-26T00:00:00"/>
    <x v="5"/>
    <s v="Solidarities"/>
    <s v="Kachin"/>
    <s v="Mansi"/>
    <s v="Lagatyan "/>
    <m/>
    <m/>
    <m/>
    <m/>
    <m/>
    <m/>
    <m/>
    <m/>
    <m/>
    <m/>
    <n v="80"/>
    <n v="160"/>
    <n v="480"/>
    <n v="240"/>
    <m/>
    <m/>
    <m/>
    <n v="0"/>
    <n v="0"/>
    <n v="0"/>
    <n v="0"/>
    <n v="0"/>
    <n v="0"/>
    <n v="0"/>
    <n v="0"/>
    <n v="0"/>
    <n v="0"/>
    <n v="0"/>
    <n v="0"/>
    <n v="0"/>
    <n v="0"/>
    <x v="0"/>
    <n v="0"/>
    <s v="MMR001CMP202"/>
    <x v="1"/>
    <x v="2"/>
    <x v="1"/>
    <s v=""/>
    <m/>
    <m/>
  </r>
  <r>
    <n v="25.533333333333335"/>
    <d v="2013-11-26T00:00:00"/>
    <x v="0"/>
    <s v="UNHCR"/>
    <s v="Kachin"/>
    <s v="Bhamo"/>
    <s v="Lisu Boarding-House"/>
    <m/>
    <m/>
    <m/>
    <n v="31"/>
    <n v="13"/>
    <n v="31"/>
    <n v="13"/>
    <n v="13"/>
    <m/>
    <m/>
    <m/>
    <m/>
    <m/>
    <m/>
    <m/>
    <m/>
    <m/>
    <n v="0"/>
    <n v="0"/>
    <n v="0"/>
    <n v="0"/>
    <n v="0"/>
    <n v="0"/>
    <n v="0"/>
    <n v="0"/>
    <n v="0"/>
    <n v="0"/>
    <n v="0"/>
    <n v="0"/>
    <n v="0"/>
    <n v="0"/>
    <x v="1"/>
    <n v="0"/>
    <s v="MMR001CMP049"/>
    <x v="1"/>
    <x v="1"/>
    <x v="1"/>
    <n v="0.11206896551724138"/>
    <s v="No"/>
    <m/>
  </r>
  <r>
    <n v="25.533333333333335"/>
    <d v="2013-11-26T00:00:00"/>
    <x v="0"/>
    <s v="UNHCR"/>
    <s v="Kachin"/>
    <s v="Bhamo"/>
    <s v="Mu-yin Baptist Church"/>
    <m/>
    <m/>
    <m/>
    <n v="22"/>
    <n v="11"/>
    <n v="22"/>
    <n v="11"/>
    <n v="11"/>
    <m/>
    <m/>
    <m/>
    <m/>
    <m/>
    <m/>
    <m/>
    <m/>
    <m/>
    <n v="0"/>
    <n v="0"/>
    <n v="0"/>
    <n v="0"/>
    <n v="0"/>
    <n v="0"/>
    <n v="0"/>
    <n v="0"/>
    <n v="0"/>
    <n v="0"/>
    <n v="0"/>
    <n v="0"/>
    <n v="0"/>
    <n v="0"/>
    <x v="1"/>
    <n v="0"/>
    <s v="MMR001CMP051"/>
    <x v="1"/>
    <x v="1"/>
    <x v="1"/>
    <n v="0.47826086956521741"/>
    <s v="No"/>
    <m/>
  </r>
  <r>
    <n v="25.533333333333335"/>
    <d v="2013-11-26T00:00:00"/>
    <x v="5"/>
    <s v="KBC"/>
    <s v="Kachin"/>
    <s v="Waingmaw"/>
    <s v="Pajau - Jan Mai"/>
    <m/>
    <m/>
    <m/>
    <m/>
    <m/>
    <m/>
    <m/>
    <m/>
    <m/>
    <m/>
    <n v="98"/>
    <n v="196"/>
    <n v="588"/>
    <n v="294"/>
    <m/>
    <m/>
    <m/>
    <n v="0"/>
    <n v="0"/>
    <n v="0"/>
    <n v="0"/>
    <n v="0"/>
    <n v="0"/>
    <n v="0"/>
    <n v="0"/>
    <n v="0"/>
    <n v="0"/>
    <n v="0"/>
    <n v="0"/>
    <n v="0"/>
    <n v="0"/>
    <x v="0"/>
    <n v="0"/>
    <s v="MMR001CMP120"/>
    <x v="1"/>
    <x v="1"/>
    <x v="3"/>
    <n v="0"/>
    <m/>
    <m/>
  </r>
  <r>
    <n v="25.566666666666666"/>
    <d v="2013-11-25T00:00:00"/>
    <x v="5"/>
    <s v="Solidarities"/>
    <s v="Kachin"/>
    <s v="Mansi"/>
    <s v="Man Wing Baptist Church"/>
    <m/>
    <m/>
    <m/>
    <m/>
    <m/>
    <m/>
    <m/>
    <m/>
    <m/>
    <m/>
    <m/>
    <m/>
    <m/>
    <m/>
    <m/>
    <m/>
    <m/>
    <n v="0"/>
    <n v="0"/>
    <n v="0"/>
    <n v="0"/>
    <n v="0"/>
    <n v="0"/>
    <n v="0"/>
    <n v="0"/>
    <n v="0"/>
    <n v="0"/>
    <n v="0"/>
    <n v="0"/>
    <n v="0"/>
    <n v="0"/>
    <x v="1"/>
    <n v="0"/>
    <s v="MMR001CMP133"/>
    <x v="1"/>
    <x v="1"/>
    <x v="1"/>
    <n v="0"/>
    <m/>
    <m/>
  </r>
  <r>
    <n v="25.566666666666666"/>
    <d v="2013-11-25T00:00:00"/>
    <x v="5"/>
    <s v="Solidarities"/>
    <s v="Kachin"/>
    <s v="Mansi"/>
    <s v="Man Wing Baptist Church"/>
    <m/>
    <m/>
    <m/>
    <m/>
    <m/>
    <m/>
    <m/>
    <m/>
    <m/>
    <m/>
    <n v="19"/>
    <n v="38"/>
    <n v="114"/>
    <n v="57"/>
    <m/>
    <m/>
    <m/>
    <n v="0"/>
    <n v="0"/>
    <n v="0"/>
    <n v="0"/>
    <n v="0"/>
    <n v="0"/>
    <n v="0"/>
    <n v="0"/>
    <n v="0"/>
    <n v="0"/>
    <n v="0"/>
    <n v="0"/>
    <n v="0"/>
    <n v="0"/>
    <x v="0"/>
    <n v="0"/>
    <s v="MMR001CMP133"/>
    <x v="1"/>
    <x v="1"/>
    <x v="1"/>
    <n v="0"/>
    <m/>
    <m/>
  </r>
  <r>
    <n v="25.566666666666666"/>
    <d v="2013-11-25T00:00:00"/>
    <x v="5"/>
    <s v="Solidarities"/>
    <s v="Kachin"/>
    <s v="Mansi"/>
    <s v="Man Wing Catholic Church"/>
    <m/>
    <m/>
    <m/>
    <m/>
    <m/>
    <m/>
    <m/>
    <m/>
    <m/>
    <m/>
    <n v="60"/>
    <n v="120"/>
    <n v="360"/>
    <n v="180"/>
    <m/>
    <m/>
    <m/>
    <n v="0"/>
    <n v="0"/>
    <n v="0"/>
    <n v="0"/>
    <n v="0"/>
    <n v="0"/>
    <n v="0"/>
    <n v="0"/>
    <n v="0"/>
    <n v="0"/>
    <n v="0"/>
    <n v="0"/>
    <n v="0"/>
    <n v="0"/>
    <x v="0"/>
    <n v="0"/>
    <s v="MMR001CMP132"/>
    <x v="1"/>
    <x v="1"/>
    <x v="1"/>
    <n v="0"/>
    <m/>
    <m/>
  </r>
  <r>
    <n v="25.6"/>
    <d v="2013-11-24T00:00:00"/>
    <x v="5"/>
    <s v="Solidarities"/>
    <s v="Kachin"/>
    <s v="Mansi"/>
    <s v="Ban Hkung (School)"/>
    <m/>
    <m/>
    <m/>
    <m/>
    <m/>
    <m/>
    <m/>
    <m/>
    <m/>
    <m/>
    <n v="24"/>
    <n v="48"/>
    <n v="144"/>
    <n v="72"/>
    <m/>
    <m/>
    <m/>
    <n v="0"/>
    <n v="0"/>
    <n v="0"/>
    <n v="0"/>
    <n v="0"/>
    <n v="0"/>
    <n v="0"/>
    <n v="0"/>
    <n v="0"/>
    <n v="0"/>
    <n v="0"/>
    <n v="0"/>
    <n v="0"/>
    <n v="0"/>
    <x v="0"/>
    <n v="0"/>
    <s v="MMR001CMP215"/>
    <x v="1"/>
    <x v="2"/>
    <x v="0"/>
    <s v=""/>
    <m/>
    <m/>
  </r>
  <r>
    <n v="25.6"/>
    <d v="2013-11-24T00:00:00"/>
    <x v="5"/>
    <s v="Solidarities"/>
    <s v="Kachin"/>
    <s v="Mansi"/>
    <s v="Ban Hkung Yang (Boarding School)"/>
    <m/>
    <m/>
    <m/>
    <m/>
    <m/>
    <m/>
    <m/>
    <m/>
    <m/>
    <m/>
    <n v="135"/>
    <n v="270"/>
    <n v="810"/>
    <n v="405"/>
    <m/>
    <m/>
    <m/>
    <n v="0"/>
    <n v="0"/>
    <n v="0"/>
    <n v="0"/>
    <n v="0"/>
    <n v="0"/>
    <n v="0"/>
    <n v="0"/>
    <n v="0"/>
    <n v="0"/>
    <n v="0"/>
    <n v="0"/>
    <n v="0"/>
    <n v="0"/>
    <x v="0"/>
    <n v="0"/>
    <s v="MMR001CMP214"/>
    <x v="1"/>
    <x v="2"/>
    <x v="0"/>
    <s v=""/>
    <m/>
    <m/>
  </r>
  <r>
    <n v="25.6"/>
    <d v="2013-11-24T00:00:00"/>
    <x v="5"/>
    <s v="Solidarities"/>
    <s v="Kachin"/>
    <s v="Shwegu"/>
    <s v="Lawk Awng Mare D. (Sinbo Area)"/>
    <m/>
    <m/>
    <m/>
    <m/>
    <m/>
    <m/>
    <m/>
    <m/>
    <m/>
    <m/>
    <n v="45"/>
    <n v="90"/>
    <n v="270"/>
    <n v="135"/>
    <m/>
    <m/>
    <m/>
    <n v="0"/>
    <n v="0"/>
    <n v="0"/>
    <n v="0"/>
    <n v="0"/>
    <n v="0"/>
    <n v="0"/>
    <n v="0"/>
    <n v="0"/>
    <n v="0"/>
    <n v="0"/>
    <n v="0"/>
    <n v="0"/>
    <n v="0"/>
    <x v="0"/>
    <n v="0"/>
    <s v="MMR001CMP147"/>
    <x v="1"/>
    <x v="1"/>
    <x v="1"/>
    <n v="0"/>
    <m/>
    <m/>
  </r>
  <r>
    <n v="25.633333333333333"/>
    <d v="2013-11-23T00:00:00"/>
    <x v="4"/>
    <m/>
    <s v="Kachin"/>
    <s v="Waingmaw"/>
    <s v="Border Post 8"/>
    <m/>
    <m/>
    <m/>
    <m/>
    <m/>
    <n v="358"/>
    <m/>
    <m/>
    <m/>
    <m/>
    <m/>
    <m/>
    <m/>
    <m/>
    <m/>
    <m/>
    <m/>
    <n v="0"/>
    <n v="0"/>
    <n v="0"/>
    <n v="0"/>
    <n v="0"/>
    <n v="0"/>
    <n v="0"/>
    <n v="0"/>
    <n v="0"/>
    <n v="0"/>
    <n v="0"/>
    <n v="0"/>
    <n v="0"/>
    <n v="0"/>
    <x v="1"/>
    <n v="0"/>
    <s v="MMR001CMP113"/>
    <x v="1"/>
    <x v="1"/>
    <x v="3"/>
    <n v="0"/>
    <s v="No"/>
    <m/>
  </r>
  <r>
    <n v="25.7"/>
    <d v="2013-11-21T00:00:00"/>
    <x v="0"/>
    <s v="UNHCR"/>
    <s v="Kachin"/>
    <s v="Bhamo"/>
    <s v="Aung Thar Church"/>
    <m/>
    <m/>
    <m/>
    <n v="34"/>
    <n v="18"/>
    <n v="34"/>
    <n v="18"/>
    <n v="18"/>
    <m/>
    <m/>
    <m/>
    <m/>
    <m/>
    <m/>
    <m/>
    <m/>
    <m/>
    <n v="0"/>
    <n v="0"/>
    <n v="0"/>
    <n v="0"/>
    <n v="0"/>
    <n v="0"/>
    <n v="0"/>
    <n v="0"/>
    <n v="0"/>
    <n v="0"/>
    <n v="0"/>
    <n v="0"/>
    <n v="0"/>
    <n v="0"/>
    <x v="1"/>
    <n v="0"/>
    <s v="MMR001CMP194"/>
    <x v="1"/>
    <x v="1"/>
    <x v="1"/>
    <n v="1.5"/>
    <s v="No"/>
    <m/>
  </r>
  <r>
    <n v="25.7"/>
    <d v="2013-11-21T00:00:00"/>
    <x v="0"/>
    <s v="UNHCR "/>
    <s v="Kachin"/>
    <s v="Mansi"/>
    <s v="Man Kawng Baptist Church"/>
    <m/>
    <m/>
    <m/>
    <n v="400"/>
    <n v="210"/>
    <n v="400"/>
    <n v="210"/>
    <m/>
    <m/>
    <n v="210"/>
    <m/>
    <m/>
    <m/>
    <m/>
    <m/>
    <m/>
    <m/>
    <n v="0"/>
    <n v="0"/>
    <n v="0"/>
    <n v="0"/>
    <n v="0"/>
    <n v="0"/>
    <n v="0"/>
    <n v="0"/>
    <n v="0"/>
    <n v="0"/>
    <n v="0"/>
    <n v="0"/>
    <n v="0"/>
    <n v="0"/>
    <x v="1"/>
    <n v="0"/>
    <s v="MMR001CMP212"/>
    <x v="1"/>
    <x v="2"/>
    <x v="0"/>
    <s v=""/>
    <s v="No"/>
    <m/>
  </r>
  <r>
    <n v="25.7"/>
    <d v="2013-11-21T00:00:00"/>
    <x v="0"/>
    <s v="UNHCR"/>
    <s v="Kachin"/>
    <s v="Bhamo"/>
    <s v="Phan Khar Kone"/>
    <m/>
    <m/>
    <m/>
    <n v="15"/>
    <n v="9"/>
    <n v="15"/>
    <n v="9"/>
    <n v="9"/>
    <m/>
    <m/>
    <m/>
    <m/>
    <m/>
    <m/>
    <m/>
    <m/>
    <m/>
    <n v="0"/>
    <n v="0"/>
    <n v="0"/>
    <n v="0"/>
    <n v="0"/>
    <n v="0"/>
    <n v="0"/>
    <n v="0"/>
    <n v="0"/>
    <n v="0"/>
    <n v="0"/>
    <n v="0"/>
    <n v="0"/>
    <n v="0"/>
    <x v="1"/>
    <n v="0"/>
    <s v="MMR001CMP193"/>
    <x v="1"/>
    <x v="1"/>
    <x v="1"/>
    <n v="5.7324840764331211E-2"/>
    <s v="No"/>
    <m/>
  </r>
  <r>
    <n v="25.733333333333334"/>
    <d v="2013-11-20T00:00:00"/>
    <x v="5"/>
    <s v="Solidarities"/>
    <s v="Kachin"/>
    <s v="Bhamo"/>
    <s v="Robert Church"/>
    <m/>
    <m/>
    <m/>
    <m/>
    <m/>
    <m/>
    <m/>
    <m/>
    <m/>
    <m/>
    <m/>
    <n v="19"/>
    <n v="38"/>
    <n v="19"/>
    <m/>
    <m/>
    <m/>
    <n v="0"/>
    <n v="0"/>
    <n v="0"/>
    <n v="0"/>
    <n v="0"/>
    <n v="0"/>
    <n v="0"/>
    <n v="0"/>
    <n v="0"/>
    <n v="0"/>
    <n v="0"/>
    <n v="0"/>
    <n v="0"/>
    <n v="0"/>
    <x v="0"/>
    <n v="0"/>
    <s v="MMR001CMP047"/>
    <x v="1"/>
    <x v="1"/>
    <x v="1"/>
    <n v="0"/>
    <m/>
    <m/>
  </r>
  <r>
    <n v="25.766666666666666"/>
    <d v="2013-11-19T00:00:00"/>
    <x v="0"/>
    <s v="UNHCR"/>
    <s v="Kachin"/>
    <s v="Bhamo"/>
    <s v="Host Families"/>
    <m/>
    <m/>
    <m/>
    <n v="57"/>
    <n v="33"/>
    <n v="57"/>
    <n v="33"/>
    <n v="33"/>
    <m/>
    <m/>
    <m/>
    <m/>
    <m/>
    <m/>
    <m/>
    <m/>
    <m/>
    <n v="0"/>
    <n v="0"/>
    <n v="0"/>
    <n v="0"/>
    <n v="0"/>
    <n v="0"/>
    <n v="0"/>
    <n v="0"/>
    <n v="0"/>
    <n v="0"/>
    <n v="0"/>
    <n v="0"/>
    <n v="0"/>
    <n v="0"/>
    <x v="1"/>
    <n v="0"/>
    <s v="MMR001CMP163"/>
    <x v="1"/>
    <x v="1"/>
    <x v="1"/>
    <n v="0.15639810426540285"/>
    <s v="No"/>
    <m/>
  </r>
  <r>
    <n v="25.766666666666666"/>
    <d v="2013-11-19T00:00:00"/>
    <x v="5"/>
    <s v="KBC"/>
    <s v="Kachin"/>
    <s v="Waingmaw"/>
    <s v="Maga Yang "/>
    <m/>
    <m/>
    <m/>
    <m/>
    <m/>
    <m/>
    <m/>
    <m/>
    <m/>
    <m/>
    <n v="613"/>
    <n v="1226"/>
    <n v="3678"/>
    <n v="1839"/>
    <m/>
    <m/>
    <m/>
    <n v="0"/>
    <n v="0"/>
    <n v="0"/>
    <n v="0"/>
    <n v="0"/>
    <n v="0"/>
    <n v="0"/>
    <n v="0"/>
    <n v="0"/>
    <n v="0"/>
    <n v="0"/>
    <n v="0"/>
    <n v="0"/>
    <n v="0"/>
    <x v="0"/>
    <n v="0"/>
    <s v="MMR001CMP119"/>
    <x v="1"/>
    <x v="1"/>
    <x v="4"/>
    <n v="0"/>
    <m/>
    <m/>
  </r>
  <r>
    <n v="25.766666666666666"/>
    <d v="2013-11-19T00:00:00"/>
    <x v="0"/>
    <s v="UNHCR"/>
    <s v="Kachin"/>
    <s v="Bhamo"/>
    <s v="Robert Church"/>
    <m/>
    <m/>
    <n v="40"/>
    <n v="38"/>
    <n v="20"/>
    <n v="38"/>
    <n v="20"/>
    <n v="20"/>
    <m/>
    <m/>
    <m/>
    <m/>
    <m/>
    <m/>
    <m/>
    <m/>
    <m/>
    <n v="0"/>
    <n v="0"/>
    <n v="0"/>
    <n v="0"/>
    <n v="0"/>
    <n v="0"/>
    <n v="0"/>
    <n v="0"/>
    <n v="0"/>
    <n v="0"/>
    <n v="0"/>
    <n v="0"/>
    <n v="0"/>
    <n v="0"/>
    <x v="1"/>
    <n v="0"/>
    <s v="MMR001CMP047"/>
    <x v="1"/>
    <x v="1"/>
    <x v="1"/>
    <n v="3.0674846625766871E-2"/>
    <s v="No"/>
    <m/>
  </r>
  <r>
    <n v="25.766666666666666"/>
    <d v="2013-11-19T00:00:00"/>
    <x v="0"/>
    <s v="UNHCR"/>
    <s v="Kachin"/>
    <s v="Bhamo"/>
    <s v="Thu Kha Waddy"/>
    <m/>
    <m/>
    <m/>
    <n v="13"/>
    <n v="9"/>
    <n v="13"/>
    <n v="9"/>
    <n v="9"/>
    <m/>
    <m/>
    <m/>
    <m/>
    <m/>
    <m/>
    <m/>
    <m/>
    <m/>
    <n v="0"/>
    <n v="0"/>
    <n v="0"/>
    <n v="0"/>
    <n v="0"/>
    <n v="0"/>
    <n v="0"/>
    <n v="0"/>
    <n v="0"/>
    <n v="0"/>
    <n v="0"/>
    <n v="0"/>
    <n v="0"/>
    <n v="0"/>
    <x v="1"/>
    <n v="0"/>
    <s v="MMR001CMP211"/>
    <x v="1"/>
    <x v="2"/>
    <x v="0"/>
    <s v=""/>
    <s v="No"/>
    <m/>
  </r>
  <r>
    <n v="25.8"/>
    <d v="2013-11-18T00:00:00"/>
    <x v="4"/>
    <m/>
    <s v="Kachin"/>
    <s v="Momauk"/>
    <s v="Loi Je Lisu Camp"/>
    <m/>
    <m/>
    <m/>
    <m/>
    <m/>
    <n v="395"/>
    <m/>
    <m/>
    <m/>
    <m/>
    <m/>
    <m/>
    <m/>
    <m/>
    <m/>
    <m/>
    <m/>
    <n v="0"/>
    <n v="0"/>
    <n v="0"/>
    <n v="0"/>
    <n v="0"/>
    <n v="0"/>
    <n v="0"/>
    <n v="0"/>
    <n v="0"/>
    <n v="0"/>
    <n v="0"/>
    <n v="0"/>
    <n v="0"/>
    <n v="0"/>
    <x v="1"/>
    <n v="0"/>
    <s v="MMR001CMP070"/>
    <x v="1"/>
    <x v="1"/>
    <x v="2"/>
    <n v="0"/>
    <s v="No"/>
    <m/>
  </r>
  <r>
    <n v="25.833333333333332"/>
    <d v="2013-11-17T00:00:00"/>
    <x v="4"/>
    <m/>
    <s v="Kachin"/>
    <s v="Momauk"/>
    <s v="Loi Je Catholic Church"/>
    <m/>
    <m/>
    <m/>
    <m/>
    <m/>
    <n v="141"/>
    <m/>
    <m/>
    <m/>
    <m/>
    <m/>
    <m/>
    <m/>
    <m/>
    <m/>
    <m/>
    <m/>
    <n v="0"/>
    <n v="0"/>
    <n v="0"/>
    <n v="0"/>
    <n v="0"/>
    <n v="0"/>
    <n v="0"/>
    <n v="0"/>
    <n v="0"/>
    <n v="0"/>
    <n v="0"/>
    <n v="0"/>
    <n v="0"/>
    <n v="0"/>
    <x v="1"/>
    <n v="0"/>
    <s v="MMR001CMP069"/>
    <x v="1"/>
    <x v="1"/>
    <x v="2"/>
    <n v="0"/>
    <s v="No"/>
    <m/>
  </r>
  <r>
    <n v="25.833333333333332"/>
    <d v="2013-11-17T00:00:00"/>
    <x v="0"/>
    <s v="UNHCR "/>
    <s v="Kachin"/>
    <s v="Mansi"/>
    <s v="Man Wing Catholic Church"/>
    <m/>
    <m/>
    <m/>
    <n v="700"/>
    <n v="350"/>
    <n v="700"/>
    <n v="350"/>
    <n v="350"/>
    <m/>
    <m/>
    <m/>
    <m/>
    <m/>
    <m/>
    <m/>
    <m/>
    <m/>
    <n v="0"/>
    <n v="0"/>
    <n v="0"/>
    <n v="0"/>
    <n v="0"/>
    <n v="0"/>
    <n v="0"/>
    <n v="0"/>
    <n v="0"/>
    <n v="0"/>
    <n v="0"/>
    <n v="0"/>
    <n v="0"/>
    <n v="0"/>
    <x v="1"/>
    <n v="0"/>
    <s v="MMR001CMP132"/>
    <x v="1"/>
    <x v="1"/>
    <x v="1"/>
    <n v="0.76419213973799127"/>
    <s v="No"/>
    <m/>
  </r>
  <r>
    <n v="25.833333333333332"/>
    <d v="2013-11-17T00:00:00"/>
    <x v="4"/>
    <m/>
    <s v="Kachin"/>
    <s v="Momauk"/>
    <s v="Nyaung Na Pin "/>
    <m/>
    <m/>
    <m/>
    <m/>
    <m/>
    <n v="145"/>
    <m/>
    <m/>
    <m/>
    <m/>
    <m/>
    <m/>
    <m/>
    <m/>
    <m/>
    <m/>
    <m/>
    <n v="0"/>
    <n v="0"/>
    <n v="0"/>
    <n v="0"/>
    <n v="0"/>
    <n v="0"/>
    <n v="0"/>
    <n v="0"/>
    <n v="0"/>
    <n v="0"/>
    <n v="0"/>
    <n v="0"/>
    <n v="0"/>
    <n v="0"/>
    <x v="1"/>
    <n v="0"/>
    <s v="MMR001CMP072"/>
    <x v="1"/>
    <x v="1"/>
    <x v="2"/>
    <n v="0"/>
    <s v="No"/>
    <m/>
  </r>
  <r>
    <n v="25.866666666666667"/>
    <d v="2013-11-16T00:00:00"/>
    <x v="0"/>
    <s v="UNHCR "/>
    <s v="Kachin"/>
    <s v="Bhamo"/>
    <s v="Phan Khar Kone"/>
    <m/>
    <m/>
    <m/>
    <m/>
    <n v="11"/>
    <m/>
    <m/>
    <m/>
    <m/>
    <m/>
    <m/>
    <m/>
    <m/>
    <m/>
    <m/>
    <m/>
    <m/>
    <n v="0"/>
    <n v="0"/>
    <n v="0"/>
    <n v="0"/>
    <n v="0"/>
    <n v="0"/>
    <n v="0"/>
    <n v="0"/>
    <n v="0"/>
    <n v="0"/>
    <n v="0"/>
    <n v="0"/>
    <n v="0"/>
    <n v="0"/>
    <x v="1"/>
    <n v="0"/>
    <s v="MMR001CMP193"/>
    <x v="1"/>
    <x v="1"/>
    <x v="1"/>
    <n v="0"/>
    <s v="No"/>
    <m/>
  </r>
  <r>
    <n v="25.866666666666667"/>
    <d v="2013-11-16T00:00:00"/>
    <x v="0"/>
    <s v="UNHCR"/>
    <s v="Kachin"/>
    <s v="Bhamo"/>
    <s v="Robert Church"/>
    <m/>
    <m/>
    <m/>
    <m/>
    <n v="10"/>
    <m/>
    <m/>
    <m/>
    <m/>
    <m/>
    <m/>
    <m/>
    <m/>
    <m/>
    <m/>
    <m/>
    <m/>
    <n v="0"/>
    <n v="0"/>
    <n v="0"/>
    <n v="0"/>
    <n v="0"/>
    <n v="0"/>
    <n v="0"/>
    <n v="0"/>
    <n v="0"/>
    <n v="0"/>
    <n v="0"/>
    <n v="0"/>
    <n v="0"/>
    <n v="0"/>
    <x v="1"/>
    <n v="0"/>
    <s v="MMR001CMP047"/>
    <x v="1"/>
    <x v="1"/>
    <x v="1"/>
    <n v="0"/>
    <s v="No"/>
    <m/>
  </r>
  <r>
    <n v="25.9"/>
    <d v="2013-11-15T00:00:00"/>
    <x v="0"/>
    <s v="UNHCR "/>
    <s v="Kachin"/>
    <s v="Bhamo"/>
    <m/>
    <m/>
    <m/>
    <m/>
    <m/>
    <n v="12"/>
    <m/>
    <m/>
    <m/>
    <m/>
    <m/>
    <m/>
    <m/>
    <m/>
    <m/>
    <m/>
    <m/>
    <m/>
    <n v="0"/>
    <n v="0"/>
    <n v="0"/>
    <n v="0"/>
    <n v="0"/>
    <n v="0"/>
    <n v="0"/>
    <n v="0"/>
    <n v="0"/>
    <n v="0"/>
    <n v="0"/>
    <n v="0"/>
    <n v="0"/>
    <n v="0"/>
    <x v="1"/>
    <n v="0"/>
    <s v=""/>
    <x v="0"/>
    <x v="0"/>
    <x v="0"/>
    <s v=""/>
    <s v="No"/>
    <m/>
  </r>
  <r>
    <n v="25.9"/>
    <d v="2013-11-15T00:00:00"/>
    <x v="5"/>
    <s v="LDO"/>
    <s v="Kachin"/>
    <s v="Mansi"/>
    <s v="Lung Kawk  ( Hka Hkye Zup)"/>
    <m/>
    <m/>
    <m/>
    <m/>
    <m/>
    <m/>
    <m/>
    <m/>
    <m/>
    <m/>
    <n v="54"/>
    <n v="106"/>
    <n v="320"/>
    <n v="160"/>
    <m/>
    <m/>
    <m/>
    <n v="0"/>
    <n v="0"/>
    <n v="0"/>
    <n v="0"/>
    <n v="0"/>
    <n v="0"/>
    <n v="0"/>
    <n v="0"/>
    <n v="0"/>
    <n v="0"/>
    <n v="0"/>
    <n v="0"/>
    <n v="0"/>
    <n v="0"/>
    <x v="0"/>
    <n v="0"/>
    <s v="MMR001CMP135"/>
    <x v="1"/>
    <x v="2"/>
    <x v="4"/>
    <s v=""/>
    <m/>
    <m/>
  </r>
  <r>
    <n v="25.9"/>
    <d v="2013-11-15T00:00:00"/>
    <x v="5"/>
    <s v="LDO"/>
    <s v="Kachin"/>
    <s v="Momauk"/>
    <s v="Nhkawng Pa "/>
    <m/>
    <m/>
    <m/>
    <m/>
    <m/>
    <m/>
    <m/>
    <m/>
    <m/>
    <m/>
    <n v="387"/>
    <n v="760"/>
    <n v="2294"/>
    <n v="1147"/>
    <m/>
    <m/>
    <m/>
    <n v="0"/>
    <n v="0"/>
    <n v="0"/>
    <n v="0"/>
    <n v="0"/>
    <n v="0"/>
    <n v="0"/>
    <n v="0"/>
    <n v="0"/>
    <n v="0"/>
    <n v="0"/>
    <n v="0"/>
    <n v="0"/>
    <n v="0"/>
    <x v="0"/>
    <n v="0"/>
    <s v="MMR001CMP131"/>
    <x v="1"/>
    <x v="1"/>
    <x v="3"/>
    <n v="0"/>
    <m/>
    <m/>
  </r>
  <r>
    <n v="25.933333333333334"/>
    <d v="2013-11-14T00:00:00"/>
    <x v="0"/>
    <s v="UNHCR "/>
    <s v="Kachin"/>
    <s v="Bhamo"/>
    <s v="Aung Thar Church"/>
    <m/>
    <m/>
    <m/>
    <n v="12"/>
    <n v="9"/>
    <n v="12"/>
    <n v="9"/>
    <n v="9"/>
    <m/>
    <m/>
    <m/>
    <m/>
    <m/>
    <m/>
    <m/>
    <m/>
    <m/>
    <n v="0"/>
    <n v="0"/>
    <n v="0"/>
    <n v="0"/>
    <n v="0"/>
    <n v="0"/>
    <n v="0"/>
    <n v="0"/>
    <n v="0"/>
    <n v="0"/>
    <n v="0"/>
    <n v="0"/>
    <n v="0"/>
    <n v="0"/>
    <x v="1"/>
    <n v="0"/>
    <s v="MMR001CMP194"/>
    <x v="1"/>
    <x v="1"/>
    <x v="1"/>
    <n v="0.75"/>
    <s v="No"/>
    <m/>
  </r>
  <r>
    <n v="25.933333333333334"/>
    <d v="2013-11-14T00:00:00"/>
    <x v="5"/>
    <s v="Solidarities"/>
    <s v="Kachin"/>
    <s v="Mansi"/>
    <s v="Lagatyan "/>
    <m/>
    <m/>
    <m/>
    <m/>
    <m/>
    <m/>
    <m/>
    <m/>
    <m/>
    <m/>
    <n v="120"/>
    <n v="207"/>
    <n v="654"/>
    <n v="327"/>
    <m/>
    <m/>
    <m/>
    <n v="0"/>
    <n v="0"/>
    <n v="0"/>
    <n v="0"/>
    <n v="0"/>
    <n v="0"/>
    <n v="0"/>
    <n v="0"/>
    <n v="0"/>
    <n v="0"/>
    <n v="0"/>
    <n v="0"/>
    <n v="0"/>
    <n v="0"/>
    <x v="0"/>
    <n v="0"/>
    <s v="MMR001CMP202"/>
    <x v="1"/>
    <x v="2"/>
    <x v="1"/>
    <s v=""/>
    <m/>
    <m/>
  </r>
  <r>
    <n v="25.933333333333334"/>
    <d v="2013-11-14T00:00:00"/>
    <x v="5"/>
    <s v="LDO"/>
    <s v="Kachin"/>
    <s v="Mansi"/>
    <s v="Lana Zup Ja "/>
    <m/>
    <m/>
    <m/>
    <m/>
    <m/>
    <m/>
    <m/>
    <m/>
    <m/>
    <m/>
    <n v="550"/>
    <n v="1101"/>
    <n v="3302"/>
    <n v="1651"/>
    <m/>
    <m/>
    <m/>
    <n v="0"/>
    <n v="0"/>
    <n v="0"/>
    <n v="0"/>
    <n v="0"/>
    <n v="0"/>
    <n v="0"/>
    <n v="0"/>
    <n v="0"/>
    <n v="0"/>
    <n v="0"/>
    <n v="0"/>
    <n v="0"/>
    <n v="0"/>
    <x v="0"/>
    <n v="0"/>
    <s v="MMR001CMP128"/>
    <x v="1"/>
    <x v="1"/>
    <x v="4"/>
    <n v="0"/>
    <m/>
    <m/>
  </r>
  <r>
    <n v="25.933333333333334"/>
    <d v="2013-11-14T00:00:00"/>
    <x v="4"/>
    <m/>
    <s v="Kachin"/>
    <s v="Momauk"/>
    <s v="Loi Je Baptist Church"/>
    <m/>
    <m/>
    <m/>
    <m/>
    <m/>
    <n v="75"/>
    <m/>
    <m/>
    <m/>
    <m/>
    <m/>
    <m/>
    <m/>
    <m/>
    <m/>
    <m/>
    <m/>
    <n v="0"/>
    <n v="0"/>
    <n v="0"/>
    <n v="0"/>
    <n v="0"/>
    <n v="0"/>
    <n v="0"/>
    <n v="0"/>
    <n v="0"/>
    <n v="0"/>
    <n v="0"/>
    <n v="0"/>
    <n v="0"/>
    <n v="0"/>
    <x v="1"/>
    <n v="0"/>
    <s v="MMR001CMP071"/>
    <x v="1"/>
    <x v="1"/>
    <x v="2"/>
    <n v="0"/>
    <s v="No"/>
    <m/>
  </r>
  <r>
    <n v="25.933333333333334"/>
    <d v="2013-11-14T00:00:00"/>
    <x v="4"/>
    <m/>
    <s v="Kachin"/>
    <s v="Mansi"/>
    <s v="Man Wing Baptist Church"/>
    <m/>
    <m/>
    <m/>
    <m/>
    <m/>
    <m/>
    <m/>
    <m/>
    <m/>
    <m/>
    <m/>
    <n v="32"/>
    <m/>
    <m/>
    <m/>
    <m/>
    <m/>
    <n v="0"/>
    <n v="0"/>
    <n v="0"/>
    <n v="0"/>
    <n v="0"/>
    <n v="0"/>
    <n v="0"/>
    <n v="0"/>
    <n v="0"/>
    <n v="0"/>
    <n v="0"/>
    <n v="0"/>
    <n v="0"/>
    <n v="0"/>
    <x v="0"/>
    <n v="0"/>
    <s v="MMR001CMP133"/>
    <x v="1"/>
    <x v="1"/>
    <x v="1"/>
    <n v="0"/>
    <s v="No"/>
    <m/>
  </r>
  <r>
    <n v="25.933333333333334"/>
    <d v="2013-11-14T00:00:00"/>
    <x v="5"/>
    <s v="Solidarities"/>
    <s v="Kachin"/>
    <s v="Mansi"/>
    <s v="Man Wing Catholic Church"/>
    <m/>
    <m/>
    <m/>
    <m/>
    <m/>
    <m/>
    <m/>
    <m/>
    <m/>
    <m/>
    <m/>
    <n v="176"/>
    <n v="352"/>
    <n v="176"/>
    <m/>
    <m/>
    <m/>
    <n v="0"/>
    <n v="0"/>
    <n v="0"/>
    <n v="0"/>
    <n v="0"/>
    <n v="0"/>
    <n v="0"/>
    <n v="0"/>
    <n v="0"/>
    <n v="0"/>
    <n v="0"/>
    <n v="0"/>
    <n v="0"/>
    <n v="0"/>
    <x v="0"/>
    <n v="0"/>
    <s v="MMR001CMP132"/>
    <x v="1"/>
    <x v="1"/>
    <x v="1"/>
    <n v="0"/>
    <m/>
    <m/>
  </r>
  <r>
    <n v="25.933333333333334"/>
    <d v="2013-11-14T00:00:00"/>
    <x v="0"/>
    <s v="UNHCR"/>
    <s v="Kachin"/>
    <s v="Mansi"/>
    <s v="Mansi Baptist Church"/>
    <m/>
    <m/>
    <n v="18"/>
    <n v="31"/>
    <n v="18"/>
    <n v="31"/>
    <n v="18"/>
    <n v="18"/>
    <m/>
    <m/>
    <m/>
    <m/>
    <m/>
    <m/>
    <m/>
    <m/>
    <m/>
    <n v="0"/>
    <n v="0"/>
    <n v="0"/>
    <n v="0"/>
    <n v="0"/>
    <n v="0"/>
    <n v="0"/>
    <n v="0"/>
    <n v="0"/>
    <n v="0"/>
    <n v="0"/>
    <n v="0"/>
    <n v="0"/>
    <n v="0"/>
    <x v="1"/>
    <n v="0"/>
    <s v="MMR001CMP066"/>
    <x v="1"/>
    <x v="1"/>
    <x v="1"/>
    <n v="8.1447963800904979E-2"/>
    <s v="No"/>
    <m/>
  </r>
  <r>
    <n v="25.933333333333334"/>
    <d v="2013-11-14T00:00:00"/>
    <x v="4"/>
    <m/>
    <s v="Kachin"/>
    <s v="Momauk"/>
    <s v="Seng Ja "/>
    <m/>
    <m/>
    <m/>
    <m/>
    <m/>
    <n v="110"/>
    <m/>
    <m/>
    <m/>
    <m/>
    <m/>
    <m/>
    <m/>
    <m/>
    <m/>
    <m/>
    <m/>
    <n v="0"/>
    <n v="0"/>
    <n v="0"/>
    <n v="0"/>
    <n v="0"/>
    <n v="0"/>
    <n v="0"/>
    <n v="0"/>
    <n v="0"/>
    <n v="0"/>
    <n v="0"/>
    <n v="0"/>
    <n v="0"/>
    <n v="0"/>
    <x v="1"/>
    <n v="0"/>
    <s v="MMR001CMP073"/>
    <x v="1"/>
    <x v="1"/>
    <x v="2"/>
    <n v="0"/>
    <s v="No"/>
    <m/>
  </r>
  <r>
    <n v="25.966666666666665"/>
    <d v="2013-11-13T00:00:00"/>
    <x v="5"/>
    <s v="Solidarities"/>
    <s v="Kachin"/>
    <s v="Mansi"/>
    <s v="Man Wing Baptist Church"/>
    <m/>
    <m/>
    <m/>
    <m/>
    <m/>
    <m/>
    <m/>
    <m/>
    <m/>
    <m/>
    <m/>
    <n v="160"/>
    <n v="320"/>
    <n v="160"/>
    <m/>
    <m/>
    <m/>
    <n v="0"/>
    <n v="0"/>
    <n v="0"/>
    <n v="0"/>
    <n v="0"/>
    <n v="0"/>
    <n v="0"/>
    <n v="0"/>
    <n v="0"/>
    <n v="0"/>
    <n v="0"/>
    <n v="0"/>
    <n v="0"/>
    <n v="0"/>
    <x v="0"/>
    <n v="0"/>
    <s v="MMR001CMP133"/>
    <x v="1"/>
    <x v="1"/>
    <x v="1"/>
    <n v="0"/>
    <m/>
    <m/>
  </r>
  <r>
    <n v="25.966666666666665"/>
    <d v="2013-11-13T00:00:00"/>
    <x v="5"/>
    <s v="LDO"/>
    <s v="Kachin"/>
    <s v="Momauk"/>
    <s v="Pa Kahtawng "/>
    <m/>
    <m/>
    <m/>
    <m/>
    <m/>
    <m/>
    <m/>
    <m/>
    <m/>
    <m/>
    <n v="514"/>
    <n v="1016"/>
    <n v="3060"/>
    <n v="1530"/>
    <m/>
    <m/>
    <m/>
    <n v="0"/>
    <n v="0"/>
    <n v="0"/>
    <n v="0"/>
    <n v="0"/>
    <n v="0"/>
    <n v="0"/>
    <n v="0"/>
    <n v="0"/>
    <n v="0"/>
    <n v="0"/>
    <n v="0"/>
    <n v="0"/>
    <n v="0"/>
    <x v="0"/>
    <n v="0"/>
    <s v="MMR001CMP126"/>
    <x v="1"/>
    <x v="1"/>
    <x v="4"/>
    <n v="0"/>
    <m/>
    <m/>
  </r>
  <r>
    <n v="26.033333333333335"/>
    <d v="2013-11-11T00:00:00"/>
    <x v="0"/>
    <s v="UNHCR "/>
    <s v="Kachin"/>
    <s v="Momauk"/>
    <s v="Nhkawng Pa "/>
    <m/>
    <m/>
    <n v="36"/>
    <n v="200"/>
    <n v="100"/>
    <m/>
    <n v="100"/>
    <n v="100"/>
    <m/>
    <m/>
    <m/>
    <m/>
    <m/>
    <m/>
    <m/>
    <m/>
    <m/>
    <n v="0"/>
    <n v="0"/>
    <n v="0"/>
    <n v="0"/>
    <n v="0"/>
    <n v="0"/>
    <n v="0"/>
    <n v="0"/>
    <n v="0"/>
    <n v="0"/>
    <n v="0"/>
    <n v="0"/>
    <n v="0"/>
    <n v="0"/>
    <x v="1"/>
    <n v="0"/>
    <s v="MMR001CMP131"/>
    <x v="1"/>
    <x v="1"/>
    <x v="3"/>
    <n v="0.26666666666666666"/>
    <s v="No"/>
    <m/>
  </r>
  <r>
    <n v="26.166666666666668"/>
    <d v="2013-11-07T00:00:00"/>
    <x v="5"/>
    <s v="Solidarities"/>
    <s v="Kachin"/>
    <s v="Bhamo"/>
    <s v="Aung Thar Church"/>
    <m/>
    <m/>
    <m/>
    <m/>
    <m/>
    <m/>
    <m/>
    <m/>
    <m/>
    <m/>
    <n v="25"/>
    <n v="73"/>
    <n v="196"/>
    <n v="98"/>
    <m/>
    <m/>
    <m/>
    <n v="0"/>
    <n v="0"/>
    <n v="0"/>
    <n v="0"/>
    <n v="0"/>
    <n v="0"/>
    <n v="0"/>
    <n v="0"/>
    <n v="0"/>
    <n v="0"/>
    <n v="0"/>
    <n v="0"/>
    <n v="0"/>
    <n v="0"/>
    <x v="0"/>
    <n v="0"/>
    <s v="MMR001CMP194"/>
    <x v="1"/>
    <x v="2"/>
    <x v="1"/>
    <n v="0"/>
    <m/>
    <m/>
  </r>
  <r>
    <n v="26.166666666666668"/>
    <d v="2013-11-07T00:00:00"/>
    <x v="0"/>
    <s v="UNHCR"/>
    <s v="Kachin"/>
    <s v="Hpakant"/>
    <s v="Baptist Church, Naung Hmee VT"/>
    <m/>
    <m/>
    <n v="13"/>
    <n v="32"/>
    <n v="15"/>
    <n v="32"/>
    <n v="15"/>
    <m/>
    <n v="15"/>
    <n v="32"/>
    <m/>
    <m/>
    <m/>
    <m/>
    <m/>
    <m/>
    <m/>
    <n v="0"/>
    <n v="0"/>
    <n v="0"/>
    <n v="0"/>
    <n v="0"/>
    <n v="0"/>
    <n v="0"/>
    <n v="0"/>
    <n v="0"/>
    <n v="0"/>
    <n v="0"/>
    <n v="0"/>
    <n v="0"/>
    <n v="0"/>
    <x v="1"/>
    <n v="0"/>
    <s v="MMR001CMP188"/>
    <x v="1"/>
    <x v="2"/>
    <x v="1"/>
    <s v=""/>
    <s v="No"/>
    <m/>
  </r>
  <r>
    <n v="26.166666666666668"/>
    <d v="2013-11-07T00:00:00"/>
    <x v="5"/>
    <s v="Solidarities"/>
    <s v="Kachin"/>
    <s v="Bhamo"/>
    <s v="Phan Khar Kone"/>
    <m/>
    <m/>
    <m/>
    <m/>
    <m/>
    <m/>
    <m/>
    <m/>
    <m/>
    <m/>
    <n v="23"/>
    <n v="41"/>
    <n v="128"/>
    <n v="64"/>
    <m/>
    <m/>
    <m/>
    <n v="0"/>
    <n v="0"/>
    <n v="0"/>
    <n v="0"/>
    <n v="0"/>
    <n v="0"/>
    <n v="0"/>
    <n v="0"/>
    <n v="0"/>
    <n v="0"/>
    <n v="0"/>
    <n v="0"/>
    <n v="0"/>
    <n v="0"/>
    <x v="0"/>
    <n v="0"/>
    <s v="MMR001CMP193"/>
    <x v="1"/>
    <x v="1"/>
    <x v="1"/>
    <n v="0"/>
    <m/>
    <m/>
  </r>
  <r>
    <n v="26.166666666666668"/>
    <d v="2013-11-07T00:00:00"/>
    <x v="0"/>
    <s v="UNHCR"/>
    <s v="Kachin"/>
    <s v="Bhamo"/>
    <s v="Phan Khar Kone"/>
    <m/>
    <m/>
    <n v="58"/>
    <n v="46"/>
    <n v="29"/>
    <n v="46"/>
    <n v="29"/>
    <n v="29"/>
    <m/>
    <m/>
    <m/>
    <m/>
    <m/>
    <m/>
    <m/>
    <m/>
    <m/>
    <n v="0"/>
    <n v="0"/>
    <n v="0"/>
    <n v="0"/>
    <n v="0"/>
    <n v="0"/>
    <n v="0"/>
    <n v="0"/>
    <n v="0"/>
    <n v="0"/>
    <n v="0"/>
    <n v="0"/>
    <n v="0"/>
    <n v="0"/>
    <x v="1"/>
    <n v="0"/>
    <s v="MMR001CMP193"/>
    <x v="1"/>
    <x v="1"/>
    <x v="1"/>
    <n v="0.18471337579617833"/>
    <s v="No"/>
    <m/>
  </r>
  <r>
    <n v="26.166666666666668"/>
    <d v="2013-11-07T00:00:00"/>
    <x v="5"/>
    <s v="Solidarities"/>
    <s v="Kachin"/>
    <s v="Bhamo"/>
    <s v="Ta Gun Taing Monastery (Shwe Kyi Na)"/>
    <m/>
    <m/>
    <m/>
    <m/>
    <m/>
    <m/>
    <m/>
    <m/>
    <m/>
    <m/>
    <n v="64"/>
    <n v="118"/>
    <n v="364"/>
    <n v="182"/>
    <m/>
    <m/>
    <m/>
    <n v="0"/>
    <n v="0"/>
    <n v="0"/>
    <n v="0"/>
    <n v="0"/>
    <n v="0"/>
    <n v="0"/>
    <n v="0"/>
    <n v="0"/>
    <n v="0"/>
    <n v="0"/>
    <n v="0"/>
    <n v="0"/>
    <n v="0"/>
    <x v="0"/>
    <n v="0"/>
    <s v="MMR001CMP055"/>
    <x v="1"/>
    <x v="1"/>
    <x v="1"/>
    <n v="0"/>
    <m/>
    <m/>
  </r>
  <r>
    <n v="26.233333333333334"/>
    <d v="2013-11-05T00:00:00"/>
    <x v="0"/>
    <s v="UNHCR"/>
    <s v="Kachin"/>
    <s v="Mansi"/>
    <s v="Mansi Baptist Church"/>
    <m/>
    <m/>
    <n v="60"/>
    <n v="54"/>
    <n v="30"/>
    <n v="54"/>
    <n v="30"/>
    <n v="30"/>
    <m/>
    <m/>
    <m/>
    <m/>
    <m/>
    <m/>
    <m/>
    <m/>
    <m/>
    <n v="0"/>
    <n v="0"/>
    <n v="0"/>
    <n v="0"/>
    <n v="0"/>
    <n v="0"/>
    <n v="0"/>
    <n v="0"/>
    <n v="0"/>
    <n v="0"/>
    <n v="0"/>
    <n v="0"/>
    <n v="0"/>
    <n v="0"/>
    <x v="1"/>
    <n v="0"/>
    <s v="MMR001CMP066"/>
    <x v="1"/>
    <x v="1"/>
    <x v="1"/>
    <n v="0.13574660633484162"/>
    <s v="No"/>
    <m/>
  </r>
  <r>
    <n v="26.3"/>
    <d v="2013-11-03T00:00:00"/>
    <x v="9"/>
    <s v="MRCS"/>
    <s v="Kachin"/>
    <s v="Bhamo"/>
    <s v="AD-2000 Tharthana Compound"/>
    <m/>
    <m/>
    <n v="21"/>
    <m/>
    <m/>
    <m/>
    <n v="21"/>
    <m/>
    <m/>
    <m/>
    <m/>
    <m/>
    <m/>
    <m/>
    <m/>
    <m/>
    <m/>
    <n v="0"/>
    <n v="0"/>
    <n v="0"/>
    <n v="0"/>
    <n v="0"/>
    <n v="0"/>
    <n v="0"/>
    <n v="0"/>
    <n v="0"/>
    <n v="0"/>
    <n v="0"/>
    <n v="0"/>
    <n v="0"/>
    <n v="0"/>
    <x v="1"/>
    <n v="0"/>
    <s v="MMR001CMP050"/>
    <x v="1"/>
    <x v="1"/>
    <x v="1"/>
    <n v="7.6642335766423361E-2"/>
    <s v="No"/>
    <m/>
  </r>
  <r>
    <n v="26.3"/>
    <d v="2013-11-03T00:00:00"/>
    <x v="0"/>
    <s v="UNHCR "/>
    <s v="Kachin"/>
    <s v="Mansi"/>
    <s v="Bum Tsit Pa "/>
    <m/>
    <m/>
    <n v="130"/>
    <n v="130"/>
    <n v="65"/>
    <n v="65"/>
    <n v="65"/>
    <n v="65"/>
    <m/>
    <m/>
    <m/>
    <m/>
    <m/>
    <m/>
    <m/>
    <m/>
    <m/>
    <n v="0"/>
    <n v="0"/>
    <n v="0"/>
    <n v="0"/>
    <n v="0"/>
    <n v="0"/>
    <n v="0"/>
    <n v="0"/>
    <n v="0"/>
    <n v="0"/>
    <n v="0"/>
    <n v="0"/>
    <n v="0"/>
    <n v="0"/>
    <x v="1"/>
    <n v="0"/>
    <s v="MMR001CMP129"/>
    <x v="1"/>
    <x v="1"/>
    <x v="4"/>
    <n v="0.26530612244897961"/>
    <s v="No"/>
    <m/>
  </r>
  <r>
    <n v="26.3"/>
    <d v="2013-11-03T00:00:00"/>
    <x v="9"/>
    <s v="MRCS"/>
    <s v="Kachin"/>
    <s v="Bhamo"/>
    <s v="Htoi San Church"/>
    <m/>
    <m/>
    <n v="41"/>
    <m/>
    <m/>
    <m/>
    <n v="41"/>
    <m/>
    <m/>
    <m/>
    <m/>
    <m/>
    <m/>
    <m/>
    <m/>
    <m/>
    <m/>
    <n v="0"/>
    <n v="0"/>
    <n v="0"/>
    <n v="0"/>
    <n v="0"/>
    <n v="0"/>
    <n v="0"/>
    <n v="0"/>
    <n v="0"/>
    <n v="0"/>
    <n v="0"/>
    <n v="0"/>
    <n v="0"/>
    <n v="0"/>
    <x v="1"/>
    <n v="0"/>
    <s v="MMR001CMP052"/>
    <x v="1"/>
    <x v="1"/>
    <x v="1"/>
    <n v="0.95348837209302328"/>
    <s v="No"/>
    <m/>
  </r>
  <r>
    <n v="26.3"/>
    <d v="2013-11-03T00:00:00"/>
    <x v="0"/>
    <s v="UNHCR "/>
    <s v="Kachin"/>
    <s v="Mansi"/>
    <s v="Lana Zup Ja "/>
    <m/>
    <m/>
    <n v="592"/>
    <n v="592"/>
    <n v="296"/>
    <n v="296"/>
    <n v="296"/>
    <n v="296"/>
    <m/>
    <m/>
    <m/>
    <m/>
    <m/>
    <m/>
    <m/>
    <m/>
    <m/>
    <n v="0"/>
    <n v="0"/>
    <n v="0"/>
    <n v="0"/>
    <n v="0"/>
    <n v="0"/>
    <n v="0"/>
    <n v="0"/>
    <n v="0"/>
    <n v="0"/>
    <n v="0"/>
    <n v="0"/>
    <n v="0"/>
    <n v="0"/>
    <x v="1"/>
    <n v="0"/>
    <s v="MMR001CMP128"/>
    <x v="1"/>
    <x v="1"/>
    <x v="4"/>
    <n v="0.5431192660550459"/>
    <s v="No"/>
    <m/>
  </r>
  <r>
    <n v="26.3"/>
    <d v="2013-11-03T00:00:00"/>
    <x v="0"/>
    <s v="UNHCR "/>
    <s v="Kachin"/>
    <s v="Momauk"/>
    <s v="Loi Je Lisu Camp"/>
    <m/>
    <m/>
    <n v="24"/>
    <n v="24"/>
    <n v="12"/>
    <n v="12"/>
    <n v="12"/>
    <n v="12"/>
    <m/>
    <m/>
    <m/>
    <m/>
    <m/>
    <m/>
    <m/>
    <m/>
    <m/>
    <n v="0"/>
    <n v="0"/>
    <n v="0"/>
    <n v="0"/>
    <n v="0"/>
    <n v="0"/>
    <n v="0"/>
    <n v="0"/>
    <n v="0"/>
    <n v="0"/>
    <n v="0"/>
    <n v="0"/>
    <n v="0"/>
    <n v="0"/>
    <x v="1"/>
    <n v="0"/>
    <s v="MMR001CMP070"/>
    <x v="1"/>
    <x v="1"/>
    <x v="2"/>
    <n v="6.3829787234042548E-2"/>
    <s v="No"/>
    <m/>
  </r>
  <r>
    <n v="26.3"/>
    <d v="2013-11-03T00:00:00"/>
    <x v="9"/>
    <s v="MRCS"/>
    <s v="Kachin"/>
    <s v="Mansi"/>
    <s v="Mansi Baptist Church"/>
    <m/>
    <m/>
    <n v="29"/>
    <m/>
    <m/>
    <m/>
    <n v="29"/>
    <m/>
    <m/>
    <m/>
    <m/>
    <m/>
    <m/>
    <m/>
    <m/>
    <m/>
    <m/>
    <n v="0"/>
    <n v="0"/>
    <n v="0"/>
    <n v="0"/>
    <n v="0"/>
    <n v="0"/>
    <n v="0"/>
    <n v="0"/>
    <n v="0"/>
    <n v="0"/>
    <n v="0"/>
    <n v="0"/>
    <n v="0"/>
    <n v="0"/>
    <x v="1"/>
    <n v="0"/>
    <s v="MMR001CMP066"/>
    <x v="1"/>
    <x v="1"/>
    <x v="1"/>
    <n v="0.13122171945701358"/>
    <s v="No"/>
    <m/>
  </r>
  <r>
    <n v="26.3"/>
    <d v="2013-11-03T00:00:00"/>
    <x v="9"/>
    <s v="MRCS"/>
    <s v="Kachin"/>
    <s v="Bhamo"/>
    <s v="Phan Khar Kone"/>
    <m/>
    <m/>
    <n v="49"/>
    <m/>
    <m/>
    <m/>
    <n v="49"/>
    <m/>
    <m/>
    <m/>
    <m/>
    <m/>
    <m/>
    <m/>
    <m/>
    <m/>
    <m/>
    <n v="0"/>
    <n v="0"/>
    <n v="0"/>
    <n v="0"/>
    <n v="0"/>
    <n v="0"/>
    <n v="0"/>
    <n v="0"/>
    <n v="0"/>
    <n v="0"/>
    <n v="0"/>
    <n v="0"/>
    <n v="0"/>
    <n v="0"/>
    <x v="1"/>
    <n v="0"/>
    <s v="MMR001CMP193"/>
    <x v="1"/>
    <x v="1"/>
    <x v="1"/>
    <n v="0.31210191082802546"/>
    <s v="No"/>
    <m/>
  </r>
  <r>
    <n v="26.366666666666667"/>
    <d v="2013-11-01T00:00:00"/>
    <x v="0"/>
    <s v="UNHCR"/>
    <s v="Kachin"/>
    <s v="Bhamo"/>
    <s v="Aung Thar Church"/>
    <m/>
    <m/>
    <n v="8"/>
    <n v="6"/>
    <n v="4"/>
    <n v="6"/>
    <n v="4"/>
    <n v="4"/>
    <m/>
    <m/>
    <m/>
    <m/>
    <m/>
    <m/>
    <m/>
    <m/>
    <m/>
    <n v="0"/>
    <n v="0"/>
    <n v="0"/>
    <n v="0"/>
    <n v="0"/>
    <n v="0"/>
    <n v="0"/>
    <n v="0"/>
    <n v="0"/>
    <n v="0"/>
    <n v="0"/>
    <n v="0"/>
    <n v="0"/>
    <n v="0"/>
    <x v="1"/>
    <n v="0"/>
    <s v="MMR001CMP194"/>
    <x v="1"/>
    <x v="1"/>
    <x v="1"/>
    <n v="0.33333333333333331"/>
    <s v="No"/>
    <m/>
  </r>
  <r>
    <n v="26.366666666666667"/>
    <d v="2013-11-01T00:00:00"/>
    <x v="0"/>
    <s v="UNHCR"/>
    <s v="Kachin"/>
    <s v="Bhamo"/>
    <s v="Htoi San Church"/>
    <m/>
    <m/>
    <n v="12"/>
    <n v="9"/>
    <n v="6"/>
    <n v="9"/>
    <n v="6"/>
    <n v="6"/>
    <n v="6"/>
    <m/>
    <m/>
    <m/>
    <m/>
    <m/>
    <m/>
    <m/>
    <m/>
    <n v="0"/>
    <n v="0"/>
    <n v="0"/>
    <n v="0"/>
    <n v="0"/>
    <n v="0"/>
    <n v="0"/>
    <n v="0"/>
    <n v="0"/>
    <n v="0"/>
    <n v="0"/>
    <n v="0"/>
    <n v="0"/>
    <n v="0"/>
    <x v="1"/>
    <n v="0"/>
    <s v="MMR001CMP052"/>
    <x v="1"/>
    <x v="1"/>
    <x v="1"/>
    <n v="0.13953488372093023"/>
    <s v="No"/>
    <m/>
  </r>
  <r>
    <n v="26.366666666666667"/>
    <d v="2013-11-01T00:00:00"/>
    <x v="0"/>
    <s v="UNHCR"/>
    <s v="Kachin"/>
    <s v="Bhamo"/>
    <s v="Robert Church"/>
    <m/>
    <m/>
    <n v="40"/>
    <n v="48"/>
    <n v="20"/>
    <n v="48"/>
    <n v="20"/>
    <n v="20"/>
    <n v="500"/>
    <n v="500"/>
    <m/>
    <m/>
    <m/>
    <m/>
    <m/>
    <m/>
    <m/>
    <n v="0"/>
    <n v="0"/>
    <n v="0"/>
    <n v="0"/>
    <n v="0"/>
    <n v="0"/>
    <n v="0"/>
    <n v="0"/>
    <n v="0"/>
    <n v="0"/>
    <n v="0"/>
    <n v="0"/>
    <n v="0"/>
    <n v="0"/>
    <x v="1"/>
    <n v="0"/>
    <s v="MMR001CMP047"/>
    <x v="1"/>
    <x v="1"/>
    <x v="1"/>
    <n v="3.0674846625766871E-2"/>
    <s v="No"/>
    <m/>
  </r>
  <r>
    <n v="26.433333333333334"/>
    <d v="2013-10-30T00:00:00"/>
    <x v="0"/>
    <s v="UNHCR"/>
    <s v="Kachin"/>
    <s v="Bhamo"/>
    <s v="AD-2000 Tharthana Compound"/>
    <m/>
    <m/>
    <n v="22"/>
    <n v="40"/>
    <n v="21"/>
    <n v="40"/>
    <n v="21"/>
    <n v="21"/>
    <n v="21"/>
    <n v="21"/>
    <m/>
    <m/>
    <m/>
    <m/>
    <m/>
    <m/>
    <m/>
    <n v="0"/>
    <n v="0"/>
    <n v="0"/>
    <n v="0"/>
    <n v="0"/>
    <n v="0"/>
    <n v="0"/>
    <n v="0"/>
    <n v="0"/>
    <n v="0"/>
    <n v="0"/>
    <n v="0"/>
    <n v="0"/>
    <n v="0"/>
    <x v="1"/>
    <n v="0"/>
    <s v="MMR001CMP050"/>
    <x v="1"/>
    <x v="1"/>
    <x v="1"/>
    <n v="7.6642335766423361E-2"/>
    <s v="No"/>
    <m/>
  </r>
  <r>
    <n v="26.433333333333334"/>
    <d v="2013-10-30T00:00:00"/>
    <x v="0"/>
    <s v="UNHCR"/>
    <s v="Kachin"/>
    <s v="Bhamo"/>
    <s v="Htoi San Church"/>
    <m/>
    <m/>
    <n v="72"/>
    <n v="61"/>
    <n v="36"/>
    <n v="61"/>
    <n v="36"/>
    <n v="36"/>
    <n v="36"/>
    <n v="36"/>
    <m/>
    <m/>
    <m/>
    <m/>
    <m/>
    <m/>
    <m/>
    <n v="0"/>
    <n v="0"/>
    <n v="0"/>
    <n v="0"/>
    <n v="0"/>
    <n v="0"/>
    <n v="0"/>
    <n v="0"/>
    <n v="0"/>
    <n v="0"/>
    <n v="0"/>
    <n v="0"/>
    <n v="0"/>
    <n v="0"/>
    <x v="1"/>
    <n v="0"/>
    <s v="MMR001CMP052"/>
    <x v="1"/>
    <x v="1"/>
    <x v="1"/>
    <n v="0.83720930232558144"/>
    <s v="No"/>
    <m/>
  </r>
  <r>
    <n v="26.433333333333334"/>
    <d v="2013-10-30T00:00:00"/>
    <x v="0"/>
    <s v="UNHCR"/>
    <s v="Kachin"/>
    <s v="Bhamo"/>
    <s v="Phan Khar Kone"/>
    <m/>
    <m/>
    <n v="81"/>
    <n v="94"/>
    <n v="50"/>
    <n v="94"/>
    <n v="50"/>
    <n v="50"/>
    <n v="50"/>
    <n v="50"/>
    <m/>
    <m/>
    <m/>
    <m/>
    <m/>
    <m/>
    <m/>
    <n v="0"/>
    <n v="0"/>
    <n v="0"/>
    <n v="0"/>
    <n v="0"/>
    <n v="0"/>
    <n v="0"/>
    <n v="0"/>
    <n v="0"/>
    <n v="0"/>
    <n v="0"/>
    <n v="0"/>
    <n v="0"/>
    <n v="0"/>
    <x v="1"/>
    <n v="0"/>
    <s v="MMR001CMP193"/>
    <x v="1"/>
    <x v="1"/>
    <x v="1"/>
    <n v="0.31847133757961782"/>
    <s v="No"/>
    <m/>
  </r>
  <r>
    <n v="27.566666666666666"/>
    <d v="2013-09-26T00:00:00"/>
    <x v="0"/>
    <s v="UNHCR"/>
    <s v="Kachin"/>
    <s v="Momauk"/>
    <s v="Hpun Lum Yang "/>
    <m/>
    <m/>
    <n v="882"/>
    <n v="882"/>
    <n v="441"/>
    <n v="882"/>
    <n v="441"/>
    <m/>
    <n v="441"/>
    <n v="882"/>
    <m/>
    <m/>
    <m/>
    <m/>
    <m/>
    <m/>
    <m/>
    <n v="0"/>
    <n v="0"/>
    <n v="0"/>
    <n v="0"/>
    <n v="0"/>
    <n v="0"/>
    <n v="0"/>
    <n v="0"/>
    <n v="0"/>
    <n v="0"/>
    <n v="0"/>
    <n v="0"/>
    <n v="0"/>
    <n v="0"/>
    <x v="1"/>
    <n v="0"/>
    <s v="MMR001CMP122"/>
    <x v="1"/>
    <x v="1"/>
    <x v="4"/>
    <n v="0.71824104234527686"/>
    <s v="No"/>
    <m/>
  </r>
  <r>
    <n v="27.566666666666666"/>
    <d v="2013-09-26T00:00:00"/>
    <x v="0"/>
    <s v="UNHCR"/>
    <s v="Kachin"/>
    <s v="Momauk"/>
    <s v="Je Yang Hka "/>
    <m/>
    <m/>
    <n v="1628"/>
    <n v="3256"/>
    <n v="1628"/>
    <n v="3256"/>
    <n v="1628"/>
    <m/>
    <n v="1628"/>
    <n v="3256"/>
    <m/>
    <m/>
    <m/>
    <m/>
    <m/>
    <m/>
    <m/>
    <n v="0"/>
    <n v="0"/>
    <n v="0"/>
    <n v="0"/>
    <n v="0"/>
    <n v="0"/>
    <n v="0"/>
    <n v="0"/>
    <n v="0"/>
    <n v="0"/>
    <n v="0"/>
    <n v="0"/>
    <n v="0"/>
    <n v="0"/>
    <x v="1"/>
    <n v="0"/>
    <s v="MMR001CMP121"/>
    <x v="1"/>
    <x v="1"/>
    <x v="4"/>
    <n v="0.96047197640117998"/>
    <s v="No"/>
    <m/>
  </r>
  <r>
    <n v="27.566666666666666"/>
    <d v="2013-09-26T00:00:00"/>
    <x v="0"/>
    <s v="UNHCR"/>
    <s v="Kachin"/>
    <s v="Waingmaw"/>
    <s v="Laiza Market 3 - Laiza Gat"/>
    <m/>
    <m/>
    <n v="437"/>
    <n v="874"/>
    <n v="437"/>
    <n v="874"/>
    <n v="437"/>
    <n v="54"/>
    <n v="383"/>
    <n v="766"/>
    <m/>
    <m/>
    <m/>
    <m/>
    <m/>
    <m/>
    <m/>
    <n v="0"/>
    <n v="0"/>
    <n v="0"/>
    <n v="0"/>
    <n v="0"/>
    <n v="0"/>
    <n v="0"/>
    <n v="0"/>
    <n v="0"/>
    <n v="0"/>
    <n v="0"/>
    <n v="0"/>
    <n v="0"/>
    <n v="0"/>
    <x v="1"/>
    <n v="0"/>
    <s v="MMR001CMP117"/>
    <x v="1"/>
    <x v="2"/>
    <x v="4"/>
    <s v=""/>
    <s v="No"/>
    <m/>
  </r>
  <r>
    <n v="27.833333333333332"/>
    <d v="2013-09-18T00:00:00"/>
    <x v="0"/>
    <s v="UNHCR"/>
    <s v="Kachin"/>
    <s v="Waingmaw"/>
    <s v="Woi Chyai "/>
    <m/>
    <m/>
    <n v="1520"/>
    <n v="1520"/>
    <n v="760"/>
    <n v="1520"/>
    <n v="760"/>
    <n v="760"/>
    <m/>
    <m/>
    <m/>
    <m/>
    <m/>
    <m/>
    <m/>
    <m/>
    <m/>
    <n v="0"/>
    <n v="0"/>
    <n v="0"/>
    <n v="0"/>
    <n v="0"/>
    <n v="0"/>
    <n v="0"/>
    <n v="0"/>
    <n v="0"/>
    <n v="0"/>
    <n v="0"/>
    <n v="0"/>
    <n v="0"/>
    <n v="0"/>
    <x v="1"/>
    <n v="0"/>
    <s v="MMR001CMP116"/>
    <x v="1"/>
    <x v="1"/>
    <x v="1"/>
    <n v="0.56379821958456977"/>
    <s v="No"/>
    <m/>
  </r>
  <r>
    <n v="28.033333333333335"/>
    <d v="2013-09-12T00:00:00"/>
    <x v="0"/>
    <s v="UNHCR"/>
    <s v="Kachin"/>
    <s v="Momauk"/>
    <s v="Nhkawng Pa "/>
    <m/>
    <m/>
    <n v="640"/>
    <n v="640"/>
    <n v="320"/>
    <n v="320"/>
    <n v="320"/>
    <n v="320"/>
    <n v="640"/>
    <n v="320"/>
    <m/>
    <m/>
    <m/>
    <m/>
    <m/>
    <m/>
    <m/>
    <n v="0"/>
    <n v="0"/>
    <n v="0"/>
    <n v="0"/>
    <n v="0"/>
    <n v="0"/>
    <n v="0"/>
    <n v="0"/>
    <n v="0"/>
    <n v="0"/>
    <n v="0"/>
    <n v="0"/>
    <n v="0"/>
    <n v="0"/>
    <x v="1"/>
    <n v="0"/>
    <s v="MMR001CMP131"/>
    <x v="1"/>
    <x v="1"/>
    <x v="3"/>
    <n v="0.85333333333333339"/>
    <s v="No"/>
    <m/>
  </r>
  <r>
    <n v="29.033333333333335"/>
    <d v="2013-08-13T00:00:00"/>
    <x v="0"/>
    <s v="KBC"/>
    <s v="Shan_North"/>
    <s v="Hseni"/>
    <s v="Na Ti (Koe Kant Traditional school)"/>
    <m/>
    <m/>
    <n v="67"/>
    <n v="90"/>
    <n v="30"/>
    <n v="90"/>
    <n v="30"/>
    <n v="30"/>
    <n v="30"/>
    <n v="30"/>
    <m/>
    <m/>
    <m/>
    <m/>
    <m/>
    <m/>
    <m/>
    <n v="0"/>
    <n v="0"/>
    <n v="0"/>
    <n v="0"/>
    <n v="0"/>
    <n v="0"/>
    <n v="0"/>
    <n v="0"/>
    <n v="0"/>
    <n v="0"/>
    <n v="0"/>
    <n v="0"/>
    <n v="0"/>
    <n v="0"/>
    <x v="1"/>
    <n v="0"/>
    <s v=""/>
    <x v="0"/>
    <x v="0"/>
    <x v="0"/>
    <s v=""/>
    <s v="No"/>
    <m/>
  </r>
  <r>
    <n v="29.033333333333335"/>
    <d v="2013-08-13T00:00:00"/>
    <x v="0"/>
    <s v="KMSS"/>
    <s v="Shan_North"/>
    <s v="Manton"/>
    <s v="Host Families"/>
    <m/>
    <m/>
    <n v="49"/>
    <n v="90"/>
    <n v="30"/>
    <n v="90"/>
    <n v="30"/>
    <n v="30"/>
    <n v="30"/>
    <n v="30"/>
    <m/>
    <m/>
    <m/>
    <m/>
    <m/>
    <m/>
    <m/>
    <n v="0"/>
    <n v="0"/>
    <n v="0"/>
    <n v="0"/>
    <n v="0"/>
    <n v="0"/>
    <n v="0"/>
    <n v="0"/>
    <n v="0"/>
    <n v="0"/>
    <n v="0"/>
    <n v="0"/>
    <n v="0"/>
    <n v="0"/>
    <x v="1"/>
    <n v="0"/>
    <s v="MMR001CMP163"/>
    <x v="1"/>
    <x v="1"/>
    <x v="1"/>
    <n v="0.14218009478672985"/>
    <s v="No"/>
    <m/>
  </r>
  <r>
    <n v="29.033333333333335"/>
    <d v="2013-08-13T00:00:00"/>
    <x v="0"/>
    <s v="KBC"/>
    <s v="Shan_North"/>
    <s v="Kutkai"/>
    <s v="Kone Khem Camp"/>
    <m/>
    <m/>
    <n v="70"/>
    <n v="120"/>
    <n v="48"/>
    <n v="120"/>
    <n v="48"/>
    <n v="48"/>
    <n v="48"/>
    <n v="48"/>
    <m/>
    <m/>
    <m/>
    <m/>
    <m/>
    <m/>
    <m/>
    <n v="0"/>
    <n v="0"/>
    <n v="0"/>
    <n v="0"/>
    <n v="0"/>
    <n v="0"/>
    <n v="0"/>
    <n v="0"/>
    <n v="0"/>
    <n v="0"/>
    <n v="0"/>
    <n v="0"/>
    <n v="0"/>
    <n v="0"/>
    <x v="1"/>
    <n v="0"/>
    <s v="MMR015CMP015"/>
    <x v="1"/>
    <x v="1"/>
    <x v="2"/>
    <n v="0.55172413793103448"/>
    <s v="No"/>
    <m/>
  </r>
  <r>
    <n v="29.033333333333335"/>
    <d v="2013-08-13T00:00:00"/>
    <x v="0"/>
    <s v="KMSS"/>
    <s v="Shan_North"/>
    <s v="Kutkai"/>
    <s v="Kutkai downtown (RC Church)"/>
    <m/>
    <m/>
    <n v="47"/>
    <n v="103"/>
    <n v="41"/>
    <n v="103"/>
    <n v="41"/>
    <n v="41"/>
    <n v="41"/>
    <n v="41"/>
    <m/>
    <m/>
    <m/>
    <m/>
    <m/>
    <m/>
    <m/>
    <n v="0"/>
    <n v="0"/>
    <n v="0"/>
    <n v="0"/>
    <n v="0"/>
    <n v="0"/>
    <n v="0"/>
    <n v="0"/>
    <n v="0"/>
    <n v="0"/>
    <n v="0"/>
    <n v="0"/>
    <n v="0"/>
    <n v="0"/>
    <x v="1"/>
    <n v="0"/>
    <s v="MMR015CMP017"/>
    <x v="1"/>
    <x v="1"/>
    <x v="2"/>
    <n v="1.3225806451612903"/>
    <s v="No"/>
    <m/>
  </r>
  <r>
    <n v="29.033333333333335"/>
    <d v="2013-08-13T00:00:00"/>
    <x v="0"/>
    <s v="KBC"/>
    <s v="Shan_North"/>
    <s v="Manton"/>
    <s v="Mandung - Jinghpaw"/>
    <m/>
    <m/>
    <n v="36"/>
    <n v="84"/>
    <n v="42"/>
    <n v="84"/>
    <n v="42"/>
    <n v="42"/>
    <n v="42"/>
    <n v="42"/>
    <m/>
    <m/>
    <m/>
    <m/>
    <m/>
    <m/>
    <m/>
    <n v="0"/>
    <n v="0"/>
    <n v="0"/>
    <n v="0"/>
    <n v="0"/>
    <n v="0"/>
    <n v="0"/>
    <n v="0"/>
    <n v="0"/>
    <n v="0"/>
    <n v="0"/>
    <n v="0"/>
    <n v="0"/>
    <n v="0"/>
    <x v="1"/>
    <n v="0"/>
    <s v="MMR015CMP009"/>
    <x v="1"/>
    <x v="1"/>
    <x v="4"/>
    <n v="1.1052631578947369"/>
    <s v="No"/>
    <m/>
  </r>
  <r>
    <n v="29.033333333333335"/>
    <d v="2013-08-13T00:00:00"/>
    <x v="0"/>
    <s v="KBC"/>
    <s v="Shan_North"/>
    <s v="Kutkai"/>
    <s v="Mine Yu Lay village"/>
    <m/>
    <m/>
    <n v="113"/>
    <n v="160"/>
    <n v="32"/>
    <n v="160"/>
    <n v="32"/>
    <n v="32"/>
    <n v="32"/>
    <n v="32"/>
    <m/>
    <m/>
    <m/>
    <m/>
    <m/>
    <m/>
    <m/>
    <n v="0"/>
    <n v="0"/>
    <n v="0"/>
    <n v="0"/>
    <n v="0"/>
    <n v="0"/>
    <n v="0"/>
    <n v="0"/>
    <n v="0"/>
    <n v="0"/>
    <n v="0"/>
    <n v="0"/>
    <n v="0"/>
    <n v="0"/>
    <x v="1"/>
    <n v="0"/>
    <s v="MMR015CMP018"/>
    <x v="1"/>
    <x v="1"/>
    <x v="2"/>
    <n v="0.4050632911392405"/>
    <s v="No"/>
    <m/>
  </r>
  <r>
    <n v="29.033333333333335"/>
    <d v="2013-08-13T00:00:00"/>
    <x v="0"/>
    <s v="KMSS"/>
    <s v="Shan_North"/>
    <s v="Kutkai"/>
    <s v="Mungji Pa Dabang (Baptist Church)         "/>
    <m/>
    <m/>
    <n v="30"/>
    <n v="56"/>
    <n v="23"/>
    <n v="56"/>
    <n v="23"/>
    <n v="23"/>
    <n v="23"/>
    <n v="23"/>
    <m/>
    <m/>
    <m/>
    <m/>
    <m/>
    <m/>
    <m/>
    <n v="0"/>
    <n v="0"/>
    <n v="0"/>
    <n v="0"/>
    <n v="0"/>
    <n v="0"/>
    <n v="0"/>
    <n v="0"/>
    <n v="0"/>
    <n v="0"/>
    <n v="0"/>
    <n v="0"/>
    <n v="0"/>
    <n v="0"/>
    <x v="1"/>
    <n v="0"/>
    <s v="MMR015CMP006"/>
    <x v="1"/>
    <x v="1"/>
    <x v="3"/>
    <n v="0.45098039215686275"/>
    <s v="No"/>
    <m/>
  </r>
  <r>
    <n v="29.033333333333335"/>
    <d v="2013-08-13T00:00:00"/>
    <x v="0"/>
    <s v="KMSS"/>
    <s v="Shan_North"/>
    <s v="Kutkai"/>
    <s v="Mungji Pa Dabang (RC Church)         "/>
    <m/>
    <m/>
    <n v="70"/>
    <n v="130"/>
    <n v="52"/>
    <n v="130"/>
    <n v="52"/>
    <n v="52"/>
    <n v="52"/>
    <n v="52"/>
    <m/>
    <m/>
    <m/>
    <m/>
    <m/>
    <m/>
    <m/>
    <n v="0"/>
    <n v="0"/>
    <n v="0"/>
    <n v="0"/>
    <n v="0"/>
    <n v="0"/>
    <n v="0"/>
    <n v="0"/>
    <n v="0"/>
    <n v="0"/>
    <n v="0"/>
    <n v="0"/>
    <n v="0"/>
    <n v="0"/>
    <x v="1"/>
    <n v="0"/>
    <s v="MMR015CMP019"/>
    <x v="1"/>
    <x v="2"/>
    <x v="0"/>
    <s v=""/>
    <s v="No"/>
    <m/>
  </r>
  <r>
    <n v="29.033333333333335"/>
    <d v="2013-08-13T00:00:00"/>
    <x v="0"/>
    <s v="KBC"/>
    <s v="Shan_North"/>
    <s v="Namhkan"/>
    <s v="Nam Hkam - Nay Win Ni (Palawng)"/>
    <m/>
    <m/>
    <n v="125"/>
    <n v="233"/>
    <n v="93"/>
    <n v="233"/>
    <n v="93"/>
    <n v="93"/>
    <n v="93"/>
    <n v="93"/>
    <m/>
    <m/>
    <m/>
    <m/>
    <m/>
    <m/>
    <m/>
    <n v="0"/>
    <n v="0"/>
    <n v="0"/>
    <n v="0"/>
    <n v="0"/>
    <n v="0"/>
    <n v="0"/>
    <n v="0"/>
    <n v="0"/>
    <n v="0"/>
    <n v="0"/>
    <n v="0"/>
    <n v="0"/>
    <n v="0"/>
    <x v="1"/>
    <n v="0"/>
    <s v="MMR015CMP004"/>
    <x v="1"/>
    <x v="1"/>
    <x v="2"/>
    <n v="1.1341463414634145"/>
    <s v="No"/>
    <m/>
  </r>
  <r>
    <n v="29.033333333333335"/>
    <d v="2013-08-13T00:00:00"/>
    <x v="0"/>
    <s v="KMSS"/>
    <s v="Shan_North"/>
    <s v="Namhkan"/>
    <s v="Nam Hkam (KBC Jaw Wang)"/>
    <m/>
    <m/>
    <n v="100"/>
    <n v="188"/>
    <n v="75"/>
    <n v="188"/>
    <n v="75"/>
    <n v="75"/>
    <n v="75"/>
    <n v="75"/>
    <m/>
    <m/>
    <m/>
    <m/>
    <m/>
    <m/>
    <m/>
    <n v="0"/>
    <n v="0"/>
    <n v="0"/>
    <n v="0"/>
    <n v="0"/>
    <n v="0"/>
    <n v="0"/>
    <n v="0"/>
    <n v="0"/>
    <n v="0"/>
    <n v="0"/>
    <n v="0"/>
    <n v="0"/>
    <n v="0"/>
    <x v="1"/>
    <n v="0"/>
    <s v="MMR015CMP001"/>
    <x v="1"/>
    <x v="1"/>
    <x v="2"/>
    <n v="1.1029411764705883"/>
    <s v="No"/>
    <m/>
  </r>
  <r>
    <n v="29.033333333333335"/>
    <d v="2013-08-13T00:00:00"/>
    <x v="0"/>
    <s v="KMSS"/>
    <s v="Shan_North"/>
    <s v="Namhkan"/>
    <s v="Nam Hkam Catholic Church ( St. Thomas I)"/>
    <m/>
    <m/>
    <n v="36"/>
    <n v="72"/>
    <n v="33"/>
    <n v="72"/>
    <n v="33"/>
    <n v="33"/>
    <n v="33"/>
    <n v="33"/>
    <m/>
    <m/>
    <m/>
    <m/>
    <m/>
    <m/>
    <m/>
    <n v="0"/>
    <n v="0"/>
    <n v="0"/>
    <n v="0"/>
    <n v="0"/>
    <n v="0"/>
    <n v="0"/>
    <n v="0"/>
    <n v="0"/>
    <n v="0"/>
    <n v="0"/>
    <n v="0"/>
    <n v="0"/>
    <n v="0"/>
    <x v="1"/>
    <n v="0"/>
    <s v="MMR015CMP003"/>
    <x v="1"/>
    <x v="1"/>
    <x v="2"/>
    <n v="0.6875"/>
    <s v="No"/>
    <m/>
  </r>
  <r>
    <n v="29.033333333333335"/>
    <d v="2013-08-13T00:00:00"/>
    <x v="0"/>
    <s v="KMSS"/>
    <s v="Shan_North"/>
    <s v="Namhkan"/>
    <s v="Nam Hkam Catholic Church ( St. Thomas II)"/>
    <m/>
    <m/>
    <n v="40"/>
    <n v="83"/>
    <n v="33"/>
    <n v="83"/>
    <n v="33"/>
    <n v="33"/>
    <n v="33"/>
    <n v="33"/>
    <m/>
    <m/>
    <m/>
    <m/>
    <m/>
    <m/>
    <m/>
    <n v="0"/>
    <n v="0"/>
    <n v="0"/>
    <n v="0"/>
    <n v="0"/>
    <n v="0"/>
    <n v="0"/>
    <n v="0"/>
    <n v="0"/>
    <n v="0"/>
    <n v="0"/>
    <n v="0"/>
    <n v="0"/>
    <n v="0"/>
    <x v="1"/>
    <n v="0"/>
    <s v="MMR015CMP024"/>
    <x v="1"/>
    <x v="2"/>
    <x v="0"/>
    <s v=""/>
    <s v="No"/>
    <m/>
  </r>
  <r>
    <n v="29.033333333333335"/>
    <d v="2013-08-13T00:00:00"/>
    <x v="0"/>
    <s v="KMSS"/>
    <s v="Shan_North"/>
    <s v="Namtu"/>
    <s v="Nam Tu RC"/>
    <m/>
    <m/>
    <n v="130"/>
    <n v="288"/>
    <n v="115"/>
    <n v="288"/>
    <n v="115"/>
    <n v="115"/>
    <n v="115"/>
    <n v="115"/>
    <m/>
    <m/>
    <m/>
    <m/>
    <m/>
    <m/>
    <m/>
    <n v="0"/>
    <n v="0"/>
    <n v="0"/>
    <n v="0"/>
    <n v="0"/>
    <n v="0"/>
    <n v="0"/>
    <n v="0"/>
    <n v="0"/>
    <n v="0"/>
    <n v="0"/>
    <n v="0"/>
    <n v="0"/>
    <n v="0"/>
    <x v="1"/>
    <n v="0"/>
    <s v="MMR015CMP210"/>
    <x v="1"/>
    <x v="1"/>
    <x v="2"/>
    <n v="0.97457627118644063"/>
    <s v="No"/>
    <m/>
  </r>
  <r>
    <n v="29.033333333333335"/>
    <d v="2013-08-13T00:00:00"/>
    <x v="0"/>
    <s v="KBC"/>
    <s v="Shan_North"/>
    <s v="Hseni"/>
    <s v="Narte"/>
    <m/>
    <m/>
    <n v="27"/>
    <n v="43"/>
    <n v="17"/>
    <n v="43"/>
    <n v="17"/>
    <n v="17"/>
    <n v="17"/>
    <n v="17"/>
    <m/>
    <m/>
    <m/>
    <m/>
    <m/>
    <m/>
    <m/>
    <n v="0"/>
    <n v="0"/>
    <n v="0"/>
    <n v="0"/>
    <n v="0"/>
    <n v="0"/>
    <n v="0"/>
    <n v="0"/>
    <n v="0"/>
    <n v="0"/>
    <n v="0"/>
    <n v="0"/>
    <n v="0"/>
    <n v="0"/>
    <x v="1"/>
    <n v="0"/>
    <s v="MMR015CMP207"/>
    <x v="1"/>
    <x v="1"/>
    <x v="1"/>
    <n v="0.2537313432835821"/>
    <s v="No"/>
    <m/>
  </r>
  <r>
    <n v="29.233333333333334"/>
    <d v="2013-08-07T00:00:00"/>
    <x v="0"/>
    <s v="UNHCR"/>
    <s v="Kachin"/>
    <s v="Waingmaw"/>
    <s v="Mading Baptist Church"/>
    <m/>
    <m/>
    <n v="15"/>
    <n v="57"/>
    <n v="24"/>
    <n v="57"/>
    <n v="24"/>
    <n v="24"/>
    <n v="24"/>
    <n v="24"/>
    <m/>
    <m/>
    <m/>
    <m/>
    <m/>
    <m/>
    <m/>
    <n v="0"/>
    <n v="0"/>
    <n v="0"/>
    <n v="0"/>
    <n v="0"/>
    <n v="0"/>
    <n v="0"/>
    <n v="0"/>
    <n v="0"/>
    <n v="0"/>
    <n v="0"/>
    <n v="0"/>
    <n v="0"/>
    <n v="0"/>
    <x v="1"/>
    <n v="0"/>
    <s v="MMR001CMP027"/>
    <x v="1"/>
    <x v="1"/>
    <x v="1"/>
    <n v="0.96"/>
    <s v="No"/>
    <m/>
  </r>
  <r>
    <n v="29.233333333333334"/>
    <d v="2013-08-07T00:00:00"/>
    <x v="0"/>
    <s v="UNHCR"/>
    <s v="Kachin"/>
    <s v="Waingmaw"/>
    <s v="Maina AG Church"/>
    <m/>
    <m/>
    <n v="20"/>
    <n v="40"/>
    <n v="17"/>
    <n v="40"/>
    <n v="17"/>
    <n v="17"/>
    <n v="17"/>
    <n v="17"/>
    <m/>
    <m/>
    <m/>
    <m/>
    <m/>
    <m/>
    <m/>
    <n v="0"/>
    <n v="0"/>
    <n v="0"/>
    <n v="0"/>
    <n v="0"/>
    <n v="0"/>
    <n v="0"/>
    <n v="0"/>
    <n v="0"/>
    <n v="0"/>
    <n v="0"/>
    <n v="0"/>
    <n v="0"/>
    <n v="0"/>
    <x v="1"/>
    <n v="0"/>
    <s v="MMR001CMP031"/>
    <x v="1"/>
    <x v="1"/>
    <x v="1"/>
    <n v="0.12592592592592591"/>
    <s v="No"/>
    <m/>
  </r>
  <r>
    <n v="29.233333333333334"/>
    <d v="2013-08-07T00:00:00"/>
    <x v="0"/>
    <s v="UNHCR"/>
    <s v="Kachin"/>
    <s v="Myitkyina"/>
    <s v="Maliyang Baptist Church"/>
    <m/>
    <m/>
    <n v="15"/>
    <n v="25"/>
    <n v="11"/>
    <n v="25"/>
    <n v="11"/>
    <n v="11"/>
    <n v="11"/>
    <n v="11"/>
    <m/>
    <m/>
    <m/>
    <m/>
    <m/>
    <m/>
    <m/>
    <n v="0"/>
    <n v="0"/>
    <n v="0"/>
    <n v="0"/>
    <n v="0"/>
    <n v="0"/>
    <n v="0"/>
    <n v="0"/>
    <n v="0"/>
    <n v="0"/>
    <n v="0"/>
    <n v="0"/>
    <n v="0"/>
    <n v="0"/>
    <x v="1"/>
    <n v="0"/>
    <s v="MMR001CMP016"/>
    <x v="1"/>
    <x v="1"/>
    <x v="1"/>
    <n v="0.15277777777777779"/>
    <s v="No"/>
    <m/>
  </r>
  <r>
    <n v="29.7"/>
    <d v="2013-07-24T00:00:00"/>
    <x v="0"/>
    <s v="KBC"/>
    <s v="Kachin"/>
    <s v="Myitkyina"/>
    <s v="Le Kone Bethlehem Church"/>
    <m/>
    <m/>
    <n v="66"/>
    <n v="98"/>
    <n v="45"/>
    <n v="98"/>
    <n v="45"/>
    <n v="45"/>
    <n v="45"/>
    <n v="45"/>
    <m/>
    <m/>
    <m/>
    <m/>
    <m/>
    <m/>
    <m/>
    <n v="0"/>
    <n v="0"/>
    <n v="0"/>
    <n v="0"/>
    <n v="0"/>
    <n v="0"/>
    <n v="0"/>
    <n v="0"/>
    <n v="0"/>
    <n v="0"/>
    <n v="0"/>
    <n v="0"/>
    <n v="0"/>
    <n v="0"/>
    <x v="1"/>
    <n v="0"/>
    <s v="MMR001CMP015"/>
    <x v="1"/>
    <x v="1"/>
    <x v="1"/>
    <n v="0.41666666666666669"/>
    <s v="No"/>
    <m/>
  </r>
  <r>
    <n v="29.7"/>
    <d v="2013-07-24T00:00:00"/>
    <x v="0"/>
    <s v="KBC"/>
    <s v="Kachin"/>
    <s v="Myitkyina"/>
    <s v="Le Kone Ziun Baptist Church "/>
    <m/>
    <m/>
    <n v="100"/>
    <n v="158"/>
    <n v="65"/>
    <n v="158"/>
    <n v="65"/>
    <n v="65"/>
    <n v="65"/>
    <n v="65"/>
    <m/>
    <m/>
    <m/>
    <m/>
    <m/>
    <m/>
    <m/>
    <n v="0"/>
    <n v="0"/>
    <n v="0"/>
    <n v="0"/>
    <n v="0"/>
    <n v="0"/>
    <n v="0"/>
    <n v="0"/>
    <n v="0"/>
    <n v="0"/>
    <n v="0"/>
    <n v="0"/>
    <n v="0"/>
    <n v="0"/>
    <x v="1"/>
    <n v="0"/>
    <s v="MMR001CMP014"/>
    <x v="1"/>
    <x v="1"/>
    <x v="1"/>
    <n v="0.3987730061349693"/>
    <s v="No"/>
    <m/>
  </r>
  <r>
    <n v="29.7"/>
    <d v="2013-07-24T00:00:00"/>
    <x v="0"/>
    <s v="Shalom"/>
    <s v="Kachin"/>
    <s v="Waingmaw"/>
    <s v="Maina AG Church"/>
    <m/>
    <m/>
    <n v="10"/>
    <n v="14"/>
    <n v="7"/>
    <n v="14"/>
    <n v="7"/>
    <n v="7"/>
    <n v="7"/>
    <n v="7"/>
    <m/>
    <m/>
    <m/>
    <m/>
    <m/>
    <m/>
    <m/>
    <n v="0"/>
    <n v="0"/>
    <n v="0"/>
    <n v="0"/>
    <n v="0"/>
    <n v="0"/>
    <n v="0"/>
    <n v="0"/>
    <n v="0"/>
    <n v="0"/>
    <n v="0"/>
    <n v="0"/>
    <n v="0"/>
    <n v="0"/>
    <x v="1"/>
    <n v="0"/>
    <s v="MMR001CMP031"/>
    <x v="1"/>
    <x v="1"/>
    <x v="1"/>
    <n v="5.185185185185185E-2"/>
    <s v="No"/>
    <m/>
  </r>
  <r>
    <n v="29.7"/>
    <d v="2013-07-24T00:00:00"/>
    <x v="0"/>
    <s v="KMSS"/>
    <s v="Kachin"/>
    <s v="Waingmaw"/>
    <s v="Maina Catholic Church (St. Joseph)"/>
    <m/>
    <m/>
    <n v="40"/>
    <n v="49"/>
    <n v="23"/>
    <n v="49"/>
    <n v="23"/>
    <n v="23"/>
    <n v="23"/>
    <n v="23"/>
    <m/>
    <m/>
    <m/>
    <m/>
    <m/>
    <m/>
    <m/>
    <n v="0"/>
    <n v="0"/>
    <n v="0"/>
    <n v="0"/>
    <n v="0"/>
    <n v="0"/>
    <n v="0"/>
    <n v="0"/>
    <n v="0"/>
    <n v="0"/>
    <n v="0"/>
    <n v="0"/>
    <n v="0"/>
    <n v="0"/>
    <x v="1"/>
    <n v="0"/>
    <s v="MMR001CMP029"/>
    <x v="1"/>
    <x v="1"/>
    <x v="1"/>
    <n v="0.1013215859030837"/>
    <s v="No"/>
    <m/>
  </r>
  <r>
    <n v="29.7"/>
    <d v="2013-07-24T00:00:00"/>
    <x v="0"/>
    <s v="KMSS"/>
    <s v="Kachin"/>
    <s v="Myitkyina"/>
    <s v="Nan Kway St. John Catholic Church"/>
    <m/>
    <m/>
    <n v="21"/>
    <n v="30"/>
    <n v="15"/>
    <n v="30"/>
    <n v="15"/>
    <n v="15"/>
    <n v="15"/>
    <n v="15"/>
    <m/>
    <m/>
    <m/>
    <m/>
    <m/>
    <m/>
    <m/>
    <n v="0"/>
    <n v="0"/>
    <n v="0"/>
    <n v="0"/>
    <n v="0"/>
    <n v="0"/>
    <n v="0"/>
    <n v="0"/>
    <n v="0"/>
    <n v="0"/>
    <n v="0"/>
    <n v="0"/>
    <n v="0"/>
    <n v="0"/>
    <x v="1"/>
    <n v="0"/>
    <s v="MMR001CMP024"/>
    <x v="1"/>
    <x v="1"/>
    <x v="1"/>
    <n v="0.21739130434782608"/>
    <s v="No"/>
    <m/>
  </r>
  <r>
    <n v="29.7"/>
    <d v="2013-07-24T00:00:00"/>
    <x v="0"/>
    <s v="KMSS"/>
    <s v="Kachin"/>
    <s v="Hpakant"/>
    <s v="Nant Ma Hpit Catholic Church"/>
    <m/>
    <m/>
    <n v="15"/>
    <n v="25"/>
    <n v="10"/>
    <n v="25"/>
    <n v="10"/>
    <n v="10"/>
    <n v="10"/>
    <n v="10"/>
    <m/>
    <m/>
    <m/>
    <m/>
    <m/>
    <m/>
    <m/>
    <n v="0"/>
    <n v="0"/>
    <n v="0"/>
    <n v="0"/>
    <n v="0"/>
    <n v="0"/>
    <n v="0"/>
    <n v="0"/>
    <n v="0"/>
    <n v="0"/>
    <n v="0"/>
    <n v="0"/>
    <n v="0"/>
    <n v="0"/>
    <x v="1"/>
    <n v="0"/>
    <s v="MMR001CMP103"/>
    <x v="1"/>
    <x v="1"/>
    <x v="1"/>
    <n v="0.18518518518518517"/>
    <s v="No"/>
    <m/>
  </r>
  <r>
    <n v="29.7"/>
    <d v="2013-07-24T00:00:00"/>
    <x v="0"/>
    <s v="KMSS"/>
    <s v="Kachin"/>
    <s v="Myitkyina"/>
    <s v="Pa Dauk Myaing(Pa La Na)"/>
    <m/>
    <m/>
    <n v="31"/>
    <n v="41"/>
    <n v="17"/>
    <n v="41"/>
    <n v="17"/>
    <n v="17"/>
    <n v="17"/>
    <n v="17"/>
    <m/>
    <m/>
    <m/>
    <m/>
    <m/>
    <m/>
    <m/>
    <n v="0"/>
    <n v="0"/>
    <n v="0"/>
    <n v="0"/>
    <n v="0"/>
    <n v="0"/>
    <n v="0"/>
    <n v="0"/>
    <n v="0"/>
    <n v="0"/>
    <n v="0"/>
    <n v="0"/>
    <n v="0"/>
    <n v="0"/>
    <x v="1"/>
    <n v="0"/>
    <s v="MMR001CMP162"/>
    <x v="1"/>
    <x v="1"/>
    <x v="1"/>
    <n v="0.37777777777777777"/>
    <s v="No"/>
    <m/>
  </r>
  <r>
    <n v="29.7"/>
    <d v="2013-07-24T00:00:00"/>
    <x v="0"/>
    <s v="KBC"/>
    <s v="Kachin"/>
    <s v="Waingmaw"/>
    <s v="Qtr. 2 Myoma Baptist Church"/>
    <m/>
    <m/>
    <n v="31"/>
    <n v="44"/>
    <n v="18"/>
    <n v="44"/>
    <n v="18"/>
    <n v="18"/>
    <n v="18"/>
    <n v="18"/>
    <m/>
    <m/>
    <m/>
    <m/>
    <m/>
    <m/>
    <m/>
    <n v="0"/>
    <n v="0"/>
    <n v="0"/>
    <n v="0"/>
    <n v="0"/>
    <n v="0"/>
    <n v="0"/>
    <n v="0"/>
    <n v="0"/>
    <n v="0"/>
    <n v="0"/>
    <n v="0"/>
    <n v="0"/>
    <n v="0"/>
    <x v="1"/>
    <n v="0"/>
    <s v="MMR001CMP025"/>
    <x v="1"/>
    <x v="1"/>
    <x v="1"/>
    <n v="0.27692307692307694"/>
    <s v="No"/>
    <m/>
  </r>
  <r>
    <n v="29.7"/>
    <d v="2013-07-24T00:00:00"/>
    <x v="0"/>
    <s v="Shalom"/>
    <s v="Kachin"/>
    <s v="Waingmaw"/>
    <s v="Qtr. 4 Monestry (Thargaya Thayett Taw)"/>
    <m/>
    <m/>
    <n v="41"/>
    <n v="73"/>
    <n v="31"/>
    <n v="73"/>
    <n v="31"/>
    <n v="31"/>
    <n v="31"/>
    <n v="31"/>
    <m/>
    <m/>
    <m/>
    <m/>
    <m/>
    <m/>
    <m/>
    <n v="0"/>
    <n v="0"/>
    <n v="0"/>
    <n v="0"/>
    <n v="0"/>
    <n v="0"/>
    <n v="0"/>
    <n v="0"/>
    <n v="0"/>
    <n v="0"/>
    <n v="0"/>
    <n v="0"/>
    <n v="0"/>
    <n v="0"/>
    <x v="1"/>
    <n v="0"/>
    <s v="MMR001CMP026"/>
    <x v="1"/>
    <x v="1"/>
    <x v="1"/>
    <n v="0.34065934065934067"/>
    <s v="No"/>
    <m/>
  </r>
  <r>
    <n v="29.7"/>
    <d v="2013-07-24T00:00:00"/>
    <x v="0"/>
    <s v="KBC"/>
    <s v="Kachin"/>
    <s v="Myitkyina"/>
    <s v="Shatapru Sut Ngai Tawng"/>
    <m/>
    <m/>
    <n v="21"/>
    <n v="36"/>
    <n v="16"/>
    <n v="36"/>
    <n v="16"/>
    <n v="16"/>
    <n v="16"/>
    <n v="16"/>
    <m/>
    <m/>
    <m/>
    <m/>
    <m/>
    <m/>
    <m/>
    <n v="0"/>
    <n v="0"/>
    <n v="0"/>
    <n v="0"/>
    <n v="0"/>
    <n v="0"/>
    <n v="0"/>
    <n v="0"/>
    <n v="0"/>
    <n v="0"/>
    <n v="0"/>
    <n v="0"/>
    <n v="0"/>
    <n v="0"/>
    <x v="1"/>
    <n v="0"/>
    <s v="MMR001CMP006"/>
    <x v="1"/>
    <x v="1"/>
    <x v="1"/>
    <n v="0.16842105263157894"/>
    <s v="No"/>
    <m/>
  </r>
  <r>
    <n v="29.7"/>
    <d v="2013-07-24T00:00:00"/>
    <x v="0"/>
    <s v="KBC"/>
    <s v="Kachin"/>
    <s v="Myitkyina"/>
    <s v="Tat Kone COC Baptist - Tat Kone Htoi San"/>
    <m/>
    <m/>
    <n v="34"/>
    <n v="46"/>
    <n v="22"/>
    <n v="46"/>
    <n v="22"/>
    <n v="22"/>
    <n v="22"/>
    <n v="22"/>
    <m/>
    <m/>
    <m/>
    <m/>
    <m/>
    <m/>
    <m/>
    <n v="0"/>
    <n v="0"/>
    <n v="0"/>
    <n v="0"/>
    <n v="0"/>
    <n v="0"/>
    <n v="0"/>
    <n v="0"/>
    <n v="0"/>
    <n v="0"/>
    <n v="0"/>
    <n v="0"/>
    <n v="0"/>
    <n v="0"/>
    <x v="1"/>
    <n v="0"/>
    <s v="MMR001CMP023"/>
    <x v="1"/>
    <x v="1"/>
    <x v="1"/>
    <n v="0.3235294117647059"/>
    <s v="No"/>
    <m/>
  </r>
  <r>
    <n v="29.7"/>
    <d v="2013-07-24T00:00:00"/>
    <x v="0"/>
    <s v="Shalom"/>
    <s v="Kachin"/>
    <s v="Waingmaw"/>
    <s v="Waingmaw AG Church"/>
    <m/>
    <m/>
    <n v="22"/>
    <n v="32"/>
    <n v="15"/>
    <n v="32"/>
    <n v="15"/>
    <n v="15"/>
    <n v="15"/>
    <n v="15"/>
    <m/>
    <m/>
    <m/>
    <m/>
    <m/>
    <m/>
    <m/>
    <n v="0"/>
    <n v="0"/>
    <n v="0"/>
    <n v="0"/>
    <n v="0"/>
    <n v="0"/>
    <n v="0"/>
    <n v="0"/>
    <n v="0"/>
    <n v="0"/>
    <n v="0"/>
    <n v="0"/>
    <n v="0"/>
    <n v="0"/>
    <x v="1"/>
    <n v="0"/>
    <s v="MMR001CMP038"/>
    <x v="1"/>
    <x v="1"/>
    <x v="1"/>
    <n v="0.16666666666666666"/>
    <s v="No"/>
    <m/>
  </r>
  <r>
    <n v="29.966666666666665"/>
    <d v="2013-07-16T00:00:00"/>
    <x v="0"/>
    <s v="Shalom"/>
    <s v="Kachin"/>
    <s v="Myitkyina"/>
    <s v="Tat Kone COC Baptist - Tat Kone Htoi San"/>
    <m/>
    <m/>
    <n v="55"/>
    <n v="74"/>
    <n v="31"/>
    <n v="74"/>
    <n v="31"/>
    <n v="31"/>
    <n v="31"/>
    <n v="31"/>
    <m/>
    <m/>
    <m/>
    <m/>
    <m/>
    <m/>
    <m/>
    <n v="0"/>
    <n v="0"/>
    <n v="0"/>
    <n v="0"/>
    <n v="0"/>
    <n v="0"/>
    <n v="0"/>
    <n v="0"/>
    <n v="0"/>
    <n v="0"/>
    <n v="0"/>
    <n v="0"/>
    <n v="0"/>
    <n v="0"/>
    <x v="1"/>
    <n v="0"/>
    <s v="MMR001CMP023"/>
    <x v="1"/>
    <x v="1"/>
    <x v="1"/>
    <n v="0.45588235294117646"/>
    <s v="No"/>
    <m/>
  </r>
  <r>
    <n v="30.5"/>
    <d v="2013-06-30T00:00:00"/>
    <x v="0"/>
    <m/>
    <s v="Kachin"/>
    <s v="Mansi"/>
    <s v="Maing Khaung"/>
    <m/>
    <m/>
    <m/>
    <m/>
    <m/>
    <n v="9"/>
    <m/>
    <m/>
    <n v="19"/>
    <n v="1"/>
    <m/>
    <m/>
    <m/>
    <m/>
    <m/>
    <m/>
    <m/>
    <n v="0"/>
    <n v="0"/>
    <n v="0"/>
    <n v="0"/>
    <n v="0"/>
    <n v="0"/>
    <n v="0"/>
    <n v="0"/>
    <n v="0"/>
    <n v="0"/>
    <n v="0"/>
    <n v="0"/>
    <n v="0"/>
    <n v="0"/>
    <x v="1"/>
    <n v="0"/>
    <s v="MMR001CMP218"/>
    <x v="1"/>
    <x v="1"/>
    <x v="1"/>
    <n v="0"/>
    <m/>
    <m/>
  </r>
  <r>
    <n v="30.5"/>
    <d v="2013-06-30T00:00:00"/>
    <x v="0"/>
    <m/>
    <s v="Kachin"/>
    <s v="Mansi"/>
    <s v="Maing Khaung Catholic Church"/>
    <m/>
    <m/>
    <m/>
    <n v="50"/>
    <n v="15"/>
    <m/>
    <n v="15"/>
    <m/>
    <n v="15"/>
    <n v="60"/>
    <m/>
    <m/>
    <m/>
    <m/>
    <m/>
    <m/>
    <m/>
    <n v="0"/>
    <n v="0"/>
    <n v="0"/>
    <n v="0"/>
    <n v="0"/>
    <n v="0"/>
    <n v="0"/>
    <n v="0"/>
    <n v="0"/>
    <n v="0"/>
    <n v="0"/>
    <n v="0"/>
    <n v="0"/>
    <n v="0"/>
    <x v="1"/>
    <n v="0"/>
    <s v="MMR001CMP223"/>
    <x v="1"/>
    <x v="1"/>
    <x v="1"/>
    <n v="0.12195121951219512"/>
    <m/>
    <m/>
  </r>
  <r>
    <n v="30.533333333333335"/>
    <d v="2013-06-29T00:00:00"/>
    <x v="0"/>
    <m/>
    <s v="Kachin"/>
    <s v="Mansi"/>
    <s v="Maing Khaung"/>
    <m/>
    <m/>
    <m/>
    <m/>
    <n v="19"/>
    <m/>
    <n v="19"/>
    <m/>
    <m/>
    <n v="100"/>
    <m/>
    <m/>
    <m/>
    <m/>
    <m/>
    <m/>
    <m/>
    <n v="0"/>
    <n v="0"/>
    <n v="0"/>
    <n v="0"/>
    <n v="0"/>
    <n v="0"/>
    <n v="0"/>
    <n v="0"/>
    <n v="0"/>
    <n v="0"/>
    <n v="0"/>
    <n v="0"/>
    <n v="0"/>
    <n v="0"/>
    <x v="1"/>
    <n v="0"/>
    <s v="MMR001CMP218"/>
    <x v="1"/>
    <x v="1"/>
    <x v="1"/>
    <n v="5.1075268817204304E-2"/>
    <m/>
    <m/>
  </r>
  <r>
    <n v="30.566666666666666"/>
    <d v="2013-06-28T00:00:00"/>
    <x v="0"/>
    <m/>
    <s v="Kachin"/>
    <s v="Mansi"/>
    <s v="Maing Khaung"/>
    <m/>
    <m/>
    <m/>
    <n v="10"/>
    <n v="3"/>
    <n v="10"/>
    <n v="3"/>
    <m/>
    <n v="3"/>
    <n v="10"/>
    <m/>
    <m/>
    <m/>
    <m/>
    <m/>
    <m/>
    <m/>
    <n v="0"/>
    <n v="0"/>
    <n v="0"/>
    <n v="0"/>
    <n v="0"/>
    <n v="0"/>
    <n v="0"/>
    <n v="0"/>
    <n v="0"/>
    <n v="0"/>
    <n v="0"/>
    <n v="0"/>
    <n v="0"/>
    <n v="0"/>
    <x v="1"/>
    <n v="0"/>
    <s v="MMR001CMP218"/>
    <x v="1"/>
    <x v="1"/>
    <x v="1"/>
    <n v="8.0645161290322578E-3"/>
    <m/>
    <m/>
  </r>
  <r>
    <n v="30.6"/>
    <d v="2013-06-27T00:00:00"/>
    <x v="0"/>
    <m/>
    <s v="Kachin"/>
    <s v="Mansi"/>
    <s v="Maing Khaung"/>
    <m/>
    <m/>
    <m/>
    <n v="54"/>
    <n v="18"/>
    <n v="45"/>
    <n v="18"/>
    <m/>
    <n v="18"/>
    <n v="50"/>
    <m/>
    <m/>
    <m/>
    <m/>
    <m/>
    <m/>
    <m/>
    <n v="0"/>
    <n v="0"/>
    <n v="0"/>
    <n v="0"/>
    <n v="0"/>
    <n v="0"/>
    <n v="0"/>
    <n v="0"/>
    <n v="0"/>
    <n v="0"/>
    <n v="0"/>
    <n v="0"/>
    <n v="0"/>
    <n v="0"/>
    <x v="1"/>
    <n v="0"/>
    <s v="MMR001CMP218"/>
    <x v="1"/>
    <x v="1"/>
    <x v="1"/>
    <n v="4.8387096774193547E-2"/>
    <m/>
    <m/>
  </r>
  <r>
    <n v="31.033333333333335"/>
    <d v="2013-06-14T00:00:00"/>
    <x v="0"/>
    <s v="UNHCR"/>
    <s v="Kachin"/>
    <s v="Momauk"/>
    <s v="Pa Kahtawng "/>
    <m/>
    <m/>
    <n v="42"/>
    <n v="42"/>
    <n v="21"/>
    <n v="42"/>
    <n v="21"/>
    <n v="21"/>
    <n v="21"/>
    <n v="21"/>
    <m/>
    <m/>
    <m/>
    <m/>
    <m/>
    <m/>
    <m/>
    <n v="0"/>
    <n v="0"/>
    <n v="0"/>
    <n v="0"/>
    <n v="0"/>
    <n v="0"/>
    <n v="0"/>
    <n v="0"/>
    <n v="0"/>
    <n v="0"/>
    <n v="0"/>
    <n v="0"/>
    <n v="0"/>
    <n v="0"/>
    <x v="1"/>
    <n v="0"/>
    <s v="MMR001CMP126"/>
    <x v="1"/>
    <x v="1"/>
    <x v="4"/>
    <n v="3.10192023633678E-2"/>
    <s v="No"/>
    <m/>
  </r>
  <r>
    <n v="31.066666666666666"/>
    <d v="2013-06-13T00:00:00"/>
    <x v="0"/>
    <s v="UNHCR"/>
    <s v="Kachin"/>
    <s v="Momauk"/>
    <s v="Loi Je Baptist Church"/>
    <m/>
    <m/>
    <n v="152"/>
    <n v="11"/>
    <n v="4"/>
    <n v="11"/>
    <n v="4"/>
    <n v="4"/>
    <n v="4"/>
    <n v="4"/>
    <m/>
    <m/>
    <m/>
    <m/>
    <m/>
    <m/>
    <m/>
    <n v="0"/>
    <n v="0"/>
    <n v="0"/>
    <n v="0"/>
    <n v="0"/>
    <n v="0"/>
    <n v="0"/>
    <n v="0"/>
    <n v="0"/>
    <n v="0"/>
    <n v="0"/>
    <n v="0"/>
    <n v="0"/>
    <n v="0"/>
    <x v="1"/>
    <n v="0"/>
    <s v="MMR001CMP071"/>
    <x v="1"/>
    <x v="1"/>
    <x v="2"/>
    <n v="0.13793103448275862"/>
    <s v="No"/>
    <m/>
  </r>
  <r>
    <n v="31.066666666666666"/>
    <d v="2013-06-13T00:00:00"/>
    <x v="0"/>
    <s v="UNHCR"/>
    <s v="Kachin"/>
    <s v="Momauk"/>
    <s v="Loi Je Catholic Church"/>
    <m/>
    <m/>
    <n v="425"/>
    <n v="30"/>
    <n v="11"/>
    <n v="30"/>
    <n v="11"/>
    <n v="11"/>
    <n v="11"/>
    <n v="11"/>
    <m/>
    <m/>
    <m/>
    <m/>
    <m/>
    <m/>
    <m/>
    <n v="0"/>
    <n v="0"/>
    <n v="0"/>
    <n v="0"/>
    <n v="0"/>
    <n v="0"/>
    <n v="0"/>
    <n v="0"/>
    <n v="0"/>
    <n v="0"/>
    <n v="0"/>
    <n v="0"/>
    <n v="0"/>
    <n v="0"/>
    <x v="1"/>
    <n v="0"/>
    <s v="MMR001CMP069"/>
    <x v="1"/>
    <x v="1"/>
    <x v="2"/>
    <n v="8.8709677419354843E-2"/>
    <s v="No"/>
    <m/>
  </r>
  <r>
    <n v="31.066666666666666"/>
    <d v="2013-06-13T00:00:00"/>
    <x v="0"/>
    <s v="UNHCR"/>
    <s v="Kachin"/>
    <s v="Momauk"/>
    <s v="Loi Je Lisu Camp"/>
    <m/>
    <m/>
    <n v="941"/>
    <n v="67"/>
    <n v="24"/>
    <n v="67"/>
    <n v="24"/>
    <n v="24"/>
    <n v="24"/>
    <n v="24"/>
    <m/>
    <m/>
    <m/>
    <m/>
    <m/>
    <m/>
    <m/>
    <n v="0"/>
    <n v="0"/>
    <n v="0"/>
    <n v="0"/>
    <n v="0"/>
    <n v="0"/>
    <n v="0"/>
    <n v="0"/>
    <n v="0"/>
    <n v="0"/>
    <n v="0"/>
    <n v="0"/>
    <n v="0"/>
    <n v="0"/>
    <x v="1"/>
    <n v="0"/>
    <s v="MMR001CMP070"/>
    <x v="1"/>
    <x v="1"/>
    <x v="2"/>
    <n v="0.1276595744680851"/>
    <s v="No"/>
    <m/>
  </r>
  <r>
    <n v="31.8"/>
    <d v="2013-05-22T00:00:00"/>
    <x v="10"/>
    <s v="KMSS"/>
    <s v="Kachin"/>
    <s v="Chipwi"/>
    <s v="Chipwi KBC camp"/>
    <n v="510"/>
    <m/>
    <m/>
    <m/>
    <m/>
    <m/>
    <m/>
    <m/>
    <m/>
    <m/>
    <m/>
    <m/>
    <m/>
    <m/>
    <m/>
    <m/>
    <m/>
    <n v="0"/>
    <n v="0"/>
    <n v="0"/>
    <n v="0"/>
    <n v="0"/>
    <n v="0"/>
    <n v="0"/>
    <n v="0"/>
    <n v="0"/>
    <n v="0"/>
    <n v="0"/>
    <n v="0"/>
    <n v="0"/>
    <n v="0"/>
    <x v="1"/>
    <n v="0"/>
    <s v="MMR001CMP042"/>
    <x v="1"/>
    <x v="1"/>
    <x v="3"/>
    <n v="0"/>
    <s v="No"/>
    <m/>
  </r>
  <r>
    <n v="31.8"/>
    <d v="2013-05-22T00:00:00"/>
    <x v="0"/>
    <s v="UNHCR"/>
    <s v="Kachin"/>
    <s v="Chipwi"/>
    <s v="Chipwi KBC camp"/>
    <m/>
    <m/>
    <n v="80"/>
    <n v="84"/>
    <n v="41"/>
    <n v="84"/>
    <n v="41"/>
    <n v="41"/>
    <n v="41"/>
    <n v="41"/>
    <m/>
    <m/>
    <m/>
    <m/>
    <m/>
    <m/>
    <m/>
    <n v="0"/>
    <n v="0"/>
    <n v="0"/>
    <n v="0"/>
    <n v="0"/>
    <n v="0"/>
    <n v="0"/>
    <n v="0"/>
    <n v="0"/>
    <n v="0"/>
    <n v="0"/>
    <n v="0"/>
    <n v="0"/>
    <n v="0"/>
    <x v="1"/>
    <n v="0"/>
    <s v="MMR001CMP042"/>
    <x v="1"/>
    <x v="1"/>
    <x v="3"/>
    <n v="0.37962962962962965"/>
    <s v="No"/>
    <m/>
  </r>
  <r>
    <n v="31.8"/>
    <d v="2013-05-22T00:00:00"/>
    <x v="10"/>
    <s v="KMSS"/>
    <s v="Kachin"/>
    <s v="Chipwi"/>
    <s v="Lhaovao Baptist Church (LBC)"/>
    <n v="35"/>
    <m/>
    <m/>
    <m/>
    <m/>
    <m/>
    <m/>
    <m/>
    <m/>
    <m/>
    <m/>
    <m/>
    <m/>
    <m/>
    <m/>
    <m/>
    <m/>
    <n v="0"/>
    <n v="0"/>
    <n v="0"/>
    <n v="0"/>
    <n v="0"/>
    <n v="0"/>
    <n v="0"/>
    <n v="0"/>
    <n v="0"/>
    <n v="0"/>
    <n v="0"/>
    <n v="0"/>
    <n v="0"/>
    <n v="0"/>
    <x v="1"/>
    <n v="0"/>
    <s v="MMR001CMP195"/>
    <x v="1"/>
    <x v="1"/>
    <x v="3"/>
    <n v="0"/>
    <s v="No"/>
    <m/>
  </r>
  <r>
    <n v="31.8"/>
    <d v="2013-05-22T00:00:00"/>
    <x v="0"/>
    <s v="UNHCR"/>
    <s v="Kachin"/>
    <s v="Hpakant"/>
    <s v="Mashi Kahtawng Baptist  Church"/>
    <m/>
    <m/>
    <n v="48"/>
    <n v="74"/>
    <n v="31"/>
    <n v="74"/>
    <n v="31"/>
    <n v="31"/>
    <n v="31"/>
    <n v="31"/>
    <m/>
    <m/>
    <m/>
    <m/>
    <m/>
    <m/>
    <m/>
    <n v="0"/>
    <n v="0"/>
    <n v="0"/>
    <n v="0"/>
    <n v="0"/>
    <n v="0"/>
    <n v="0"/>
    <n v="0"/>
    <n v="0"/>
    <n v="0"/>
    <n v="0"/>
    <n v="0"/>
    <n v="0"/>
    <n v="0"/>
    <x v="1"/>
    <n v="0"/>
    <s v="MMR001CMP094"/>
    <x v="1"/>
    <x v="2"/>
    <x v="0"/>
    <s v=""/>
    <s v="No"/>
    <m/>
  </r>
  <r>
    <n v="31.8"/>
    <d v="2013-05-22T00:00:00"/>
    <x v="0"/>
    <s v="UNHCR"/>
    <s v="Kachin"/>
    <s v="Hpakant"/>
    <s v="Nam Ma Phyit, COC"/>
    <m/>
    <m/>
    <n v="34"/>
    <n v="61"/>
    <n v="30"/>
    <n v="61"/>
    <n v="30"/>
    <n v="30"/>
    <n v="30"/>
    <n v="30"/>
    <m/>
    <m/>
    <m/>
    <m/>
    <m/>
    <m/>
    <m/>
    <n v="0"/>
    <n v="0"/>
    <n v="0"/>
    <n v="0"/>
    <n v="0"/>
    <n v="0"/>
    <n v="0"/>
    <n v="0"/>
    <n v="0"/>
    <n v="0"/>
    <n v="0"/>
    <n v="0"/>
    <n v="0"/>
    <n v="0"/>
    <x v="1"/>
    <n v="0"/>
    <s v="MMR001CMP192"/>
    <x v="1"/>
    <x v="1"/>
    <x v="1"/>
    <n v="1.7647058823529411"/>
    <s v="No"/>
    <m/>
  </r>
  <r>
    <n v="31.8"/>
    <d v="2013-05-22T00:00:00"/>
    <x v="0"/>
    <s v="UNHCR"/>
    <s v="Kachin"/>
    <s v="Hpakant"/>
    <s v="Nga Pyaw Taw Baptist Nursery School "/>
    <m/>
    <m/>
    <n v="273"/>
    <n v="339"/>
    <n v="151"/>
    <n v="339"/>
    <n v="151"/>
    <n v="151"/>
    <n v="151"/>
    <n v="151"/>
    <m/>
    <m/>
    <m/>
    <m/>
    <m/>
    <m/>
    <m/>
    <n v="0"/>
    <n v="0"/>
    <n v="0"/>
    <n v="0"/>
    <n v="0"/>
    <n v="0"/>
    <n v="0"/>
    <n v="0"/>
    <n v="0"/>
    <n v="0"/>
    <n v="0"/>
    <n v="0"/>
    <n v="0"/>
    <n v="0"/>
    <x v="1"/>
    <n v="0"/>
    <s v="MMR001CMP082"/>
    <x v="1"/>
    <x v="2"/>
    <x v="0"/>
    <s v=""/>
    <s v="No"/>
    <m/>
  </r>
  <r>
    <n v="31.8"/>
    <d v="2013-05-22T00:00:00"/>
    <x v="0"/>
    <s v="UNHCR"/>
    <s v="Kachin"/>
    <s v="Waingmaw"/>
    <s v="Qtr. 2 Lhaovo Baptist Church"/>
    <m/>
    <m/>
    <n v="18"/>
    <n v="20"/>
    <n v="14"/>
    <n v="20"/>
    <n v="10"/>
    <n v="10"/>
    <n v="10"/>
    <n v="10"/>
    <m/>
    <m/>
    <m/>
    <m/>
    <m/>
    <m/>
    <m/>
    <n v="0"/>
    <n v="0"/>
    <n v="0"/>
    <n v="0"/>
    <n v="0"/>
    <n v="0"/>
    <n v="0"/>
    <n v="0"/>
    <n v="0"/>
    <n v="0"/>
    <n v="0"/>
    <n v="0"/>
    <n v="0"/>
    <n v="0"/>
    <x v="1"/>
    <n v="0"/>
    <s v="MMR001CMP032"/>
    <x v="1"/>
    <x v="1"/>
    <x v="1"/>
    <n v="0.10638297872340426"/>
    <s v="No"/>
    <m/>
  </r>
  <r>
    <n v="31.8"/>
    <d v="2013-05-22T00:00:00"/>
    <x v="0"/>
    <s v="UNHCR"/>
    <s v="Kachin"/>
    <s v="Hpakant"/>
    <s v="Yumar Baptist Church"/>
    <m/>
    <m/>
    <n v="42"/>
    <n v="66"/>
    <n v="28"/>
    <n v="66"/>
    <n v="28"/>
    <n v="28"/>
    <n v="28"/>
    <n v="28"/>
    <m/>
    <m/>
    <m/>
    <m/>
    <m/>
    <m/>
    <m/>
    <n v="0"/>
    <n v="0"/>
    <n v="0"/>
    <n v="0"/>
    <n v="0"/>
    <n v="0"/>
    <n v="0"/>
    <n v="0"/>
    <n v="0"/>
    <n v="0"/>
    <n v="0"/>
    <n v="0"/>
    <n v="0"/>
    <n v="0"/>
    <x v="1"/>
    <n v="0"/>
    <s v="MMR001CMP105"/>
    <x v="1"/>
    <x v="1"/>
    <x v="1"/>
    <n v="1.4"/>
    <s v="No"/>
    <m/>
  </r>
  <r>
    <n v="32"/>
    <d v="2013-05-16T00:00:00"/>
    <x v="10"/>
    <s v="KMSS"/>
    <s v="Kachin"/>
    <s v="Hpakant"/>
    <s v="Lawng Hkang"/>
    <n v="394"/>
    <m/>
    <m/>
    <m/>
    <m/>
    <m/>
    <m/>
    <m/>
    <m/>
    <m/>
    <m/>
    <m/>
    <m/>
    <m/>
    <m/>
    <m/>
    <m/>
    <n v="0"/>
    <n v="0"/>
    <n v="0"/>
    <n v="0"/>
    <n v="0"/>
    <n v="0"/>
    <n v="0"/>
    <n v="0"/>
    <n v="0"/>
    <n v="0"/>
    <n v="0"/>
    <n v="0"/>
    <n v="0"/>
    <n v="0"/>
    <x v="1"/>
    <n v="0"/>
    <s v=""/>
    <x v="0"/>
    <x v="0"/>
    <x v="0"/>
    <s v=""/>
    <s v="No"/>
    <m/>
  </r>
  <r>
    <n v="32"/>
    <d v="2013-05-16T00:00:00"/>
    <x v="10"/>
    <s v="KMSS"/>
    <s v="Kachin"/>
    <s v="Hpakant"/>
    <s v="Nant Ma Hpit Catholic Church"/>
    <n v="423"/>
    <m/>
    <m/>
    <m/>
    <m/>
    <m/>
    <m/>
    <m/>
    <m/>
    <m/>
    <m/>
    <m/>
    <m/>
    <m/>
    <m/>
    <m/>
    <m/>
    <n v="0"/>
    <n v="0"/>
    <n v="0"/>
    <n v="0"/>
    <n v="0"/>
    <n v="0"/>
    <n v="0"/>
    <n v="0"/>
    <n v="0"/>
    <n v="0"/>
    <n v="0"/>
    <n v="0"/>
    <n v="0"/>
    <n v="0"/>
    <x v="1"/>
    <n v="0"/>
    <s v="MMR001CMP103"/>
    <x v="1"/>
    <x v="1"/>
    <x v="1"/>
    <n v="0"/>
    <s v="No"/>
    <m/>
  </r>
  <r>
    <n v="32"/>
    <d v="2013-05-16T00:00:00"/>
    <x v="10"/>
    <s v="KMSS"/>
    <s v="Kachin"/>
    <s v="Hpakant"/>
    <s v="Ward 2 Cahotlic Church, Seik Mu"/>
    <n v="103"/>
    <m/>
    <m/>
    <m/>
    <m/>
    <m/>
    <m/>
    <m/>
    <m/>
    <m/>
    <m/>
    <m/>
    <m/>
    <m/>
    <m/>
    <m/>
    <m/>
    <n v="0"/>
    <n v="0"/>
    <n v="0"/>
    <n v="0"/>
    <n v="0"/>
    <n v="0"/>
    <n v="0"/>
    <n v="0"/>
    <n v="0"/>
    <n v="0"/>
    <n v="0"/>
    <n v="0"/>
    <n v="0"/>
    <n v="0"/>
    <x v="1"/>
    <n v="0"/>
    <s v="MMR001CMP185"/>
    <x v="1"/>
    <x v="2"/>
    <x v="0"/>
    <s v=""/>
    <s v="No"/>
    <m/>
  </r>
  <r>
    <n v="32.06666666666667"/>
    <d v="2013-05-14T00:00:00"/>
    <x v="10"/>
    <s v="KMSS"/>
    <s v="Kachin"/>
    <s v="Waingmaw"/>
    <s v="Border Post 8"/>
    <n v="604"/>
    <m/>
    <m/>
    <m/>
    <m/>
    <m/>
    <m/>
    <m/>
    <m/>
    <m/>
    <m/>
    <m/>
    <m/>
    <m/>
    <m/>
    <m/>
    <m/>
    <n v="0"/>
    <n v="0"/>
    <n v="0"/>
    <n v="0"/>
    <n v="0"/>
    <n v="0"/>
    <n v="0"/>
    <n v="0"/>
    <n v="0"/>
    <n v="0"/>
    <n v="0"/>
    <n v="0"/>
    <n v="0"/>
    <n v="0"/>
    <x v="1"/>
    <n v="0"/>
    <s v="MMR001CMP113"/>
    <x v="1"/>
    <x v="1"/>
    <x v="3"/>
    <n v="0"/>
    <s v="No"/>
    <m/>
  </r>
  <r>
    <n v="32.166666666666664"/>
    <d v="2013-05-11T00:00:00"/>
    <x v="10"/>
    <s v="KMSS"/>
    <s v="Kachin"/>
    <s v="Waingmaw"/>
    <s v="Post 6 Camp"/>
    <n v="490"/>
    <m/>
    <m/>
    <m/>
    <m/>
    <m/>
    <m/>
    <m/>
    <m/>
    <m/>
    <m/>
    <m/>
    <m/>
    <m/>
    <m/>
    <m/>
    <m/>
    <n v="0"/>
    <n v="0"/>
    <n v="0"/>
    <n v="0"/>
    <n v="0"/>
    <n v="0"/>
    <n v="0"/>
    <n v="0"/>
    <n v="0"/>
    <n v="0"/>
    <n v="0"/>
    <n v="0"/>
    <n v="0"/>
    <n v="0"/>
    <x v="1"/>
    <n v="0"/>
    <s v="MMR001CMP160"/>
    <x v="1"/>
    <x v="1"/>
    <x v="3"/>
    <n v="0"/>
    <s v="No"/>
    <m/>
  </r>
  <r>
    <n v="32.233333333333334"/>
    <d v="2013-05-09T00:00:00"/>
    <x v="10"/>
    <s v="KMSS"/>
    <s v="Kachin"/>
    <s v="Myitkyina"/>
    <s v="Jan Mai Kawng Catholic Church"/>
    <n v="460"/>
    <m/>
    <m/>
    <m/>
    <m/>
    <m/>
    <m/>
    <m/>
    <m/>
    <m/>
    <m/>
    <m/>
    <m/>
    <m/>
    <m/>
    <m/>
    <m/>
    <n v="0"/>
    <n v="0"/>
    <n v="0"/>
    <n v="0"/>
    <n v="0"/>
    <n v="0"/>
    <n v="0"/>
    <n v="0"/>
    <n v="0"/>
    <n v="0"/>
    <n v="0"/>
    <n v="0"/>
    <n v="0"/>
    <n v="0"/>
    <x v="1"/>
    <n v="0"/>
    <s v="MMR001CMP019"/>
    <x v="1"/>
    <x v="1"/>
    <x v="1"/>
    <n v="0"/>
    <s v="No"/>
    <m/>
  </r>
  <r>
    <n v="32.233333333333334"/>
    <d v="2013-05-09T00:00:00"/>
    <x v="10"/>
    <s v="KMSS"/>
    <s v="Kachin"/>
    <s v="Myitkyina"/>
    <s v="Nan Kway St. John Catholic Church"/>
    <n v="324"/>
    <m/>
    <m/>
    <m/>
    <m/>
    <m/>
    <m/>
    <m/>
    <m/>
    <m/>
    <m/>
    <m/>
    <m/>
    <m/>
    <m/>
    <m/>
    <m/>
    <n v="0"/>
    <n v="0"/>
    <n v="0"/>
    <n v="0"/>
    <n v="0"/>
    <n v="0"/>
    <n v="0"/>
    <n v="0"/>
    <n v="0"/>
    <n v="0"/>
    <n v="0"/>
    <n v="0"/>
    <n v="0"/>
    <n v="0"/>
    <x v="1"/>
    <n v="0"/>
    <s v="MMR001CMP024"/>
    <x v="1"/>
    <x v="1"/>
    <x v="1"/>
    <n v="0"/>
    <s v="No"/>
    <m/>
  </r>
  <r>
    <n v="32.266666666666666"/>
    <d v="2013-05-08T00:00:00"/>
    <x v="10"/>
    <s v="KMSS"/>
    <s v="Kachin"/>
    <s v="Waingmaw"/>
    <s v="Maina Catholic Church (St. Joseph)"/>
    <n v="1062"/>
    <m/>
    <m/>
    <m/>
    <m/>
    <m/>
    <m/>
    <m/>
    <m/>
    <m/>
    <m/>
    <m/>
    <m/>
    <m/>
    <m/>
    <m/>
    <m/>
    <n v="0"/>
    <n v="0"/>
    <n v="0"/>
    <n v="0"/>
    <n v="0"/>
    <n v="0"/>
    <n v="0"/>
    <n v="0"/>
    <n v="0"/>
    <n v="0"/>
    <n v="0"/>
    <n v="0"/>
    <n v="0"/>
    <n v="0"/>
    <x v="1"/>
    <n v="0"/>
    <s v="MMR001CMP029"/>
    <x v="1"/>
    <x v="1"/>
    <x v="1"/>
    <n v="0"/>
    <s v="No"/>
    <m/>
  </r>
  <r>
    <n v="32.299999999999997"/>
    <d v="2013-05-07T00:00:00"/>
    <x v="10"/>
    <s v="KMSS"/>
    <s v="Kachin"/>
    <s v="Myitkyina"/>
    <s v="Pa Dauk Myaing(Pa La Na)"/>
    <n v="149"/>
    <m/>
    <m/>
    <m/>
    <m/>
    <m/>
    <m/>
    <m/>
    <m/>
    <m/>
    <m/>
    <m/>
    <m/>
    <m/>
    <m/>
    <m/>
    <m/>
    <n v="0"/>
    <n v="0"/>
    <n v="0"/>
    <n v="0"/>
    <n v="0"/>
    <n v="0"/>
    <n v="0"/>
    <n v="0"/>
    <n v="0"/>
    <n v="0"/>
    <n v="0"/>
    <n v="0"/>
    <n v="0"/>
    <n v="0"/>
    <x v="1"/>
    <n v="0"/>
    <s v="MMR001CMP162"/>
    <x v="1"/>
    <x v="1"/>
    <x v="1"/>
    <n v="0"/>
    <s v="No"/>
    <m/>
  </r>
  <r>
    <n v="33.43333333333333"/>
    <d v="2013-04-03T00:00:00"/>
    <x v="0"/>
    <s v="UNHCR"/>
    <s v="Kachin"/>
    <s v="Waingmaw"/>
    <s v="Maina AG Church"/>
    <m/>
    <m/>
    <n v="15"/>
    <n v="22"/>
    <n v="11"/>
    <n v="22"/>
    <n v="11"/>
    <n v="11"/>
    <n v="11"/>
    <n v="11"/>
    <m/>
    <m/>
    <m/>
    <m/>
    <m/>
    <m/>
    <m/>
    <n v="0"/>
    <n v="0"/>
    <n v="0"/>
    <n v="0"/>
    <n v="0"/>
    <n v="0"/>
    <n v="0"/>
    <n v="0"/>
    <n v="0"/>
    <n v="0"/>
    <n v="0"/>
    <n v="0"/>
    <n v="0"/>
    <n v="0"/>
    <x v="1"/>
    <n v="0"/>
    <s v="MMR001CMP031"/>
    <x v="1"/>
    <x v="1"/>
    <x v="1"/>
    <n v="8.1481481481481488E-2"/>
    <s v="No"/>
    <m/>
  </r>
  <r>
    <n v="33.43333333333333"/>
    <d v="2013-04-03T00:00:00"/>
    <x v="0"/>
    <s v="UNHCR"/>
    <s v="Kachin"/>
    <s v="Waingmaw"/>
    <s v="Waingmaw AG Church"/>
    <m/>
    <m/>
    <n v="4"/>
    <n v="7"/>
    <n v="3"/>
    <n v="7"/>
    <n v="3"/>
    <n v="3"/>
    <n v="3"/>
    <n v="3"/>
    <m/>
    <m/>
    <m/>
    <m/>
    <m/>
    <m/>
    <m/>
    <n v="0"/>
    <n v="0"/>
    <n v="0"/>
    <n v="0"/>
    <n v="0"/>
    <n v="0"/>
    <n v="0"/>
    <n v="0"/>
    <n v="0"/>
    <n v="0"/>
    <n v="0"/>
    <n v="0"/>
    <n v="0"/>
    <n v="0"/>
    <x v="1"/>
    <n v="0"/>
    <s v="MMR001CMP038"/>
    <x v="1"/>
    <x v="1"/>
    <x v="1"/>
    <n v="3.3333333333333333E-2"/>
    <s v="No"/>
    <m/>
  </r>
  <r>
    <n v="33.6"/>
    <d v="2013-03-29T00:00:00"/>
    <x v="9"/>
    <s v="MRCS"/>
    <s v="Kachin"/>
    <s v="Sumprabum"/>
    <s v="Sumprabum"/>
    <m/>
    <m/>
    <n v="6"/>
    <m/>
    <m/>
    <m/>
    <n v="6"/>
    <m/>
    <n v="0"/>
    <n v="0"/>
    <m/>
    <m/>
    <m/>
    <m/>
    <m/>
    <m/>
    <m/>
    <n v="0"/>
    <n v="0"/>
    <n v="0"/>
    <n v="0"/>
    <n v="0"/>
    <n v="0"/>
    <n v="0"/>
    <n v="0"/>
    <n v="0"/>
    <n v="0"/>
    <n v="0"/>
    <n v="0"/>
    <n v="0"/>
    <n v="0"/>
    <x v="1"/>
    <n v="0"/>
    <s v="MMR001CMP206"/>
    <x v="1"/>
    <x v="1"/>
    <x v="1"/>
    <n v="1.2"/>
    <s v="No"/>
    <m/>
  </r>
  <r>
    <n v="33.866666666666667"/>
    <d v="2013-03-21T00:00:00"/>
    <x v="0"/>
    <s v="UNHCR"/>
    <s v="Kachin"/>
    <s v="Hpakant"/>
    <s v="Lisu Baptist Church, Maw Shan Vil,. Seik Mu"/>
    <m/>
    <m/>
    <n v="34"/>
    <n v="40"/>
    <n v="40"/>
    <n v="75"/>
    <n v="40"/>
    <n v="75"/>
    <n v="75"/>
    <n v="75"/>
    <m/>
    <m/>
    <m/>
    <m/>
    <m/>
    <m/>
    <m/>
    <n v="0"/>
    <n v="0"/>
    <n v="0"/>
    <n v="0"/>
    <n v="0"/>
    <n v="0"/>
    <n v="0"/>
    <n v="0"/>
    <n v="0"/>
    <n v="0"/>
    <n v="0"/>
    <n v="0"/>
    <n v="0"/>
    <n v="0"/>
    <x v="1"/>
    <n v="0"/>
    <s v="MMR001CMP181"/>
    <x v="1"/>
    <x v="1"/>
    <x v="1"/>
    <n v="1.6"/>
    <s v="No"/>
    <m/>
  </r>
  <r>
    <n v="33.866666666666667"/>
    <d v="2013-03-21T00:00:00"/>
    <x v="0"/>
    <s v="UNHCR"/>
    <s v="Kachin"/>
    <s v="Hpakant"/>
    <s v="Rawan Baptist Church, Maw Shan Vil., Seik Mu"/>
    <m/>
    <m/>
    <n v="15"/>
    <n v="8"/>
    <n v="8"/>
    <n v="17"/>
    <n v="8"/>
    <n v="17"/>
    <n v="17"/>
    <n v="17"/>
    <m/>
    <m/>
    <m/>
    <m/>
    <m/>
    <m/>
    <m/>
    <n v="0"/>
    <n v="0"/>
    <n v="0"/>
    <n v="0"/>
    <n v="0"/>
    <n v="0"/>
    <n v="0"/>
    <n v="0"/>
    <n v="0"/>
    <n v="0"/>
    <n v="0"/>
    <n v="0"/>
    <n v="0"/>
    <n v="0"/>
    <x v="1"/>
    <n v="0"/>
    <s v="MMR001CMP182"/>
    <x v="1"/>
    <x v="1"/>
    <x v="1"/>
    <n v="0.8"/>
    <s v="No"/>
    <m/>
  </r>
  <r>
    <n v="33.9"/>
    <d v="2013-03-20T00:00:00"/>
    <x v="0"/>
    <s v="UNHCR"/>
    <s v="Kachin"/>
    <s v="Hpakant"/>
    <s v="AG Church, Maw Wan"/>
    <m/>
    <m/>
    <n v="24"/>
    <n v="17"/>
    <n v="17"/>
    <n v="41"/>
    <n v="17"/>
    <n v="41"/>
    <n v="41"/>
    <n v="41"/>
    <m/>
    <m/>
    <m/>
    <m/>
    <m/>
    <m/>
    <m/>
    <n v="0"/>
    <n v="0"/>
    <n v="0"/>
    <n v="0"/>
    <n v="0"/>
    <n v="0"/>
    <n v="0"/>
    <n v="0"/>
    <n v="0"/>
    <n v="0"/>
    <n v="0"/>
    <n v="0"/>
    <n v="0"/>
    <n v="0"/>
    <x v="1"/>
    <n v="0"/>
    <s v="MMR001CMP190"/>
    <x v="1"/>
    <x v="1"/>
    <x v="1"/>
    <n v="1.2142857142857142"/>
    <s v="No"/>
    <m/>
  </r>
  <r>
    <n v="33.9"/>
    <d v="2013-03-20T00:00:00"/>
    <x v="0"/>
    <s v="UNHCR"/>
    <s v="Kachin"/>
    <s v="Hpakant"/>
    <s v="Anglican Church, Hmaw Si Sar"/>
    <m/>
    <m/>
    <n v="38"/>
    <n v="11"/>
    <n v="11"/>
    <n v="87"/>
    <n v="11"/>
    <n v="26"/>
    <n v="26"/>
    <n v="26"/>
    <m/>
    <m/>
    <m/>
    <m/>
    <m/>
    <m/>
    <m/>
    <n v="0"/>
    <n v="0"/>
    <n v="0"/>
    <n v="0"/>
    <n v="0"/>
    <n v="0"/>
    <n v="0"/>
    <n v="0"/>
    <n v="0"/>
    <n v="0"/>
    <n v="0"/>
    <n v="0"/>
    <n v="0"/>
    <n v="0"/>
    <x v="1"/>
    <n v="0"/>
    <s v="MMR001CMP173"/>
    <x v="1"/>
    <x v="2"/>
    <x v="0"/>
    <s v=""/>
    <s v="No"/>
    <m/>
  </r>
  <r>
    <n v="33.9"/>
    <d v="2013-03-20T00:00:00"/>
    <x v="0"/>
    <s v="UNHCR"/>
    <s v="Kachin"/>
    <s v="Hpakant"/>
    <s v="Chin Church, Seik Mu"/>
    <m/>
    <m/>
    <n v="3"/>
    <n v="8"/>
    <n v="8"/>
    <n v="15"/>
    <n v="8"/>
    <n v="15"/>
    <n v="15"/>
    <n v="15"/>
    <m/>
    <m/>
    <m/>
    <m/>
    <m/>
    <m/>
    <m/>
    <n v="0"/>
    <n v="0"/>
    <n v="0"/>
    <n v="0"/>
    <n v="0"/>
    <n v="0"/>
    <n v="0"/>
    <n v="0"/>
    <n v="0"/>
    <n v="0"/>
    <n v="0"/>
    <n v="0"/>
    <n v="0"/>
    <n v="0"/>
    <x v="1"/>
    <n v="0"/>
    <s v="MMR001CMP109"/>
    <x v="1"/>
    <x v="1"/>
    <x v="1"/>
    <n v="1.3333333333333333"/>
    <s v="No"/>
    <m/>
  </r>
  <r>
    <n v="33.9"/>
    <d v="2013-03-20T00:00:00"/>
    <x v="0"/>
    <s v="UNHCR"/>
    <s v="Kachin"/>
    <s v="Hpakant"/>
    <s v="Chin(Zomi) Baptist Church"/>
    <m/>
    <m/>
    <n v="9"/>
    <n v="6"/>
    <n v="6"/>
    <n v="15"/>
    <n v="6"/>
    <n v="15"/>
    <n v="15"/>
    <n v="15"/>
    <m/>
    <m/>
    <m/>
    <m/>
    <m/>
    <m/>
    <m/>
    <n v="0"/>
    <n v="0"/>
    <n v="0"/>
    <n v="0"/>
    <n v="0"/>
    <n v="0"/>
    <n v="0"/>
    <n v="0"/>
    <n v="0"/>
    <n v="0"/>
    <n v="0"/>
    <n v="0"/>
    <n v="0"/>
    <n v="0"/>
    <x v="1"/>
    <n v="0"/>
    <s v="MMR001CMP086"/>
    <x v="1"/>
    <x v="2"/>
    <x v="0"/>
    <s v=""/>
    <s v="No"/>
    <m/>
  </r>
  <r>
    <n v="33.9"/>
    <d v="2013-03-20T00:00:00"/>
    <x v="0"/>
    <s v="UNHCR"/>
    <s v="Kachin"/>
    <s v="Hpakant"/>
    <s v="Lisu Baptist Church, Maw Wan Ward"/>
    <m/>
    <m/>
    <n v="32"/>
    <n v="27"/>
    <n v="27"/>
    <n v="66"/>
    <n v="27"/>
    <n v="66"/>
    <n v="66"/>
    <n v="66"/>
    <m/>
    <m/>
    <m/>
    <m/>
    <m/>
    <m/>
    <m/>
    <n v="0"/>
    <n v="0"/>
    <n v="0"/>
    <n v="0"/>
    <n v="0"/>
    <n v="0"/>
    <n v="0"/>
    <n v="0"/>
    <n v="0"/>
    <n v="0"/>
    <n v="0"/>
    <n v="0"/>
    <n v="0"/>
    <n v="0"/>
    <x v="1"/>
    <n v="0"/>
    <s v="MMR001CMP167"/>
    <x v="1"/>
    <x v="1"/>
    <x v="1"/>
    <n v="1.8"/>
    <s v="No"/>
    <m/>
  </r>
  <r>
    <n v="33.9"/>
    <d v="2013-03-20T00:00:00"/>
    <x v="0"/>
    <s v="UNHCR"/>
    <s v="Kachin"/>
    <s v="Hpakant"/>
    <s v="Maw Wan, Kachin Baptist Church"/>
    <m/>
    <m/>
    <n v="18"/>
    <n v="17"/>
    <n v="17"/>
    <n v="42"/>
    <n v="17"/>
    <n v="42"/>
    <n v="42"/>
    <n v="42"/>
    <m/>
    <m/>
    <m/>
    <m/>
    <m/>
    <m/>
    <m/>
    <n v="0"/>
    <n v="0"/>
    <n v="0"/>
    <n v="0"/>
    <n v="0"/>
    <n v="0"/>
    <n v="0"/>
    <n v="0"/>
    <n v="0"/>
    <n v="0"/>
    <n v="0"/>
    <n v="0"/>
    <n v="0"/>
    <n v="0"/>
    <x v="1"/>
    <n v="0"/>
    <s v="MMR001CMP085"/>
    <x v="1"/>
    <x v="2"/>
    <x v="0"/>
    <s v=""/>
    <s v="No"/>
    <m/>
  </r>
  <r>
    <n v="33.9"/>
    <d v="2013-03-20T00:00:00"/>
    <x v="0"/>
    <s v="UNHCR"/>
    <s v="Kachin"/>
    <s v="Hpakant"/>
    <s v="Maw Wan, Mu-yin Baptist Church"/>
    <m/>
    <m/>
    <n v="17"/>
    <n v="17"/>
    <n v="17"/>
    <n v="41"/>
    <n v="17"/>
    <n v="41"/>
    <n v="41"/>
    <n v="41"/>
    <m/>
    <m/>
    <m/>
    <m/>
    <m/>
    <m/>
    <m/>
    <n v="0"/>
    <n v="0"/>
    <n v="0"/>
    <n v="0"/>
    <n v="0"/>
    <n v="0"/>
    <n v="0"/>
    <n v="0"/>
    <n v="0"/>
    <n v="0"/>
    <n v="0"/>
    <n v="0"/>
    <n v="0"/>
    <n v="0"/>
    <x v="1"/>
    <n v="0"/>
    <s v="MMR001CMP091"/>
    <x v="1"/>
    <x v="1"/>
    <x v="1"/>
    <n v="3.4"/>
    <s v="No"/>
    <m/>
  </r>
  <r>
    <n v="33.9"/>
    <d v="2013-03-20T00:00:00"/>
    <x v="0"/>
    <s v="UNHCR"/>
    <s v="Kachin"/>
    <s v="Hpakant"/>
    <s v="Muring Baptist Church, Awng Ra, Wa Ra Zut VT"/>
    <m/>
    <m/>
    <n v="48"/>
    <n v="48"/>
    <n v="48"/>
    <n v="98"/>
    <n v="48"/>
    <n v="98"/>
    <n v="98"/>
    <n v="98"/>
    <m/>
    <m/>
    <m/>
    <m/>
    <m/>
    <m/>
    <m/>
    <n v="0"/>
    <n v="0"/>
    <n v="0"/>
    <n v="0"/>
    <n v="0"/>
    <n v="0"/>
    <n v="0"/>
    <n v="0"/>
    <n v="0"/>
    <n v="0"/>
    <n v="0"/>
    <n v="0"/>
    <n v="0"/>
    <n v="0"/>
    <x v="1"/>
    <n v="0"/>
    <s v="MMR001CMP177"/>
    <x v="1"/>
    <x v="2"/>
    <x v="0"/>
    <s v=""/>
    <s v="No"/>
    <m/>
  </r>
  <r>
    <n v="33.9"/>
    <d v="2013-03-20T00:00:00"/>
    <x v="0"/>
    <s v="UNHCR"/>
    <s v="Kachin"/>
    <s v="Hpakant"/>
    <s v="Ward 2 Sai Taung Baptist Church, Seik Mu "/>
    <m/>
    <m/>
    <n v="124"/>
    <n v="117"/>
    <n v="121"/>
    <n v="227"/>
    <n v="122"/>
    <n v="263"/>
    <n v="263"/>
    <n v="263"/>
    <m/>
    <m/>
    <m/>
    <m/>
    <m/>
    <m/>
    <m/>
    <n v="0"/>
    <n v="0"/>
    <n v="0"/>
    <n v="0"/>
    <n v="0"/>
    <n v="0"/>
    <n v="0"/>
    <n v="0"/>
    <n v="0"/>
    <n v="0"/>
    <n v="0"/>
    <n v="0"/>
    <n v="0"/>
    <n v="0"/>
    <x v="1"/>
    <n v="0"/>
    <s v="MMR001CMP184"/>
    <x v="1"/>
    <x v="1"/>
    <x v="1"/>
    <n v="2.975609756097561"/>
    <s v="No"/>
    <m/>
  </r>
  <r>
    <n v="33.9"/>
    <d v="2013-03-20T00:00:00"/>
    <x v="0"/>
    <s v="UNHCR"/>
    <s v="Kachin"/>
    <s v="Hpakant"/>
    <s v="Wrad(5) Christian Association"/>
    <m/>
    <m/>
    <n v="34"/>
    <n v="26"/>
    <n v="26"/>
    <n v="60"/>
    <n v="26"/>
    <n v="60"/>
    <n v="60"/>
    <n v="60"/>
    <m/>
    <m/>
    <m/>
    <m/>
    <m/>
    <m/>
    <m/>
    <n v="0"/>
    <n v="0"/>
    <n v="0"/>
    <n v="0"/>
    <n v="0"/>
    <n v="0"/>
    <n v="0"/>
    <n v="0"/>
    <n v="0"/>
    <n v="0"/>
    <n v="0"/>
    <n v="0"/>
    <n v="0"/>
    <n v="0"/>
    <x v="1"/>
    <n v="0"/>
    <s v="MMR001CMP175"/>
    <x v="1"/>
    <x v="2"/>
    <x v="0"/>
    <s v=""/>
    <s v="No"/>
    <m/>
  </r>
  <r>
    <n v="33.9"/>
    <d v="2013-03-20T00:00:00"/>
    <x v="0"/>
    <s v="UNHCR"/>
    <s v="Kachin"/>
    <s v="Hpakant"/>
    <s v="Zomee Baptist Church camp, Hmaw Wan"/>
    <m/>
    <m/>
    <n v="6"/>
    <n v="0"/>
    <n v="0"/>
    <n v="11"/>
    <n v="0"/>
    <n v="0"/>
    <m/>
    <m/>
    <m/>
    <m/>
    <m/>
    <m/>
    <m/>
    <m/>
    <m/>
    <n v="0"/>
    <n v="0"/>
    <n v="0"/>
    <n v="0"/>
    <n v="0"/>
    <n v="0"/>
    <n v="0"/>
    <n v="0"/>
    <n v="0"/>
    <n v="0"/>
    <n v="0"/>
    <n v="0"/>
    <n v="0"/>
    <n v="0"/>
    <x v="1"/>
    <n v="0"/>
    <s v="MMR001CMP201"/>
    <x v="1"/>
    <x v="2"/>
    <x v="0"/>
    <s v=""/>
    <s v="No"/>
    <m/>
  </r>
  <r>
    <n v="34.366666666666667"/>
    <d v="2013-03-06T00:00:00"/>
    <x v="0"/>
    <s v="UNHCR"/>
    <s v="Kachin"/>
    <s v="Waingmaw"/>
    <s v="Maina KBC (Bawng Ring)"/>
    <m/>
    <m/>
    <n v="34"/>
    <n v="73"/>
    <n v="38"/>
    <n v="73"/>
    <n v="38"/>
    <n v="33"/>
    <n v="33"/>
    <n v="33"/>
    <m/>
    <m/>
    <m/>
    <m/>
    <m/>
    <m/>
    <m/>
    <n v="0"/>
    <n v="0"/>
    <n v="0"/>
    <n v="0"/>
    <n v="0"/>
    <n v="0"/>
    <n v="0"/>
    <n v="0"/>
    <n v="0"/>
    <n v="0"/>
    <n v="0"/>
    <n v="0"/>
    <n v="0"/>
    <n v="0"/>
    <x v="1"/>
    <n v="0"/>
    <s v="MMR001CMP040"/>
    <x v="1"/>
    <x v="1"/>
    <x v="1"/>
    <n v="8.8785046728971959E-2"/>
    <s v="No"/>
    <m/>
  </r>
  <r>
    <n v="34.366666666666667"/>
    <d v="2013-03-06T00:00:00"/>
    <x v="0"/>
    <s v="UNHCR"/>
    <s v="Kachin"/>
    <s v="Waingmaw"/>
    <s v="Qtr. 2 Lhaovo Baptist Church"/>
    <m/>
    <m/>
    <n v="6"/>
    <n v="11"/>
    <n v="5"/>
    <n v="11"/>
    <n v="5"/>
    <n v="5"/>
    <n v="5"/>
    <n v="5"/>
    <m/>
    <m/>
    <m/>
    <m/>
    <m/>
    <m/>
    <m/>
    <n v="0"/>
    <n v="0"/>
    <n v="0"/>
    <n v="0"/>
    <n v="0"/>
    <n v="0"/>
    <n v="0"/>
    <n v="0"/>
    <n v="0"/>
    <n v="0"/>
    <n v="0"/>
    <n v="0"/>
    <n v="0"/>
    <n v="0"/>
    <x v="1"/>
    <n v="0"/>
    <s v="MMR001CMP032"/>
    <x v="1"/>
    <x v="1"/>
    <x v="1"/>
    <n v="5.3191489361702128E-2"/>
    <s v="No"/>
    <m/>
  </r>
  <r>
    <n v="34.466666666666669"/>
    <d v="2013-03-03T00:00:00"/>
    <x v="5"/>
    <s v="Solidarities"/>
    <s v="Kachin"/>
    <s v="Momauk"/>
    <s v="Seng Ja "/>
    <n v="33"/>
    <m/>
    <m/>
    <m/>
    <m/>
    <m/>
    <m/>
    <m/>
    <n v="0"/>
    <n v="0"/>
    <m/>
    <m/>
    <m/>
    <m/>
    <m/>
    <m/>
    <m/>
    <n v="0"/>
    <n v="0"/>
    <n v="0"/>
    <n v="0"/>
    <n v="0"/>
    <n v="0"/>
    <n v="0"/>
    <n v="0"/>
    <n v="0"/>
    <n v="0"/>
    <n v="0"/>
    <n v="0"/>
    <n v="0"/>
    <n v="0"/>
    <x v="1"/>
    <n v="0"/>
    <s v="MMR001CMP073"/>
    <x v="1"/>
    <x v="1"/>
    <x v="2"/>
    <n v="0"/>
    <s v="No"/>
    <m/>
  </r>
  <r>
    <n v="34.5"/>
    <d v="2013-03-02T00:00:00"/>
    <x v="5"/>
    <s v="Solidarities"/>
    <s v="Kachin"/>
    <s v="Momauk"/>
    <s v="Loi Je Baptist Church"/>
    <n v="3"/>
    <m/>
    <m/>
    <m/>
    <m/>
    <m/>
    <m/>
    <m/>
    <n v="0"/>
    <n v="0"/>
    <m/>
    <m/>
    <m/>
    <m/>
    <m/>
    <m/>
    <m/>
    <n v="0"/>
    <n v="0"/>
    <n v="0"/>
    <n v="0"/>
    <n v="0"/>
    <n v="0"/>
    <n v="0"/>
    <n v="0"/>
    <n v="0"/>
    <n v="0"/>
    <n v="0"/>
    <n v="0"/>
    <n v="0"/>
    <n v="0"/>
    <x v="1"/>
    <n v="0"/>
    <s v="MMR001CMP071"/>
    <x v="1"/>
    <x v="1"/>
    <x v="2"/>
    <n v="0"/>
    <s v="No"/>
    <m/>
  </r>
  <r>
    <n v="34.5"/>
    <d v="2013-03-02T00:00:00"/>
    <x v="5"/>
    <s v="Solidarities"/>
    <s v="Kachin"/>
    <s v="Momauk"/>
    <s v="Loi Je Lisu Camp"/>
    <n v="368"/>
    <m/>
    <m/>
    <m/>
    <m/>
    <m/>
    <m/>
    <m/>
    <n v="0"/>
    <n v="0"/>
    <m/>
    <m/>
    <m/>
    <m/>
    <m/>
    <m/>
    <m/>
    <n v="0"/>
    <n v="0"/>
    <n v="0"/>
    <n v="0"/>
    <n v="0"/>
    <n v="0"/>
    <n v="0"/>
    <n v="0"/>
    <n v="0"/>
    <n v="0"/>
    <n v="0"/>
    <n v="0"/>
    <n v="0"/>
    <n v="0"/>
    <x v="1"/>
    <n v="0"/>
    <s v="MMR001CMP070"/>
    <x v="1"/>
    <x v="1"/>
    <x v="2"/>
    <n v="0"/>
    <s v="No"/>
    <m/>
  </r>
  <r>
    <n v="34.5"/>
    <d v="2013-03-02T00:00:00"/>
    <x v="5"/>
    <s v="Solidarities"/>
    <s v="Kachin"/>
    <s v="Mansi"/>
    <s v="Man Wing Catholic Church"/>
    <n v="1542"/>
    <m/>
    <n v="1800"/>
    <m/>
    <m/>
    <m/>
    <m/>
    <m/>
    <n v="0"/>
    <n v="0"/>
    <m/>
    <m/>
    <m/>
    <m/>
    <m/>
    <m/>
    <m/>
    <n v="0"/>
    <n v="0"/>
    <n v="0"/>
    <n v="0"/>
    <n v="0"/>
    <n v="0"/>
    <n v="0"/>
    <n v="0"/>
    <n v="0"/>
    <n v="0"/>
    <n v="0"/>
    <n v="0"/>
    <n v="0"/>
    <n v="0"/>
    <x v="1"/>
    <n v="0"/>
    <s v="MMR001CMP132"/>
    <x v="1"/>
    <x v="1"/>
    <x v="1"/>
    <n v="0"/>
    <s v="No"/>
    <m/>
  </r>
  <r>
    <n v="34.6"/>
    <d v="2013-02-27T00:00:00"/>
    <x v="0"/>
    <s v="UNHCR"/>
    <s v="Kachin"/>
    <s v="Waingmaw"/>
    <s v="Maina AG Church"/>
    <m/>
    <m/>
    <n v="23"/>
    <n v="40"/>
    <n v="18"/>
    <n v="40"/>
    <n v="18"/>
    <n v="18"/>
    <n v="18"/>
    <n v="18"/>
    <m/>
    <m/>
    <m/>
    <m/>
    <m/>
    <m/>
    <m/>
    <n v="0"/>
    <n v="0"/>
    <n v="0"/>
    <n v="0"/>
    <n v="0"/>
    <n v="0"/>
    <n v="0"/>
    <n v="0"/>
    <n v="0"/>
    <n v="0"/>
    <n v="0"/>
    <n v="0"/>
    <n v="0"/>
    <n v="0"/>
    <x v="1"/>
    <n v="0"/>
    <s v="MMR001CMP031"/>
    <x v="1"/>
    <x v="1"/>
    <x v="1"/>
    <n v="0.13333333333333333"/>
    <s v="No"/>
    <m/>
  </r>
  <r>
    <n v="34.6"/>
    <d v="2013-02-27T00:00:00"/>
    <x v="5"/>
    <s v="Solidarities"/>
    <s v="Kachin"/>
    <s v="Mansi"/>
    <s v="Man Wing Baptist Church"/>
    <n v="595"/>
    <m/>
    <n v="740"/>
    <m/>
    <m/>
    <m/>
    <m/>
    <m/>
    <n v="0"/>
    <n v="0"/>
    <m/>
    <m/>
    <m/>
    <m/>
    <m/>
    <m/>
    <m/>
    <n v="0"/>
    <n v="0"/>
    <n v="0"/>
    <n v="0"/>
    <n v="0"/>
    <n v="0"/>
    <n v="0"/>
    <n v="0"/>
    <n v="0"/>
    <n v="0"/>
    <n v="0"/>
    <n v="0"/>
    <n v="0"/>
    <n v="0"/>
    <x v="1"/>
    <n v="0"/>
    <s v="MMR001CMP133"/>
    <x v="1"/>
    <x v="1"/>
    <x v="1"/>
    <n v="0"/>
    <s v="No"/>
    <m/>
  </r>
  <r>
    <n v="34.633333333333333"/>
    <d v="2013-02-26T00:00:00"/>
    <x v="9"/>
    <s v="MRCS"/>
    <s v="Kachin"/>
    <s v="Waingmaw"/>
    <s v="Hkat Cho "/>
    <m/>
    <m/>
    <n v="136"/>
    <m/>
    <n v="66"/>
    <m/>
    <n v="70"/>
    <m/>
    <n v="0"/>
    <n v="0"/>
    <m/>
    <m/>
    <m/>
    <m/>
    <m/>
    <m/>
    <m/>
    <n v="0"/>
    <n v="0"/>
    <n v="0"/>
    <n v="0"/>
    <n v="0"/>
    <n v="0"/>
    <n v="0"/>
    <n v="0"/>
    <n v="0"/>
    <n v="0"/>
    <n v="0"/>
    <n v="0"/>
    <n v="0"/>
    <n v="0"/>
    <x v="1"/>
    <n v="0"/>
    <s v="MMR001CMP028"/>
    <x v="1"/>
    <x v="1"/>
    <x v="1"/>
    <n v="0.63063063063063063"/>
    <s v="No"/>
    <m/>
  </r>
  <r>
    <n v="34.633333333333333"/>
    <d v="2013-02-26T00:00:00"/>
    <x v="9"/>
    <s v="MRCS"/>
    <s v="Kachin"/>
    <s v="Myitkyina"/>
    <s v="Jan Mai Kawng Catholic Church"/>
    <m/>
    <m/>
    <n v="99"/>
    <m/>
    <n v="99"/>
    <m/>
    <m/>
    <m/>
    <n v="0"/>
    <n v="0"/>
    <m/>
    <m/>
    <m/>
    <m/>
    <m/>
    <m/>
    <m/>
    <n v="0"/>
    <n v="0"/>
    <n v="0"/>
    <n v="0"/>
    <n v="0"/>
    <n v="0"/>
    <n v="0"/>
    <n v="0"/>
    <n v="0"/>
    <n v="0"/>
    <n v="0"/>
    <n v="0"/>
    <n v="0"/>
    <n v="0"/>
    <x v="1"/>
    <n v="0"/>
    <s v="MMR001CMP019"/>
    <x v="1"/>
    <x v="1"/>
    <x v="1"/>
    <n v="0"/>
    <s v="No"/>
    <m/>
  </r>
  <r>
    <n v="34.666666666666664"/>
    <d v="2013-02-25T00:00:00"/>
    <x v="0"/>
    <s v="Chipwe CM"/>
    <s v="Kachin"/>
    <s v="Chipwi"/>
    <s v="Chipwi KBC camp"/>
    <m/>
    <m/>
    <n v="11"/>
    <n v="17"/>
    <n v="7"/>
    <n v="17"/>
    <n v="7"/>
    <n v="7"/>
    <n v="7"/>
    <n v="7"/>
    <m/>
    <m/>
    <m/>
    <m/>
    <m/>
    <m/>
    <m/>
    <n v="0"/>
    <n v="0"/>
    <n v="0"/>
    <n v="0"/>
    <n v="0"/>
    <n v="0"/>
    <n v="0"/>
    <n v="0"/>
    <n v="0"/>
    <n v="0"/>
    <n v="0"/>
    <n v="0"/>
    <n v="0"/>
    <n v="0"/>
    <x v="1"/>
    <n v="0"/>
    <s v="MMR001CMP042"/>
    <x v="1"/>
    <x v="1"/>
    <x v="3"/>
    <n v="6.4814814814814811E-2"/>
    <s v="No"/>
    <m/>
  </r>
  <r>
    <n v="34.666666666666664"/>
    <d v="2013-02-25T00:00:00"/>
    <x v="0"/>
    <s v="Chipwe CM"/>
    <s v="Kachin"/>
    <s v="Chipwi"/>
    <s v="Gant Gwin"/>
    <m/>
    <m/>
    <n v="11"/>
    <n v="17"/>
    <n v="7"/>
    <n v="17"/>
    <n v="7"/>
    <n v="7"/>
    <n v="7"/>
    <n v="7"/>
    <m/>
    <m/>
    <m/>
    <m/>
    <m/>
    <m/>
    <m/>
    <n v="0"/>
    <n v="0"/>
    <n v="0"/>
    <n v="0"/>
    <n v="0"/>
    <n v="0"/>
    <n v="0"/>
    <n v="0"/>
    <n v="0"/>
    <n v="0"/>
    <n v="0"/>
    <n v="0"/>
    <n v="0"/>
    <n v="0"/>
    <x v="1"/>
    <n v="0"/>
    <s v="MMR001CMP046"/>
    <x v="1"/>
    <x v="2"/>
    <x v="3"/>
    <s v=""/>
    <s v="No"/>
    <m/>
  </r>
  <r>
    <n v="34.666666666666664"/>
    <d v="2013-02-25T00:00:00"/>
    <x v="9"/>
    <s v="MRCS"/>
    <s v="Kachin"/>
    <s v="Waingmaw"/>
    <s v="Hkat Cho "/>
    <m/>
    <m/>
    <m/>
    <m/>
    <n v="1"/>
    <m/>
    <m/>
    <m/>
    <n v="0"/>
    <n v="0"/>
    <m/>
    <m/>
    <m/>
    <m/>
    <m/>
    <m/>
    <m/>
    <n v="0"/>
    <n v="0"/>
    <n v="0"/>
    <n v="0"/>
    <n v="0"/>
    <n v="0"/>
    <n v="0"/>
    <n v="0"/>
    <n v="0"/>
    <n v="0"/>
    <n v="0"/>
    <n v="0"/>
    <n v="0"/>
    <n v="0"/>
    <x v="1"/>
    <n v="0"/>
    <s v="MMR001CMP028"/>
    <x v="1"/>
    <x v="1"/>
    <x v="1"/>
    <n v="0"/>
    <s v="No"/>
    <m/>
  </r>
  <r>
    <n v="34.666666666666664"/>
    <d v="2013-02-25T00:00:00"/>
    <x v="0"/>
    <s v="Chipwe CM"/>
    <s v="Kachin"/>
    <s v="Chipwi"/>
    <s v="Hpare Hkyer - BP6"/>
    <m/>
    <m/>
    <n v="11"/>
    <n v="17"/>
    <n v="7"/>
    <n v="17"/>
    <n v="7"/>
    <n v="7"/>
    <n v="7"/>
    <n v="7"/>
    <m/>
    <m/>
    <m/>
    <m/>
    <m/>
    <m/>
    <m/>
    <n v="0"/>
    <n v="0"/>
    <n v="0"/>
    <n v="0"/>
    <n v="0"/>
    <n v="0"/>
    <n v="0"/>
    <n v="0"/>
    <n v="0"/>
    <n v="0"/>
    <n v="0"/>
    <n v="0"/>
    <n v="0"/>
    <n v="0"/>
    <x v="1"/>
    <n v="0"/>
    <s v="MMR001CMP043"/>
    <x v="1"/>
    <x v="1"/>
    <x v="3"/>
    <n v="4.5454545454545456E-2"/>
    <s v="No"/>
    <m/>
  </r>
  <r>
    <n v="34.666666666666664"/>
    <d v="2013-02-25T00:00:00"/>
    <x v="0"/>
    <s v="Chipwe CM"/>
    <s v="Kachin"/>
    <s v="Chipwi"/>
    <s v="Lan Jaw "/>
    <m/>
    <m/>
    <n v="11"/>
    <n v="17"/>
    <n v="7"/>
    <n v="17"/>
    <n v="7"/>
    <n v="7"/>
    <n v="7"/>
    <n v="7"/>
    <m/>
    <m/>
    <m/>
    <m/>
    <m/>
    <m/>
    <m/>
    <n v="0"/>
    <n v="0"/>
    <n v="0"/>
    <n v="0"/>
    <n v="0"/>
    <n v="0"/>
    <n v="0"/>
    <n v="0"/>
    <n v="0"/>
    <n v="0"/>
    <n v="0"/>
    <n v="0"/>
    <n v="0"/>
    <n v="0"/>
    <x v="1"/>
    <n v="0"/>
    <s v="MMR001CMP045"/>
    <x v="1"/>
    <x v="1"/>
    <x v="3"/>
    <s v=""/>
    <s v="No"/>
    <m/>
  </r>
  <r>
    <n v="34.666666666666664"/>
    <d v="2013-02-25T00:00:00"/>
    <x v="0"/>
    <s v="Chipwe CM"/>
    <s v="Kachin"/>
    <s v="Chipwi"/>
    <s v="Lhaovao Baptist Church (LBC)"/>
    <m/>
    <m/>
    <n v="12"/>
    <n v="17"/>
    <n v="7"/>
    <n v="17"/>
    <n v="7"/>
    <n v="7"/>
    <n v="7"/>
    <n v="7"/>
    <m/>
    <m/>
    <m/>
    <m/>
    <m/>
    <m/>
    <m/>
    <n v="0"/>
    <n v="0"/>
    <n v="0"/>
    <n v="0"/>
    <n v="0"/>
    <n v="0"/>
    <n v="0"/>
    <n v="0"/>
    <n v="0"/>
    <n v="0"/>
    <n v="0"/>
    <n v="0"/>
    <n v="0"/>
    <n v="0"/>
    <x v="1"/>
    <n v="0"/>
    <s v="MMR001CMP195"/>
    <x v="1"/>
    <x v="1"/>
    <x v="3"/>
    <n v="4.8611111111111112E-2"/>
    <s v="No"/>
    <m/>
  </r>
  <r>
    <n v="34.666666666666664"/>
    <d v="2013-02-25T00:00:00"/>
    <x v="9"/>
    <s v="MRCS"/>
    <s v="Kachin"/>
    <s v="Waingmaw"/>
    <s v="Maina KBC (Bawng Ring)"/>
    <m/>
    <m/>
    <n v="235"/>
    <m/>
    <n v="174"/>
    <m/>
    <n v="61"/>
    <m/>
    <n v="0"/>
    <n v="0"/>
    <m/>
    <m/>
    <m/>
    <m/>
    <m/>
    <m/>
    <m/>
    <n v="0"/>
    <n v="0"/>
    <n v="0"/>
    <n v="0"/>
    <n v="0"/>
    <n v="0"/>
    <n v="0"/>
    <n v="0"/>
    <n v="0"/>
    <n v="0"/>
    <n v="0"/>
    <n v="0"/>
    <n v="0"/>
    <n v="0"/>
    <x v="1"/>
    <n v="0"/>
    <s v="MMR001CMP040"/>
    <x v="1"/>
    <x v="1"/>
    <x v="1"/>
    <n v="0.1425233644859813"/>
    <s v="No"/>
    <m/>
  </r>
  <r>
    <n v="34.666666666666664"/>
    <d v="2013-02-25T00:00:00"/>
    <x v="0"/>
    <s v="Chipwe CM"/>
    <s v="Kachin"/>
    <s v="Chipwi"/>
    <s v="Women's Affairs Association Building"/>
    <m/>
    <m/>
    <n v="12"/>
    <n v="18"/>
    <n v="8"/>
    <n v="18"/>
    <n v="8"/>
    <n v="8"/>
    <n v="8"/>
    <n v="8"/>
    <m/>
    <m/>
    <m/>
    <m/>
    <m/>
    <m/>
    <m/>
    <n v="0"/>
    <n v="0"/>
    <n v="0"/>
    <n v="0"/>
    <n v="0"/>
    <n v="0"/>
    <n v="0"/>
    <n v="0"/>
    <n v="0"/>
    <n v="0"/>
    <n v="0"/>
    <n v="0"/>
    <n v="0"/>
    <n v="0"/>
    <x v="1"/>
    <n v="0"/>
    <s v="MMR001CMP044"/>
    <x v="1"/>
    <x v="2"/>
    <x v="0"/>
    <s v=""/>
    <s v="No"/>
    <m/>
  </r>
  <r>
    <n v="34.833333333333336"/>
    <d v="2013-02-20T00:00:00"/>
    <x v="0"/>
    <s v="UNHCR"/>
    <s v="Kachin"/>
    <s v="Hpakant"/>
    <s v="AG Church, Maw Wan"/>
    <m/>
    <m/>
    <m/>
    <n v="59"/>
    <n v="28"/>
    <n v="0"/>
    <n v="28"/>
    <n v="28"/>
    <n v="28"/>
    <n v="28"/>
    <m/>
    <m/>
    <m/>
    <m/>
    <m/>
    <m/>
    <m/>
    <n v="0"/>
    <n v="0"/>
    <n v="0"/>
    <n v="0"/>
    <n v="0"/>
    <n v="0"/>
    <n v="0"/>
    <n v="0"/>
    <n v="0"/>
    <n v="0"/>
    <n v="0"/>
    <n v="0"/>
    <n v="0"/>
    <n v="0"/>
    <x v="1"/>
    <n v="0"/>
    <s v="MMR001CMP190"/>
    <x v="1"/>
    <x v="1"/>
    <x v="1"/>
    <n v="2"/>
    <s v="No"/>
    <m/>
  </r>
  <r>
    <n v="34.833333333333336"/>
    <d v="2013-02-20T00:00:00"/>
    <x v="0"/>
    <s v="UNHCR"/>
    <s v="Kachin"/>
    <s v="Hpakant"/>
    <s v="Aye Mya Tharyar Church of Christ "/>
    <m/>
    <m/>
    <n v="18"/>
    <n v="0"/>
    <n v="0"/>
    <n v="0"/>
    <n v="0"/>
    <n v="0"/>
    <m/>
    <m/>
    <m/>
    <m/>
    <m/>
    <m/>
    <m/>
    <m/>
    <m/>
    <n v="0"/>
    <n v="0"/>
    <n v="0"/>
    <n v="0"/>
    <n v="0"/>
    <n v="0"/>
    <n v="0"/>
    <n v="0"/>
    <n v="0"/>
    <n v="0"/>
    <n v="0"/>
    <n v="0"/>
    <n v="0"/>
    <n v="0"/>
    <x v="1"/>
    <n v="0"/>
    <s v="MMR001CMP092"/>
    <x v="1"/>
    <x v="2"/>
    <x v="0"/>
    <s v=""/>
    <s v="No"/>
    <m/>
  </r>
  <r>
    <n v="34.833333333333336"/>
    <d v="2013-02-20T00:00:00"/>
    <x v="0"/>
    <s v="UNHCR"/>
    <s v="Kachin"/>
    <s v="Hpakant"/>
    <s v="Chin(Zomi) Baptist Church"/>
    <m/>
    <m/>
    <n v="13"/>
    <n v="28"/>
    <n v="15"/>
    <n v="28"/>
    <n v="15"/>
    <n v="15"/>
    <n v="15"/>
    <n v="15"/>
    <m/>
    <m/>
    <m/>
    <m/>
    <m/>
    <m/>
    <m/>
    <n v="0"/>
    <n v="0"/>
    <n v="0"/>
    <n v="0"/>
    <n v="0"/>
    <n v="0"/>
    <n v="0"/>
    <n v="0"/>
    <n v="0"/>
    <n v="0"/>
    <n v="0"/>
    <n v="0"/>
    <n v="0"/>
    <n v="0"/>
    <x v="1"/>
    <n v="0"/>
    <s v="MMR001CMP086"/>
    <x v="1"/>
    <x v="2"/>
    <x v="0"/>
    <s v=""/>
    <s v="No"/>
    <m/>
  </r>
  <r>
    <n v="34.833333333333336"/>
    <d v="2013-02-20T00:00:00"/>
    <x v="0"/>
    <s v="UNHCR"/>
    <s v="Kachin"/>
    <s v="Hpakant"/>
    <s v="Lisu Baptist Church, Maw Wan Ward"/>
    <m/>
    <m/>
    <n v="12"/>
    <n v="20"/>
    <n v="8"/>
    <n v="20"/>
    <n v="8"/>
    <n v="8"/>
    <n v="8"/>
    <n v="8"/>
    <m/>
    <m/>
    <m/>
    <m/>
    <m/>
    <m/>
    <m/>
    <n v="0"/>
    <n v="0"/>
    <n v="0"/>
    <n v="0"/>
    <n v="0"/>
    <n v="0"/>
    <n v="0"/>
    <n v="0"/>
    <n v="0"/>
    <n v="0"/>
    <n v="0"/>
    <n v="0"/>
    <n v="0"/>
    <n v="0"/>
    <x v="1"/>
    <n v="0"/>
    <s v="MMR001CMP167"/>
    <x v="1"/>
    <x v="1"/>
    <x v="1"/>
    <n v="0.53333333333333333"/>
    <s v="No"/>
    <m/>
  </r>
  <r>
    <n v="34.833333333333336"/>
    <d v="2013-02-20T00:00:00"/>
    <x v="0"/>
    <s v="UNHCR"/>
    <s v="Kachin"/>
    <s v="Hpakant"/>
    <s v="Mashi Kahtawng Baptist  Church"/>
    <m/>
    <m/>
    <n v="74"/>
    <n v="0"/>
    <n v="0"/>
    <n v="0"/>
    <n v="0"/>
    <n v="0"/>
    <m/>
    <m/>
    <m/>
    <m/>
    <m/>
    <m/>
    <m/>
    <m/>
    <m/>
    <n v="0"/>
    <n v="0"/>
    <n v="0"/>
    <n v="0"/>
    <n v="0"/>
    <n v="0"/>
    <n v="0"/>
    <n v="0"/>
    <n v="0"/>
    <n v="0"/>
    <n v="0"/>
    <n v="0"/>
    <n v="0"/>
    <n v="0"/>
    <x v="1"/>
    <n v="0"/>
    <s v="MMR001CMP094"/>
    <x v="1"/>
    <x v="2"/>
    <x v="0"/>
    <s v=""/>
    <s v="No"/>
    <m/>
  </r>
  <r>
    <n v="34.833333333333336"/>
    <d v="2013-02-20T00:00:00"/>
    <x v="0"/>
    <s v="UNHCR"/>
    <s v="Kachin"/>
    <s v="Hpakant"/>
    <s v="Mashi Kahtawng Catholic Church"/>
    <m/>
    <m/>
    <n v="16"/>
    <n v="26"/>
    <n v="13"/>
    <n v="26"/>
    <n v="13"/>
    <n v="13"/>
    <n v="13"/>
    <n v="13"/>
    <m/>
    <m/>
    <m/>
    <m/>
    <m/>
    <m/>
    <m/>
    <n v="0"/>
    <n v="0"/>
    <n v="0"/>
    <n v="0"/>
    <n v="0"/>
    <n v="0"/>
    <n v="0"/>
    <n v="0"/>
    <n v="0"/>
    <n v="0"/>
    <n v="0"/>
    <n v="0"/>
    <n v="0"/>
    <n v="0"/>
    <x v="1"/>
    <n v="0"/>
    <s v="MMR001CMP093"/>
    <x v="1"/>
    <x v="2"/>
    <x v="0"/>
    <s v=""/>
    <s v="No"/>
    <m/>
  </r>
  <r>
    <n v="34.833333333333336"/>
    <d v="2013-02-20T00:00:00"/>
    <x v="0"/>
    <s v="UNHCR"/>
    <s v="Kachin"/>
    <s v="Hpakant"/>
    <s v="Maw Wan, Kachin Baptist Church"/>
    <m/>
    <m/>
    <n v="85"/>
    <n v="138"/>
    <n v="65"/>
    <n v="138"/>
    <n v="65"/>
    <n v="65"/>
    <n v="65"/>
    <n v="65"/>
    <m/>
    <m/>
    <m/>
    <m/>
    <m/>
    <m/>
    <m/>
    <n v="0"/>
    <n v="0"/>
    <n v="0"/>
    <n v="0"/>
    <n v="0"/>
    <n v="0"/>
    <n v="0"/>
    <n v="0"/>
    <n v="0"/>
    <n v="0"/>
    <n v="0"/>
    <n v="0"/>
    <n v="0"/>
    <n v="0"/>
    <x v="1"/>
    <n v="0"/>
    <s v="MMR001CMP085"/>
    <x v="1"/>
    <x v="2"/>
    <x v="0"/>
    <s v=""/>
    <s v="No"/>
    <m/>
  </r>
  <r>
    <n v="34.833333333333336"/>
    <d v="2013-02-20T00:00:00"/>
    <x v="0"/>
    <s v="UNHCR"/>
    <s v="Kachin"/>
    <s v="Hpakant"/>
    <s v="Nant Ma Hpit Catholic Church"/>
    <m/>
    <m/>
    <n v="35"/>
    <n v="0"/>
    <n v="0"/>
    <n v="0"/>
    <n v="0"/>
    <n v="0"/>
    <m/>
    <m/>
    <m/>
    <m/>
    <m/>
    <m/>
    <m/>
    <m/>
    <m/>
    <n v="0"/>
    <n v="0"/>
    <n v="0"/>
    <n v="0"/>
    <n v="0"/>
    <n v="0"/>
    <n v="0"/>
    <n v="0"/>
    <n v="0"/>
    <n v="0"/>
    <n v="0"/>
    <n v="0"/>
    <n v="0"/>
    <n v="0"/>
    <x v="1"/>
    <n v="0"/>
    <s v="MMR001CMP103"/>
    <x v="1"/>
    <x v="1"/>
    <x v="1"/>
    <n v="0"/>
    <s v="No"/>
    <m/>
  </r>
  <r>
    <n v="34.833333333333336"/>
    <d v="2013-02-20T00:00:00"/>
    <x v="0"/>
    <s v="UNHCR"/>
    <s v="Kachin"/>
    <s v="Hpakant"/>
    <s v="Nant Ma Hpit Catholic Church"/>
    <m/>
    <m/>
    <n v="32"/>
    <n v="64"/>
    <n v="33"/>
    <n v="64"/>
    <n v="33"/>
    <n v="33"/>
    <n v="33"/>
    <n v="33"/>
    <m/>
    <m/>
    <m/>
    <m/>
    <m/>
    <m/>
    <m/>
    <n v="0"/>
    <n v="0"/>
    <n v="0"/>
    <n v="0"/>
    <n v="0"/>
    <n v="0"/>
    <n v="0"/>
    <n v="0"/>
    <n v="0"/>
    <n v="0"/>
    <n v="0"/>
    <n v="0"/>
    <n v="0"/>
    <n v="0"/>
    <x v="1"/>
    <n v="0"/>
    <s v="MMR001CMP103"/>
    <x v="1"/>
    <x v="1"/>
    <x v="1"/>
    <n v="0.61111111111111116"/>
    <s v="No"/>
    <m/>
  </r>
  <r>
    <n v="34.833333333333336"/>
    <d v="2013-02-20T00:00:00"/>
    <x v="0"/>
    <s v="UNHCR"/>
    <s v="Kachin"/>
    <s v="Hpakant"/>
    <s v="Nga Pyaw Taw Baptist Nursery School "/>
    <m/>
    <m/>
    <n v="175"/>
    <n v="0"/>
    <n v="0"/>
    <n v="0"/>
    <n v="0"/>
    <n v="0"/>
    <m/>
    <m/>
    <m/>
    <m/>
    <m/>
    <m/>
    <m/>
    <m/>
    <m/>
    <n v="0"/>
    <n v="0"/>
    <n v="0"/>
    <n v="0"/>
    <n v="0"/>
    <n v="0"/>
    <n v="0"/>
    <n v="0"/>
    <n v="0"/>
    <n v="0"/>
    <n v="0"/>
    <n v="0"/>
    <n v="0"/>
    <n v="0"/>
    <x v="1"/>
    <n v="0"/>
    <s v="MMR001CMP082"/>
    <x v="1"/>
    <x v="2"/>
    <x v="0"/>
    <s v=""/>
    <s v="No"/>
    <m/>
  </r>
  <r>
    <n v="34.833333333333336"/>
    <d v="2013-02-20T00:00:00"/>
    <x v="0"/>
    <s v="UNHCR"/>
    <s v="Kachin"/>
    <s v="Hpakant"/>
    <s v="Nga Pyaw Taw Roman Catholic Church"/>
    <m/>
    <m/>
    <n v="38"/>
    <n v="89"/>
    <n v="44"/>
    <n v="89"/>
    <n v="44"/>
    <n v="44"/>
    <n v="44"/>
    <n v="44"/>
    <m/>
    <m/>
    <m/>
    <m/>
    <m/>
    <m/>
    <m/>
    <n v="0"/>
    <n v="0"/>
    <n v="0"/>
    <n v="0"/>
    <n v="0"/>
    <n v="0"/>
    <n v="0"/>
    <n v="0"/>
    <n v="0"/>
    <n v="0"/>
    <n v="0"/>
    <n v="0"/>
    <n v="0"/>
    <n v="0"/>
    <x v="1"/>
    <n v="0"/>
    <s v="MMR001CMP083"/>
    <x v="1"/>
    <x v="2"/>
    <x v="0"/>
    <s v=""/>
    <s v="No"/>
    <m/>
  </r>
  <r>
    <n v="34.833333333333336"/>
    <d v="2013-02-20T00:00:00"/>
    <x v="0"/>
    <s v="UNHCR"/>
    <s v="Kachin"/>
    <s v="Hpakant"/>
    <s v="Yumar Baptist Church"/>
    <m/>
    <m/>
    <n v="46"/>
    <n v="0"/>
    <n v="0"/>
    <n v="0"/>
    <n v="0"/>
    <n v="0"/>
    <m/>
    <m/>
    <m/>
    <m/>
    <m/>
    <m/>
    <m/>
    <m/>
    <m/>
    <n v="0"/>
    <n v="0"/>
    <n v="0"/>
    <n v="0"/>
    <n v="0"/>
    <n v="0"/>
    <n v="0"/>
    <n v="0"/>
    <n v="0"/>
    <n v="0"/>
    <n v="0"/>
    <n v="0"/>
    <n v="0"/>
    <n v="0"/>
    <x v="1"/>
    <n v="0"/>
    <s v="MMR001CMP105"/>
    <x v="1"/>
    <x v="1"/>
    <x v="1"/>
    <n v="0"/>
    <s v="No"/>
    <m/>
  </r>
  <r>
    <n v="34.833333333333336"/>
    <d v="2013-02-20T00:00:00"/>
    <x v="0"/>
    <s v="UNHCR"/>
    <s v="Kachin"/>
    <s v="Hpakant"/>
    <s v="Zomee Baptist Church camp, Hmaw Wan"/>
    <m/>
    <m/>
    <m/>
    <n v="11"/>
    <n v="6"/>
    <n v="0"/>
    <n v="6"/>
    <n v="6"/>
    <n v="6"/>
    <n v="6"/>
    <m/>
    <m/>
    <m/>
    <m/>
    <m/>
    <m/>
    <m/>
    <n v="0"/>
    <n v="0"/>
    <n v="0"/>
    <n v="0"/>
    <n v="0"/>
    <n v="0"/>
    <n v="0"/>
    <n v="0"/>
    <n v="0"/>
    <n v="0"/>
    <n v="0"/>
    <n v="0"/>
    <n v="0"/>
    <n v="0"/>
    <x v="1"/>
    <n v="0"/>
    <s v="MMR001CMP201"/>
    <x v="1"/>
    <x v="2"/>
    <x v="0"/>
    <s v=""/>
    <s v="No"/>
    <m/>
  </r>
  <r>
    <n v="34.866666666666667"/>
    <d v="2013-02-19T00:00:00"/>
    <x v="0"/>
    <s v="UNHCR"/>
    <s v="Kachin"/>
    <s v="Hpakant"/>
    <s v="1 Ward, Sein Yadanar Company(Lon Khin)"/>
    <m/>
    <m/>
    <n v="3"/>
    <n v="7"/>
    <n v="4"/>
    <n v="7"/>
    <n v="4"/>
    <n v="4"/>
    <n v="4"/>
    <n v="4"/>
    <m/>
    <m/>
    <m/>
    <m/>
    <m/>
    <m/>
    <m/>
    <n v="0"/>
    <n v="0"/>
    <n v="0"/>
    <n v="0"/>
    <n v="0"/>
    <n v="0"/>
    <n v="0"/>
    <n v="0"/>
    <n v="0"/>
    <n v="0"/>
    <n v="0"/>
    <n v="0"/>
    <n v="0"/>
    <n v="0"/>
    <x v="1"/>
    <n v="0"/>
    <s v="MMR001CMP171"/>
    <x v="1"/>
    <x v="2"/>
    <x v="0"/>
    <s v=""/>
    <s v="No"/>
    <m/>
  </r>
  <r>
    <n v="34.866666666666667"/>
    <d v="2013-02-19T00:00:00"/>
    <x v="0"/>
    <s v="UNHCR"/>
    <s v="Kachin"/>
    <s v="Hpakant"/>
    <s v="5 Ward Baptist Church(lon Khin)"/>
    <m/>
    <m/>
    <n v="18"/>
    <n v="30"/>
    <n v="17"/>
    <n v="64"/>
    <n v="17"/>
    <n v="17"/>
    <n v="17"/>
    <n v="17"/>
    <m/>
    <m/>
    <m/>
    <m/>
    <m/>
    <m/>
    <m/>
    <n v="0"/>
    <n v="0"/>
    <n v="0"/>
    <n v="0"/>
    <n v="0"/>
    <n v="0"/>
    <n v="0"/>
    <n v="0"/>
    <n v="0"/>
    <n v="0"/>
    <n v="0"/>
    <n v="0"/>
    <n v="0"/>
    <n v="0"/>
    <x v="1"/>
    <n v="0"/>
    <s v="MMR001CMP179"/>
    <x v="1"/>
    <x v="1"/>
    <x v="1"/>
    <n v="0.22368421052631579"/>
    <s v="No"/>
    <m/>
  </r>
  <r>
    <n v="34.866666666666667"/>
    <d v="2013-02-19T00:00:00"/>
    <x v="0"/>
    <s v="UNHCR"/>
    <s v="Kachin"/>
    <s v="Hpakant"/>
    <s v="Anglican Church, Hmaw Si Sar"/>
    <m/>
    <m/>
    <n v="1"/>
    <n v="6"/>
    <n v="3"/>
    <n v="15"/>
    <n v="4"/>
    <n v="4"/>
    <n v="4"/>
    <n v="4"/>
    <m/>
    <m/>
    <m/>
    <m/>
    <m/>
    <m/>
    <m/>
    <n v="0"/>
    <n v="0"/>
    <n v="0"/>
    <n v="0"/>
    <n v="0"/>
    <n v="0"/>
    <n v="0"/>
    <n v="0"/>
    <n v="0"/>
    <n v="0"/>
    <n v="0"/>
    <n v="0"/>
    <n v="0"/>
    <n v="0"/>
    <x v="1"/>
    <n v="0"/>
    <s v="MMR001CMP173"/>
    <x v="1"/>
    <x v="2"/>
    <x v="0"/>
    <s v=""/>
    <s v="No"/>
    <m/>
  </r>
  <r>
    <n v="34.866666666666667"/>
    <d v="2013-02-19T00:00:00"/>
    <x v="0"/>
    <s v="UNHCR"/>
    <s v="Kachin"/>
    <s v="Hpakant"/>
    <s v="Anglican Church, Hmaw Si Sar"/>
    <m/>
    <m/>
    <n v="92"/>
    <n v="130"/>
    <n v="67"/>
    <n v="130"/>
    <n v="67"/>
    <n v="67"/>
    <n v="67"/>
    <n v="67"/>
    <m/>
    <m/>
    <m/>
    <m/>
    <m/>
    <m/>
    <m/>
    <n v="0"/>
    <n v="0"/>
    <n v="0"/>
    <n v="0"/>
    <n v="0"/>
    <n v="0"/>
    <n v="0"/>
    <n v="0"/>
    <n v="0"/>
    <n v="0"/>
    <n v="0"/>
    <n v="0"/>
    <n v="0"/>
    <n v="0"/>
    <x v="1"/>
    <n v="0"/>
    <s v="MMR001CMP173"/>
    <x v="1"/>
    <x v="2"/>
    <x v="0"/>
    <s v=""/>
    <s v="No"/>
    <m/>
  </r>
  <r>
    <n v="34.866666666666667"/>
    <d v="2013-02-19T00:00:00"/>
    <x v="0"/>
    <s v="UNHCR"/>
    <s v="Kachin"/>
    <s v="Hpakant"/>
    <s v="Away Yar Rama Monastery, Ka Day village"/>
    <m/>
    <m/>
    <n v="8"/>
    <n v="16"/>
    <n v="8"/>
    <n v="16"/>
    <n v="8"/>
    <n v="8"/>
    <n v="8"/>
    <n v="8"/>
    <m/>
    <m/>
    <m/>
    <m/>
    <m/>
    <m/>
    <m/>
    <n v="0"/>
    <n v="0"/>
    <n v="0"/>
    <n v="0"/>
    <n v="0"/>
    <n v="0"/>
    <n v="0"/>
    <n v="0"/>
    <n v="0"/>
    <n v="0"/>
    <n v="0"/>
    <n v="0"/>
    <n v="0"/>
    <n v="0"/>
    <x v="1"/>
    <n v="0"/>
    <s v="MMR001CMP170"/>
    <x v="1"/>
    <x v="2"/>
    <x v="0"/>
    <s v=""/>
    <s v="No"/>
    <m/>
  </r>
  <r>
    <n v="34.866666666666667"/>
    <d v="2013-02-19T00:00:00"/>
    <x v="0"/>
    <s v="UNHCR"/>
    <s v="Kachin"/>
    <s v="Hpakant"/>
    <s v="Dhama Rakhita, Nyein Chan Tar Yar Ward(Lon Khin)"/>
    <m/>
    <m/>
    <n v="74"/>
    <n v="105"/>
    <n v="59"/>
    <n v="105"/>
    <n v="59"/>
    <n v="59"/>
    <n v="59"/>
    <n v="59"/>
    <m/>
    <m/>
    <m/>
    <m/>
    <m/>
    <m/>
    <m/>
    <n v="0"/>
    <n v="0"/>
    <n v="0"/>
    <n v="0"/>
    <n v="0"/>
    <n v="0"/>
    <n v="0"/>
    <n v="0"/>
    <n v="0"/>
    <n v="0"/>
    <n v="0"/>
    <n v="0"/>
    <n v="0"/>
    <n v="0"/>
    <x v="1"/>
    <n v="0"/>
    <s v="MMR001CMP174"/>
    <x v="1"/>
    <x v="1"/>
    <x v="1"/>
    <n v="0.90769230769230769"/>
    <s v="No"/>
    <m/>
  </r>
  <r>
    <n v="34.866666666666667"/>
    <d v="2013-02-19T00:00:00"/>
    <x v="0"/>
    <s v="UNHCR"/>
    <s v="Kachin"/>
    <s v="Hpakant"/>
    <s v="May Di Ka Rama Monastery(Lon Khin)"/>
    <m/>
    <m/>
    <n v="9"/>
    <n v="21"/>
    <n v="9"/>
    <n v="21"/>
    <n v="9"/>
    <n v="9"/>
    <n v="9"/>
    <n v="9"/>
    <m/>
    <m/>
    <m/>
    <m/>
    <m/>
    <m/>
    <m/>
    <n v="0"/>
    <n v="0"/>
    <n v="0"/>
    <n v="0"/>
    <n v="0"/>
    <n v="0"/>
    <n v="0"/>
    <n v="0"/>
    <n v="0"/>
    <n v="0"/>
    <n v="0"/>
    <n v="0"/>
    <n v="0"/>
    <n v="0"/>
    <x v="1"/>
    <n v="0"/>
    <s v="MMR001CMP178"/>
    <x v="1"/>
    <x v="2"/>
    <x v="0"/>
    <s v=""/>
    <s v="No"/>
    <m/>
  </r>
  <r>
    <n v="34.866666666666667"/>
    <d v="2013-02-19T00:00:00"/>
    <x v="0"/>
    <s v="UNHCR"/>
    <s v="Kachin"/>
    <s v="Hpakant"/>
    <s v="Nam Ma Phyit, COC"/>
    <m/>
    <m/>
    <n v="19"/>
    <n v="30"/>
    <n v="18"/>
    <n v="68"/>
    <n v="18"/>
    <n v="18"/>
    <n v="18"/>
    <n v="18"/>
    <m/>
    <m/>
    <m/>
    <m/>
    <m/>
    <m/>
    <m/>
    <n v="0"/>
    <n v="0"/>
    <n v="0"/>
    <n v="0"/>
    <n v="0"/>
    <n v="0"/>
    <n v="0"/>
    <n v="0"/>
    <n v="0"/>
    <n v="0"/>
    <n v="0"/>
    <n v="0"/>
    <n v="0"/>
    <n v="0"/>
    <x v="1"/>
    <n v="0"/>
    <s v="MMR001CMP192"/>
    <x v="1"/>
    <x v="1"/>
    <x v="1"/>
    <n v="1.0588235294117647"/>
    <s v="No"/>
    <m/>
  </r>
  <r>
    <n v="34.866666666666667"/>
    <d v="2013-02-19T00:00:00"/>
    <x v="0"/>
    <s v="UNHCR"/>
    <s v="Kachin"/>
    <s v="Hpakant"/>
    <s v="Wrad(5) Christian Association"/>
    <m/>
    <m/>
    <n v="2"/>
    <n v="3"/>
    <n v="2"/>
    <n v="7"/>
    <n v="2"/>
    <n v="2"/>
    <n v="2"/>
    <n v="2"/>
    <m/>
    <m/>
    <m/>
    <m/>
    <m/>
    <m/>
    <m/>
    <n v="0"/>
    <n v="0"/>
    <n v="0"/>
    <n v="0"/>
    <n v="0"/>
    <n v="0"/>
    <n v="0"/>
    <n v="0"/>
    <n v="0"/>
    <n v="0"/>
    <n v="0"/>
    <n v="0"/>
    <n v="0"/>
    <n v="0"/>
    <x v="1"/>
    <n v="0"/>
    <s v="MMR001CMP175"/>
    <x v="1"/>
    <x v="2"/>
    <x v="0"/>
    <s v=""/>
    <s v="No"/>
    <m/>
  </r>
  <r>
    <n v="34.9"/>
    <d v="2013-02-18T00:00:00"/>
    <x v="0"/>
    <s v="UNHCR"/>
    <s v="Kachin"/>
    <s v="Hpakant"/>
    <s v="Hlaing Naung Baptist"/>
    <m/>
    <m/>
    <n v="30"/>
    <n v="0"/>
    <n v="0"/>
    <n v="0"/>
    <n v="0"/>
    <n v="0"/>
    <m/>
    <m/>
    <m/>
    <m/>
    <m/>
    <m/>
    <m/>
    <m/>
    <m/>
    <n v="0"/>
    <n v="0"/>
    <n v="0"/>
    <n v="0"/>
    <n v="0"/>
    <n v="0"/>
    <n v="0"/>
    <n v="0"/>
    <n v="0"/>
    <n v="0"/>
    <n v="0"/>
    <n v="0"/>
    <n v="0"/>
    <n v="0"/>
    <x v="1"/>
    <n v="0"/>
    <s v="MMR001CMP148"/>
    <x v="1"/>
    <x v="1"/>
    <x v="1"/>
    <n v="0"/>
    <s v="No"/>
    <m/>
  </r>
  <r>
    <n v="34.9"/>
    <d v="2013-02-18T00:00:00"/>
    <x v="0"/>
    <s v="KBC"/>
    <s v="Shan_North"/>
    <s v="Kutkai"/>
    <s v="Kutkai downtown (KBC Church)"/>
    <m/>
    <m/>
    <n v="120"/>
    <n v="120"/>
    <n v="60"/>
    <n v="120"/>
    <n v="60"/>
    <n v="60"/>
    <n v="60"/>
    <n v="60"/>
    <m/>
    <m/>
    <m/>
    <m/>
    <m/>
    <m/>
    <m/>
    <n v="0"/>
    <n v="0"/>
    <n v="0"/>
    <n v="0"/>
    <n v="0"/>
    <n v="0"/>
    <n v="0"/>
    <n v="0"/>
    <n v="0"/>
    <n v="0"/>
    <n v="0"/>
    <n v="0"/>
    <n v="0"/>
    <n v="0"/>
    <x v="1"/>
    <n v="0"/>
    <s v="MMR015CMP016"/>
    <x v="1"/>
    <x v="1"/>
    <x v="2"/>
    <n v="0.9375"/>
    <s v="No"/>
    <m/>
  </r>
  <r>
    <n v="34.9"/>
    <d v="2013-02-18T00:00:00"/>
    <x v="0"/>
    <s v="KBC"/>
    <s v="Kachin"/>
    <s v="Mansi"/>
    <s v="Man Wing Baptist Church"/>
    <m/>
    <m/>
    <n v="221"/>
    <n v="221"/>
    <n v="110"/>
    <n v="221"/>
    <n v="110"/>
    <n v="110"/>
    <n v="110"/>
    <n v="110"/>
    <m/>
    <m/>
    <m/>
    <m/>
    <m/>
    <m/>
    <m/>
    <n v="0"/>
    <n v="0"/>
    <n v="0"/>
    <n v="0"/>
    <n v="0"/>
    <n v="0"/>
    <n v="0"/>
    <n v="0"/>
    <n v="0"/>
    <n v="0"/>
    <n v="0"/>
    <n v="0"/>
    <n v="0"/>
    <n v="0"/>
    <x v="1"/>
    <n v="0"/>
    <s v="MMR001CMP133"/>
    <x v="1"/>
    <x v="1"/>
    <x v="1"/>
    <n v="0.96491228070175439"/>
    <s v="No"/>
    <m/>
  </r>
  <r>
    <n v="34.9"/>
    <d v="2013-02-18T00:00:00"/>
    <x v="0"/>
    <s v="KBC"/>
    <s v="Shan_North"/>
    <s v="Manton"/>
    <s v="Mandung - Jinghpaw"/>
    <m/>
    <m/>
    <n v="57"/>
    <n v="57"/>
    <n v="29"/>
    <n v="57"/>
    <n v="29"/>
    <n v="29"/>
    <n v="29"/>
    <n v="29"/>
    <m/>
    <m/>
    <m/>
    <m/>
    <m/>
    <m/>
    <m/>
    <n v="0"/>
    <n v="0"/>
    <n v="0"/>
    <n v="0"/>
    <n v="0"/>
    <n v="0"/>
    <n v="0"/>
    <n v="0"/>
    <n v="0"/>
    <n v="0"/>
    <n v="0"/>
    <n v="0"/>
    <n v="0"/>
    <n v="0"/>
    <x v="1"/>
    <n v="0"/>
    <s v="MMR015CMP009"/>
    <x v="1"/>
    <x v="1"/>
    <x v="4"/>
    <n v="0.76315789473684215"/>
    <s v="No"/>
    <m/>
  </r>
  <r>
    <n v="34.9"/>
    <d v="2013-02-18T00:00:00"/>
    <x v="0"/>
    <s v="KBC"/>
    <s v="Shan_North"/>
    <s v="Muse"/>
    <s v="Munekoe Pa (Giwang) - Hka San (Mung  Go  Pa ) "/>
    <m/>
    <m/>
    <n v="60"/>
    <n v="60"/>
    <n v="30"/>
    <n v="60"/>
    <n v="30"/>
    <n v="30"/>
    <n v="30"/>
    <n v="30"/>
    <m/>
    <m/>
    <m/>
    <m/>
    <m/>
    <m/>
    <m/>
    <n v="0"/>
    <n v="0"/>
    <n v="0"/>
    <n v="0"/>
    <n v="0"/>
    <n v="0"/>
    <n v="0"/>
    <n v="0"/>
    <n v="0"/>
    <n v="0"/>
    <n v="0"/>
    <n v="0"/>
    <n v="0"/>
    <n v="0"/>
    <x v="1"/>
    <n v="0"/>
    <s v="MMR015CMP012"/>
    <x v="1"/>
    <x v="1"/>
    <x v="3"/>
    <n v="3.3333333333333335"/>
    <s v="No"/>
    <m/>
  </r>
  <r>
    <n v="34.9"/>
    <d v="2013-02-18T00:00:00"/>
    <x v="0"/>
    <s v="KBC"/>
    <s v="Shan_North"/>
    <s v="Kutkai"/>
    <s v="Mungji Pa Dabang (Baptist Church)         "/>
    <m/>
    <m/>
    <n v="93"/>
    <n v="93"/>
    <n v="46"/>
    <n v="93"/>
    <n v="46"/>
    <n v="46"/>
    <n v="46"/>
    <n v="46"/>
    <m/>
    <m/>
    <m/>
    <m/>
    <m/>
    <m/>
    <m/>
    <n v="0"/>
    <n v="0"/>
    <n v="0"/>
    <n v="0"/>
    <n v="0"/>
    <n v="0"/>
    <n v="0"/>
    <n v="0"/>
    <n v="0"/>
    <n v="0"/>
    <n v="0"/>
    <n v="0"/>
    <n v="0"/>
    <n v="0"/>
    <x v="1"/>
    <n v="0"/>
    <s v="MMR015CMP006"/>
    <x v="1"/>
    <x v="1"/>
    <x v="3"/>
    <n v="0.90196078431372551"/>
    <s v="No"/>
    <m/>
  </r>
  <r>
    <n v="34.9"/>
    <d v="2013-02-18T00:00:00"/>
    <x v="0"/>
    <s v="KBC"/>
    <s v="Shan_North"/>
    <s v="Namhkan"/>
    <s v="Nam Hkam - Nay Win Ni (Palawng)"/>
    <m/>
    <m/>
    <n v="118"/>
    <n v="118"/>
    <n v="59"/>
    <n v="118"/>
    <n v="59"/>
    <n v="59"/>
    <n v="59"/>
    <n v="59"/>
    <m/>
    <m/>
    <m/>
    <m/>
    <m/>
    <m/>
    <m/>
    <n v="0"/>
    <n v="0"/>
    <n v="0"/>
    <n v="0"/>
    <n v="0"/>
    <n v="0"/>
    <n v="0"/>
    <n v="0"/>
    <n v="0"/>
    <n v="0"/>
    <n v="0"/>
    <n v="0"/>
    <n v="0"/>
    <n v="0"/>
    <x v="1"/>
    <n v="0"/>
    <s v="MMR015CMP004"/>
    <x v="1"/>
    <x v="1"/>
    <x v="2"/>
    <n v="0.71951219512195119"/>
    <s v="No"/>
    <m/>
  </r>
  <r>
    <n v="34.9"/>
    <d v="2013-02-18T00:00:00"/>
    <x v="0"/>
    <s v="KBC"/>
    <s v="Shan_North"/>
    <s v="Namhkan"/>
    <s v="Nam Hkam (KBC Jaw Wang)"/>
    <m/>
    <m/>
    <n v="139"/>
    <n v="139"/>
    <n v="70"/>
    <n v="139"/>
    <n v="70"/>
    <n v="70"/>
    <n v="70"/>
    <n v="70"/>
    <m/>
    <m/>
    <m/>
    <m/>
    <m/>
    <m/>
    <m/>
    <n v="0"/>
    <n v="0"/>
    <n v="0"/>
    <n v="0"/>
    <n v="0"/>
    <n v="0"/>
    <n v="0"/>
    <n v="0"/>
    <n v="0"/>
    <n v="0"/>
    <n v="0"/>
    <n v="0"/>
    <n v="0"/>
    <n v="0"/>
    <x v="1"/>
    <n v="0"/>
    <s v="MMR015CMP001"/>
    <x v="1"/>
    <x v="1"/>
    <x v="2"/>
    <n v="1.0294117647058822"/>
    <s v="No"/>
    <m/>
  </r>
  <r>
    <n v="34.9"/>
    <d v="2013-02-18T00:00:00"/>
    <x v="0"/>
    <s v="KBC"/>
    <s v="Shan_North"/>
    <s v="Namhkan"/>
    <s v="Nam Hkawng"/>
    <m/>
    <m/>
    <n v="16"/>
    <n v="16"/>
    <n v="8"/>
    <n v="16"/>
    <n v="8"/>
    <n v="8"/>
    <n v="8"/>
    <n v="8"/>
    <m/>
    <m/>
    <m/>
    <m/>
    <m/>
    <m/>
    <m/>
    <n v="0"/>
    <n v="0"/>
    <n v="0"/>
    <n v="0"/>
    <n v="0"/>
    <n v="0"/>
    <n v="0"/>
    <n v="0"/>
    <n v="0"/>
    <n v="0"/>
    <n v="0"/>
    <n v="0"/>
    <n v="0"/>
    <n v="0"/>
    <x v="1"/>
    <n v="0"/>
    <s v="MMR015CMP139"/>
    <x v="1"/>
    <x v="2"/>
    <x v="4"/>
    <s v=""/>
    <s v="No"/>
    <m/>
  </r>
  <r>
    <n v="34.9"/>
    <d v="2013-02-18T00:00:00"/>
    <x v="0"/>
    <s v="KBC"/>
    <s v="Shan_North"/>
    <s v="Kutkai"/>
    <s v="Nam Hpak Ka Mare "/>
    <m/>
    <m/>
    <n v="86"/>
    <n v="86"/>
    <n v="43"/>
    <n v="86"/>
    <n v="43"/>
    <n v="43"/>
    <n v="43"/>
    <n v="43"/>
    <m/>
    <m/>
    <m/>
    <m/>
    <m/>
    <m/>
    <m/>
    <n v="0"/>
    <n v="0"/>
    <n v="0"/>
    <n v="0"/>
    <n v="0"/>
    <n v="0"/>
    <n v="0"/>
    <n v="0"/>
    <n v="0"/>
    <n v="0"/>
    <n v="0"/>
    <n v="0"/>
    <n v="0"/>
    <n v="0"/>
    <x v="1"/>
    <n v="0"/>
    <s v="MMR015CMP007"/>
    <x v="1"/>
    <x v="1"/>
    <x v="2"/>
    <n v="0.60563380281690138"/>
    <s v="No"/>
    <m/>
  </r>
  <r>
    <n v="34.9"/>
    <d v="2013-02-18T00:00:00"/>
    <x v="0"/>
    <s v="KBC"/>
    <s v="Shan_North"/>
    <s v="Namtu"/>
    <s v="Nam Tu RC"/>
    <m/>
    <m/>
    <n v="90"/>
    <n v="90"/>
    <n v="45"/>
    <n v="90"/>
    <n v="45"/>
    <n v="45"/>
    <n v="45"/>
    <n v="45"/>
    <m/>
    <m/>
    <m/>
    <m/>
    <m/>
    <m/>
    <m/>
    <n v="0"/>
    <n v="0"/>
    <n v="0"/>
    <n v="0"/>
    <n v="0"/>
    <n v="0"/>
    <n v="0"/>
    <n v="0"/>
    <n v="0"/>
    <n v="0"/>
    <n v="0"/>
    <n v="0"/>
    <n v="0"/>
    <n v="0"/>
    <x v="1"/>
    <n v="0"/>
    <s v="MMR015CMP210"/>
    <x v="1"/>
    <x v="1"/>
    <x v="2"/>
    <n v="0.38135593220338981"/>
    <s v="No"/>
    <m/>
  </r>
  <r>
    <n v="35.166666666666664"/>
    <d v="2013-02-10T00:00:00"/>
    <x v="9"/>
    <s v="MRCS"/>
    <s v="Kachin"/>
    <s v="Mohnyin"/>
    <s v="Nant Mun"/>
    <m/>
    <m/>
    <m/>
    <m/>
    <n v="36"/>
    <m/>
    <n v="22"/>
    <m/>
    <n v="0"/>
    <n v="0"/>
    <m/>
    <m/>
    <m/>
    <m/>
    <m/>
    <m/>
    <m/>
    <n v="0"/>
    <n v="0"/>
    <n v="0"/>
    <n v="0"/>
    <n v="0"/>
    <n v="0"/>
    <n v="0"/>
    <n v="0"/>
    <n v="0"/>
    <n v="0"/>
    <n v="0"/>
    <n v="0"/>
    <n v="0"/>
    <n v="0"/>
    <x v="1"/>
    <n v="0"/>
    <s v="MMR001CMP081"/>
    <x v="1"/>
    <x v="2"/>
    <x v="1"/>
    <s v=""/>
    <s v="No"/>
    <m/>
  </r>
  <r>
    <n v="35.166666666666664"/>
    <d v="2013-02-10T00:00:00"/>
    <x v="9"/>
    <s v="MRCS"/>
    <s v="Kachin"/>
    <s v="Mohnyin"/>
    <s v="St. Patrick Catholic Church "/>
    <m/>
    <m/>
    <m/>
    <m/>
    <n v="20"/>
    <m/>
    <n v="12"/>
    <m/>
    <n v="0"/>
    <n v="0"/>
    <m/>
    <m/>
    <m/>
    <m/>
    <m/>
    <m/>
    <m/>
    <n v="0"/>
    <n v="0"/>
    <n v="0"/>
    <n v="0"/>
    <n v="0"/>
    <n v="0"/>
    <n v="0"/>
    <n v="0"/>
    <n v="0"/>
    <n v="0"/>
    <n v="0"/>
    <n v="0"/>
    <n v="0"/>
    <n v="0"/>
    <x v="1"/>
    <n v="0"/>
    <s v="MMR001CMP080"/>
    <x v="1"/>
    <x v="1"/>
    <x v="1"/>
    <n v="1"/>
    <s v="No"/>
    <m/>
  </r>
  <r>
    <n v="35.200000000000003"/>
    <d v="2013-02-09T00:00:00"/>
    <x v="9"/>
    <s v="MRCS"/>
    <s v="Kachin"/>
    <s v="Myitkyina"/>
    <s v="Jan Mai Kawng Baptist Church"/>
    <m/>
    <m/>
    <m/>
    <m/>
    <n v="177"/>
    <n v="10"/>
    <n v="10"/>
    <m/>
    <n v="0"/>
    <n v="0"/>
    <m/>
    <m/>
    <m/>
    <m/>
    <m/>
    <m/>
    <m/>
    <n v="0"/>
    <n v="0"/>
    <n v="0"/>
    <n v="0"/>
    <n v="0"/>
    <n v="0"/>
    <n v="0"/>
    <n v="0"/>
    <n v="0"/>
    <n v="0"/>
    <n v="0"/>
    <n v="0"/>
    <n v="0"/>
    <n v="0"/>
    <x v="1"/>
    <n v="0"/>
    <s v="MMR001CMP018"/>
    <x v="1"/>
    <x v="1"/>
    <x v="1"/>
    <n v="4.9261083743842367E-2"/>
    <s v="No"/>
    <m/>
  </r>
  <r>
    <n v="35.200000000000003"/>
    <d v="2013-02-09T00:00:00"/>
    <x v="9"/>
    <s v="MRCS"/>
    <s v="Kachin"/>
    <s v="Myitkyina"/>
    <s v="Shatapru Sut Ngai Tawng"/>
    <m/>
    <m/>
    <m/>
    <m/>
    <n v="109"/>
    <n v="10"/>
    <n v="10"/>
    <m/>
    <n v="0"/>
    <n v="0"/>
    <m/>
    <m/>
    <m/>
    <m/>
    <m/>
    <m/>
    <m/>
    <n v="0"/>
    <n v="0"/>
    <n v="0"/>
    <n v="0"/>
    <n v="0"/>
    <n v="0"/>
    <n v="0"/>
    <n v="0"/>
    <n v="0"/>
    <n v="0"/>
    <n v="0"/>
    <n v="0"/>
    <n v="0"/>
    <n v="0"/>
    <x v="1"/>
    <n v="0"/>
    <s v="MMR001CMP006"/>
    <x v="1"/>
    <x v="1"/>
    <x v="1"/>
    <n v="0.10526315789473684"/>
    <s v="No"/>
    <m/>
  </r>
  <r>
    <n v="35.299999999999997"/>
    <d v="2013-02-06T00:00:00"/>
    <x v="0"/>
    <s v="UNHCR"/>
    <s v="Kachin"/>
    <s v="Waingmaw"/>
    <s v="Qtr. 2 Lhaovo Baptist Church"/>
    <m/>
    <m/>
    <n v="17"/>
    <n v="20"/>
    <n v="15"/>
    <n v="20"/>
    <n v="14"/>
    <n v="11"/>
    <n v="11"/>
    <n v="11"/>
    <m/>
    <m/>
    <m/>
    <m/>
    <m/>
    <m/>
    <m/>
    <n v="0"/>
    <n v="0"/>
    <n v="0"/>
    <n v="0"/>
    <n v="0"/>
    <n v="0"/>
    <n v="0"/>
    <n v="0"/>
    <n v="0"/>
    <n v="0"/>
    <n v="0"/>
    <n v="0"/>
    <n v="0"/>
    <n v="0"/>
    <x v="1"/>
    <n v="0"/>
    <s v="MMR001CMP032"/>
    <x v="1"/>
    <x v="1"/>
    <x v="1"/>
    <n v="0.14893617021276595"/>
    <s v="No"/>
    <m/>
  </r>
  <r>
    <n v="35.333333333333336"/>
    <d v="2013-02-05T00:00:00"/>
    <x v="9"/>
    <s v="MRCS"/>
    <s v="Kachin"/>
    <s v="Myitkyina"/>
    <s v="Jan Mai Kawng Baptist Church"/>
    <n v="22"/>
    <m/>
    <m/>
    <m/>
    <m/>
    <m/>
    <m/>
    <m/>
    <n v="0"/>
    <n v="0"/>
    <m/>
    <m/>
    <m/>
    <m/>
    <m/>
    <m/>
    <m/>
    <n v="0"/>
    <n v="0"/>
    <n v="0"/>
    <n v="0"/>
    <n v="0"/>
    <n v="0"/>
    <n v="0"/>
    <n v="0"/>
    <n v="0"/>
    <n v="0"/>
    <n v="0"/>
    <n v="0"/>
    <n v="0"/>
    <n v="0"/>
    <x v="1"/>
    <n v="0"/>
    <s v="MMR001CMP018"/>
    <x v="1"/>
    <x v="1"/>
    <x v="1"/>
    <n v="0"/>
    <s v="No"/>
    <m/>
  </r>
  <r>
    <n v="35.333333333333336"/>
    <d v="2013-02-05T00:00:00"/>
    <x v="0"/>
    <s v="UNHCR"/>
    <s v="Kachin"/>
    <s v="Waingmaw"/>
    <s v="Maina AG Church"/>
    <m/>
    <m/>
    <n v="37"/>
    <n v="70"/>
    <n v="34"/>
    <n v="70"/>
    <n v="34"/>
    <n v="34"/>
    <n v="34"/>
    <n v="34"/>
    <m/>
    <m/>
    <m/>
    <m/>
    <m/>
    <m/>
    <m/>
    <n v="0"/>
    <n v="0"/>
    <n v="0"/>
    <n v="0"/>
    <n v="0"/>
    <n v="0"/>
    <n v="0"/>
    <n v="0"/>
    <n v="0"/>
    <n v="0"/>
    <n v="0"/>
    <n v="0"/>
    <n v="0"/>
    <n v="0"/>
    <x v="1"/>
    <n v="0"/>
    <s v="MMR001CMP031"/>
    <x v="1"/>
    <x v="1"/>
    <x v="1"/>
    <n v="0.25185185185185183"/>
    <s v="No"/>
    <m/>
  </r>
  <r>
    <n v="35.333333333333336"/>
    <d v="2013-02-05T00:00:00"/>
    <x v="9"/>
    <s v="MRCS"/>
    <s v="Kachin"/>
    <s v="Waingmaw"/>
    <s v="Maina Catholic Church (St. Joseph)"/>
    <n v="46"/>
    <m/>
    <m/>
    <m/>
    <m/>
    <m/>
    <m/>
    <m/>
    <n v="0"/>
    <n v="0"/>
    <m/>
    <m/>
    <m/>
    <m/>
    <m/>
    <m/>
    <m/>
    <n v="0"/>
    <n v="0"/>
    <n v="0"/>
    <n v="0"/>
    <n v="0"/>
    <n v="0"/>
    <n v="0"/>
    <n v="0"/>
    <n v="0"/>
    <n v="0"/>
    <n v="0"/>
    <n v="0"/>
    <n v="0"/>
    <n v="0"/>
    <x v="1"/>
    <n v="0"/>
    <s v="MMR001CMP029"/>
    <x v="1"/>
    <x v="1"/>
    <x v="1"/>
    <n v="0"/>
    <s v="No"/>
    <m/>
  </r>
  <r>
    <n v="35.333333333333336"/>
    <d v="2013-02-05T00:00:00"/>
    <x v="0"/>
    <s v="UNHCR"/>
    <s v="Kachin"/>
    <s v="Myitkyina"/>
    <s v="Maw Hpawng Lhaovo Baptist Church"/>
    <m/>
    <m/>
    <n v="10"/>
    <n v="16"/>
    <n v="7"/>
    <n v="16"/>
    <n v="7"/>
    <n v="7"/>
    <n v="7"/>
    <n v="7"/>
    <m/>
    <m/>
    <m/>
    <m/>
    <m/>
    <m/>
    <m/>
    <n v="0"/>
    <n v="0"/>
    <n v="0"/>
    <n v="0"/>
    <n v="0"/>
    <n v="0"/>
    <n v="0"/>
    <n v="0"/>
    <n v="0"/>
    <n v="0"/>
    <n v="0"/>
    <n v="0"/>
    <n v="0"/>
    <n v="0"/>
    <x v="1"/>
    <n v="0"/>
    <s v="MMR001CMP021"/>
    <x v="1"/>
    <x v="1"/>
    <x v="1"/>
    <n v="0.5"/>
    <s v="No"/>
    <m/>
  </r>
  <r>
    <n v="35.333333333333336"/>
    <d v="2013-02-05T00:00:00"/>
    <x v="9"/>
    <s v="MRCS"/>
    <s v="Kachin"/>
    <s v="Waingmaw"/>
    <s v="Qtr. 4 Monestry (Thargaya Thayett Taw)"/>
    <n v="20"/>
    <m/>
    <m/>
    <m/>
    <m/>
    <m/>
    <m/>
    <m/>
    <n v="0"/>
    <n v="0"/>
    <m/>
    <m/>
    <m/>
    <m/>
    <m/>
    <m/>
    <m/>
    <n v="0"/>
    <n v="0"/>
    <n v="0"/>
    <n v="0"/>
    <n v="0"/>
    <n v="0"/>
    <n v="0"/>
    <n v="0"/>
    <n v="0"/>
    <n v="0"/>
    <n v="0"/>
    <n v="0"/>
    <n v="0"/>
    <n v="0"/>
    <x v="1"/>
    <n v="0"/>
    <s v="MMR001CMP026"/>
    <x v="1"/>
    <x v="1"/>
    <x v="1"/>
    <n v="0"/>
    <s v="No"/>
    <m/>
  </r>
  <r>
    <n v="35.333333333333336"/>
    <d v="2013-02-05T00:00:00"/>
    <x v="9"/>
    <s v="MRCS"/>
    <s v="Kachin"/>
    <s v="Myitkyina"/>
    <s v="Shatapru Sut Ngai Tawng"/>
    <n v="36"/>
    <m/>
    <m/>
    <m/>
    <m/>
    <m/>
    <m/>
    <m/>
    <n v="0"/>
    <n v="0"/>
    <m/>
    <m/>
    <m/>
    <m/>
    <m/>
    <m/>
    <m/>
    <n v="0"/>
    <n v="0"/>
    <n v="0"/>
    <n v="0"/>
    <n v="0"/>
    <n v="0"/>
    <n v="0"/>
    <n v="0"/>
    <n v="0"/>
    <n v="0"/>
    <n v="0"/>
    <n v="0"/>
    <n v="0"/>
    <n v="0"/>
    <x v="1"/>
    <n v="0"/>
    <s v="MMR001CMP006"/>
    <x v="1"/>
    <x v="1"/>
    <x v="1"/>
    <n v="0"/>
    <s v="No"/>
    <m/>
  </r>
  <r>
    <n v="35.366666666666667"/>
    <d v="2013-02-04T00:00:00"/>
    <x v="9"/>
    <s v="MRCS"/>
    <s v="Kachin"/>
    <s v="Hpakant"/>
    <s v="5 Ward Baptist Church(lon Khin)"/>
    <m/>
    <m/>
    <m/>
    <m/>
    <m/>
    <m/>
    <n v="162"/>
    <m/>
    <n v="0"/>
    <n v="0"/>
    <m/>
    <m/>
    <m/>
    <m/>
    <m/>
    <m/>
    <m/>
    <n v="0"/>
    <n v="0"/>
    <n v="0"/>
    <n v="0"/>
    <n v="0"/>
    <n v="0"/>
    <n v="0"/>
    <n v="0"/>
    <n v="0"/>
    <n v="0"/>
    <n v="0"/>
    <n v="0"/>
    <n v="0"/>
    <n v="0"/>
    <x v="1"/>
    <n v="0"/>
    <s v="MMR001CMP179"/>
    <x v="1"/>
    <x v="1"/>
    <x v="1"/>
    <n v="2.1315789473684212"/>
    <s v="No"/>
    <m/>
  </r>
  <r>
    <n v="35.366666666666667"/>
    <d v="2013-02-04T00:00:00"/>
    <x v="9"/>
    <s v="MRCS"/>
    <s v="Kachin"/>
    <s v="Hpakant"/>
    <s v="5 Ward RC Church(lon Khin)"/>
    <m/>
    <m/>
    <m/>
    <m/>
    <m/>
    <m/>
    <n v="117"/>
    <m/>
    <n v="0"/>
    <n v="0"/>
    <m/>
    <m/>
    <m/>
    <m/>
    <m/>
    <m/>
    <m/>
    <n v="0"/>
    <n v="0"/>
    <n v="0"/>
    <n v="0"/>
    <n v="0"/>
    <n v="0"/>
    <n v="0"/>
    <n v="0"/>
    <n v="0"/>
    <n v="0"/>
    <n v="0"/>
    <n v="0"/>
    <n v="0"/>
    <n v="0"/>
    <x v="1"/>
    <n v="0"/>
    <s v="MMR001CMP168"/>
    <x v="1"/>
    <x v="1"/>
    <x v="1"/>
    <n v="1.56"/>
    <s v="No"/>
    <m/>
  </r>
  <r>
    <n v="35.366666666666667"/>
    <d v="2013-02-04T00:00:00"/>
    <x v="9"/>
    <s v="MRCS"/>
    <s v="Kachin"/>
    <s v="Hpakant"/>
    <s v="Baptist Church, Hmaw Si Sar(Lon Khin)"/>
    <m/>
    <m/>
    <m/>
    <m/>
    <m/>
    <m/>
    <n v="106"/>
    <m/>
    <n v="0"/>
    <n v="0"/>
    <m/>
    <m/>
    <m/>
    <m/>
    <m/>
    <m/>
    <m/>
    <n v="0"/>
    <n v="0"/>
    <n v="0"/>
    <n v="0"/>
    <n v="0"/>
    <n v="0"/>
    <n v="0"/>
    <n v="0"/>
    <n v="0"/>
    <n v="0"/>
    <n v="0"/>
    <n v="0"/>
    <n v="0"/>
    <n v="0"/>
    <x v="1"/>
    <n v="0"/>
    <s v="MMR001CMP169"/>
    <x v="1"/>
    <x v="1"/>
    <x v="1"/>
    <n v="3.0285714285714285"/>
    <s v="No"/>
    <m/>
  </r>
  <r>
    <n v="35.366666666666667"/>
    <d v="2013-02-04T00:00:00"/>
    <x v="9"/>
    <s v="MRCS"/>
    <s v="Kachin"/>
    <s v="Hpakant"/>
    <s v="Dhama Rakhita, Nyein Chan Tar Yar Ward(Lon Khin)"/>
    <m/>
    <m/>
    <m/>
    <m/>
    <m/>
    <m/>
    <n v="58"/>
    <m/>
    <n v="0"/>
    <n v="0"/>
    <m/>
    <m/>
    <m/>
    <m/>
    <m/>
    <m/>
    <m/>
    <n v="0"/>
    <n v="0"/>
    <n v="0"/>
    <n v="0"/>
    <n v="0"/>
    <n v="0"/>
    <n v="0"/>
    <n v="0"/>
    <n v="0"/>
    <n v="0"/>
    <n v="0"/>
    <n v="0"/>
    <n v="0"/>
    <n v="0"/>
    <x v="1"/>
    <n v="0"/>
    <s v="MMR001CMP174"/>
    <x v="1"/>
    <x v="1"/>
    <x v="1"/>
    <n v="0.89230769230769236"/>
    <s v="No"/>
    <m/>
  </r>
  <r>
    <n v="35.366666666666667"/>
    <d v="2013-02-04T00:00:00"/>
    <x v="0"/>
    <s v="UNHCR"/>
    <s v="Kachin"/>
    <s v="Myitkyina"/>
    <s v="Pa Dauk Myaing(Pa La Na)"/>
    <m/>
    <m/>
    <n v="5"/>
    <n v="8"/>
    <n v="5"/>
    <n v="8"/>
    <n v="5"/>
    <n v="5"/>
    <n v="5"/>
    <n v="5"/>
    <m/>
    <m/>
    <m/>
    <m/>
    <m/>
    <m/>
    <m/>
    <n v="0"/>
    <n v="0"/>
    <n v="0"/>
    <n v="0"/>
    <n v="0"/>
    <n v="0"/>
    <n v="0"/>
    <n v="0"/>
    <n v="0"/>
    <n v="0"/>
    <n v="0"/>
    <n v="0"/>
    <n v="0"/>
    <n v="0"/>
    <x v="1"/>
    <n v="0"/>
    <s v="MMR001CMP162"/>
    <x v="1"/>
    <x v="1"/>
    <x v="1"/>
    <n v="0.1111111111111111"/>
    <s v="No"/>
    <m/>
  </r>
  <r>
    <n v="35.5"/>
    <d v="2013-01-31T00:00:00"/>
    <x v="11"/>
    <s v="World Vision"/>
    <s v="Kachin"/>
    <s v="Hpakant"/>
    <s v="Baptist Church, Naung Hmee VT"/>
    <m/>
    <m/>
    <m/>
    <m/>
    <m/>
    <n v="26"/>
    <m/>
    <m/>
    <n v="0"/>
    <n v="0"/>
    <m/>
    <m/>
    <m/>
    <m/>
    <m/>
    <m/>
    <m/>
    <n v="0"/>
    <n v="0"/>
    <n v="0"/>
    <n v="0"/>
    <n v="0"/>
    <n v="0"/>
    <n v="0"/>
    <n v="0"/>
    <n v="0"/>
    <n v="0"/>
    <n v="0"/>
    <n v="0"/>
    <n v="0"/>
    <n v="0"/>
    <x v="1"/>
    <n v="0"/>
    <s v="MMR001CMP188"/>
    <x v="1"/>
    <x v="2"/>
    <x v="1"/>
    <s v=""/>
    <s v="No"/>
    <m/>
  </r>
  <r>
    <n v="35.5"/>
    <d v="2013-01-31T00:00:00"/>
    <x v="11"/>
    <s v="World Vision"/>
    <s v="Kachin"/>
    <s v="Waingmaw"/>
    <s v="Hkat Cho "/>
    <m/>
    <m/>
    <m/>
    <m/>
    <m/>
    <n v="256"/>
    <m/>
    <m/>
    <n v="0"/>
    <n v="0"/>
    <m/>
    <m/>
    <m/>
    <m/>
    <m/>
    <m/>
    <m/>
    <n v="0"/>
    <n v="0"/>
    <n v="0"/>
    <n v="0"/>
    <n v="0"/>
    <n v="0"/>
    <n v="0"/>
    <n v="0"/>
    <n v="0"/>
    <n v="0"/>
    <n v="0"/>
    <n v="0"/>
    <n v="0"/>
    <n v="0"/>
    <x v="1"/>
    <n v="0"/>
    <s v="MMR001CMP028"/>
    <x v="1"/>
    <x v="1"/>
    <x v="1"/>
    <n v="0"/>
    <s v="No"/>
    <m/>
  </r>
  <r>
    <n v="35.5"/>
    <d v="2013-01-31T00:00:00"/>
    <x v="11"/>
    <s v="World Vision"/>
    <s v="Kachin"/>
    <s v="Waingmaw"/>
    <s v="Mading Baptist Church"/>
    <m/>
    <m/>
    <m/>
    <m/>
    <m/>
    <n v="42"/>
    <m/>
    <m/>
    <n v="0"/>
    <n v="0"/>
    <m/>
    <m/>
    <m/>
    <m/>
    <m/>
    <m/>
    <m/>
    <n v="0"/>
    <n v="0"/>
    <n v="0"/>
    <n v="0"/>
    <n v="0"/>
    <n v="0"/>
    <n v="0"/>
    <n v="0"/>
    <n v="0"/>
    <n v="0"/>
    <n v="0"/>
    <n v="0"/>
    <n v="0"/>
    <n v="0"/>
    <x v="1"/>
    <n v="0"/>
    <s v="MMR001CMP027"/>
    <x v="1"/>
    <x v="1"/>
    <x v="1"/>
    <n v="0"/>
    <s v="No"/>
    <m/>
  </r>
  <r>
    <n v="35.5"/>
    <d v="2013-01-31T00:00:00"/>
    <x v="11"/>
    <s v="World Vision"/>
    <s v="Kachin"/>
    <s v="Waingmaw"/>
    <s v="Maina AG Church"/>
    <m/>
    <m/>
    <m/>
    <m/>
    <m/>
    <n v="128"/>
    <m/>
    <m/>
    <n v="0"/>
    <n v="0"/>
    <m/>
    <m/>
    <m/>
    <m/>
    <m/>
    <m/>
    <m/>
    <n v="0"/>
    <n v="0"/>
    <n v="0"/>
    <n v="0"/>
    <n v="0"/>
    <n v="0"/>
    <n v="0"/>
    <n v="0"/>
    <n v="0"/>
    <n v="0"/>
    <n v="0"/>
    <n v="0"/>
    <n v="0"/>
    <n v="0"/>
    <x v="1"/>
    <n v="0"/>
    <s v="MMR001CMP031"/>
    <x v="1"/>
    <x v="1"/>
    <x v="1"/>
    <n v="0"/>
    <s v="No"/>
    <m/>
  </r>
  <r>
    <n v="35.5"/>
    <d v="2013-01-31T00:00:00"/>
    <x v="11"/>
    <s v="World Vision"/>
    <s v="Kachin"/>
    <s v="Waingmaw"/>
    <s v="Maina Catholic Church (St. Joseph)"/>
    <m/>
    <m/>
    <m/>
    <m/>
    <m/>
    <n v="442"/>
    <m/>
    <m/>
    <n v="0"/>
    <n v="0"/>
    <m/>
    <m/>
    <m/>
    <m/>
    <m/>
    <m/>
    <m/>
    <n v="0"/>
    <n v="0"/>
    <n v="0"/>
    <n v="0"/>
    <n v="0"/>
    <n v="0"/>
    <n v="0"/>
    <n v="0"/>
    <n v="0"/>
    <n v="0"/>
    <n v="0"/>
    <n v="0"/>
    <n v="0"/>
    <n v="0"/>
    <x v="1"/>
    <n v="0"/>
    <s v="MMR001CMP029"/>
    <x v="1"/>
    <x v="1"/>
    <x v="1"/>
    <n v="0"/>
    <s v="No"/>
    <m/>
  </r>
  <r>
    <n v="35.5"/>
    <d v="2013-01-31T00:00:00"/>
    <x v="11"/>
    <s v="World Vision"/>
    <s v="Kachin"/>
    <s v="Waingmaw"/>
    <s v="Maina KBC (Bawng Ring)"/>
    <m/>
    <m/>
    <m/>
    <m/>
    <m/>
    <n v="324"/>
    <m/>
    <m/>
    <n v="0"/>
    <n v="0"/>
    <m/>
    <m/>
    <m/>
    <m/>
    <m/>
    <m/>
    <m/>
    <n v="0"/>
    <n v="0"/>
    <n v="0"/>
    <n v="0"/>
    <n v="0"/>
    <n v="0"/>
    <n v="0"/>
    <n v="0"/>
    <n v="0"/>
    <n v="0"/>
    <n v="0"/>
    <n v="0"/>
    <n v="0"/>
    <n v="0"/>
    <x v="1"/>
    <n v="0"/>
    <s v="MMR001CMP040"/>
    <x v="1"/>
    <x v="1"/>
    <x v="1"/>
    <n v="0"/>
    <s v="No"/>
    <m/>
  </r>
  <r>
    <n v="35.5"/>
    <d v="2013-01-31T00:00:00"/>
    <x v="11"/>
    <s v="World Vision"/>
    <s v="Kachin"/>
    <s v="Waingmaw"/>
    <s v="Maina Lawang Baptist Church"/>
    <m/>
    <m/>
    <m/>
    <m/>
    <m/>
    <n v="94"/>
    <m/>
    <m/>
    <n v="0"/>
    <n v="0"/>
    <m/>
    <m/>
    <m/>
    <m/>
    <m/>
    <m/>
    <m/>
    <n v="0"/>
    <n v="0"/>
    <n v="0"/>
    <n v="0"/>
    <n v="0"/>
    <n v="0"/>
    <n v="0"/>
    <n v="0"/>
    <n v="0"/>
    <n v="0"/>
    <n v="0"/>
    <n v="0"/>
    <n v="0"/>
    <n v="0"/>
    <x v="1"/>
    <n v="0"/>
    <s v="MMR001CMP039"/>
    <x v="1"/>
    <x v="1"/>
    <x v="1"/>
    <n v="0"/>
    <s v="No"/>
    <m/>
  </r>
  <r>
    <n v="35.5"/>
    <d v="2013-01-31T00:00:00"/>
    <x v="11"/>
    <s v="World Vision"/>
    <s v="Kachin"/>
    <s v="Waingmaw"/>
    <s v="Qtr. 2 Lhaovo Baptist Church"/>
    <m/>
    <m/>
    <m/>
    <m/>
    <m/>
    <n v="184"/>
    <m/>
    <m/>
    <n v="0"/>
    <n v="0"/>
    <m/>
    <m/>
    <m/>
    <m/>
    <m/>
    <m/>
    <m/>
    <n v="0"/>
    <n v="0"/>
    <n v="0"/>
    <n v="0"/>
    <n v="0"/>
    <n v="0"/>
    <n v="0"/>
    <n v="0"/>
    <n v="0"/>
    <n v="0"/>
    <n v="0"/>
    <n v="0"/>
    <n v="0"/>
    <n v="0"/>
    <x v="1"/>
    <n v="0"/>
    <s v="MMR001CMP032"/>
    <x v="1"/>
    <x v="1"/>
    <x v="1"/>
    <n v="0"/>
    <s v="No"/>
    <m/>
  </r>
  <r>
    <n v="35.5"/>
    <d v="2013-01-31T00:00:00"/>
    <x v="11"/>
    <s v="World Vision"/>
    <s v="Kachin"/>
    <s v="Waingmaw"/>
    <s v="Qtr. 2 Myoma Baptist Church"/>
    <m/>
    <m/>
    <m/>
    <m/>
    <m/>
    <n v="242"/>
    <m/>
    <m/>
    <n v="0"/>
    <n v="0"/>
    <m/>
    <m/>
    <m/>
    <m/>
    <m/>
    <m/>
    <m/>
    <n v="0"/>
    <n v="0"/>
    <n v="0"/>
    <n v="0"/>
    <n v="0"/>
    <n v="0"/>
    <n v="0"/>
    <n v="0"/>
    <n v="0"/>
    <n v="0"/>
    <n v="0"/>
    <n v="0"/>
    <n v="0"/>
    <n v="0"/>
    <x v="1"/>
    <n v="0"/>
    <s v="MMR001CMP025"/>
    <x v="1"/>
    <x v="1"/>
    <x v="1"/>
    <n v="0"/>
    <s v="No"/>
    <m/>
  </r>
  <r>
    <n v="35.5"/>
    <d v="2013-01-31T00:00:00"/>
    <x v="11"/>
    <s v="World Vision"/>
    <s v="Kachin"/>
    <s v="Waingmaw"/>
    <s v="Qtr. 3 Mu-yin  Baptist Church"/>
    <m/>
    <m/>
    <m/>
    <m/>
    <m/>
    <n v="54"/>
    <m/>
    <m/>
    <n v="0"/>
    <n v="0"/>
    <m/>
    <m/>
    <m/>
    <m/>
    <m/>
    <m/>
    <m/>
    <n v="0"/>
    <n v="0"/>
    <n v="0"/>
    <n v="0"/>
    <n v="0"/>
    <n v="0"/>
    <n v="0"/>
    <n v="0"/>
    <n v="0"/>
    <n v="0"/>
    <n v="0"/>
    <n v="0"/>
    <n v="0"/>
    <n v="0"/>
    <x v="1"/>
    <n v="0"/>
    <s v="MMR001CMP030"/>
    <x v="1"/>
    <x v="1"/>
    <x v="1"/>
    <n v="0"/>
    <s v="No"/>
    <m/>
  </r>
  <r>
    <n v="35.5"/>
    <d v="2013-01-31T00:00:00"/>
    <x v="11"/>
    <s v="World Vision"/>
    <s v="Kachin"/>
    <s v="Waingmaw"/>
    <s v="Qtr. 4 Monestry (Thargaya Thayett Taw)"/>
    <m/>
    <m/>
    <m/>
    <m/>
    <m/>
    <n v="188"/>
    <m/>
    <m/>
    <n v="0"/>
    <n v="0"/>
    <m/>
    <m/>
    <m/>
    <m/>
    <m/>
    <m/>
    <m/>
    <n v="0"/>
    <n v="0"/>
    <n v="0"/>
    <n v="0"/>
    <n v="0"/>
    <n v="0"/>
    <n v="0"/>
    <n v="0"/>
    <n v="0"/>
    <n v="0"/>
    <n v="0"/>
    <n v="0"/>
    <n v="0"/>
    <n v="0"/>
    <x v="1"/>
    <n v="0"/>
    <s v="MMR001CMP026"/>
    <x v="1"/>
    <x v="1"/>
    <x v="1"/>
    <n v="0"/>
    <s v="No"/>
    <m/>
  </r>
  <r>
    <n v="35.5"/>
    <d v="2013-01-31T00:00:00"/>
    <x v="11"/>
    <s v="World Vision"/>
    <s v="Kachin"/>
    <s v="Waingmaw"/>
    <s v="Shing Jai"/>
    <m/>
    <m/>
    <m/>
    <m/>
    <m/>
    <n v="358"/>
    <m/>
    <m/>
    <n v="0"/>
    <n v="0"/>
    <m/>
    <m/>
    <m/>
    <m/>
    <m/>
    <m/>
    <m/>
    <n v="0"/>
    <n v="0"/>
    <n v="0"/>
    <n v="0"/>
    <n v="0"/>
    <n v="0"/>
    <n v="0"/>
    <n v="0"/>
    <n v="0"/>
    <n v="0"/>
    <n v="0"/>
    <n v="0"/>
    <n v="0"/>
    <n v="0"/>
    <x v="1"/>
    <n v="0"/>
    <s v="MMR001CMP041"/>
    <x v="1"/>
    <x v="1"/>
    <x v="3"/>
    <n v="0"/>
    <s v="No"/>
    <m/>
  </r>
  <r>
    <n v="35.5"/>
    <d v="2013-01-31T00:00:00"/>
    <x v="11"/>
    <s v="World Vision"/>
    <s v="Kachin"/>
    <s v="Waingmaw"/>
    <s v="Thargaya Lisu Baptist Church"/>
    <m/>
    <m/>
    <m/>
    <m/>
    <m/>
    <n v="122"/>
    <m/>
    <m/>
    <n v="0"/>
    <n v="0"/>
    <m/>
    <m/>
    <m/>
    <m/>
    <m/>
    <m/>
    <m/>
    <n v="0"/>
    <n v="0"/>
    <n v="0"/>
    <n v="0"/>
    <n v="0"/>
    <n v="0"/>
    <n v="0"/>
    <n v="0"/>
    <n v="0"/>
    <n v="0"/>
    <n v="0"/>
    <n v="0"/>
    <n v="0"/>
    <n v="0"/>
    <x v="1"/>
    <n v="0"/>
    <s v="MMR001CMP037"/>
    <x v="1"/>
    <x v="1"/>
    <x v="1"/>
    <n v="0"/>
    <s v="No"/>
    <m/>
  </r>
  <r>
    <n v="35.5"/>
    <d v="2013-01-31T00:00:00"/>
    <x v="11"/>
    <s v="World Vision"/>
    <s v="Kachin"/>
    <s v="Waingmaw"/>
    <s v="Waingmaw AG Church"/>
    <m/>
    <m/>
    <m/>
    <m/>
    <m/>
    <n v="104"/>
    <m/>
    <m/>
    <n v="0"/>
    <n v="0"/>
    <m/>
    <m/>
    <m/>
    <m/>
    <m/>
    <m/>
    <m/>
    <n v="0"/>
    <n v="0"/>
    <n v="0"/>
    <n v="0"/>
    <n v="0"/>
    <n v="0"/>
    <n v="0"/>
    <n v="0"/>
    <n v="0"/>
    <n v="0"/>
    <n v="0"/>
    <n v="0"/>
    <n v="0"/>
    <n v="0"/>
    <x v="1"/>
    <n v="0"/>
    <s v="MMR001CMP038"/>
    <x v="1"/>
    <x v="1"/>
    <x v="1"/>
    <n v="0"/>
    <s v="No"/>
    <m/>
  </r>
  <r>
    <n v="35.5"/>
    <d v="2013-01-31T00:00:00"/>
    <x v="11"/>
    <s v="World Vision"/>
    <s v="Kachin"/>
    <s v="Waingmaw"/>
    <s v="Waingmaw Baptist Zonal Office"/>
    <m/>
    <m/>
    <m/>
    <m/>
    <m/>
    <n v="224"/>
    <m/>
    <m/>
    <n v="0"/>
    <n v="0"/>
    <m/>
    <m/>
    <m/>
    <m/>
    <m/>
    <m/>
    <m/>
    <n v="0"/>
    <n v="0"/>
    <n v="0"/>
    <n v="0"/>
    <n v="0"/>
    <n v="0"/>
    <n v="0"/>
    <n v="0"/>
    <n v="0"/>
    <n v="0"/>
    <n v="0"/>
    <n v="0"/>
    <n v="0"/>
    <n v="0"/>
    <x v="1"/>
    <n v="0"/>
    <s v="MMR001CMP036"/>
    <x v="1"/>
    <x v="2"/>
    <x v="1"/>
    <s v=""/>
    <s v="No"/>
    <m/>
  </r>
  <r>
    <n v="35.533333333333331"/>
    <d v="2013-01-30T00:00:00"/>
    <x v="5"/>
    <s v="Solidarities"/>
    <s v="Kachin"/>
    <s v="Shwegu"/>
    <s v="Shwe Gu Baptist Church"/>
    <n v="272"/>
    <m/>
    <n v="280"/>
    <m/>
    <m/>
    <m/>
    <m/>
    <m/>
    <n v="0"/>
    <n v="0"/>
    <m/>
    <m/>
    <m/>
    <m/>
    <m/>
    <m/>
    <m/>
    <n v="0"/>
    <n v="0"/>
    <n v="0"/>
    <n v="0"/>
    <n v="0"/>
    <n v="0"/>
    <n v="0"/>
    <n v="0"/>
    <n v="0"/>
    <n v="0"/>
    <n v="0"/>
    <n v="0"/>
    <n v="0"/>
    <n v="0"/>
    <x v="1"/>
    <n v="0"/>
    <s v="MMR001CMP067"/>
    <x v="1"/>
    <x v="1"/>
    <x v="1"/>
    <n v="0"/>
    <s v="No"/>
    <m/>
  </r>
  <r>
    <n v="35.56666666666667"/>
    <d v="2013-01-29T00:00:00"/>
    <x v="5"/>
    <s v="Solidarities"/>
    <s v="Kachin"/>
    <s v="Shwegu"/>
    <s v="Shwe Gu Catholic Church"/>
    <n v="177"/>
    <m/>
    <n v="240"/>
    <m/>
    <m/>
    <m/>
    <m/>
    <m/>
    <n v="0"/>
    <n v="0"/>
    <m/>
    <m/>
    <m/>
    <m/>
    <m/>
    <m/>
    <m/>
    <n v="0"/>
    <n v="0"/>
    <n v="0"/>
    <n v="0"/>
    <n v="0"/>
    <n v="0"/>
    <n v="0"/>
    <n v="0"/>
    <n v="0"/>
    <n v="0"/>
    <n v="0"/>
    <n v="0"/>
    <n v="0"/>
    <n v="0"/>
    <x v="1"/>
    <n v="0"/>
    <s v="MMR001CMP068"/>
    <x v="1"/>
    <x v="1"/>
    <x v="1"/>
    <n v="0"/>
    <s v="No"/>
    <m/>
  </r>
  <r>
    <n v="35.700000000000003"/>
    <d v="2013-01-25T00:00:00"/>
    <x v="5"/>
    <s v="Solidarities"/>
    <s v="Kachin"/>
    <s v="Momauk"/>
    <s v="Ni Thaw Ka Monestry"/>
    <n v="75"/>
    <m/>
    <n v="120"/>
    <m/>
    <m/>
    <m/>
    <m/>
    <m/>
    <n v="0"/>
    <n v="0"/>
    <m/>
    <m/>
    <m/>
    <m/>
    <m/>
    <m/>
    <m/>
    <n v="0"/>
    <n v="0"/>
    <n v="0"/>
    <n v="0"/>
    <n v="0"/>
    <n v="0"/>
    <n v="0"/>
    <n v="0"/>
    <n v="0"/>
    <n v="0"/>
    <n v="0"/>
    <n v="0"/>
    <n v="0"/>
    <n v="0"/>
    <x v="1"/>
    <n v="0"/>
    <s v="MMR001CMP059"/>
    <x v="1"/>
    <x v="1"/>
    <x v="1"/>
    <n v="0"/>
    <s v="No"/>
    <m/>
  </r>
  <r>
    <n v="35.733333333333334"/>
    <d v="2013-01-24T00:00:00"/>
    <x v="5"/>
    <s v="Solidarities"/>
    <s v="Kachin"/>
    <s v="Momauk"/>
    <s v="Man Bung Catholic compound"/>
    <n v="200"/>
    <m/>
    <n v="250"/>
    <m/>
    <m/>
    <m/>
    <m/>
    <m/>
    <n v="0"/>
    <n v="0"/>
    <m/>
    <m/>
    <m/>
    <m/>
    <m/>
    <m/>
    <m/>
    <n v="0"/>
    <n v="0"/>
    <n v="0"/>
    <n v="0"/>
    <n v="0"/>
    <n v="0"/>
    <n v="0"/>
    <n v="0"/>
    <n v="0"/>
    <n v="0"/>
    <n v="0"/>
    <n v="0"/>
    <n v="0"/>
    <n v="0"/>
    <x v="1"/>
    <n v="0"/>
    <s v="MMR001CMP062"/>
    <x v="1"/>
    <x v="1"/>
    <x v="1"/>
    <n v="0"/>
    <s v="No"/>
    <m/>
  </r>
  <r>
    <n v="35.733333333333334"/>
    <d v="2013-01-24T00:00:00"/>
    <x v="5"/>
    <s v="Solidarities"/>
    <s v="Kachin"/>
    <s v="Momauk"/>
    <s v="Momauk Catholic Church (St. Patrick)"/>
    <n v="793"/>
    <m/>
    <n v="1125"/>
    <m/>
    <m/>
    <m/>
    <m/>
    <m/>
    <n v="0"/>
    <n v="0"/>
    <m/>
    <m/>
    <m/>
    <m/>
    <m/>
    <m/>
    <m/>
    <n v="0"/>
    <n v="0"/>
    <n v="0"/>
    <n v="0"/>
    <n v="0"/>
    <n v="0"/>
    <n v="0"/>
    <n v="0"/>
    <n v="0"/>
    <n v="0"/>
    <n v="0"/>
    <n v="0"/>
    <n v="0"/>
    <n v="0"/>
    <x v="1"/>
    <n v="0"/>
    <s v="MMR001CMP057"/>
    <x v="1"/>
    <x v="2"/>
    <x v="1"/>
    <s v=""/>
    <s v="No"/>
    <m/>
  </r>
  <r>
    <n v="35.799999999999997"/>
    <d v="2013-01-22T00:00:00"/>
    <x v="5"/>
    <s v="Solidarities"/>
    <s v="Kachin"/>
    <s v="Bhamo"/>
    <s v="Robert Church"/>
    <n v="1824"/>
    <m/>
    <n v="2090"/>
    <m/>
    <m/>
    <m/>
    <m/>
    <m/>
    <n v="0"/>
    <n v="0"/>
    <m/>
    <m/>
    <m/>
    <m/>
    <m/>
    <m/>
    <m/>
    <n v="0"/>
    <n v="0"/>
    <n v="0"/>
    <n v="0"/>
    <n v="0"/>
    <n v="0"/>
    <n v="0"/>
    <n v="0"/>
    <n v="0"/>
    <n v="0"/>
    <n v="0"/>
    <n v="0"/>
    <n v="0"/>
    <n v="0"/>
    <x v="1"/>
    <n v="0"/>
    <s v="MMR001CMP047"/>
    <x v="1"/>
    <x v="1"/>
    <x v="1"/>
    <n v="0"/>
    <s v="No"/>
    <m/>
  </r>
  <r>
    <n v="35.833333333333336"/>
    <d v="2013-01-21T00:00:00"/>
    <x v="5"/>
    <s v="Solidarities"/>
    <s v="Kachin"/>
    <s v="Bhamo"/>
    <s v="Nant Hlaing Church"/>
    <n v="85"/>
    <m/>
    <n v="105"/>
    <m/>
    <m/>
    <m/>
    <m/>
    <m/>
    <n v="0"/>
    <n v="0"/>
    <m/>
    <m/>
    <m/>
    <m/>
    <m/>
    <m/>
    <m/>
    <n v="0"/>
    <n v="0"/>
    <n v="0"/>
    <n v="0"/>
    <n v="0"/>
    <n v="0"/>
    <n v="0"/>
    <n v="0"/>
    <n v="0"/>
    <n v="0"/>
    <n v="0"/>
    <n v="0"/>
    <n v="0"/>
    <n v="0"/>
    <x v="1"/>
    <n v="0"/>
    <s v="MMR001CMP054"/>
    <x v="1"/>
    <x v="1"/>
    <x v="1"/>
    <n v="0"/>
    <s v="No"/>
    <m/>
  </r>
  <r>
    <n v="36"/>
    <d v="2013-01-16T00:00:00"/>
    <x v="5"/>
    <s v="Solidarities"/>
    <s v="Kachin"/>
    <s v="Momauk"/>
    <s v="Momauk Baptist Church"/>
    <n v="1215"/>
    <m/>
    <n v="1735"/>
    <m/>
    <m/>
    <m/>
    <m/>
    <m/>
    <n v="0"/>
    <n v="0"/>
    <m/>
    <m/>
    <m/>
    <m/>
    <m/>
    <m/>
    <m/>
    <n v="0"/>
    <n v="0"/>
    <n v="0"/>
    <n v="0"/>
    <n v="0"/>
    <n v="0"/>
    <n v="0"/>
    <n v="0"/>
    <n v="0"/>
    <n v="0"/>
    <n v="0"/>
    <n v="0"/>
    <n v="0"/>
    <n v="0"/>
    <x v="1"/>
    <n v="0"/>
    <s v="MMR001CMP056"/>
    <x v="1"/>
    <x v="1"/>
    <x v="1"/>
    <n v="0"/>
    <s v="No"/>
    <m/>
  </r>
  <r>
    <n v="36.06666666666667"/>
    <d v="2013-01-14T00:00:00"/>
    <x v="5"/>
    <s v="Solidarities"/>
    <s v="Kachin"/>
    <s v="Bhamo"/>
    <s v="AD-2000 Tharthana Compound"/>
    <n v="940"/>
    <m/>
    <n v="1310"/>
    <m/>
    <m/>
    <m/>
    <m/>
    <m/>
    <n v="0"/>
    <n v="0"/>
    <m/>
    <m/>
    <m/>
    <m/>
    <m/>
    <m/>
    <m/>
    <n v="0"/>
    <n v="0"/>
    <n v="0"/>
    <n v="0"/>
    <n v="0"/>
    <n v="0"/>
    <n v="0"/>
    <n v="0"/>
    <n v="0"/>
    <n v="0"/>
    <n v="0"/>
    <n v="0"/>
    <n v="0"/>
    <n v="0"/>
    <x v="1"/>
    <n v="0"/>
    <s v="MMR001CMP050"/>
    <x v="1"/>
    <x v="1"/>
    <x v="1"/>
    <n v="0"/>
    <s v="No"/>
    <m/>
  </r>
  <r>
    <n v="36.200000000000003"/>
    <d v="2013-01-10T00:00:00"/>
    <x v="5"/>
    <s v="Solidarities"/>
    <s v="Kachin"/>
    <s v="Bhamo"/>
    <s v="Htoi San Church"/>
    <n v="212"/>
    <m/>
    <n v="240"/>
    <m/>
    <m/>
    <m/>
    <m/>
    <m/>
    <n v="0"/>
    <n v="0"/>
    <m/>
    <m/>
    <m/>
    <m/>
    <m/>
    <m/>
    <m/>
    <n v="0"/>
    <n v="0"/>
    <n v="0"/>
    <n v="0"/>
    <n v="0"/>
    <n v="0"/>
    <n v="0"/>
    <n v="0"/>
    <n v="0"/>
    <n v="0"/>
    <n v="0"/>
    <n v="0"/>
    <n v="0"/>
    <n v="0"/>
    <x v="1"/>
    <n v="0"/>
    <s v="MMR001CMP052"/>
    <x v="1"/>
    <x v="1"/>
    <x v="1"/>
    <n v="0"/>
    <s v="No"/>
    <m/>
  </r>
  <r>
    <n v="36.233333333333334"/>
    <d v="2013-01-09T00:00:00"/>
    <x v="5"/>
    <s v="Solidarities"/>
    <s v="Kachin"/>
    <s v="Bhamo"/>
    <s v="Lisu Boarding-House"/>
    <n v="205"/>
    <m/>
    <n v="200"/>
    <m/>
    <m/>
    <m/>
    <m/>
    <m/>
    <n v="0"/>
    <n v="0"/>
    <m/>
    <m/>
    <m/>
    <m/>
    <m/>
    <m/>
    <m/>
    <n v="0"/>
    <n v="0"/>
    <n v="0"/>
    <n v="0"/>
    <n v="0"/>
    <n v="0"/>
    <n v="0"/>
    <n v="0"/>
    <n v="0"/>
    <n v="0"/>
    <n v="0"/>
    <n v="0"/>
    <n v="0"/>
    <n v="0"/>
    <x v="1"/>
    <n v="0"/>
    <s v="MMR001CMP049"/>
    <x v="1"/>
    <x v="1"/>
    <x v="1"/>
    <n v="0"/>
    <s v="No"/>
    <m/>
  </r>
  <r>
    <n v="36.266666666666666"/>
    <d v="2013-01-08T00:00:00"/>
    <x v="5"/>
    <s v="Solidarities"/>
    <s v="Kachin"/>
    <s v="Momauk"/>
    <s v="Loi Je Catholic Church"/>
    <n v="353"/>
    <m/>
    <n v="435"/>
    <m/>
    <m/>
    <m/>
    <m/>
    <m/>
    <n v="0"/>
    <n v="0"/>
    <m/>
    <m/>
    <m/>
    <m/>
    <m/>
    <m/>
    <m/>
    <n v="0"/>
    <n v="0"/>
    <n v="0"/>
    <n v="0"/>
    <n v="0"/>
    <n v="0"/>
    <n v="0"/>
    <n v="0"/>
    <n v="0"/>
    <n v="0"/>
    <n v="0"/>
    <n v="0"/>
    <n v="0"/>
    <n v="0"/>
    <x v="1"/>
    <n v="0"/>
    <s v="MMR001CMP069"/>
    <x v="1"/>
    <x v="1"/>
    <x v="2"/>
    <n v="0"/>
    <s v="No"/>
    <m/>
  </r>
  <r>
    <n v="36.266666666666666"/>
    <d v="2013-01-08T00:00:00"/>
    <x v="5"/>
    <s v="Solidarities"/>
    <s v="Kachin"/>
    <s v="Bhamo"/>
    <s v="Yoe Kyi Monastery"/>
    <n v="132"/>
    <m/>
    <n v="180"/>
    <m/>
    <m/>
    <m/>
    <m/>
    <m/>
    <n v="0"/>
    <n v="0"/>
    <m/>
    <m/>
    <m/>
    <m/>
    <m/>
    <m/>
    <m/>
    <n v="0"/>
    <n v="0"/>
    <n v="0"/>
    <n v="0"/>
    <n v="0"/>
    <n v="0"/>
    <n v="0"/>
    <n v="0"/>
    <n v="0"/>
    <n v="0"/>
    <n v="0"/>
    <n v="0"/>
    <n v="0"/>
    <n v="0"/>
    <x v="1"/>
    <n v="0"/>
    <s v="MMR001CMP053"/>
    <x v="1"/>
    <x v="1"/>
    <x v="1"/>
    <n v="0"/>
    <s v="No"/>
    <m/>
  </r>
  <r>
    <n v="36.333333333333336"/>
    <d v="2013-01-06T00:00:00"/>
    <x v="5"/>
    <s v="Solidarities"/>
    <s v="Kachin"/>
    <s v="Mansi"/>
    <s v="Mansi Baptist Church"/>
    <n v="351"/>
    <m/>
    <n v="415"/>
    <m/>
    <m/>
    <m/>
    <m/>
    <m/>
    <n v="0"/>
    <n v="0"/>
    <m/>
    <m/>
    <m/>
    <m/>
    <m/>
    <m/>
    <m/>
    <n v="0"/>
    <n v="0"/>
    <n v="0"/>
    <n v="0"/>
    <n v="0"/>
    <n v="0"/>
    <n v="0"/>
    <n v="0"/>
    <n v="0"/>
    <n v="0"/>
    <n v="0"/>
    <n v="0"/>
    <n v="0"/>
    <n v="0"/>
    <x v="1"/>
    <n v="0"/>
    <s v="MMR001CMP066"/>
    <x v="1"/>
    <x v="1"/>
    <x v="1"/>
    <n v="0"/>
    <s v="No"/>
    <m/>
  </r>
  <r>
    <n v="36.533333333333331"/>
    <d v="2012-12-31T00:00:00"/>
    <x v="4"/>
    <s v="DRC"/>
    <s v="Kachin"/>
    <s v="Hpakant"/>
    <s v="5 Ward Baptist Church(lon Khin)"/>
    <n v="12"/>
    <m/>
    <m/>
    <m/>
    <m/>
    <m/>
    <m/>
    <m/>
    <n v="0"/>
    <n v="0"/>
    <m/>
    <m/>
    <m/>
    <m/>
    <m/>
    <m/>
    <m/>
    <n v="0"/>
    <n v="0"/>
    <n v="0"/>
    <n v="0"/>
    <n v="0"/>
    <n v="0"/>
    <n v="0"/>
    <n v="0"/>
    <n v="0"/>
    <n v="0"/>
    <n v="0"/>
    <n v="0"/>
    <n v="0"/>
    <n v="0"/>
    <x v="1"/>
    <n v="0"/>
    <s v="MMR001CMP179"/>
    <x v="1"/>
    <x v="1"/>
    <x v="1"/>
    <n v="0"/>
    <s v="No"/>
    <m/>
  </r>
  <r>
    <n v="36.533333333333331"/>
    <d v="2012-12-31T00:00:00"/>
    <x v="4"/>
    <s v="DRC"/>
    <s v="Kachin"/>
    <s v="Hpakant"/>
    <s v="5 Ward RC Church(lon Khin)"/>
    <n v="19"/>
    <m/>
    <m/>
    <m/>
    <m/>
    <m/>
    <m/>
    <m/>
    <n v="0"/>
    <n v="0"/>
    <m/>
    <m/>
    <m/>
    <m/>
    <m/>
    <m/>
    <m/>
    <n v="0"/>
    <n v="0"/>
    <n v="0"/>
    <n v="0"/>
    <n v="0"/>
    <n v="0"/>
    <n v="0"/>
    <n v="0"/>
    <n v="0"/>
    <n v="0"/>
    <n v="0"/>
    <n v="0"/>
    <n v="0"/>
    <n v="0"/>
    <x v="1"/>
    <n v="0"/>
    <s v="MMR001CMP168"/>
    <x v="1"/>
    <x v="1"/>
    <x v="1"/>
    <n v="0"/>
    <s v="No"/>
    <m/>
  </r>
  <r>
    <n v="36.533333333333331"/>
    <d v="2012-12-31T00:00:00"/>
    <x v="4"/>
    <s v="DRC"/>
    <s v="Kachin"/>
    <s v="Hpakant"/>
    <s v="AG Church, Hmaw Si Sa"/>
    <n v="7"/>
    <m/>
    <m/>
    <m/>
    <m/>
    <m/>
    <m/>
    <m/>
    <n v="0"/>
    <n v="0"/>
    <m/>
    <m/>
    <m/>
    <m/>
    <m/>
    <m/>
    <m/>
    <n v="0"/>
    <n v="0"/>
    <n v="0"/>
    <n v="0"/>
    <n v="0"/>
    <n v="0"/>
    <n v="0"/>
    <n v="0"/>
    <n v="0"/>
    <n v="0"/>
    <n v="0"/>
    <n v="0"/>
    <n v="0"/>
    <n v="0"/>
    <x v="1"/>
    <n v="0"/>
    <s v="MMR001CMP176"/>
    <x v="1"/>
    <x v="1"/>
    <x v="1"/>
    <n v="0"/>
    <s v="No"/>
    <m/>
  </r>
  <r>
    <n v="36.533333333333331"/>
    <d v="2012-12-31T00:00:00"/>
    <x v="4"/>
    <s v="DRC"/>
    <s v="Kachin"/>
    <s v="Hpakant"/>
    <s v="AG Church, Maw Wan"/>
    <n v="4"/>
    <m/>
    <m/>
    <m/>
    <m/>
    <m/>
    <m/>
    <m/>
    <n v="0"/>
    <n v="0"/>
    <m/>
    <m/>
    <m/>
    <m/>
    <m/>
    <m/>
    <m/>
    <n v="0"/>
    <n v="0"/>
    <n v="0"/>
    <n v="0"/>
    <n v="0"/>
    <n v="0"/>
    <n v="0"/>
    <n v="0"/>
    <n v="0"/>
    <n v="0"/>
    <n v="0"/>
    <n v="0"/>
    <n v="0"/>
    <n v="0"/>
    <x v="1"/>
    <n v="0"/>
    <s v="MMR001CMP190"/>
    <x v="1"/>
    <x v="1"/>
    <x v="1"/>
    <n v="0"/>
    <s v="No"/>
    <m/>
  </r>
  <r>
    <n v="36.533333333333331"/>
    <d v="2012-12-31T00:00:00"/>
    <x v="4"/>
    <s v="DRC"/>
    <s v="Kachin"/>
    <s v="Hpakant"/>
    <s v="Aye Mya Tharyar Church of Christ "/>
    <n v="16"/>
    <m/>
    <m/>
    <m/>
    <m/>
    <m/>
    <m/>
    <m/>
    <n v="0"/>
    <n v="0"/>
    <m/>
    <m/>
    <m/>
    <m/>
    <m/>
    <m/>
    <m/>
    <n v="0"/>
    <n v="0"/>
    <n v="0"/>
    <n v="0"/>
    <n v="0"/>
    <n v="0"/>
    <n v="0"/>
    <n v="0"/>
    <n v="0"/>
    <n v="0"/>
    <n v="0"/>
    <n v="0"/>
    <n v="0"/>
    <n v="0"/>
    <x v="1"/>
    <n v="0"/>
    <s v="MMR001CMP092"/>
    <x v="1"/>
    <x v="2"/>
    <x v="0"/>
    <s v=""/>
    <s v="No"/>
    <m/>
  </r>
  <r>
    <n v="36.533333333333331"/>
    <d v="2012-12-31T00:00:00"/>
    <x v="4"/>
    <s v="DRC"/>
    <s v="Kachin"/>
    <s v="Hpakant"/>
    <s v="Baptist Church, Hmaw Si Sar(Lon Khin)"/>
    <n v="20"/>
    <m/>
    <m/>
    <m/>
    <m/>
    <m/>
    <m/>
    <m/>
    <n v="0"/>
    <n v="0"/>
    <m/>
    <m/>
    <m/>
    <m/>
    <m/>
    <m/>
    <m/>
    <n v="0"/>
    <n v="0"/>
    <n v="0"/>
    <n v="0"/>
    <n v="0"/>
    <n v="0"/>
    <n v="0"/>
    <n v="0"/>
    <n v="0"/>
    <n v="0"/>
    <n v="0"/>
    <n v="0"/>
    <n v="0"/>
    <n v="0"/>
    <x v="1"/>
    <n v="0"/>
    <s v="MMR001CMP169"/>
    <x v="1"/>
    <x v="1"/>
    <x v="1"/>
    <n v="0"/>
    <s v="No"/>
    <m/>
  </r>
  <r>
    <n v="36.533333333333331"/>
    <d v="2012-12-31T00:00:00"/>
    <x v="4"/>
    <s v="DRC"/>
    <s v="Kachin"/>
    <s v="Hpakant"/>
    <s v="Baptist Church, Sai Ra village"/>
    <n v="3"/>
    <m/>
    <m/>
    <m/>
    <m/>
    <m/>
    <m/>
    <m/>
    <n v="0"/>
    <n v="0"/>
    <m/>
    <m/>
    <m/>
    <m/>
    <m/>
    <m/>
    <m/>
    <n v="0"/>
    <n v="0"/>
    <n v="0"/>
    <n v="0"/>
    <n v="0"/>
    <n v="0"/>
    <n v="0"/>
    <n v="0"/>
    <n v="0"/>
    <n v="0"/>
    <n v="0"/>
    <n v="0"/>
    <n v="0"/>
    <n v="0"/>
    <x v="1"/>
    <n v="0"/>
    <s v="MMR001CMP172"/>
    <x v="1"/>
    <x v="2"/>
    <x v="0"/>
    <s v=""/>
    <s v="No"/>
    <m/>
  </r>
  <r>
    <n v="36.533333333333331"/>
    <d v="2012-12-31T00:00:00"/>
    <x v="4"/>
    <s v="DRC"/>
    <s v="Kachin"/>
    <s v="Hpakant"/>
    <s v="Dhama Rakhita, Nyein Chan Tar Yar Ward(Lon Khin)"/>
    <n v="6"/>
    <m/>
    <m/>
    <m/>
    <m/>
    <m/>
    <m/>
    <m/>
    <n v="0"/>
    <n v="0"/>
    <m/>
    <m/>
    <m/>
    <m/>
    <m/>
    <m/>
    <m/>
    <n v="0"/>
    <n v="0"/>
    <n v="0"/>
    <n v="0"/>
    <n v="0"/>
    <n v="0"/>
    <n v="0"/>
    <n v="0"/>
    <n v="0"/>
    <n v="0"/>
    <n v="0"/>
    <n v="0"/>
    <n v="0"/>
    <n v="0"/>
    <x v="1"/>
    <n v="0"/>
    <s v="MMR001CMP174"/>
    <x v="1"/>
    <x v="1"/>
    <x v="1"/>
    <n v="0"/>
    <s v="No"/>
    <m/>
  </r>
  <r>
    <n v="36.533333333333331"/>
    <d v="2012-12-31T00:00:00"/>
    <x v="4"/>
    <s v="DRC"/>
    <s v="Kachin"/>
    <s v="Waingmaw"/>
    <s v="Hkat Cho "/>
    <n v="136"/>
    <m/>
    <m/>
    <m/>
    <m/>
    <m/>
    <m/>
    <m/>
    <n v="0"/>
    <n v="0"/>
    <m/>
    <m/>
    <m/>
    <m/>
    <m/>
    <m/>
    <m/>
    <n v="0"/>
    <n v="0"/>
    <n v="0"/>
    <n v="0"/>
    <n v="0"/>
    <n v="0"/>
    <n v="0"/>
    <n v="0"/>
    <n v="0"/>
    <n v="0"/>
    <n v="0"/>
    <n v="0"/>
    <n v="0"/>
    <n v="0"/>
    <x v="1"/>
    <n v="0"/>
    <s v="MMR001CMP028"/>
    <x v="1"/>
    <x v="1"/>
    <x v="1"/>
    <n v="0"/>
    <s v="No"/>
    <m/>
  </r>
  <r>
    <n v="36.533333333333331"/>
    <d v="2012-12-31T00:00:00"/>
    <x v="4"/>
    <s v="DRC"/>
    <s v="Kachin"/>
    <s v="Hpakant"/>
    <s v="Hlaing Naung Baptist"/>
    <n v="4"/>
    <m/>
    <m/>
    <m/>
    <m/>
    <m/>
    <m/>
    <m/>
    <n v="0"/>
    <n v="0"/>
    <m/>
    <m/>
    <m/>
    <m/>
    <m/>
    <m/>
    <m/>
    <n v="0"/>
    <n v="0"/>
    <n v="0"/>
    <n v="0"/>
    <n v="0"/>
    <n v="0"/>
    <n v="0"/>
    <n v="0"/>
    <n v="0"/>
    <n v="0"/>
    <n v="0"/>
    <n v="0"/>
    <n v="0"/>
    <n v="0"/>
    <x v="1"/>
    <n v="0"/>
    <s v="MMR001CMP148"/>
    <x v="1"/>
    <x v="1"/>
    <x v="1"/>
    <n v="0"/>
    <s v="No"/>
    <m/>
  </r>
  <r>
    <n v="36.533333333333331"/>
    <d v="2012-12-31T00:00:00"/>
    <x v="4"/>
    <s v="DRC"/>
    <s v="Kachin"/>
    <s v="Hpakant"/>
    <s v="Hmaw Wan, Anglican"/>
    <n v="3"/>
    <m/>
    <m/>
    <m/>
    <m/>
    <m/>
    <m/>
    <m/>
    <n v="0"/>
    <n v="0"/>
    <m/>
    <m/>
    <m/>
    <m/>
    <m/>
    <m/>
    <m/>
    <n v="0"/>
    <n v="0"/>
    <n v="0"/>
    <n v="0"/>
    <n v="0"/>
    <n v="0"/>
    <n v="0"/>
    <n v="0"/>
    <n v="0"/>
    <n v="0"/>
    <n v="0"/>
    <n v="0"/>
    <n v="0"/>
    <n v="0"/>
    <x v="1"/>
    <n v="0"/>
    <s v="MMR001CMP191"/>
    <x v="1"/>
    <x v="1"/>
    <x v="1"/>
    <n v="0"/>
    <s v="No"/>
    <m/>
  </r>
  <r>
    <n v="36.533333333333331"/>
    <d v="2012-12-31T00:00:00"/>
    <x v="4"/>
    <s v="DRC"/>
    <s v="Kachin"/>
    <s v="Hpakant"/>
    <s v="Lisu Baptist Church, Maw Wan Ward"/>
    <n v="1"/>
    <m/>
    <m/>
    <m/>
    <m/>
    <m/>
    <m/>
    <m/>
    <n v="0"/>
    <n v="0"/>
    <m/>
    <m/>
    <m/>
    <m/>
    <m/>
    <m/>
    <m/>
    <n v="0"/>
    <n v="0"/>
    <n v="0"/>
    <n v="0"/>
    <n v="0"/>
    <n v="0"/>
    <n v="0"/>
    <n v="0"/>
    <n v="0"/>
    <n v="0"/>
    <n v="0"/>
    <n v="0"/>
    <n v="0"/>
    <n v="0"/>
    <x v="1"/>
    <n v="0"/>
    <s v="MMR001CMP167"/>
    <x v="1"/>
    <x v="1"/>
    <x v="1"/>
    <n v="0"/>
    <s v="No"/>
    <m/>
  </r>
  <r>
    <n v="36.533333333333331"/>
    <d v="2012-12-31T00:00:00"/>
    <x v="4"/>
    <s v="DRC"/>
    <s v="Kachin"/>
    <s v="Waingmaw"/>
    <s v="Mading Baptist Church"/>
    <n v="23"/>
    <m/>
    <m/>
    <m/>
    <m/>
    <m/>
    <m/>
    <m/>
    <n v="0"/>
    <n v="0"/>
    <m/>
    <m/>
    <m/>
    <m/>
    <m/>
    <m/>
    <m/>
    <n v="0"/>
    <n v="0"/>
    <n v="0"/>
    <n v="0"/>
    <n v="0"/>
    <n v="0"/>
    <n v="0"/>
    <n v="0"/>
    <n v="0"/>
    <n v="0"/>
    <n v="0"/>
    <n v="0"/>
    <n v="0"/>
    <n v="0"/>
    <x v="1"/>
    <n v="0"/>
    <s v="MMR001CMP027"/>
    <x v="1"/>
    <x v="1"/>
    <x v="1"/>
    <n v="0"/>
    <s v="No"/>
    <m/>
  </r>
  <r>
    <n v="36.533333333333331"/>
    <d v="2012-12-31T00:00:00"/>
    <x v="4"/>
    <s v="DRC"/>
    <s v="Kachin"/>
    <s v="Waingmaw"/>
    <s v="Maina AG Church"/>
    <n v="79"/>
    <m/>
    <m/>
    <m/>
    <m/>
    <m/>
    <m/>
    <m/>
    <n v="0"/>
    <n v="0"/>
    <m/>
    <m/>
    <m/>
    <m/>
    <m/>
    <m/>
    <m/>
    <n v="0"/>
    <n v="0"/>
    <n v="0"/>
    <n v="0"/>
    <n v="0"/>
    <n v="0"/>
    <n v="0"/>
    <n v="0"/>
    <n v="0"/>
    <n v="0"/>
    <n v="0"/>
    <n v="0"/>
    <n v="0"/>
    <n v="0"/>
    <x v="1"/>
    <n v="0"/>
    <s v="MMR001CMP031"/>
    <x v="1"/>
    <x v="1"/>
    <x v="1"/>
    <n v="0"/>
    <s v="No"/>
    <m/>
  </r>
  <r>
    <n v="36.533333333333331"/>
    <d v="2012-12-31T00:00:00"/>
    <x v="4"/>
    <s v="DRC"/>
    <s v="Kachin"/>
    <s v="Hpakant"/>
    <s v="Mashi Kahtawng Baptist  Church"/>
    <n v="57"/>
    <m/>
    <m/>
    <m/>
    <m/>
    <m/>
    <m/>
    <m/>
    <n v="0"/>
    <n v="0"/>
    <m/>
    <m/>
    <m/>
    <m/>
    <m/>
    <m/>
    <m/>
    <n v="0"/>
    <n v="0"/>
    <n v="0"/>
    <n v="0"/>
    <n v="0"/>
    <n v="0"/>
    <n v="0"/>
    <n v="0"/>
    <n v="0"/>
    <n v="0"/>
    <n v="0"/>
    <n v="0"/>
    <n v="0"/>
    <n v="0"/>
    <x v="1"/>
    <n v="0"/>
    <s v="MMR001CMP094"/>
    <x v="1"/>
    <x v="2"/>
    <x v="0"/>
    <s v=""/>
    <s v="No"/>
    <m/>
  </r>
  <r>
    <n v="36.533333333333331"/>
    <d v="2012-12-31T00:00:00"/>
    <x v="4"/>
    <s v="DRC"/>
    <s v="Kachin"/>
    <s v="Hpakant"/>
    <s v="Mashi Kahtawng Catholic Church"/>
    <n v="2"/>
    <m/>
    <m/>
    <m/>
    <m/>
    <m/>
    <m/>
    <m/>
    <n v="0"/>
    <n v="0"/>
    <m/>
    <m/>
    <m/>
    <m/>
    <m/>
    <m/>
    <m/>
    <n v="0"/>
    <n v="0"/>
    <n v="0"/>
    <n v="0"/>
    <n v="0"/>
    <n v="0"/>
    <n v="0"/>
    <n v="0"/>
    <n v="0"/>
    <n v="0"/>
    <n v="0"/>
    <n v="0"/>
    <n v="0"/>
    <n v="0"/>
    <x v="1"/>
    <n v="0"/>
    <s v="MMR001CMP093"/>
    <x v="1"/>
    <x v="2"/>
    <x v="0"/>
    <s v=""/>
    <s v="No"/>
    <m/>
  </r>
  <r>
    <n v="36.533333333333331"/>
    <d v="2012-12-31T00:00:00"/>
    <x v="4"/>
    <s v="DRC"/>
    <s v="Kachin"/>
    <s v="Myitkyina"/>
    <s v="Maw Hpawng Hka Nan Baptist Church"/>
    <n v="14"/>
    <m/>
    <m/>
    <m/>
    <m/>
    <m/>
    <m/>
    <m/>
    <n v="0"/>
    <n v="0"/>
    <m/>
    <m/>
    <m/>
    <m/>
    <m/>
    <m/>
    <m/>
    <n v="0"/>
    <n v="0"/>
    <n v="0"/>
    <n v="0"/>
    <n v="0"/>
    <n v="0"/>
    <n v="0"/>
    <n v="0"/>
    <n v="0"/>
    <n v="0"/>
    <n v="0"/>
    <n v="0"/>
    <n v="0"/>
    <n v="0"/>
    <x v="1"/>
    <n v="0"/>
    <s v="MMR001CMP020"/>
    <x v="1"/>
    <x v="1"/>
    <x v="1"/>
    <n v="0"/>
    <s v="No"/>
    <m/>
  </r>
  <r>
    <n v="36.533333333333331"/>
    <d v="2012-12-31T00:00:00"/>
    <x v="4"/>
    <s v="DRC"/>
    <s v="Kachin"/>
    <s v="Myitkyina"/>
    <s v="Maw Hpawng Lhaovo Baptist Church"/>
    <n v="23"/>
    <m/>
    <m/>
    <m/>
    <m/>
    <m/>
    <m/>
    <m/>
    <n v="0"/>
    <n v="0"/>
    <m/>
    <m/>
    <m/>
    <m/>
    <m/>
    <m/>
    <m/>
    <n v="0"/>
    <n v="0"/>
    <n v="0"/>
    <n v="0"/>
    <n v="0"/>
    <n v="0"/>
    <n v="0"/>
    <n v="0"/>
    <n v="0"/>
    <n v="0"/>
    <n v="0"/>
    <n v="0"/>
    <n v="0"/>
    <n v="0"/>
    <x v="1"/>
    <n v="0"/>
    <s v="MMR001CMP021"/>
    <x v="1"/>
    <x v="1"/>
    <x v="1"/>
    <n v="0"/>
    <s v="No"/>
    <m/>
  </r>
  <r>
    <n v="36.533333333333331"/>
    <d v="2012-12-31T00:00:00"/>
    <x v="4"/>
    <s v="DRC"/>
    <s v="Kachin"/>
    <s v="Hpakant"/>
    <s v="Maw Si Zar, Thiriyardanar Sein, Damma Compound, Lone Khin"/>
    <n v="3"/>
    <m/>
    <m/>
    <m/>
    <m/>
    <m/>
    <m/>
    <m/>
    <n v="0"/>
    <n v="0"/>
    <m/>
    <m/>
    <m/>
    <m/>
    <m/>
    <m/>
    <m/>
    <n v="0"/>
    <n v="0"/>
    <n v="0"/>
    <n v="0"/>
    <n v="0"/>
    <n v="0"/>
    <n v="0"/>
    <n v="0"/>
    <n v="0"/>
    <n v="0"/>
    <n v="0"/>
    <n v="0"/>
    <n v="0"/>
    <n v="0"/>
    <x v="1"/>
    <n v="0"/>
    <s v="MMR001CMP106"/>
    <x v="1"/>
    <x v="2"/>
    <x v="0"/>
    <s v=""/>
    <s v="No"/>
    <m/>
  </r>
  <r>
    <n v="36.533333333333331"/>
    <d v="2012-12-31T00:00:00"/>
    <x v="4"/>
    <s v="DRC"/>
    <s v="Kachin"/>
    <s v="Hpakant"/>
    <s v="Maw Wan, Kachin Baptist Church"/>
    <n v="10"/>
    <m/>
    <m/>
    <m/>
    <m/>
    <m/>
    <m/>
    <m/>
    <n v="0"/>
    <n v="0"/>
    <m/>
    <m/>
    <m/>
    <m/>
    <m/>
    <m/>
    <m/>
    <n v="0"/>
    <n v="0"/>
    <n v="0"/>
    <n v="0"/>
    <n v="0"/>
    <n v="0"/>
    <n v="0"/>
    <n v="0"/>
    <n v="0"/>
    <n v="0"/>
    <n v="0"/>
    <n v="0"/>
    <n v="0"/>
    <n v="0"/>
    <x v="1"/>
    <n v="0"/>
    <s v="MMR001CMP085"/>
    <x v="1"/>
    <x v="2"/>
    <x v="0"/>
    <s v=""/>
    <s v="No"/>
    <m/>
  </r>
  <r>
    <n v="36.533333333333331"/>
    <d v="2012-12-31T00:00:00"/>
    <x v="4"/>
    <s v="DRC"/>
    <s v="Kachin"/>
    <s v="Hpakant"/>
    <s v="Maw Wan, Mu-yin Baptist Church"/>
    <n v="2"/>
    <m/>
    <m/>
    <m/>
    <m/>
    <m/>
    <m/>
    <m/>
    <n v="0"/>
    <n v="0"/>
    <m/>
    <m/>
    <m/>
    <m/>
    <m/>
    <m/>
    <m/>
    <n v="0"/>
    <n v="0"/>
    <n v="0"/>
    <n v="0"/>
    <n v="0"/>
    <n v="0"/>
    <n v="0"/>
    <n v="0"/>
    <n v="0"/>
    <n v="0"/>
    <n v="0"/>
    <n v="0"/>
    <n v="0"/>
    <n v="0"/>
    <x v="1"/>
    <n v="0"/>
    <s v="MMR001CMP091"/>
    <x v="1"/>
    <x v="1"/>
    <x v="1"/>
    <n v="0"/>
    <s v="No"/>
    <m/>
  </r>
  <r>
    <n v="36.533333333333331"/>
    <d v="2012-12-31T00:00:00"/>
    <x v="4"/>
    <s v="DRC"/>
    <s v="Kachin"/>
    <s v="Hpakant"/>
    <s v="May Di Ka Rama Monastery(Lon Khin)"/>
    <n v="5"/>
    <m/>
    <m/>
    <m/>
    <m/>
    <m/>
    <m/>
    <m/>
    <n v="0"/>
    <n v="0"/>
    <m/>
    <m/>
    <m/>
    <m/>
    <m/>
    <m/>
    <m/>
    <n v="0"/>
    <n v="0"/>
    <n v="0"/>
    <n v="0"/>
    <n v="0"/>
    <n v="0"/>
    <n v="0"/>
    <n v="0"/>
    <n v="0"/>
    <n v="0"/>
    <n v="0"/>
    <n v="0"/>
    <n v="0"/>
    <n v="0"/>
    <x v="1"/>
    <n v="0"/>
    <s v="MMR001CMP178"/>
    <x v="1"/>
    <x v="2"/>
    <x v="0"/>
    <s v=""/>
    <s v="No"/>
    <m/>
  </r>
  <r>
    <n v="36.533333333333331"/>
    <d v="2012-12-31T00:00:00"/>
    <x v="4"/>
    <s v="DRC"/>
    <s v="Kachin"/>
    <s v="Hpakant"/>
    <s v="Muring Baptist Church, Awng Ra, Wa Ra Zut VT"/>
    <n v="1"/>
    <m/>
    <m/>
    <m/>
    <m/>
    <m/>
    <m/>
    <m/>
    <n v="0"/>
    <n v="0"/>
    <m/>
    <m/>
    <m/>
    <m/>
    <m/>
    <m/>
    <m/>
    <n v="0"/>
    <n v="0"/>
    <n v="0"/>
    <n v="0"/>
    <n v="0"/>
    <n v="0"/>
    <n v="0"/>
    <n v="0"/>
    <n v="0"/>
    <n v="0"/>
    <n v="0"/>
    <n v="0"/>
    <n v="0"/>
    <n v="0"/>
    <x v="1"/>
    <n v="0"/>
    <s v="MMR001CMP177"/>
    <x v="1"/>
    <x v="2"/>
    <x v="0"/>
    <s v=""/>
    <s v="No"/>
    <m/>
  </r>
  <r>
    <n v="36.533333333333331"/>
    <d v="2012-12-31T00:00:00"/>
    <x v="4"/>
    <s v="DRC"/>
    <s v="Kachin"/>
    <s v="Myitkyina"/>
    <s v="Myay Myint Baptist Church"/>
    <n v="12"/>
    <m/>
    <m/>
    <m/>
    <m/>
    <m/>
    <m/>
    <m/>
    <n v="0"/>
    <n v="0"/>
    <m/>
    <m/>
    <m/>
    <m/>
    <m/>
    <m/>
    <m/>
    <n v="0"/>
    <n v="0"/>
    <n v="0"/>
    <n v="0"/>
    <n v="0"/>
    <n v="0"/>
    <n v="0"/>
    <n v="0"/>
    <n v="0"/>
    <n v="0"/>
    <n v="0"/>
    <n v="0"/>
    <n v="0"/>
    <n v="0"/>
    <x v="1"/>
    <n v="0"/>
    <s v="MMR001CMP017"/>
    <x v="1"/>
    <x v="2"/>
    <x v="1"/>
    <s v=""/>
    <s v="No"/>
    <m/>
  </r>
  <r>
    <n v="36.533333333333331"/>
    <d v="2012-12-31T00:00:00"/>
    <x v="4"/>
    <s v="DRC"/>
    <s v="Kachin"/>
    <s v="Hpakant"/>
    <s v="Nam Ma Phyit, COC"/>
    <n v="32"/>
    <m/>
    <m/>
    <m/>
    <m/>
    <m/>
    <m/>
    <m/>
    <n v="0"/>
    <n v="0"/>
    <m/>
    <m/>
    <m/>
    <m/>
    <m/>
    <m/>
    <m/>
    <n v="0"/>
    <n v="0"/>
    <n v="0"/>
    <n v="0"/>
    <n v="0"/>
    <n v="0"/>
    <n v="0"/>
    <n v="0"/>
    <n v="0"/>
    <n v="0"/>
    <n v="0"/>
    <n v="0"/>
    <n v="0"/>
    <n v="0"/>
    <x v="1"/>
    <n v="0"/>
    <s v="MMR001CMP192"/>
    <x v="1"/>
    <x v="1"/>
    <x v="1"/>
    <n v="0"/>
    <s v="No"/>
    <m/>
  </r>
  <r>
    <n v="36.533333333333331"/>
    <d v="2012-12-31T00:00:00"/>
    <x v="4"/>
    <s v="DRC"/>
    <s v="Kachin"/>
    <s v="Hpakant"/>
    <s v="Nant Ma Hpit Catholic Church"/>
    <n v="4"/>
    <m/>
    <m/>
    <m/>
    <m/>
    <m/>
    <m/>
    <m/>
    <n v="0"/>
    <n v="0"/>
    <m/>
    <m/>
    <m/>
    <m/>
    <m/>
    <m/>
    <m/>
    <n v="0"/>
    <n v="0"/>
    <n v="0"/>
    <n v="0"/>
    <n v="0"/>
    <n v="0"/>
    <n v="0"/>
    <n v="0"/>
    <n v="0"/>
    <n v="0"/>
    <n v="0"/>
    <n v="0"/>
    <n v="0"/>
    <n v="0"/>
    <x v="1"/>
    <n v="0"/>
    <s v="MMR001CMP103"/>
    <x v="1"/>
    <x v="1"/>
    <x v="1"/>
    <n v="0"/>
    <s v="No"/>
    <m/>
  </r>
  <r>
    <n v="36.533333333333331"/>
    <d v="2012-12-31T00:00:00"/>
    <x v="4"/>
    <s v="DRC"/>
    <s v="Kachin"/>
    <s v="Hpakant"/>
    <s v="Nga Pyaw Taw Roman Catholic Church"/>
    <n v="3"/>
    <m/>
    <m/>
    <m/>
    <m/>
    <m/>
    <m/>
    <m/>
    <n v="0"/>
    <n v="0"/>
    <m/>
    <m/>
    <m/>
    <m/>
    <m/>
    <m/>
    <m/>
    <n v="0"/>
    <n v="0"/>
    <n v="0"/>
    <n v="0"/>
    <n v="0"/>
    <n v="0"/>
    <n v="0"/>
    <n v="0"/>
    <n v="0"/>
    <n v="0"/>
    <n v="0"/>
    <n v="0"/>
    <n v="0"/>
    <n v="0"/>
    <x v="1"/>
    <n v="0"/>
    <s v="MMR001CMP083"/>
    <x v="1"/>
    <x v="2"/>
    <x v="0"/>
    <s v=""/>
    <s v="No"/>
    <m/>
  </r>
  <r>
    <n v="36.533333333333331"/>
    <d v="2012-12-31T00:00:00"/>
    <x v="4"/>
    <s v="DRC"/>
    <s v="Kachin"/>
    <s v="Waingmaw"/>
    <s v="Qtr. 2 Lhaovo Baptist Church"/>
    <n v="92"/>
    <m/>
    <m/>
    <m/>
    <m/>
    <m/>
    <m/>
    <m/>
    <n v="0"/>
    <n v="0"/>
    <m/>
    <m/>
    <m/>
    <m/>
    <m/>
    <m/>
    <m/>
    <n v="0"/>
    <n v="0"/>
    <n v="0"/>
    <n v="0"/>
    <n v="0"/>
    <n v="0"/>
    <n v="0"/>
    <n v="0"/>
    <n v="0"/>
    <n v="0"/>
    <n v="0"/>
    <n v="0"/>
    <n v="0"/>
    <n v="0"/>
    <x v="1"/>
    <n v="0"/>
    <s v="MMR001CMP032"/>
    <x v="1"/>
    <x v="1"/>
    <x v="1"/>
    <n v="0"/>
    <s v="No"/>
    <m/>
  </r>
  <r>
    <n v="36.533333333333331"/>
    <d v="2012-12-31T00:00:00"/>
    <x v="4"/>
    <s v="DRC"/>
    <s v="Kachin"/>
    <s v="Waingmaw"/>
    <s v="Qtr. 3 Mu-yin  Baptist Church"/>
    <n v="27"/>
    <m/>
    <m/>
    <m/>
    <m/>
    <m/>
    <m/>
    <m/>
    <n v="0"/>
    <n v="0"/>
    <m/>
    <m/>
    <m/>
    <m/>
    <m/>
    <m/>
    <m/>
    <n v="0"/>
    <n v="0"/>
    <n v="0"/>
    <n v="0"/>
    <n v="0"/>
    <n v="0"/>
    <n v="0"/>
    <n v="0"/>
    <n v="0"/>
    <n v="0"/>
    <n v="0"/>
    <n v="0"/>
    <n v="0"/>
    <n v="0"/>
    <x v="1"/>
    <n v="0"/>
    <s v="MMR001CMP030"/>
    <x v="1"/>
    <x v="1"/>
    <x v="1"/>
    <n v="0"/>
    <s v="No"/>
    <m/>
  </r>
  <r>
    <n v="36.533333333333331"/>
    <d v="2012-12-31T00:00:00"/>
    <x v="4"/>
    <s v="DRC"/>
    <s v="Kachin"/>
    <s v="Waingmaw"/>
    <s v="Qtr. 4 Monestry (Thargaya Thayett Taw)"/>
    <n v="96"/>
    <m/>
    <m/>
    <m/>
    <m/>
    <m/>
    <m/>
    <m/>
    <n v="0"/>
    <n v="0"/>
    <m/>
    <m/>
    <m/>
    <m/>
    <m/>
    <m/>
    <m/>
    <n v="0"/>
    <n v="0"/>
    <n v="0"/>
    <n v="0"/>
    <n v="0"/>
    <n v="0"/>
    <n v="0"/>
    <n v="0"/>
    <n v="0"/>
    <n v="0"/>
    <n v="0"/>
    <n v="0"/>
    <n v="0"/>
    <n v="0"/>
    <x v="1"/>
    <n v="0"/>
    <s v="MMR001CMP026"/>
    <x v="1"/>
    <x v="1"/>
    <x v="1"/>
    <n v="0"/>
    <s v="No"/>
    <m/>
  </r>
  <r>
    <n v="36.533333333333331"/>
    <d v="2012-12-31T00:00:00"/>
    <x v="4"/>
    <s v="DRC"/>
    <s v="Kachin"/>
    <s v="Myitkyina"/>
    <s v="Shatapru Thida Aye Baptist Church"/>
    <n v="17"/>
    <m/>
    <m/>
    <m/>
    <m/>
    <m/>
    <m/>
    <m/>
    <n v="0"/>
    <n v="0"/>
    <m/>
    <m/>
    <m/>
    <m/>
    <m/>
    <m/>
    <m/>
    <n v="0"/>
    <n v="0"/>
    <n v="0"/>
    <n v="0"/>
    <n v="0"/>
    <n v="0"/>
    <n v="0"/>
    <n v="0"/>
    <n v="0"/>
    <n v="0"/>
    <n v="0"/>
    <n v="0"/>
    <n v="0"/>
    <n v="0"/>
    <x v="1"/>
    <n v="0"/>
    <s v="MMR001CMP007"/>
    <x v="1"/>
    <x v="1"/>
    <x v="1"/>
    <n v="0"/>
    <s v="No"/>
    <m/>
  </r>
  <r>
    <n v="36.533333333333331"/>
    <d v="2012-12-31T00:00:00"/>
    <x v="4"/>
    <s v="DRC"/>
    <s v="Kachin"/>
    <s v="Myitkyina"/>
    <s v="Tat Kone COC Baptist - Tat Kone Htoi San"/>
    <n v="34"/>
    <m/>
    <m/>
    <m/>
    <m/>
    <m/>
    <m/>
    <m/>
    <n v="0"/>
    <n v="0"/>
    <m/>
    <m/>
    <m/>
    <m/>
    <m/>
    <m/>
    <m/>
    <n v="0"/>
    <n v="0"/>
    <n v="0"/>
    <n v="0"/>
    <n v="0"/>
    <n v="0"/>
    <n v="0"/>
    <n v="0"/>
    <n v="0"/>
    <n v="0"/>
    <n v="0"/>
    <n v="0"/>
    <n v="0"/>
    <n v="0"/>
    <x v="1"/>
    <n v="0"/>
    <s v="MMR001CMP023"/>
    <x v="1"/>
    <x v="1"/>
    <x v="1"/>
    <n v="0"/>
    <s v="No"/>
    <m/>
  </r>
  <r>
    <n v="36.533333333333331"/>
    <d v="2012-12-31T00:00:00"/>
    <x v="4"/>
    <s v="DRC"/>
    <s v="Kachin"/>
    <s v="Myitkyina"/>
    <s v="Tat Kone Emanuel Church"/>
    <n v="14"/>
    <m/>
    <m/>
    <m/>
    <m/>
    <m/>
    <m/>
    <m/>
    <n v="0"/>
    <n v="0"/>
    <m/>
    <m/>
    <m/>
    <m/>
    <m/>
    <m/>
    <m/>
    <n v="0"/>
    <n v="0"/>
    <n v="0"/>
    <n v="0"/>
    <n v="0"/>
    <n v="0"/>
    <n v="0"/>
    <n v="0"/>
    <n v="0"/>
    <n v="0"/>
    <n v="0"/>
    <n v="0"/>
    <n v="0"/>
    <n v="0"/>
    <x v="1"/>
    <n v="0"/>
    <s v="MMR001CMP004"/>
    <x v="1"/>
    <x v="1"/>
    <x v="1"/>
    <n v="0"/>
    <s v="No"/>
    <m/>
  </r>
  <r>
    <n v="36.533333333333331"/>
    <d v="2012-12-31T00:00:00"/>
    <x v="4"/>
    <s v="DRC"/>
    <s v="Kachin"/>
    <s v="Waingmaw"/>
    <s v="Thargaya Lisu Baptist Church"/>
    <n v="68"/>
    <m/>
    <m/>
    <m/>
    <m/>
    <m/>
    <m/>
    <m/>
    <n v="0"/>
    <n v="0"/>
    <m/>
    <m/>
    <m/>
    <m/>
    <m/>
    <m/>
    <m/>
    <n v="0"/>
    <n v="0"/>
    <n v="0"/>
    <n v="0"/>
    <n v="0"/>
    <n v="0"/>
    <n v="0"/>
    <n v="0"/>
    <n v="0"/>
    <n v="0"/>
    <n v="0"/>
    <n v="0"/>
    <n v="0"/>
    <n v="0"/>
    <x v="1"/>
    <n v="0"/>
    <s v="MMR001CMP037"/>
    <x v="1"/>
    <x v="1"/>
    <x v="1"/>
    <n v="0"/>
    <s v="No"/>
    <m/>
  </r>
  <r>
    <n v="36.533333333333331"/>
    <d v="2012-12-31T00:00:00"/>
    <x v="4"/>
    <s v="DRC"/>
    <s v="Kachin"/>
    <s v="Waingmaw"/>
    <s v="Waingmaw AG Church"/>
    <n v="56"/>
    <m/>
    <m/>
    <m/>
    <m/>
    <m/>
    <m/>
    <m/>
    <n v="0"/>
    <n v="0"/>
    <m/>
    <m/>
    <m/>
    <m/>
    <m/>
    <m/>
    <m/>
    <n v="0"/>
    <n v="0"/>
    <n v="0"/>
    <n v="0"/>
    <n v="0"/>
    <n v="0"/>
    <n v="0"/>
    <n v="0"/>
    <n v="0"/>
    <n v="0"/>
    <n v="0"/>
    <n v="0"/>
    <n v="0"/>
    <n v="0"/>
    <x v="1"/>
    <n v="0"/>
    <s v="MMR001CMP038"/>
    <x v="1"/>
    <x v="1"/>
    <x v="1"/>
    <n v="0"/>
    <s v="No"/>
    <m/>
  </r>
  <r>
    <n v="36.533333333333331"/>
    <d v="2012-12-31T00:00:00"/>
    <x v="4"/>
    <s v="DRC"/>
    <s v="Kachin"/>
    <s v="Hpakant"/>
    <s v="Wrad(5) Christian Association"/>
    <n v="3"/>
    <m/>
    <m/>
    <m/>
    <m/>
    <m/>
    <m/>
    <m/>
    <n v="0"/>
    <n v="0"/>
    <m/>
    <m/>
    <m/>
    <m/>
    <m/>
    <m/>
    <m/>
    <n v="0"/>
    <n v="0"/>
    <n v="0"/>
    <n v="0"/>
    <n v="0"/>
    <n v="0"/>
    <n v="0"/>
    <n v="0"/>
    <n v="0"/>
    <n v="0"/>
    <n v="0"/>
    <n v="0"/>
    <n v="0"/>
    <n v="0"/>
    <x v="1"/>
    <n v="0"/>
    <s v="MMR001CMP175"/>
    <x v="1"/>
    <x v="2"/>
    <x v="0"/>
    <s v=""/>
    <s v="No"/>
    <m/>
  </r>
  <r>
    <n v="36.533333333333331"/>
    <d v="2012-12-31T00:00:00"/>
    <x v="4"/>
    <s v="DRC"/>
    <s v="Kachin"/>
    <s v="Myitkyina"/>
    <s v="Wun Tho Buddhist Monastery"/>
    <n v="24"/>
    <m/>
    <m/>
    <m/>
    <m/>
    <m/>
    <m/>
    <m/>
    <n v="0"/>
    <n v="0"/>
    <m/>
    <m/>
    <m/>
    <m/>
    <m/>
    <m/>
    <m/>
    <n v="0"/>
    <n v="0"/>
    <n v="0"/>
    <n v="0"/>
    <n v="0"/>
    <n v="0"/>
    <n v="0"/>
    <n v="0"/>
    <n v="0"/>
    <n v="0"/>
    <n v="0"/>
    <n v="0"/>
    <n v="0"/>
    <n v="0"/>
    <x v="1"/>
    <n v="0"/>
    <s v="MMR001CMP022"/>
    <x v="1"/>
    <x v="1"/>
    <x v="1"/>
    <n v="0"/>
    <s v="No"/>
    <m/>
  </r>
  <r>
    <n v="36.533333333333331"/>
    <d v="2012-12-31T00:00:00"/>
    <x v="4"/>
    <s v="DRC"/>
    <s v="Kachin"/>
    <s v="Hpakant"/>
    <s v="Yumar Baptist Church"/>
    <n v="42"/>
    <m/>
    <m/>
    <m/>
    <m/>
    <m/>
    <m/>
    <m/>
    <n v="0"/>
    <n v="0"/>
    <m/>
    <m/>
    <m/>
    <m/>
    <m/>
    <m/>
    <m/>
    <n v="0"/>
    <n v="0"/>
    <n v="0"/>
    <n v="0"/>
    <n v="0"/>
    <n v="0"/>
    <n v="0"/>
    <n v="0"/>
    <n v="0"/>
    <n v="0"/>
    <n v="0"/>
    <n v="0"/>
    <n v="0"/>
    <n v="0"/>
    <x v="1"/>
    <n v="0"/>
    <s v="MMR001CMP105"/>
    <x v="1"/>
    <x v="1"/>
    <x v="1"/>
    <n v="0"/>
    <s v="No"/>
    <m/>
  </r>
  <r>
    <n v="36.866666666666667"/>
    <d v="2012-12-21T00:00:00"/>
    <x v="0"/>
    <s v="UNHCR"/>
    <s v="Kachin"/>
    <s v="Shwegu"/>
    <s v="Shwe Gu Baptist Church"/>
    <m/>
    <m/>
    <m/>
    <n v="0"/>
    <n v="0"/>
    <n v="83"/>
    <n v="0"/>
    <n v="0"/>
    <m/>
    <m/>
    <m/>
    <m/>
    <m/>
    <m/>
    <m/>
    <m/>
    <m/>
    <n v="0"/>
    <n v="0"/>
    <n v="0"/>
    <n v="0"/>
    <n v="0"/>
    <n v="0"/>
    <n v="0"/>
    <n v="0"/>
    <n v="0"/>
    <n v="0"/>
    <n v="0"/>
    <n v="0"/>
    <n v="0"/>
    <n v="0"/>
    <x v="1"/>
    <n v="0"/>
    <s v="MMR001CMP067"/>
    <x v="1"/>
    <x v="1"/>
    <x v="1"/>
    <n v="0"/>
    <s v="No"/>
    <m/>
  </r>
  <r>
    <n v="36.866666666666667"/>
    <d v="2012-12-21T00:00:00"/>
    <x v="0"/>
    <s v="UNHCR"/>
    <s v="Kachin"/>
    <s v="Bhamo"/>
    <s v="Lisu Boarding-House"/>
    <m/>
    <m/>
    <m/>
    <n v="0"/>
    <n v="12"/>
    <n v="0"/>
    <n v="12"/>
    <n v="12"/>
    <n v="12"/>
    <n v="12"/>
    <m/>
    <m/>
    <m/>
    <m/>
    <m/>
    <m/>
    <m/>
    <n v="0"/>
    <n v="0"/>
    <n v="0"/>
    <n v="0"/>
    <n v="0"/>
    <n v="0"/>
    <n v="0"/>
    <n v="0"/>
    <n v="0"/>
    <n v="0"/>
    <n v="0"/>
    <n v="0"/>
    <n v="0"/>
    <n v="0"/>
    <x v="1"/>
    <n v="0"/>
    <s v="MMR001CMP049"/>
    <x v="1"/>
    <x v="1"/>
    <x v="1"/>
    <n v="0.10344827586206896"/>
    <s v="No"/>
    <m/>
  </r>
  <r>
    <n v="36.866666666666667"/>
    <d v="2012-12-21T00:00:00"/>
    <x v="0"/>
    <s v="UNHCR"/>
    <s v="Kachin"/>
    <s v="Bhamo"/>
    <s v="Robert Church"/>
    <m/>
    <m/>
    <m/>
    <n v="0"/>
    <n v="0"/>
    <n v="73"/>
    <n v="0"/>
    <n v="0"/>
    <m/>
    <m/>
    <m/>
    <m/>
    <m/>
    <m/>
    <m/>
    <m/>
    <m/>
    <n v="0"/>
    <n v="0"/>
    <n v="0"/>
    <n v="0"/>
    <n v="0"/>
    <n v="0"/>
    <n v="0"/>
    <n v="0"/>
    <n v="0"/>
    <n v="0"/>
    <n v="0"/>
    <n v="0"/>
    <n v="0"/>
    <n v="0"/>
    <x v="1"/>
    <n v="0"/>
    <s v="MMR001CMP047"/>
    <x v="1"/>
    <x v="1"/>
    <x v="1"/>
    <n v="0"/>
    <s v="No"/>
    <m/>
  </r>
  <r>
    <n v="36.866666666666667"/>
    <d v="2012-12-21T00:00:00"/>
    <x v="0"/>
    <s v="UNHCR"/>
    <s v="Kachin"/>
    <s v="Bhamo"/>
    <s v="Robert Church"/>
    <m/>
    <m/>
    <m/>
    <n v="24"/>
    <n v="12"/>
    <n v="24"/>
    <n v="12"/>
    <n v="12"/>
    <n v="12"/>
    <n v="12"/>
    <m/>
    <m/>
    <m/>
    <m/>
    <m/>
    <m/>
    <m/>
    <n v="0"/>
    <n v="0"/>
    <n v="0"/>
    <n v="0"/>
    <n v="0"/>
    <n v="0"/>
    <n v="0"/>
    <n v="0"/>
    <n v="0"/>
    <n v="0"/>
    <n v="0"/>
    <n v="0"/>
    <n v="0"/>
    <n v="0"/>
    <x v="1"/>
    <n v="0"/>
    <s v="MMR001CMP047"/>
    <x v="1"/>
    <x v="1"/>
    <x v="1"/>
    <n v="1.8404907975460124E-2"/>
    <s v="No"/>
    <m/>
  </r>
  <r>
    <n v="36.866666666666667"/>
    <d v="2012-12-21T00:00:00"/>
    <x v="0"/>
    <s v="UNHCR"/>
    <s v="Kachin"/>
    <s v="Bhamo"/>
    <s v="Yoe Kyi Monastery"/>
    <m/>
    <m/>
    <m/>
    <n v="0"/>
    <n v="3"/>
    <n v="0"/>
    <n v="3"/>
    <n v="3"/>
    <n v="3"/>
    <n v="3"/>
    <m/>
    <m/>
    <m/>
    <m/>
    <m/>
    <m/>
    <m/>
    <n v="0"/>
    <n v="0"/>
    <n v="0"/>
    <n v="0"/>
    <n v="0"/>
    <n v="0"/>
    <n v="0"/>
    <n v="0"/>
    <n v="0"/>
    <n v="0"/>
    <n v="0"/>
    <n v="0"/>
    <n v="0"/>
    <n v="0"/>
    <x v="1"/>
    <n v="0"/>
    <s v="MMR001CMP053"/>
    <x v="1"/>
    <x v="1"/>
    <x v="1"/>
    <n v="0.2"/>
    <s v="No"/>
    <m/>
  </r>
  <r>
    <n v="36.9"/>
    <d v="2012-12-20T00:00:00"/>
    <x v="0"/>
    <s v="KBC"/>
    <s v="Kachin"/>
    <s v="Hpakant"/>
    <s v="Hlaing Naung Baptist"/>
    <m/>
    <m/>
    <m/>
    <n v="12"/>
    <n v="0"/>
    <n v="12"/>
    <n v="0"/>
    <n v="0"/>
    <m/>
    <m/>
    <m/>
    <m/>
    <m/>
    <m/>
    <m/>
    <m/>
    <m/>
    <n v="0"/>
    <n v="0"/>
    <n v="0"/>
    <n v="0"/>
    <n v="0"/>
    <n v="0"/>
    <n v="0"/>
    <n v="0"/>
    <n v="0"/>
    <n v="0"/>
    <n v="0"/>
    <n v="0"/>
    <n v="0"/>
    <n v="0"/>
    <x v="1"/>
    <n v="0"/>
    <s v="MMR001CMP148"/>
    <x v="1"/>
    <x v="1"/>
    <x v="1"/>
    <n v="0"/>
    <s v="No"/>
    <m/>
  </r>
  <r>
    <n v="36.9"/>
    <d v="2012-12-20T00:00:00"/>
    <x v="0"/>
    <s v="UNHCR"/>
    <s v="Kachin"/>
    <s v="Myitkyina"/>
    <s v="Jan Mai Kawng Baptist Church"/>
    <m/>
    <m/>
    <m/>
    <n v="19"/>
    <n v="10"/>
    <n v="19"/>
    <n v="10"/>
    <n v="10"/>
    <n v="10"/>
    <n v="10"/>
    <m/>
    <m/>
    <m/>
    <m/>
    <m/>
    <m/>
    <m/>
    <n v="0"/>
    <n v="0"/>
    <n v="0"/>
    <n v="0"/>
    <n v="0"/>
    <n v="0"/>
    <n v="0"/>
    <n v="0"/>
    <n v="0"/>
    <n v="0"/>
    <n v="0"/>
    <n v="0"/>
    <n v="0"/>
    <n v="0"/>
    <x v="1"/>
    <n v="0"/>
    <s v="MMR001CMP018"/>
    <x v="1"/>
    <x v="1"/>
    <x v="1"/>
    <n v="4.9261083743842367E-2"/>
    <s v="No"/>
    <m/>
  </r>
  <r>
    <n v="36.93333333333333"/>
    <d v="2012-12-19T00:00:00"/>
    <x v="0"/>
    <s v="UNHCR"/>
    <s v="Kachin"/>
    <s v="Myitkyina"/>
    <s v="Pa Dauk Myaing(Pa La Na)"/>
    <m/>
    <m/>
    <m/>
    <n v="37"/>
    <n v="10"/>
    <n v="37"/>
    <n v="10"/>
    <n v="10"/>
    <n v="10"/>
    <n v="10"/>
    <m/>
    <m/>
    <m/>
    <m/>
    <m/>
    <m/>
    <m/>
    <n v="0"/>
    <n v="0"/>
    <n v="0"/>
    <n v="0"/>
    <n v="0"/>
    <n v="0"/>
    <n v="0"/>
    <n v="0"/>
    <n v="0"/>
    <n v="0"/>
    <n v="0"/>
    <n v="0"/>
    <n v="0"/>
    <n v="0"/>
    <x v="1"/>
    <n v="0"/>
    <s v="MMR001CMP162"/>
    <x v="1"/>
    <x v="1"/>
    <x v="1"/>
    <n v="0.22222222222222221"/>
    <s v="No"/>
    <m/>
  </r>
  <r>
    <n v="36.966666666666669"/>
    <d v="2012-12-18T00:00:00"/>
    <x v="0"/>
    <s v="UNHCR"/>
    <s v="Kachin"/>
    <s v="Myitkyina"/>
    <s v="Shwe Zet Baptist Church"/>
    <m/>
    <m/>
    <m/>
    <n v="30"/>
    <n v="20"/>
    <n v="30"/>
    <n v="20"/>
    <n v="20"/>
    <n v="20"/>
    <n v="20"/>
    <m/>
    <m/>
    <m/>
    <m/>
    <m/>
    <m/>
    <m/>
    <n v="0"/>
    <n v="0"/>
    <n v="0"/>
    <n v="0"/>
    <n v="0"/>
    <n v="0"/>
    <n v="0"/>
    <n v="0"/>
    <n v="0"/>
    <n v="0"/>
    <n v="0"/>
    <n v="0"/>
    <n v="0"/>
    <n v="0"/>
    <x v="1"/>
    <n v="0"/>
    <s v="MMR001CMP009"/>
    <x v="1"/>
    <x v="1"/>
    <x v="1"/>
    <n v="0.22222222222222221"/>
    <s v="No"/>
    <m/>
  </r>
  <r>
    <n v="37.06666666666667"/>
    <d v="2012-12-15T00:00:00"/>
    <x v="5"/>
    <s v="Solidarities"/>
    <s v="Kachin"/>
    <s v="Mansi"/>
    <s v="Bum Tsit Pa "/>
    <n v="587"/>
    <m/>
    <n v="855"/>
    <m/>
    <m/>
    <m/>
    <m/>
    <m/>
    <n v="0"/>
    <n v="0"/>
    <m/>
    <m/>
    <m/>
    <m/>
    <m/>
    <m/>
    <m/>
    <n v="0"/>
    <n v="0"/>
    <n v="0"/>
    <n v="0"/>
    <n v="0"/>
    <n v="0"/>
    <n v="0"/>
    <n v="0"/>
    <n v="0"/>
    <n v="0"/>
    <n v="0"/>
    <n v="0"/>
    <n v="0"/>
    <n v="0"/>
    <x v="1"/>
    <n v="0"/>
    <s v="MMR001CMP129"/>
    <x v="1"/>
    <x v="1"/>
    <x v="4"/>
    <n v="0"/>
    <s v="No"/>
    <m/>
  </r>
  <r>
    <n v="37.133333333333333"/>
    <d v="2012-12-13T00:00:00"/>
    <x v="0"/>
    <s v="UNHCR"/>
    <s v="Kachin"/>
    <s v="Myitkyina"/>
    <s v="Nan Kway St. John Catholic Church"/>
    <m/>
    <m/>
    <m/>
    <n v="16"/>
    <n v="7"/>
    <n v="16"/>
    <n v="7"/>
    <n v="7"/>
    <n v="7"/>
    <n v="7"/>
    <m/>
    <m/>
    <m/>
    <m/>
    <m/>
    <m/>
    <m/>
    <n v="0"/>
    <n v="0"/>
    <n v="0"/>
    <n v="0"/>
    <n v="0"/>
    <n v="0"/>
    <n v="0"/>
    <n v="0"/>
    <n v="0"/>
    <n v="0"/>
    <n v="0"/>
    <n v="0"/>
    <n v="0"/>
    <n v="0"/>
    <x v="1"/>
    <n v="0"/>
    <s v="MMR001CMP024"/>
    <x v="1"/>
    <x v="1"/>
    <x v="1"/>
    <n v="0.10144927536231885"/>
    <s v="No"/>
    <m/>
  </r>
  <r>
    <n v="37.166666666666664"/>
    <d v="2012-12-12T00:00:00"/>
    <x v="5"/>
    <s v="Solidarities"/>
    <s v="Kachin"/>
    <s v="Momauk"/>
    <s v="Je Yang Hka "/>
    <n v="5228"/>
    <m/>
    <n v="6005"/>
    <m/>
    <m/>
    <m/>
    <m/>
    <m/>
    <n v="0"/>
    <n v="0"/>
    <m/>
    <m/>
    <m/>
    <m/>
    <m/>
    <m/>
    <m/>
    <n v="0"/>
    <n v="0"/>
    <n v="0"/>
    <n v="0"/>
    <n v="0"/>
    <n v="0"/>
    <n v="0"/>
    <n v="0"/>
    <n v="0"/>
    <n v="0"/>
    <n v="0"/>
    <n v="0"/>
    <n v="0"/>
    <n v="0"/>
    <x v="1"/>
    <n v="0"/>
    <s v="MMR001CMP121"/>
    <x v="1"/>
    <x v="1"/>
    <x v="4"/>
    <n v="0"/>
    <s v="No"/>
    <m/>
  </r>
  <r>
    <n v="37.200000000000003"/>
    <d v="2012-12-11T00:00:00"/>
    <x v="5"/>
    <s v="Solidarities"/>
    <s v="Kachin"/>
    <s v="Momauk"/>
    <s v="Hpun Lum Yang "/>
    <n v="1658"/>
    <m/>
    <n v="2085"/>
    <m/>
    <m/>
    <m/>
    <m/>
    <m/>
    <n v="0"/>
    <n v="0"/>
    <m/>
    <m/>
    <m/>
    <m/>
    <m/>
    <m/>
    <m/>
    <n v="0"/>
    <n v="0"/>
    <n v="0"/>
    <n v="0"/>
    <n v="0"/>
    <n v="0"/>
    <n v="0"/>
    <n v="0"/>
    <n v="0"/>
    <n v="0"/>
    <n v="0"/>
    <n v="0"/>
    <n v="0"/>
    <n v="0"/>
    <x v="1"/>
    <n v="0"/>
    <s v="MMR001CMP122"/>
    <x v="1"/>
    <x v="1"/>
    <x v="4"/>
    <n v="0"/>
    <s v="No"/>
    <m/>
  </r>
  <r>
    <n v="37.233333333333334"/>
    <d v="2012-12-10T00:00:00"/>
    <x v="5"/>
    <s v="Solidarities"/>
    <s v="Kachin"/>
    <s v="Waingmaw"/>
    <s v="Woi Chyai "/>
    <n v="4285"/>
    <m/>
    <n v="4055"/>
    <m/>
    <m/>
    <m/>
    <m/>
    <m/>
    <n v="0"/>
    <n v="0"/>
    <m/>
    <m/>
    <m/>
    <m/>
    <m/>
    <m/>
    <m/>
    <n v="0"/>
    <n v="0"/>
    <n v="0"/>
    <n v="0"/>
    <n v="0"/>
    <n v="0"/>
    <n v="0"/>
    <n v="0"/>
    <n v="0"/>
    <n v="0"/>
    <n v="0"/>
    <n v="0"/>
    <n v="0"/>
    <n v="0"/>
    <x v="1"/>
    <n v="0"/>
    <s v="MMR001CMP116"/>
    <x v="1"/>
    <x v="1"/>
    <x v="1"/>
    <n v="0"/>
    <s v="No"/>
    <m/>
  </r>
  <r>
    <n v="37.299999999999997"/>
    <d v="2012-12-08T00:00:00"/>
    <x v="5"/>
    <s v="Solidarities"/>
    <s v="Kachin"/>
    <s v="Waingmaw"/>
    <s v="Laiza Market 3 - Laiza Gat"/>
    <n v="1690"/>
    <m/>
    <n v="2245"/>
    <m/>
    <m/>
    <m/>
    <m/>
    <m/>
    <n v="0"/>
    <n v="0"/>
    <m/>
    <m/>
    <m/>
    <m/>
    <m/>
    <m/>
    <m/>
    <n v="0"/>
    <n v="0"/>
    <n v="0"/>
    <n v="0"/>
    <n v="0"/>
    <n v="0"/>
    <n v="0"/>
    <n v="0"/>
    <n v="0"/>
    <n v="0"/>
    <n v="0"/>
    <n v="0"/>
    <n v="0"/>
    <n v="0"/>
    <x v="1"/>
    <n v="0"/>
    <s v="MMR001CMP117"/>
    <x v="1"/>
    <x v="2"/>
    <x v="4"/>
    <s v=""/>
    <s v="No"/>
    <m/>
  </r>
  <r>
    <n v="38.166666666666664"/>
    <d v="2012-11-12T00:00:00"/>
    <x v="0"/>
    <s v="UNHCR"/>
    <s v="Kachin"/>
    <s v="Waingmaw"/>
    <s v="Qtr. 2 Lhaovo Baptist Church"/>
    <m/>
    <m/>
    <m/>
    <n v="12"/>
    <n v="12"/>
    <n v="12"/>
    <n v="5"/>
    <n v="5"/>
    <n v="5"/>
    <n v="5"/>
    <m/>
    <m/>
    <m/>
    <m/>
    <m/>
    <m/>
    <m/>
    <n v="0"/>
    <n v="0"/>
    <n v="0"/>
    <n v="0"/>
    <n v="0"/>
    <n v="0"/>
    <n v="0"/>
    <n v="0"/>
    <n v="0"/>
    <n v="0"/>
    <n v="0"/>
    <n v="0"/>
    <n v="0"/>
    <n v="0"/>
    <x v="1"/>
    <n v="0"/>
    <s v="MMR001CMP032"/>
    <x v="1"/>
    <x v="1"/>
    <x v="1"/>
    <n v="5.3191489361702128E-2"/>
    <s v="No"/>
    <m/>
  </r>
  <r>
    <n v="38.233333333333334"/>
    <d v="2012-11-10T00:00:00"/>
    <x v="0"/>
    <s v="UNHCR"/>
    <s v="Kachin"/>
    <s v="Hpakant"/>
    <s v="Hlaing Naung Baptist"/>
    <m/>
    <m/>
    <m/>
    <n v="12"/>
    <n v="0"/>
    <n v="12"/>
    <n v="0"/>
    <n v="0"/>
    <m/>
    <m/>
    <m/>
    <m/>
    <m/>
    <m/>
    <m/>
    <m/>
    <m/>
    <n v="0"/>
    <n v="0"/>
    <n v="0"/>
    <n v="0"/>
    <n v="0"/>
    <n v="0"/>
    <n v="0"/>
    <n v="0"/>
    <n v="0"/>
    <n v="0"/>
    <n v="0"/>
    <n v="0"/>
    <n v="0"/>
    <n v="0"/>
    <x v="1"/>
    <n v="0"/>
    <s v="MMR001CMP148"/>
    <x v="1"/>
    <x v="1"/>
    <x v="1"/>
    <n v="0"/>
    <s v="No"/>
    <m/>
  </r>
  <r>
    <n v="38.4"/>
    <d v="2012-11-05T00:00:00"/>
    <x v="0"/>
    <s v="UNHCR"/>
    <s v="Kachin"/>
    <s v="Hpakant"/>
    <s v="Hlaing Naung Baptist"/>
    <m/>
    <m/>
    <m/>
    <n v="70"/>
    <n v="40"/>
    <n v="70"/>
    <n v="40"/>
    <n v="40"/>
    <n v="40"/>
    <n v="40"/>
    <m/>
    <m/>
    <m/>
    <m/>
    <m/>
    <m/>
    <m/>
    <n v="0"/>
    <n v="0"/>
    <n v="0"/>
    <n v="0"/>
    <n v="0"/>
    <n v="0"/>
    <n v="0"/>
    <n v="0"/>
    <n v="0"/>
    <n v="0"/>
    <n v="0"/>
    <n v="0"/>
    <n v="0"/>
    <n v="0"/>
    <x v="1"/>
    <n v="0"/>
    <s v="MMR001CMP148"/>
    <x v="1"/>
    <x v="1"/>
    <x v="1"/>
    <n v="3.3333333333333335"/>
    <s v="No"/>
    <m/>
  </r>
  <r>
    <n v="39.233333333333334"/>
    <d v="2012-10-11T00:00:00"/>
    <x v="0"/>
    <s v="UNHCR"/>
    <s v="Kachin"/>
    <s v="Momauk"/>
    <s v="Seng Ja "/>
    <m/>
    <m/>
    <m/>
    <n v="28"/>
    <n v="17"/>
    <n v="28"/>
    <n v="17"/>
    <n v="17"/>
    <n v="17"/>
    <n v="17"/>
    <m/>
    <m/>
    <m/>
    <m/>
    <m/>
    <m/>
    <m/>
    <n v="0"/>
    <n v="0"/>
    <n v="0"/>
    <n v="0"/>
    <n v="0"/>
    <n v="0"/>
    <n v="0"/>
    <n v="0"/>
    <n v="0"/>
    <n v="0"/>
    <n v="0"/>
    <n v="0"/>
    <n v="0"/>
    <n v="0"/>
    <x v="1"/>
    <n v="0"/>
    <s v="MMR001CMP073"/>
    <x v="1"/>
    <x v="1"/>
    <x v="2"/>
    <n v="0.37777777777777777"/>
    <s v="No"/>
    <m/>
  </r>
  <r>
    <n v="39.6"/>
    <d v="2012-09-30T00:00:00"/>
    <x v="0"/>
    <s v="Chipwe CM"/>
    <s v="Kachin"/>
    <s v="Chipwi"/>
    <s v="Women's Affairs Association Building"/>
    <m/>
    <m/>
    <m/>
    <n v="34"/>
    <n v="12"/>
    <n v="34"/>
    <n v="12"/>
    <n v="12"/>
    <n v="12"/>
    <n v="12"/>
    <m/>
    <m/>
    <m/>
    <m/>
    <m/>
    <m/>
    <m/>
    <n v="0"/>
    <n v="0"/>
    <n v="0"/>
    <n v="0"/>
    <n v="0"/>
    <n v="0"/>
    <n v="0"/>
    <n v="0"/>
    <n v="0"/>
    <n v="0"/>
    <n v="0"/>
    <n v="0"/>
    <n v="0"/>
    <n v="0"/>
    <x v="1"/>
    <n v="0"/>
    <s v="MMR001CMP044"/>
    <x v="1"/>
    <x v="2"/>
    <x v="0"/>
    <s v=""/>
    <s v="No"/>
    <m/>
  </r>
  <r>
    <n v="39.633333333333333"/>
    <d v="2012-09-29T00:00:00"/>
    <x v="0"/>
    <s v="Chipwe CM"/>
    <s v="Kachin"/>
    <s v="Chipwi"/>
    <s v="Lhaovao Baptist Church (LBC)"/>
    <m/>
    <m/>
    <m/>
    <n v="34"/>
    <n v="12"/>
    <n v="34"/>
    <n v="12"/>
    <n v="12"/>
    <n v="12"/>
    <n v="12"/>
    <m/>
    <m/>
    <m/>
    <m/>
    <m/>
    <m/>
    <m/>
    <n v="0"/>
    <n v="0"/>
    <n v="0"/>
    <n v="0"/>
    <n v="0"/>
    <n v="0"/>
    <n v="0"/>
    <n v="0"/>
    <n v="0"/>
    <n v="0"/>
    <n v="0"/>
    <n v="0"/>
    <n v="0"/>
    <n v="0"/>
    <x v="1"/>
    <n v="0"/>
    <s v="MMR001CMP195"/>
    <x v="1"/>
    <x v="1"/>
    <x v="3"/>
    <n v="8.3333333333333329E-2"/>
    <s v="No"/>
    <m/>
  </r>
  <r>
    <n v="39.633333333333333"/>
    <d v="2012-09-29T00:00:00"/>
    <x v="0"/>
    <s v="UNHCR"/>
    <s v="Kachin"/>
    <s v="Momauk"/>
    <s v="Loi Je Lisu Camp"/>
    <m/>
    <m/>
    <m/>
    <n v="151"/>
    <n v="59"/>
    <n v="151"/>
    <n v="59"/>
    <n v="59"/>
    <n v="59"/>
    <n v="59"/>
    <m/>
    <m/>
    <m/>
    <m/>
    <m/>
    <m/>
    <m/>
    <n v="0"/>
    <n v="0"/>
    <n v="0"/>
    <n v="0"/>
    <n v="0"/>
    <n v="0"/>
    <n v="0"/>
    <n v="0"/>
    <n v="0"/>
    <n v="0"/>
    <n v="0"/>
    <n v="0"/>
    <n v="0"/>
    <n v="0"/>
    <x v="1"/>
    <n v="0"/>
    <s v="MMR001CMP070"/>
    <x v="1"/>
    <x v="1"/>
    <x v="2"/>
    <n v="0.31382978723404253"/>
    <s v="No"/>
    <m/>
  </r>
  <r>
    <n v="39.666666666666664"/>
    <d v="2012-09-28T00:00:00"/>
    <x v="0"/>
    <s v="Chipwe CM"/>
    <s v="Kachin"/>
    <s v="Chipwi"/>
    <s v="Lan Jaw "/>
    <m/>
    <m/>
    <m/>
    <n v="33"/>
    <n v="11"/>
    <n v="33"/>
    <n v="11"/>
    <n v="11"/>
    <n v="11"/>
    <n v="11"/>
    <m/>
    <m/>
    <m/>
    <m/>
    <m/>
    <m/>
    <m/>
    <n v="0"/>
    <n v="0"/>
    <n v="0"/>
    <n v="0"/>
    <n v="0"/>
    <n v="0"/>
    <n v="0"/>
    <n v="0"/>
    <n v="0"/>
    <n v="0"/>
    <n v="0"/>
    <n v="0"/>
    <n v="0"/>
    <n v="0"/>
    <x v="1"/>
    <n v="0"/>
    <s v="MMR001CMP045"/>
    <x v="1"/>
    <x v="1"/>
    <x v="3"/>
    <s v=""/>
    <s v="No"/>
    <m/>
  </r>
  <r>
    <n v="39.700000000000003"/>
    <d v="2012-09-27T00:00:00"/>
    <x v="0"/>
    <s v="Chipwe CM"/>
    <s v="Kachin"/>
    <s v="Chipwi"/>
    <s v="Hpare Hkyer - BP6"/>
    <m/>
    <m/>
    <m/>
    <n v="33"/>
    <n v="11"/>
    <n v="33"/>
    <n v="11"/>
    <n v="11"/>
    <n v="11"/>
    <n v="11"/>
    <m/>
    <m/>
    <m/>
    <m/>
    <m/>
    <m/>
    <m/>
    <n v="0"/>
    <n v="0"/>
    <n v="0"/>
    <n v="0"/>
    <n v="0"/>
    <n v="0"/>
    <n v="0"/>
    <n v="0"/>
    <n v="0"/>
    <n v="0"/>
    <n v="0"/>
    <n v="0"/>
    <n v="0"/>
    <n v="0"/>
    <x v="1"/>
    <n v="0"/>
    <s v="MMR001CMP043"/>
    <x v="1"/>
    <x v="1"/>
    <x v="3"/>
    <n v="7.1428571428571425E-2"/>
    <s v="No"/>
    <m/>
  </r>
  <r>
    <n v="39.733333333333334"/>
    <d v="2012-09-26T00:00:00"/>
    <x v="0"/>
    <s v="Chipwe CM"/>
    <s v="Kachin"/>
    <s v="Chipwi"/>
    <s v="Gant Gwin"/>
    <m/>
    <m/>
    <m/>
    <n v="33"/>
    <n v="11"/>
    <n v="33"/>
    <n v="11"/>
    <n v="11"/>
    <n v="11"/>
    <n v="11"/>
    <m/>
    <m/>
    <m/>
    <m/>
    <m/>
    <m/>
    <m/>
    <n v="0"/>
    <n v="0"/>
    <n v="0"/>
    <n v="0"/>
    <n v="0"/>
    <n v="0"/>
    <n v="0"/>
    <n v="0"/>
    <n v="0"/>
    <n v="0"/>
    <n v="0"/>
    <n v="0"/>
    <n v="0"/>
    <n v="0"/>
    <x v="1"/>
    <n v="0"/>
    <s v="MMR001CMP046"/>
    <x v="1"/>
    <x v="2"/>
    <x v="3"/>
    <s v=""/>
    <s v="No"/>
    <m/>
  </r>
  <r>
    <n v="39.766666666666666"/>
    <d v="2012-09-25T00:00:00"/>
    <x v="0"/>
    <s v="Chipwe CM"/>
    <s v="Kachin"/>
    <s v="Chipwi"/>
    <s v="Chipwi KBC camp"/>
    <m/>
    <m/>
    <m/>
    <n v="33"/>
    <n v="11"/>
    <n v="33"/>
    <n v="11"/>
    <n v="11"/>
    <n v="11"/>
    <n v="11"/>
    <m/>
    <m/>
    <m/>
    <m/>
    <m/>
    <m/>
    <m/>
    <n v="0"/>
    <n v="0"/>
    <n v="0"/>
    <n v="0"/>
    <n v="0"/>
    <n v="0"/>
    <n v="0"/>
    <n v="0"/>
    <n v="0"/>
    <n v="0"/>
    <n v="0"/>
    <n v="0"/>
    <n v="0"/>
    <n v="0"/>
    <x v="1"/>
    <n v="0"/>
    <s v="MMR001CMP042"/>
    <x v="1"/>
    <x v="1"/>
    <x v="3"/>
    <n v="0.10185185185185185"/>
    <s v="No"/>
    <m/>
  </r>
  <r>
    <n v="40.033333333333331"/>
    <d v="2012-09-17T00:00:00"/>
    <x v="0"/>
    <s v="UNHCR"/>
    <s v="Kachin"/>
    <s v="Momauk"/>
    <s v="Man Bung Catholic compound"/>
    <m/>
    <m/>
    <m/>
    <n v="86"/>
    <n v="43"/>
    <n v="86"/>
    <n v="43"/>
    <n v="43"/>
    <n v="43"/>
    <n v="43"/>
    <m/>
    <m/>
    <m/>
    <m/>
    <m/>
    <m/>
    <m/>
    <n v="0"/>
    <n v="0"/>
    <n v="0"/>
    <n v="0"/>
    <n v="0"/>
    <n v="0"/>
    <n v="0"/>
    <n v="0"/>
    <n v="0"/>
    <n v="0"/>
    <n v="0"/>
    <n v="0"/>
    <n v="0"/>
    <n v="0"/>
    <x v="1"/>
    <n v="0"/>
    <s v="MMR001CMP062"/>
    <x v="1"/>
    <x v="1"/>
    <x v="1"/>
    <n v="0.16475095785440613"/>
    <s v="No"/>
    <m/>
  </r>
  <r>
    <n v="40.033333333333331"/>
    <d v="2012-09-17T00:00:00"/>
    <x v="0"/>
    <s v="UNHCR"/>
    <s v="Kachin"/>
    <s v="Momauk"/>
    <s v="Momauk Catholic Church (St. Patrick)"/>
    <m/>
    <m/>
    <m/>
    <n v="86"/>
    <n v="43"/>
    <n v="86"/>
    <n v="43"/>
    <n v="43"/>
    <n v="43"/>
    <n v="43"/>
    <m/>
    <m/>
    <m/>
    <m/>
    <m/>
    <m/>
    <m/>
    <n v="0"/>
    <n v="0"/>
    <n v="0"/>
    <n v="0"/>
    <n v="0"/>
    <n v="0"/>
    <n v="0"/>
    <n v="0"/>
    <n v="0"/>
    <n v="0"/>
    <n v="0"/>
    <n v="0"/>
    <n v="0"/>
    <n v="0"/>
    <x v="1"/>
    <n v="0"/>
    <s v="MMR001CMP057"/>
    <x v="1"/>
    <x v="2"/>
    <x v="1"/>
    <s v=""/>
    <s v="No"/>
    <m/>
  </r>
  <r>
    <n v="40.133333333333333"/>
    <d v="2012-09-14T00:00:00"/>
    <x v="0"/>
    <s v="UNHCR"/>
    <s v="Kachin"/>
    <s v="Waingmaw"/>
    <s v="Maina Catholic Church (St. Joseph)"/>
    <m/>
    <m/>
    <m/>
    <n v="94"/>
    <n v="48"/>
    <n v="94"/>
    <n v="48"/>
    <n v="48"/>
    <n v="48"/>
    <n v="48"/>
    <m/>
    <m/>
    <m/>
    <m/>
    <m/>
    <m/>
    <m/>
    <n v="0"/>
    <n v="0"/>
    <n v="0"/>
    <n v="0"/>
    <n v="0"/>
    <n v="0"/>
    <n v="0"/>
    <n v="0"/>
    <n v="0"/>
    <n v="0"/>
    <n v="0"/>
    <n v="0"/>
    <n v="0"/>
    <n v="0"/>
    <x v="1"/>
    <n v="0"/>
    <s v="MMR001CMP029"/>
    <x v="1"/>
    <x v="1"/>
    <x v="1"/>
    <n v="0.21145374449339208"/>
    <s v="No"/>
    <m/>
  </r>
  <r>
    <n v="40.133333333333333"/>
    <d v="2012-09-14T00:00:00"/>
    <x v="0"/>
    <s v="UNHCR"/>
    <s v="Kachin"/>
    <s v="Waingmaw"/>
    <s v="Waingmaw AG Church"/>
    <m/>
    <m/>
    <m/>
    <n v="14"/>
    <n v="8"/>
    <n v="14"/>
    <n v="8"/>
    <n v="8"/>
    <n v="8"/>
    <n v="8"/>
    <m/>
    <m/>
    <m/>
    <m/>
    <m/>
    <m/>
    <m/>
    <n v="0"/>
    <n v="0"/>
    <n v="0"/>
    <n v="0"/>
    <n v="0"/>
    <n v="0"/>
    <n v="0"/>
    <n v="0"/>
    <n v="0"/>
    <n v="0"/>
    <n v="0"/>
    <n v="0"/>
    <n v="0"/>
    <n v="0"/>
    <x v="1"/>
    <n v="0"/>
    <s v="MMR001CMP038"/>
    <x v="1"/>
    <x v="1"/>
    <x v="1"/>
    <n v="8.8888888888888892E-2"/>
    <s v="No"/>
    <m/>
  </r>
  <r>
    <n v="40.266666666666666"/>
    <d v="2012-09-10T00:00:00"/>
    <x v="0"/>
    <s v="UNHCR"/>
    <s v="Kachin"/>
    <s v="Myitkyina"/>
    <s v="Myay Myint Baptist Church"/>
    <m/>
    <m/>
    <m/>
    <n v="10"/>
    <n v="6"/>
    <n v="10"/>
    <n v="6"/>
    <n v="6"/>
    <n v="6"/>
    <n v="6"/>
    <m/>
    <m/>
    <m/>
    <m/>
    <m/>
    <m/>
    <m/>
    <n v="0"/>
    <n v="0"/>
    <n v="0"/>
    <n v="0"/>
    <n v="0"/>
    <n v="0"/>
    <n v="0"/>
    <n v="0"/>
    <n v="0"/>
    <n v="0"/>
    <n v="0"/>
    <n v="0"/>
    <n v="0"/>
    <n v="0"/>
    <x v="1"/>
    <n v="0"/>
    <s v="MMR001CMP017"/>
    <x v="1"/>
    <x v="2"/>
    <x v="1"/>
    <s v=""/>
    <s v="No"/>
    <m/>
  </r>
  <r>
    <n v="40.43333333333333"/>
    <d v="2012-09-05T00:00:00"/>
    <x v="0"/>
    <s v="UNHCR"/>
    <s v="Kachin"/>
    <s v="Momauk"/>
    <s v="Loi Je Baptist Church"/>
    <m/>
    <m/>
    <m/>
    <n v="40"/>
    <n v="17"/>
    <n v="40"/>
    <n v="17"/>
    <n v="17"/>
    <n v="17"/>
    <n v="17"/>
    <m/>
    <m/>
    <m/>
    <m/>
    <m/>
    <m/>
    <m/>
    <n v="0"/>
    <n v="0"/>
    <n v="0"/>
    <n v="0"/>
    <n v="0"/>
    <n v="0"/>
    <n v="0"/>
    <n v="0"/>
    <n v="0"/>
    <n v="0"/>
    <n v="0"/>
    <n v="0"/>
    <n v="0"/>
    <n v="0"/>
    <x v="1"/>
    <n v="0"/>
    <s v="MMR001CMP071"/>
    <x v="1"/>
    <x v="1"/>
    <x v="2"/>
    <n v="0.58620689655172409"/>
    <s v="No"/>
    <m/>
  </r>
  <r>
    <n v="40.43333333333333"/>
    <d v="2012-09-05T00:00:00"/>
    <x v="0"/>
    <s v="UNHCR"/>
    <s v="Kachin"/>
    <s v="Momauk"/>
    <s v="Loi Je Catholic Church"/>
    <m/>
    <m/>
    <m/>
    <n v="21"/>
    <n v="10"/>
    <n v="21"/>
    <n v="10"/>
    <n v="10"/>
    <n v="10"/>
    <n v="10"/>
    <m/>
    <m/>
    <m/>
    <m/>
    <m/>
    <m/>
    <m/>
    <n v="0"/>
    <n v="0"/>
    <n v="0"/>
    <n v="0"/>
    <n v="0"/>
    <n v="0"/>
    <n v="0"/>
    <n v="0"/>
    <n v="0"/>
    <n v="0"/>
    <n v="0"/>
    <n v="0"/>
    <n v="0"/>
    <n v="0"/>
    <x v="1"/>
    <n v="0"/>
    <s v="MMR001CMP069"/>
    <x v="1"/>
    <x v="1"/>
    <x v="2"/>
    <n v="8.0645161290322578E-2"/>
    <s v="No"/>
    <m/>
  </r>
  <r>
    <n v="40.43333333333333"/>
    <d v="2012-09-05T00:00:00"/>
    <x v="0"/>
    <s v="UNHCR"/>
    <s v="Kachin"/>
    <s v="Momauk"/>
    <s v="Loi Je Lisu Camp"/>
    <m/>
    <m/>
    <m/>
    <n v="133"/>
    <n v="62"/>
    <n v="133"/>
    <n v="62"/>
    <n v="62"/>
    <n v="62"/>
    <n v="62"/>
    <m/>
    <m/>
    <m/>
    <m/>
    <m/>
    <m/>
    <m/>
    <n v="0"/>
    <n v="0"/>
    <n v="0"/>
    <n v="0"/>
    <n v="0"/>
    <n v="0"/>
    <n v="0"/>
    <n v="0"/>
    <n v="0"/>
    <n v="0"/>
    <n v="0"/>
    <n v="0"/>
    <n v="0"/>
    <n v="0"/>
    <x v="1"/>
    <n v="0"/>
    <s v="MMR001CMP070"/>
    <x v="1"/>
    <x v="1"/>
    <x v="2"/>
    <n v="0.32978723404255317"/>
    <s v="No"/>
    <m/>
  </r>
  <r>
    <n v="40.43333333333333"/>
    <d v="2012-09-05T00:00:00"/>
    <x v="0"/>
    <s v="UNHCR"/>
    <s v="Kachin"/>
    <s v="Momauk"/>
    <s v="Seng Ja "/>
    <m/>
    <m/>
    <m/>
    <n v="26"/>
    <n v="11"/>
    <n v="26"/>
    <n v="11"/>
    <n v="11"/>
    <n v="11"/>
    <n v="11"/>
    <m/>
    <m/>
    <m/>
    <m/>
    <m/>
    <m/>
    <m/>
    <n v="0"/>
    <n v="0"/>
    <n v="0"/>
    <n v="0"/>
    <n v="0"/>
    <n v="0"/>
    <n v="0"/>
    <n v="0"/>
    <n v="0"/>
    <n v="0"/>
    <n v="0"/>
    <n v="0"/>
    <n v="0"/>
    <n v="0"/>
    <x v="1"/>
    <n v="0"/>
    <s v="MMR001CMP073"/>
    <x v="1"/>
    <x v="1"/>
    <x v="2"/>
    <n v="0.24444444444444444"/>
    <s v="No"/>
    <m/>
  </r>
  <r>
    <n v="40.666666666666664"/>
    <d v="2012-08-29T00:00:00"/>
    <x v="0"/>
    <s v="UNHCR"/>
    <s v="Kachin"/>
    <s v="Momauk"/>
    <s v="Nyaung Na Pin "/>
    <m/>
    <m/>
    <m/>
    <n v="112"/>
    <n v="41"/>
    <n v="112"/>
    <n v="41"/>
    <n v="41"/>
    <n v="41"/>
    <n v="41"/>
    <m/>
    <m/>
    <m/>
    <m/>
    <m/>
    <m/>
    <m/>
    <n v="0"/>
    <n v="0"/>
    <n v="0"/>
    <n v="0"/>
    <n v="0"/>
    <n v="0"/>
    <n v="0"/>
    <n v="0"/>
    <n v="0"/>
    <n v="0"/>
    <n v="0"/>
    <n v="0"/>
    <n v="0"/>
    <n v="0"/>
    <x v="1"/>
    <n v="0"/>
    <s v="MMR001CMP072"/>
    <x v="1"/>
    <x v="1"/>
    <x v="2"/>
    <n v="0.82"/>
    <s v="No"/>
    <m/>
  </r>
  <r>
    <n v="40.733333333333334"/>
    <d v="2012-08-27T00:00:00"/>
    <x v="0"/>
    <s v="UNHCR"/>
    <s v="Kachin"/>
    <s v="Myitkyina"/>
    <s v="Jan Mai Kawng Baptist Church"/>
    <m/>
    <m/>
    <m/>
    <n v="7"/>
    <n v="4"/>
    <n v="7"/>
    <n v="3"/>
    <n v="3"/>
    <n v="3"/>
    <n v="3"/>
    <m/>
    <m/>
    <m/>
    <m/>
    <m/>
    <m/>
    <m/>
    <n v="0"/>
    <n v="0"/>
    <n v="0"/>
    <n v="0"/>
    <n v="0"/>
    <n v="0"/>
    <n v="0"/>
    <n v="0"/>
    <n v="0"/>
    <n v="0"/>
    <n v="0"/>
    <n v="0"/>
    <n v="0"/>
    <n v="0"/>
    <x v="1"/>
    <n v="0"/>
    <s v="MMR001CMP018"/>
    <x v="1"/>
    <x v="1"/>
    <x v="1"/>
    <n v="1.4778325123152709E-2"/>
    <s v="No"/>
    <m/>
  </r>
  <r>
    <n v="40.733333333333334"/>
    <d v="2012-08-27T00:00:00"/>
    <x v="0"/>
    <s v="UNHCR"/>
    <s v="Kachin"/>
    <s v="Myitkyina"/>
    <s v="Maliyang Baptist Church"/>
    <m/>
    <m/>
    <m/>
    <n v="2"/>
    <n v="1"/>
    <n v="2"/>
    <n v="1"/>
    <n v="1"/>
    <n v="1"/>
    <n v="1"/>
    <m/>
    <m/>
    <m/>
    <m/>
    <m/>
    <m/>
    <m/>
    <n v="0"/>
    <n v="0"/>
    <n v="0"/>
    <n v="0"/>
    <n v="0"/>
    <n v="0"/>
    <n v="0"/>
    <n v="0"/>
    <n v="0"/>
    <n v="0"/>
    <n v="0"/>
    <n v="0"/>
    <n v="0"/>
    <n v="0"/>
    <x v="1"/>
    <n v="0"/>
    <s v="MMR001CMP016"/>
    <x v="1"/>
    <x v="1"/>
    <x v="1"/>
    <n v="1.3888888888888888E-2"/>
    <s v="No"/>
    <m/>
  </r>
  <r>
    <n v="40.733333333333334"/>
    <d v="2012-08-27T00:00:00"/>
    <x v="0"/>
    <s v="UNHCR"/>
    <s v="Kachin"/>
    <s v="Myitkyina"/>
    <s v="Maw Hpawng Hka Nan Baptist Church"/>
    <m/>
    <m/>
    <m/>
    <n v="2"/>
    <n v="1"/>
    <n v="2"/>
    <n v="1"/>
    <n v="1"/>
    <n v="1"/>
    <n v="1"/>
    <m/>
    <m/>
    <m/>
    <m/>
    <m/>
    <m/>
    <m/>
    <n v="0"/>
    <n v="0"/>
    <n v="0"/>
    <n v="0"/>
    <n v="0"/>
    <n v="0"/>
    <n v="0"/>
    <n v="0"/>
    <n v="0"/>
    <n v="0"/>
    <n v="0"/>
    <n v="0"/>
    <n v="0"/>
    <n v="0"/>
    <x v="1"/>
    <n v="0"/>
    <s v="MMR001CMP020"/>
    <x v="1"/>
    <x v="1"/>
    <x v="1"/>
    <n v="4.5454545454545456E-2"/>
    <s v="No"/>
    <m/>
  </r>
  <r>
    <n v="40.733333333333334"/>
    <d v="2012-08-27T00:00:00"/>
    <x v="0"/>
    <s v="UNHCR"/>
    <s v="Kachin"/>
    <s v="Myitkyina"/>
    <s v="Maw Hpawng Lhaovo Baptist Church"/>
    <m/>
    <m/>
    <m/>
    <n v="10"/>
    <n v="5"/>
    <n v="10"/>
    <n v="5"/>
    <n v="5"/>
    <n v="5"/>
    <n v="5"/>
    <m/>
    <m/>
    <m/>
    <m/>
    <m/>
    <m/>
    <m/>
    <n v="0"/>
    <n v="0"/>
    <n v="0"/>
    <n v="0"/>
    <n v="0"/>
    <n v="0"/>
    <n v="0"/>
    <n v="0"/>
    <n v="0"/>
    <n v="0"/>
    <n v="0"/>
    <n v="0"/>
    <n v="0"/>
    <n v="0"/>
    <x v="1"/>
    <n v="0"/>
    <s v="MMR001CMP021"/>
    <x v="1"/>
    <x v="1"/>
    <x v="1"/>
    <n v="0.35714285714285715"/>
    <s v="No"/>
    <m/>
  </r>
  <r>
    <n v="40.733333333333334"/>
    <d v="2012-08-27T00:00:00"/>
    <x v="0"/>
    <s v="UNHCR"/>
    <s v="Kachin"/>
    <s v="Myitkyina"/>
    <s v="Wun Tho Buddhist Monastery"/>
    <m/>
    <m/>
    <m/>
    <n v="10"/>
    <n v="5"/>
    <n v="10"/>
    <n v="5"/>
    <n v="5"/>
    <n v="5"/>
    <n v="5"/>
    <m/>
    <m/>
    <m/>
    <m/>
    <m/>
    <m/>
    <m/>
    <n v="0"/>
    <n v="0"/>
    <n v="0"/>
    <n v="0"/>
    <n v="0"/>
    <n v="0"/>
    <n v="0"/>
    <n v="0"/>
    <n v="0"/>
    <n v="0"/>
    <n v="0"/>
    <n v="0"/>
    <n v="0"/>
    <n v="0"/>
    <x v="1"/>
    <n v="0"/>
    <s v="MMR001CMP022"/>
    <x v="1"/>
    <x v="1"/>
    <x v="1"/>
    <n v="0.7142857142857143"/>
    <s v="No"/>
    <m/>
  </r>
  <r>
    <n v="41.2"/>
    <d v="2012-08-13T00:00:00"/>
    <x v="0"/>
    <s v="UNHCR "/>
    <s v="Kachin"/>
    <s v="Bhamo"/>
    <s v="Robert Church"/>
    <m/>
    <m/>
    <m/>
    <n v="310"/>
    <n v="151"/>
    <n v="310"/>
    <n v="151"/>
    <n v="151"/>
    <n v="151"/>
    <n v="151"/>
    <m/>
    <m/>
    <m/>
    <m/>
    <m/>
    <m/>
    <m/>
    <n v="0"/>
    <n v="0"/>
    <n v="0"/>
    <n v="0"/>
    <n v="0"/>
    <n v="0"/>
    <n v="0"/>
    <n v="0"/>
    <n v="0"/>
    <n v="0"/>
    <n v="0"/>
    <n v="0"/>
    <n v="0"/>
    <n v="0"/>
    <x v="1"/>
    <n v="0"/>
    <s v="MMR001CMP047"/>
    <x v="1"/>
    <x v="1"/>
    <x v="1"/>
    <n v="0.23159509202453987"/>
    <s v="No"/>
    <m/>
  </r>
  <r>
    <n v="41.333333333333336"/>
    <d v="2012-08-09T00:00:00"/>
    <x v="0"/>
    <s v="UNHCR"/>
    <s v="Kachin"/>
    <s v="Myitkyina"/>
    <s v="Jan Mai Kawng Baptist Church"/>
    <m/>
    <m/>
    <m/>
    <n v="7"/>
    <n v="3"/>
    <n v="7"/>
    <n v="3"/>
    <n v="3"/>
    <n v="3"/>
    <n v="3"/>
    <m/>
    <m/>
    <m/>
    <m/>
    <m/>
    <m/>
    <m/>
    <n v="0"/>
    <n v="0"/>
    <n v="0"/>
    <n v="0"/>
    <n v="0"/>
    <n v="0"/>
    <n v="0"/>
    <n v="0"/>
    <n v="0"/>
    <n v="0"/>
    <n v="0"/>
    <n v="0"/>
    <n v="0"/>
    <n v="0"/>
    <x v="1"/>
    <n v="0"/>
    <s v="MMR001CMP018"/>
    <x v="1"/>
    <x v="1"/>
    <x v="1"/>
    <n v="1.4778325123152709E-2"/>
    <s v="No"/>
    <m/>
  </r>
  <r>
    <n v="41.333333333333336"/>
    <d v="2012-08-09T00:00:00"/>
    <x v="0"/>
    <s v="UNHCR"/>
    <s v="Kachin"/>
    <s v="Myitkyina"/>
    <s v="Maliyang Baptist Church"/>
    <m/>
    <m/>
    <m/>
    <n v="2"/>
    <n v="1"/>
    <n v="2"/>
    <n v="1"/>
    <n v="1"/>
    <n v="1"/>
    <n v="1"/>
    <m/>
    <m/>
    <m/>
    <m/>
    <m/>
    <m/>
    <m/>
    <n v="0"/>
    <n v="0"/>
    <n v="0"/>
    <n v="0"/>
    <n v="0"/>
    <n v="0"/>
    <n v="0"/>
    <n v="0"/>
    <n v="0"/>
    <n v="0"/>
    <n v="0"/>
    <n v="0"/>
    <n v="0"/>
    <n v="0"/>
    <x v="1"/>
    <n v="0"/>
    <s v="MMR001CMP016"/>
    <x v="1"/>
    <x v="1"/>
    <x v="1"/>
    <n v="1.3888888888888888E-2"/>
    <s v="No"/>
    <m/>
  </r>
  <r>
    <n v="41.333333333333336"/>
    <d v="2012-08-09T00:00:00"/>
    <x v="0"/>
    <s v="UNHCR"/>
    <s v="Kachin"/>
    <s v="Myitkyina"/>
    <s v="Maw Hpawng Hka Nan Baptist Church"/>
    <m/>
    <m/>
    <m/>
    <n v="2"/>
    <n v="1"/>
    <n v="2"/>
    <n v="1"/>
    <n v="1"/>
    <n v="1"/>
    <n v="1"/>
    <m/>
    <m/>
    <m/>
    <m/>
    <m/>
    <m/>
    <m/>
    <n v="0"/>
    <n v="0"/>
    <n v="0"/>
    <n v="0"/>
    <n v="0"/>
    <n v="0"/>
    <n v="0"/>
    <n v="0"/>
    <n v="0"/>
    <n v="0"/>
    <n v="0"/>
    <n v="0"/>
    <n v="0"/>
    <n v="0"/>
    <x v="1"/>
    <n v="0"/>
    <s v="MMR001CMP020"/>
    <x v="1"/>
    <x v="1"/>
    <x v="1"/>
    <n v="4.5454545454545456E-2"/>
    <s v="No"/>
    <m/>
  </r>
  <r>
    <n v="41.333333333333336"/>
    <d v="2012-08-09T00:00:00"/>
    <x v="0"/>
    <s v="UNHCR"/>
    <s v="Kachin"/>
    <s v="Myitkyina"/>
    <s v="Maw Hpawng Lhaovo Baptist Church"/>
    <m/>
    <m/>
    <m/>
    <n v="10"/>
    <n v="5"/>
    <n v="10"/>
    <n v="5"/>
    <n v="5"/>
    <n v="5"/>
    <n v="5"/>
    <m/>
    <m/>
    <m/>
    <m/>
    <m/>
    <m/>
    <m/>
    <n v="0"/>
    <n v="0"/>
    <n v="0"/>
    <n v="0"/>
    <n v="0"/>
    <n v="0"/>
    <n v="0"/>
    <n v="0"/>
    <n v="0"/>
    <n v="0"/>
    <n v="0"/>
    <n v="0"/>
    <n v="0"/>
    <n v="0"/>
    <x v="1"/>
    <n v="0"/>
    <s v="MMR001CMP021"/>
    <x v="1"/>
    <x v="1"/>
    <x v="1"/>
    <n v="0.35714285714285715"/>
    <s v="No"/>
    <m/>
  </r>
  <r>
    <n v="41.333333333333336"/>
    <d v="2012-08-09T00:00:00"/>
    <x v="0"/>
    <s v="UNHCR"/>
    <s v="Kachin"/>
    <s v="Myitkyina"/>
    <s v="Nan Kway St. John Catholic Church"/>
    <m/>
    <m/>
    <m/>
    <n v="42"/>
    <n v="20"/>
    <n v="42"/>
    <n v="20"/>
    <n v="20"/>
    <n v="20"/>
    <n v="20"/>
    <m/>
    <m/>
    <m/>
    <m/>
    <m/>
    <m/>
    <m/>
    <n v="0"/>
    <n v="0"/>
    <n v="0"/>
    <n v="0"/>
    <n v="0"/>
    <n v="0"/>
    <n v="0"/>
    <n v="0"/>
    <n v="0"/>
    <n v="0"/>
    <n v="0"/>
    <n v="0"/>
    <n v="0"/>
    <n v="0"/>
    <x v="1"/>
    <n v="0"/>
    <s v="MMR001CMP024"/>
    <x v="1"/>
    <x v="1"/>
    <x v="1"/>
    <n v="0.28985507246376813"/>
    <s v="No"/>
    <m/>
  </r>
  <r>
    <n v="41.333333333333336"/>
    <d v="2012-08-09T00:00:00"/>
    <x v="0"/>
    <s v="UNHCR"/>
    <s v="Kachin"/>
    <s v="Myitkyina"/>
    <s v="Wun Tho Buddhist Monastery"/>
    <m/>
    <m/>
    <m/>
    <n v="10"/>
    <n v="5"/>
    <n v="10"/>
    <n v="5"/>
    <n v="5"/>
    <n v="5"/>
    <n v="5"/>
    <m/>
    <m/>
    <m/>
    <m/>
    <m/>
    <m/>
    <m/>
    <n v="0"/>
    <n v="0"/>
    <n v="0"/>
    <n v="0"/>
    <n v="0"/>
    <n v="0"/>
    <n v="0"/>
    <n v="0"/>
    <n v="0"/>
    <n v="0"/>
    <n v="0"/>
    <n v="0"/>
    <n v="0"/>
    <n v="0"/>
    <x v="1"/>
    <n v="0"/>
    <s v="MMR001CMP022"/>
    <x v="1"/>
    <x v="1"/>
    <x v="1"/>
    <n v="0.7142857142857143"/>
    <s v="No"/>
    <m/>
  </r>
  <r>
    <n v="41.4"/>
    <d v="2012-08-07T00:00:00"/>
    <x v="0"/>
    <s v="UNHCR "/>
    <s v="Kachin"/>
    <s v="Mansi"/>
    <s v="Mansi Baptist Church"/>
    <m/>
    <m/>
    <m/>
    <n v="0"/>
    <n v="73"/>
    <n v="0"/>
    <n v="73"/>
    <n v="73"/>
    <n v="73"/>
    <n v="73"/>
    <m/>
    <m/>
    <m/>
    <m/>
    <m/>
    <m/>
    <m/>
    <n v="0"/>
    <n v="0"/>
    <n v="0"/>
    <n v="0"/>
    <n v="0"/>
    <n v="0"/>
    <n v="0"/>
    <n v="0"/>
    <n v="0"/>
    <n v="0"/>
    <n v="0"/>
    <n v="0"/>
    <n v="0"/>
    <n v="0"/>
    <x v="1"/>
    <n v="0"/>
    <s v="MMR001CMP066"/>
    <x v="1"/>
    <x v="1"/>
    <x v="1"/>
    <n v="0.33031674208144796"/>
    <s v="No"/>
    <m/>
  </r>
  <r>
    <n v="41.766666666666666"/>
    <d v="2012-07-27T00:00:00"/>
    <x v="0"/>
    <s v="UNHCR"/>
    <s v="Kachin"/>
    <s v="Mogaung"/>
    <s v="Kyun Taw Baptist Church "/>
    <m/>
    <m/>
    <m/>
    <n v="35"/>
    <n v="14"/>
    <n v="35"/>
    <n v="14"/>
    <n v="14"/>
    <n v="14"/>
    <n v="14"/>
    <m/>
    <m/>
    <m/>
    <m/>
    <m/>
    <m/>
    <m/>
    <n v="0"/>
    <n v="0"/>
    <n v="0"/>
    <n v="0"/>
    <n v="0"/>
    <n v="0"/>
    <n v="0"/>
    <n v="0"/>
    <n v="0"/>
    <n v="0"/>
    <n v="0"/>
    <n v="0"/>
    <n v="0"/>
    <n v="0"/>
    <x v="1"/>
    <n v="0"/>
    <s v="MMR001CMP078"/>
    <x v="1"/>
    <x v="1"/>
    <x v="1"/>
    <n v="0.875"/>
    <s v="No"/>
    <m/>
  </r>
  <r>
    <n v="41.766666666666666"/>
    <d v="2012-07-27T00:00:00"/>
    <x v="0"/>
    <s v="UNHCR"/>
    <s v="Kachin"/>
    <s v="Mohnyin"/>
    <s v="St. Patrick Catholic Church "/>
    <m/>
    <m/>
    <m/>
    <n v="0"/>
    <n v="8"/>
    <n v="0"/>
    <n v="8"/>
    <n v="8"/>
    <n v="8"/>
    <n v="8"/>
    <m/>
    <m/>
    <m/>
    <m/>
    <m/>
    <m/>
    <m/>
    <n v="0"/>
    <n v="0"/>
    <n v="0"/>
    <n v="0"/>
    <n v="0"/>
    <n v="0"/>
    <n v="0"/>
    <n v="0"/>
    <n v="0"/>
    <n v="0"/>
    <n v="0"/>
    <n v="0"/>
    <n v="0"/>
    <n v="0"/>
    <x v="1"/>
    <n v="0"/>
    <s v="MMR001CMP080"/>
    <x v="1"/>
    <x v="1"/>
    <x v="1"/>
    <n v="0.66666666666666663"/>
    <s v="No"/>
    <m/>
  </r>
  <r>
    <n v="41.8"/>
    <d v="2012-07-26T00:00:00"/>
    <x v="0"/>
    <s v="UNHCR"/>
    <s v="Kachin"/>
    <s v="Mogaung"/>
    <s v="Mang Hawng Baptist Church"/>
    <m/>
    <m/>
    <m/>
    <n v="31"/>
    <n v="15"/>
    <n v="31"/>
    <n v="15"/>
    <n v="16"/>
    <n v="16"/>
    <n v="16"/>
    <m/>
    <m/>
    <m/>
    <m/>
    <m/>
    <m/>
    <m/>
    <n v="0"/>
    <n v="0"/>
    <n v="0"/>
    <n v="0"/>
    <n v="0"/>
    <n v="0"/>
    <n v="0"/>
    <n v="0"/>
    <n v="0"/>
    <n v="0"/>
    <n v="0"/>
    <n v="0"/>
    <n v="0"/>
    <n v="0"/>
    <x v="1"/>
    <n v="0"/>
    <s v="MMR001CMP077"/>
    <x v="1"/>
    <x v="1"/>
    <x v="1"/>
    <n v="0.83333333333333337"/>
    <s v="No"/>
    <m/>
  </r>
  <r>
    <n v="41.8"/>
    <d v="2012-07-26T00:00:00"/>
    <x v="0"/>
    <s v="UNHCR"/>
    <s v="Kachin"/>
    <s v="Mogaung"/>
    <s v="Nat Gyi Kone Baptist Church "/>
    <m/>
    <m/>
    <m/>
    <n v="21"/>
    <n v="17"/>
    <n v="21"/>
    <n v="17"/>
    <n v="17"/>
    <n v="17"/>
    <n v="17"/>
    <m/>
    <m/>
    <m/>
    <m/>
    <m/>
    <m/>
    <m/>
    <n v="0"/>
    <n v="0"/>
    <n v="0"/>
    <n v="0"/>
    <n v="0"/>
    <n v="0"/>
    <n v="0"/>
    <n v="0"/>
    <n v="0"/>
    <n v="0"/>
    <n v="0"/>
    <n v="0"/>
    <n v="0"/>
    <n v="0"/>
    <x v="1"/>
    <n v="0"/>
    <s v="MMR001CMP079"/>
    <x v="1"/>
    <x v="1"/>
    <x v="1"/>
    <n v="1.2142857142857142"/>
    <s v="No"/>
    <m/>
  </r>
  <r>
    <n v="41.9"/>
    <d v="2012-07-23T00:00:00"/>
    <x v="0"/>
    <s v="UNHCR"/>
    <s v="Kachin"/>
    <s v="Myitkyina"/>
    <s v="Jan Mai Kawng Catholic Church"/>
    <m/>
    <m/>
    <m/>
    <n v="19"/>
    <n v="10"/>
    <n v="19"/>
    <n v="10"/>
    <n v="11"/>
    <n v="11"/>
    <n v="11"/>
    <m/>
    <m/>
    <m/>
    <m/>
    <m/>
    <m/>
    <m/>
    <n v="0"/>
    <n v="0"/>
    <n v="0"/>
    <n v="0"/>
    <n v="0"/>
    <n v="0"/>
    <n v="0"/>
    <n v="0"/>
    <n v="0"/>
    <n v="0"/>
    <n v="0"/>
    <n v="0"/>
    <n v="0"/>
    <n v="0"/>
    <x v="1"/>
    <n v="0"/>
    <s v="MMR001CMP019"/>
    <x v="1"/>
    <x v="1"/>
    <x v="1"/>
    <n v="9.1743119266055051E-2"/>
    <s v="No"/>
    <m/>
  </r>
  <r>
    <n v="41.9"/>
    <d v="2012-07-23T00:00:00"/>
    <x v="0"/>
    <s v="UNHCR"/>
    <s v="Kachin"/>
    <s v="Myitkyina"/>
    <s v="Maliyang Baptist Church"/>
    <m/>
    <m/>
    <m/>
    <n v="72"/>
    <n v="39"/>
    <n v="72"/>
    <n v="39"/>
    <n v="39"/>
    <n v="39"/>
    <n v="39"/>
    <m/>
    <m/>
    <m/>
    <m/>
    <m/>
    <m/>
    <m/>
    <n v="0"/>
    <n v="0"/>
    <n v="0"/>
    <n v="0"/>
    <n v="0"/>
    <n v="0"/>
    <n v="0"/>
    <n v="0"/>
    <n v="0"/>
    <n v="0"/>
    <n v="0"/>
    <n v="0"/>
    <n v="0"/>
    <n v="0"/>
    <x v="1"/>
    <n v="0"/>
    <s v="MMR001CMP016"/>
    <x v="1"/>
    <x v="1"/>
    <x v="1"/>
    <n v="0.54166666666666663"/>
    <s v="No"/>
    <m/>
  </r>
  <r>
    <n v="41.9"/>
    <d v="2012-07-23T00:00:00"/>
    <x v="0"/>
    <s v="UNHCR"/>
    <s v="Kachin"/>
    <s v="Myitkyina"/>
    <s v="Shatapru Thida Aye Baptist Church"/>
    <m/>
    <m/>
    <m/>
    <n v="30"/>
    <n v="12"/>
    <n v="30"/>
    <n v="12"/>
    <n v="14"/>
    <n v="14"/>
    <n v="14"/>
    <m/>
    <m/>
    <m/>
    <m/>
    <m/>
    <m/>
    <m/>
    <n v="0"/>
    <n v="0"/>
    <n v="0"/>
    <n v="0"/>
    <n v="0"/>
    <n v="0"/>
    <n v="0"/>
    <n v="0"/>
    <n v="0"/>
    <n v="0"/>
    <n v="0"/>
    <n v="0"/>
    <n v="0"/>
    <n v="0"/>
    <x v="1"/>
    <n v="0"/>
    <s v="MMR001CMP007"/>
    <x v="1"/>
    <x v="1"/>
    <x v="1"/>
    <n v="0.42857142857142855"/>
    <s v="No"/>
    <m/>
  </r>
  <r>
    <n v="41.9"/>
    <d v="2012-07-23T00:00:00"/>
    <x v="0"/>
    <s v="UNHCR"/>
    <s v="Kachin"/>
    <s v="Myitkyina"/>
    <s v="Tat Kone San Pya Baptist Church"/>
    <m/>
    <m/>
    <m/>
    <n v="24"/>
    <n v="8"/>
    <n v="24"/>
    <n v="8"/>
    <n v="13"/>
    <n v="13"/>
    <n v="13"/>
    <m/>
    <m/>
    <m/>
    <m/>
    <m/>
    <m/>
    <m/>
    <n v="0"/>
    <n v="0"/>
    <n v="0"/>
    <n v="0"/>
    <n v="0"/>
    <n v="0"/>
    <n v="0"/>
    <n v="0"/>
    <n v="0"/>
    <n v="0"/>
    <n v="0"/>
    <n v="0"/>
    <n v="0"/>
    <n v="0"/>
    <x v="1"/>
    <n v="0"/>
    <s v="MMR001CMP005"/>
    <x v="1"/>
    <x v="1"/>
    <x v="1"/>
    <n v="0.18181818181818182"/>
    <s v="No"/>
    <m/>
  </r>
  <r>
    <n v="42.033333333333331"/>
    <d v="2012-07-19T00:00:00"/>
    <x v="0"/>
    <s v="UNHCR"/>
    <s v="Kachin"/>
    <s v="Myitkyina"/>
    <s v="Kyun Pin Thar Baptist Church"/>
    <m/>
    <m/>
    <m/>
    <n v="6"/>
    <n v="4"/>
    <n v="6"/>
    <n v="4"/>
    <n v="4"/>
    <n v="4"/>
    <n v="4"/>
    <m/>
    <m/>
    <m/>
    <m/>
    <m/>
    <m/>
    <m/>
    <n v="0"/>
    <n v="0"/>
    <n v="0"/>
    <n v="0"/>
    <n v="0"/>
    <n v="0"/>
    <n v="0"/>
    <n v="0"/>
    <n v="0"/>
    <n v="0"/>
    <n v="0"/>
    <n v="0"/>
    <n v="0"/>
    <n v="0"/>
    <x v="1"/>
    <n v="0"/>
    <s v="MMR001CMP013"/>
    <x v="1"/>
    <x v="1"/>
    <x v="1"/>
    <n v="8.8888888888888892E-2"/>
    <s v="No"/>
    <m/>
  </r>
  <r>
    <n v="42.033333333333331"/>
    <d v="2012-07-19T00:00:00"/>
    <x v="0"/>
    <s v="UNHCR"/>
    <s v="Kachin"/>
    <s v="Myitkyina"/>
    <s v="Tat Kone COC Baptist - Tat Kone Htoi San"/>
    <m/>
    <m/>
    <m/>
    <n v="3"/>
    <n v="2"/>
    <n v="3"/>
    <n v="2"/>
    <n v="2"/>
    <n v="2"/>
    <n v="2"/>
    <m/>
    <m/>
    <m/>
    <m/>
    <m/>
    <m/>
    <m/>
    <n v="0"/>
    <n v="0"/>
    <n v="0"/>
    <n v="0"/>
    <n v="0"/>
    <n v="0"/>
    <n v="0"/>
    <n v="0"/>
    <n v="0"/>
    <n v="0"/>
    <n v="0"/>
    <n v="0"/>
    <n v="0"/>
    <n v="0"/>
    <x v="1"/>
    <n v="0"/>
    <s v="MMR001CMP023"/>
    <x v="1"/>
    <x v="1"/>
    <x v="1"/>
    <n v="2.9411764705882353E-2"/>
    <s v="No"/>
    <m/>
  </r>
  <r>
    <n v="42.033333333333331"/>
    <d v="2012-07-19T00:00:00"/>
    <x v="0"/>
    <s v="UNHCR"/>
    <s v="Kachin"/>
    <s v="Myitkyina"/>
    <s v="Wun Tho Buddhist Monastery"/>
    <m/>
    <m/>
    <m/>
    <n v="9"/>
    <n v="5"/>
    <n v="9"/>
    <n v="5"/>
    <n v="5"/>
    <n v="5"/>
    <n v="5"/>
    <m/>
    <m/>
    <m/>
    <m/>
    <m/>
    <m/>
    <m/>
    <n v="0"/>
    <n v="0"/>
    <n v="0"/>
    <n v="0"/>
    <n v="0"/>
    <n v="0"/>
    <n v="0"/>
    <n v="0"/>
    <n v="0"/>
    <n v="0"/>
    <n v="0"/>
    <n v="0"/>
    <n v="0"/>
    <n v="0"/>
    <x v="1"/>
    <n v="0"/>
    <s v="MMR001CMP022"/>
    <x v="1"/>
    <x v="1"/>
    <x v="1"/>
    <n v="0.7142857142857143"/>
    <s v="No"/>
    <m/>
  </r>
  <r>
    <n v="42.06666666666667"/>
    <d v="2012-07-18T00:00:00"/>
    <x v="0"/>
    <s v="UNHCR"/>
    <s v="Kachin"/>
    <s v="Mansi"/>
    <s v="Mung Ding Pa  (Boarder)"/>
    <m/>
    <m/>
    <m/>
    <n v="170"/>
    <n v="16"/>
    <n v="170"/>
    <n v="85"/>
    <n v="85"/>
    <n v="85"/>
    <n v="85"/>
    <m/>
    <m/>
    <m/>
    <m/>
    <m/>
    <m/>
    <m/>
    <n v="0"/>
    <n v="0"/>
    <n v="0"/>
    <n v="0"/>
    <n v="0"/>
    <n v="0"/>
    <n v="0"/>
    <n v="0"/>
    <n v="0"/>
    <n v="0"/>
    <n v="0"/>
    <n v="0"/>
    <n v="0"/>
    <n v="0"/>
    <x v="1"/>
    <n v="0"/>
    <s v="MMR001CMP203"/>
    <x v="1"/>
    <x v="2"/>
    <x v="0"/>
    <s v=""/>
    <s v="No"/>
    <m/>
  </r>
  <r>
    <n v="42.06666666666667"/>
    <d v="2012-07-18T00:00:00"/>
    <x v="0"/>
    <s v="UNHCR"/>
    <s v="Kachin"/>
    <s v="Mansi"/>
    <s v="Nam Lim Pa - Scattered IDPs in forest"/>
    <m/>
    <m/>
    <m/>
    <n v="206"/>
    <n v="78"/>
    <n v="206"/>
    <n v="103"/>
    <n v="103"/>
    <n v="103"/>
    <n v="103"/>
    <m/>
    <m/>
    <m/>
    <m/>
    <m/>
    <m/>
    <m/>
    <n v="0"/>
    <n v="0"/>
    <n v="0"/>
    <n v="0"/>
    <n v="0"/>
    <n v="0"/>
    <n v="0"/>
    <n v="0"/>
    <n v="0"/>
    <n v="0"/>
    <n v="0"/>
    <n v="0"/>
    <n v="0"/>
    <n v="0"/>
    <x v="1"/>
    <n v="0"/>
    <s v="MMR001CMP137"/>
    <x v="1"/>
    <x v="2"/>
    <x v="0"/>
    <s v=""/>
    <s v="No"/>
    <m/>
  </r>
  <r>
    <n v="42.1"/>
    <d v="2012-07-17T00:00:00"/>
    <x v="0"/>
    <s v="UNHCR"/>
    <s v="Kachin"/>
    <s v="Waingmaw"/>
    <s v="Border Post 8"/>
    <m/>
    <m/>
    <m/>
    <n v="19"/>
    <n v="19"/>
    <n v="19"/>
    <n v="19"/>
    <n v="19"/>
    <n v="19"/>
    <n v="19"/>
    <m/>
    <m/>
    <m/>
    <m/>
    <m/>
    <m/>
    <m/>
    <n v="0"/>
    <n v="0"/>
    <n v="0"/>
    <n v="0"/>
    <n v="0"/>
    <n v="0"/>
    <n v="0"/>
    <n v="0"/>
    <n v="0"/>
    <n v="0"/>
    <n v="0"/>
    <n v="0"/>
    <n v="0"/>
    <n v="0"/>
    <x v="1"/>
    <n v="0"/>
    <s v="MMR001CMP113"/>
    <x v="1"/>
    <x v="1"/>
    <x v="3"/>
    <n v="0.12258064516129032"/>
    <s v="No"/>
    <m/>
  </r>
  <r>
    <n v="42.1"/>
    <d v="2012-07-17T00:00:00"/>
    <x v="0"/>
    <s v="UNHCR"/>
    <s v="Kachin"/>
    <s v="Myitkyina"/>
    <s v="Du Kahtawng Qtr. 14"/>
    <m/>
    <m/>
    <m/>
    <n v="5"/>
    <n v="5"/>
    <n v="5"/>
    <n v="5"/>
    <n v="5"/>
    <n v="5"/>
    <n v="5"/>
    <m/>
    <m/>
    <m/>
    <m/>
    <m/>
    <m/>
    <m/>
    <n v="0"/>
    <n v="0"/>
    <n v="0"/>
    <n v="0"/>
    <n v="0"/>
    <n v="0"/>
    <n v="0"/>
    <n v="0"/>
    <n v="0"/>
    <n v="0"/>
    <n v="0"/>
    <n v="0"/>
    <n v="0"/>
    <n v="0"/>
    <x v="1"/>
    <n v="0"/>
    <s v="MMR001CMP012"/>
    <x v="1"/>
    <x v="1"/>
    <x v="1"/>
    <n v="0.83333333333333337"/>
    <s v="No"/>
    <m/>
  </r>
  <r>
    <n v="42.1"/>
    <d v="2012-07-17T00:00:00"/>
    <x v="0"/>
    <s v="UNHCR"/>
    <s v="Kachin"/>
    <s v="Myitkyina"/>
    <s v="Du Kahtawng Qtr. 4"/>
    <m/>
    <m/>
    <m/>
    <n v="6"/>
    <n v="6"/>
    <n v="6"/>
    <n v="6"/>
    <n v="6"/>
    <n v="6"/>
    <n v="6"/>
    <m/>
    <m/>
    <m/>
    <m/>
    <m/>
    <m/>
    <m/>
    <n v="0"/>
    <n v="0"/>
    <n v="0"/>
    <n v="0"/>
    <n v="0"/>
    <n v="0"/>
    <n v="0"/>
    <n v="0"/>
    <n v="0"/>
    <n v="0"/>
    <n v="0"/>
    <n v="0"/>
    <n v="0"/>
    <n v="0"/>
    <x v="1"/>
    <n v="0"/>
    <s v="MMR001CMP010"/>
    <x v="1"/>
    <x v="1"/>
    <x v="1"/>
    <n v="1"/>
    <s v="No"/>
    <m/>
  </r>
  <r>
    <n v="42.1"/>
    <d v="2012-07-17T00:00:00"/>
    <x v="0"/>
    <s v="UNHCR"/>
    <s v="Kachin"/>
    <s v="Myitkyina"/>
    <s v="Du Kahtawng Qtr. 5"/>
    <m/>
    <m/>
    <m/>
    <n v="6"/>
    <n v="6"/>
    <n v="6"/>
    <n v="6"/>
    <n v="6"/>
    <n v="6"/>
    <n v="6"/>
    <m/>
    <m/>
    <m/>
    <m/>
    <m/>
    <m/>
    <m/>
    <n v="0"/>
    <n v="0"/>
    <n v="0"/>
    <n v="0"/>
    <n v="0"/>
    <n v="0"/>
    <n v="0"/>
    <n v="0"/>
    <n v="0"/>
    <n v="0"/>
    <n v="0"/>
    <n v="0"/>
    <n v="0"/>
    <n v="0"/>
    <x v="1"/>
    <n v="0"/>
    <s v="MMR001CMP011"/>
    <x v="1"/>
    <x v="1"/>
    <x v="1"/>
    <n v="0.12"/>
    <s v="No"/>
    <m/>
  </r>
  <r>
    <n v="42.1"/>
    <d v="2012-07-17T00:00:00"/>
    <x v="0"/>
    <s v="UNHCR"/>
    <s v="Kachin"/>
    <s v="Momauk"/>
    <s v="Dum Bung "/>
    <m/>
    <m/>
    <m/>
    <n v="380"/>
    <n v="156"/>
    <n v="380"/>
    <n v="156"/>
    <n v="156"/>
    <n v="156"/>
    <n v="156"/>
    <m/>
    <m/>
    <m/>
    <m/>
    <m/>
    <m/>
    <m/>
    <n v="0"/>
    <n v="0"/>
    <n v="0"/>
    <n v="0"/>
    <n v="0"/>
    <n v="0"/>
    <n v="0"/>
    <n v="0"/>
    <n v="0"/>
    <n v="0"/>
    <n v="0"/>
    <n v="0"/>
    <n v="0"/>
    <n v="0"/>
    <x v="1"/>
    <n v="0"/>
    <s v="MMR001CMP123"/>
    <x v="1"/>
    <x v="1"/>
    <x v="4"/>
    <n v="1.3448275862068966"/>
    <s v="No"/>
    <m/>
  </r>
  <r>
    <n v="42.1"/>
    <d v="2012-07-17T00:00:00"/>
    <x v="0"/>
    <s v="UNHCR"/>
    <s v="Kachin"/>
    <s v="Momauk"/>
    <s v="Hpun Lum Yang "/>
    <m/>
    <m/>
    <m/>
    <n v="0"/>
    <n v="0"/>
    <n v="0"/>
    <n v="0"/>
    <n v="0"/>
    <m/>
    <m/>
    <m/>
    <m/>
    <m/>
    <m/>
    <m/>
    <m/>
    <m/>
    <n v="0"/>
    <n v="0"/>
    <n v="0"/>
    <n v="0"/>
    <n v="0"/>
    <n v="0"/>
    <n v="0"/>
    <n v="0"/>
    <n v="0"/>
    <n v="0"/>
    <n v="0"/>
    <n v="0"/>
    <n v="0"/>
    <n v="0"/>
    <x v="1"/>
    <n v="0"/>
    <s v="MMR001CMP122"/>
    <x v="1"/>
    <x v="1"/>
    <x v="4"/>
    <n v="0"/>
    <s v="No"/>
    <m/>
  </r>
  <r>
    <n v="42.1"/>
    <d v="2012-07-17T00:00:00"/>
    <x v="0"/>
    <s v="UNHCR"/>
    <s v="Kachin"/>
    <s v="Myitkyina"/>
    <s v="Jan Mai Kawng Baptist Church"/>
    <m/>
    <m/>
    <m/>
    <n v="21"/>
    <n v="21"/>
    <n v="21"/>
    <n v="21"/>
    <n v="21"/>
    <n v="21"/>
    <n v="21"/>
    <m/>
    <m/>
    <m/>
    <m/>
    <m/>
    <m/>
    <m/>
    <n v="0"/>
    <n v="0"/>
    <n v="0"/>
    <n v="0"/>
    <n v="0"/>
    <n v="0"/>
    <n v="0"/>
    <n v="0"/>
    <n v="0"/>
    <n v="0"/>
    <n v="0"/>
    <n v="0"/>
    <n v="0"/>
    <n v="0"/>
    <x v="1"/>
    <n v="0"/>
    <s v="MMR001CMP018"/>
    <x v="1"/>
    <x v="1"/>
    <x v="1"/>
    <n v="0.10344827586206896"/>
    <s v="No"/>
    <m/>
  </r>
  <r>
    <n v="42.1"/>
    <d v="2012-07-17T00:00:00"/>
    <x v="0"/>
    <s v="UNHCR"/>
    <s v="Kachin"/>
    <s v="Momauk"/>
    <s v="Loi Je Lisu Camp"/>
    <m/>
    <m/>
    <m/>
    <n v="0"/>
    <n v="0"/>
    <n v="0"/>
    <n v="0"/>
    <n v="0"/>
    <m/>
    <m/>
    <m/>
    <m/>
    <m/>
    <m/>
    <m/>
    <m/>
    <m/>
    <n v="0"/>
    <n v="0"/>
    <n v="0"/>
    <n v="0"/>
    <n v="0"/>
    <n v="0"/>
    <n v="0"/>
    <n v="0"/>
    <n v="0"/>
    <n v="0"/>
    <n v="0"/>
    <n v="0"/>
    <n v="0"/>
    <n v="0"/>
    <x v="1"/>
    <n v="0"/>
    <s v="MMR001CMP070"/>
    <x v="1"/>
    <x v="1"/>
    <x v="2"/>
    <n v="0"/>
    <s v="No"/>
    <m/>
  </r>
  <r>
    <n v="42.1"/>
    <d v="2012-07-17T00:00:00"/>
    <x v="0"/>
    <s v="UNHCR"/>
    <s v="Kachin"/>
    <s v="Mansi"/>
    <s v="Lung Kawk  ( Hka Hkye Zup)"/>
    <m/>
    <m/>
    <m/>
    <n v="0"/>
    <n v="0"/>
    <n v="0"/>
    <n v="0"/>
    <n v="0"/>
    <m/>
    <m/>
    <m/>
    <m/>
    <m/>
    <m/>
    <m/>
    <m/>
    <m/>
    <n v="0"/>
    <n v="0"/>
    <n v="0"/>
    <n v="0"/>
    <n v="0"/>
    <n v="0"/>
    <n v="0"/>
    <n v="0"/>
    <n v="0"/>
    <n v="0"/>
    <n v="0"/>
    <n v="0"/>
    <n v="0"/>
    <n v="0"/>
    <x v="1"/>
    <n v="0"/>
    <s v="MMR001CMP135"/>
    <x v="1"/>
    <x v="2"/>
    <x v="4"/>
    <s v=""/>
    <s v="No"/>
    <m/>
  </r>
  <r>
    <n v="42.1"/>
    <d v="2012-07-17T00:00:00"/>
    <x v="0"/>
    <s v="UNHCR"/>
    <s v="Kachin"/>
    <s v="Momauk"/>
    <s v="Mai Khat "/>
    <m/>
    <m/>
    <m/>
    <n v="0"/>
    <n v="0"/>
    <n v="0"/>
    <n v="0"/>
    <n v="0"/>
    <m/>
    <m/>
    <m/>
    <m/>
    <m/>
    <m/>
    <m/>
    <m/>
    <m/>
    <n v="0"/>
    <n v="0"/>
    <n v="0"/>
    <n v="0"/>
    <n v="0"/>
    <n v="0"/>
    <n v="0"/>
    <n v="0"/>
    <n v="0"/>
    <n v="0"/>
    <n v="0"/>
    <n v="0"/>
    <n v="0"/>
    <n v="0"/>
    <x v="1"/>
    <n v="0"/>
    <s v="MMR001CMP064"/>
    <x v="1"/>
    <x v="1"/>
    <x v="1"/>
    <n v="0"/>
    <s v="No"/>
    <m/>
  </r>
  <r>
    <n v="42.1"/>
    <d v="2012-07-17T00:00:00"/>
    <x v="0"/>
    <s v="UNHCR"/>
    <s v="Kachin"/>
    <s v="Momauk"/>
    <s v="Mai Khat "/>
    <m/>
    <m/>
    <m/>
    <n v="0"/>
    <n v="0"/>
    <n v="0"/>
    <n v="0"/>
    <n v="0"/>
    <m/>
    <m/>
    <m/>
    <m/>
    <m/>
    <m/>
    <m/>
    <m/>
    <m/>
    <n v="0"/>
    <n v="0"/>
    <n v="0"/>
    <n v="0"/>
    <n v="0"/>
    <n v="0"/>
    <n v="0"/>
    <n v="0"/>
    <n v="0"/>
    <n v="0"/>
    <n v="0"/>
    <n v="0"/>
    <n v="0"/>
    <n v="0"/>
    <x v="1"/>
    <n v="0"/>
    <s v="MMR001CMP064"/>
    <x v="1"/>
    <x v="1"/>
    <x v="1"/>
    <n v="0"/>
    <s v="No"/>
    <m/>
  </r>
  <r>
    <n v="42.1"/>
    <d v="2012-07-17T00:00:00"/>
    <x v="0"/>
    <s v="UNHCR"/>
    <s v="Kachin"/>
    <s v="Mansi"/>
    <s v="Man Wing Baptist Church"/>
    <m/>
    <m/>
    <m/>
    <n v="0"/>
    <n v="0"/>
    <n v="0"/>
    <n v="0"/>
    <n v="0"/>
    <m/>
    <m/>
    <m/>
    <m/>
    <m/>
    <m/>
    <m/>
    <m/>
    <m/>
    <n v="0"/>
    <n v="0"/>
    <n v="0"/>
    <n v="0"/>
    <n v="0"/>
    <n v="0"/>
    <n v="0"/>
    <n v="0"/>
    <n v="0"/>
    <n v="0"/>
    <n v="0"/>
    <n v="0"/>
    <n v="0"/>
    <n v="0"/>
    <x v="1"/>
    <n v="0"/>
    <s v="MMR001CMP133"/>
    <x v="1"/>
    <x v="1"/>
    <x v="1"/>
    <n v="0"/>
    <s v="No"/>
    <m/>
  </r>
  <r>
    <n v="42.1"/>
    <d v="2012-07-17T00:00:00"/>
    <x v="0"/>
    <s v="UNHCR"/>
    <s v="Kachin"/>
    <s v="Myitkyina"/>
    <s v="Maw Hpawng Hka Nan Baptist Church"/>
    <m/>
    <m/>
    <m/>
    <n v="0"/>
    <n v="0"/>
    <n v="0"/>
    <n v="0"/>
    <n v="0"/>
    <m/>
    <m/>
    <m/>
    <m/>
    <m/>
    <m/>
    <m/>
    <m/>
    <m/>
    <n v="0"/>
    <n v="0"/>
    <n v="0"/>
    <n v="0"/>
    <n v="0"/>
    <n v="0"/>
    <n v="0"/>
    <n v="0"/>
    <n v="0"/>
    <n v="0"/>
    <n v="0"/>
    <n v="0"/>
    <n v="0"/>
    <n v="0"/>
    <x v="1"/>
    <n v="0"/>
    <s v="MMR001CMP020"/>
    <x v="1"/>
    <x v="1"/>
    <x v="1"/>
    <n v="0"/>
    <s v="No"/>
    <m/>
  </r>
  <r>
    <n v="42.1"/>
    <d v="2012-07-17T00:00:00"/>
    <x v="0"/>
    <s v="UNHCR"/>
    <s v="Kachin"/>
    <s v="Myitkyina"/>
    <s v="Maw Hpawng Hka Nan Baptist Church"/>
    <m/>
    <m/>
    <m/>
    <n v="19"/>
    <n v="19"/>
    <n v="19"/>
    <n v="19"/>
    <n v="19"/>
    <n v="19"/>
    <n v="19"/>
    <m/>
    <m/>
    <m/>
    <m/>
    <m/>
    <m/>
    <m/>
    <n v="0"/>
    <n v="0"/>
    <n v="0"/>
    <n v="0"/>
    <n v="0"/>
    <n v="0"/>
    <n v="0"/>
    <n v="0"/>
    <n v="0"/>
    <n v="0"/>
    <n v="0"/>
    <n v="0"/>
    <n v="0"/>
    <n v="0"/>
    <x v="1"/>
    <n v="0"/>
    <s v="MMR001CMP020"/>
    <x v="1"/>
    <x v="1"/>
    <x v="1"/>
    <n v="0.86363636363636365"/>
    <s v="No"/>
    <m/>
  </r>
  <r>
    <n v="42.1"/>
    <d v="2012-07-17T00:00:00"/>
    <x v="0"/>
    <s v="UNHCR"/>
    <s v="Kachin"/>
    <s v="Waingmaw"/>
    <s v="Moke Lwe Village - Hkar Shi"/>
    <m/>
    <m/>
    <m/>
    <n v="0"/>
    <n v="0"/>
    <n v="0"/>
    <n v="0"/>
    <n v="0"/>
    <m/>
    <m/>
    <m/>
    <m/>
    <m/>
    <m/>
    <m/>
    <m/>
    <m/>
    <n v="0"/>
    <n v="0"/>
    <n v="0"/>
    <n v="0"/>
    <n v="0"/>
    <n v="0"/>
    <n v="0"/>
    <n v="0"/>
    <n v="0"/>
    <n v="0"/>
    <n v="0"/>
    <n v="0"/>
    <n v="0"/>
    <n v="0"/>
    <x v="1"/>
    <n v="0"/>
    <s v="MMR001CMP035"/>
    <x v="1"/>
    <x v="2"/>
    <x v="0"/>
    <s v=""/>
    <s v="No"/>
    <m/>
  </r>
  <r>
    <n v="42.1"/>
    <d v="2012-07-17T00:00:00"/>
    <x v="0"/>
    <s v="UNHCR"/>
    <s v="Kachin"/>
    <s v="Myitkyina"/>
    <s v="Nan Kway St. John Catholic Church"/>
    <m/>
    <m/>
    <m/>
    <n v="6"/>
    <n v="6"/>
    <n v="6"/>
    <n v="6"/>
    <n v="6"/>
    <n v="6"/>
    <n v="6"/>
    <m/>
    <m/>
    <m/>
    <m/>
    <m/>
    <m/>
    <m/>
    <n v="0"/>
    <n v="0"/>
    <n v="0"/>
    <n v="0"/>
    <n v="0"/>
    <n v="0"/>
    <n v="0"/>
    <n v="0"/>
    <n v="0"/>
    <n v="0"/>
    <n v="0"/>
    <n v="0"/>
    <n v="0"/>
    <n v="0"/>
    <x v="1"/>
    <n v="0"/>
    <s v="MMR001CMP024"/>
    <x v="1"/>
    <x v="1"/>
    <x v="1"/>
    <n v="8.6956521739130432E-2"/>
    <s v="No"/>
    <m/>
  </r>
  <r>
    <n v="42.1"/>
    <d v="2012-07-17T00:00:00"/>
    <x v="0"/>
    <s v="UNHCR"/>
    <s v="Kachin"/>
    <s v="Momauk"/>
    <s v="Pa Kahtawng "/>
    <m/>
    <m/>
    <m/>
    <n v="0"/>
    <n v="0"/>
    <n v="0"/>
    <n v="0"/>
    <n v="0"/>
    <m/>
    <m/>
    <m/>
    <m/>
    <m/>
    <m/>
    <m/>
    <m/>
    <m/>
    <n v="0"/>
    <n v="0"/>
    <n v="0"/>
    <n v="0"/>
    <n v="0"/>
    <n v="0"/>
    <n v="0"/>
    <n v="0"/>
    <n v="0"/>
    <n v="0"/>
    <n v="0"/>
    <n v="0"/>
    <n v="0"/>
    <n v="0"/>
    <x v="1"/>
    <n v="0"/>
    <s v="MMR001CMP126"/>
    <x v="1"/>
    <x v="1"/>
    <x v="4"/>
    <n v="0"/>
    <s v="No"/>
    <m/>
  </r>
  <r>
    <n v="42.1"/>
    <d v="2012-07-17T00:00:00"/>
    <x v="0"/>
    <s v="UNHCR"/>
    <s v="Kachin"/>
    <s v="Momauk"/>
    <s v="Pa Kahtawng "/>
    <m/>
    <m/>
    <m/>
    <n v="0"/>
    <n v="0"/>
    <n v="0"/>
    <n v="0"/>
    <n v="0"/>
    <m/>
    <m/>
    <m/>
    <m/>
    <m/>
    <m/>
    <m/>
    <m/>
    <m/>
    <n v="0"/>
    <n v="0"/>
    <n v="0"/>
    <n v="0"/>
    <n v="0"/>
    <n v="0"/>
    <n v="0"/>
    <n v="0"/>
    <n v="0"/>
    <n v="0"/>
    <n v="0"/>
    <n v="0"/>
    <n v="0"/>
    <n v="0"/>
    <x v="1"/>
    <n v="0"/>
    <s v="MMR001CMP126"/>
    <x v="1"/>
    <x v="1"/>
    <x v="4"/>
    <n v="0"/>
    <s v="No"/>
    <m/>
  </r>
  <r>
    <n v="42.1"/>
    <d v="2012-07-17T00:00:00"/>
    <x v="0"/>
    <s v="UNHCR"/>
    <s v="Kachin"/>
    <s v="Myitkyina"/>
    <s v="Shatapru Thida Aye Baptist Church"/>
    <m/>
    <m/>
    <m/>
    <n v="3"/>
    <n v="3"/>
    <n v="3"/>
    <n v="3"/>
    <n v="3"/>
    <n v="3"/>
    <n v="3"/>
    <m/>
    <m/>
    <m/>
    <m/>
    <m/>
    <m/>
    <m/>
    <n v="0"/>
    <n v="0"/>
    <n v="0"/>
    <n v="0"/>
    <n v="0"/>
    <n v="0"/>
    <n v="0"/>
    <n v="0"/>
    <n v="0"/>
    <n v="0"/>
    <n v="0"/>
    <n v="0"/>
    <n v="0"/>
    <n v="0"/>
    <x v="1"/>
    <n v="0"/>
    <s v="MMR001CMP007"/>
    <x v="1"/>
    <x v="1"/>
    <x v="1"/>
    <n v="0.10714285714285714"/>
    <s v="No"/>
    <m/>
  </r>
  <r>
    <n v="42.1"/>
    <d v="2012-07-17T00:00:00"/>
    <x v="0"/>
    <s v="UNHCR"/>
    <s v="Kachin"/>
    <s v="Myitkyina"/>
    <s v="Tat Kone Galile Baptist Church"/>
    <m/>
    <m/>
    <m/>
    <n v="7"/>
    <n v="7"/>
    <n v="7"/>
    <n v="7"/>
    <n v="7"/>
    <n v="7"/>
    <n v="7"/>
    <m/>
    <m/>
    <m/>
    <m/>
    <m/>
    <m/>
    <m/>
    <n v="0"/>
    <n v="0"/>
    <n v="0"/>
    <n v="0"/>
    <n v="0"/>
    <n v="0"/>
    <n v="0"/>
    <n v="0"/>
    <n v="0"/>
    <n v="0"/>
    <n v="0"/>
    <n v="0"/>
    <n v="0"/>
    <n v="0"/>
    <x v="1"/>
    <n v="0"/>
    <s v="MMR001CMP003"/>
    <x v="1"/>
    <x v="1"/>
    <x v="1"/>
    <n v="0.21875"/>
    <s v="No"/>
    <m/>
  </r>
  <r>
    <n v="42.133333333333333"/>
    <d v="2012-07-16T00:00:00"/>
    <x v="0"/>
    <s v="UNHCR"/>
    <s v="Kachin"/>
    <s v="Myitkyina"/>
    <s v="Kyun Pin Thar Baptist Church"/>
    <m/>
    <m/>
    <m/>
    <n v="33"/>
    <n v="33"/>
    <n v="33"/>
    <n v="33"/>
    <n v="33"/>
    <n v="33"/>
    <n v="33"/>
    <m/>
    <m/>
    <m/>
    <m/>
    <m/>
    <m/>
    <m/>
    <n v="0"/>
    <n v="0"/>
    <n v="0"/>
    <n v="0"/>
    <n v="0"/>
    <n v="0"/>
    <n v="0"/>
    <n v="0"/>
    <n v="0"/>
    <n v="0"/>
    <n v="0"/>
    <n v="0"/>
    <n v="0"/>
    <n v="0"/>
    <x v="1"/>
    <n v="0"/>
    <s v="MMR001CMP013"/>
    <x v="1"/>
    <x v="1"/>
    <x v="1"/>
    <n v="0.73333333333333328"/>
    <s v="No"/>
    <m/>
  </r>
  <r>
    <n v="42.133333333333333"/>
    <d v="2012-07-16T00:00:00"/>
    <x v="0"/>
    <s v="UNHCR"/>
    <s v="Kachin"/>
    <s v="Myitkyina"/>
    <s v="Le Kone Bethlehem Church"/>
    <m/>
    <m/>
    <m/>
    <n v="6"/>
    <n v="6"/>
    <n v="6"/>
    <n v="6"/>
    <n v="6"/>
    <n v="6"/>
    <n v="6"/>
    <m/>
    <m/>
    <m/>
    <m/>
    <m/>
    <m/>
    <m/>
    <n v="0"/>
    <n v="0"/>
    <n v="0"/>
    <n v="0"/>
    <n v="0"/>
    <n v="0"/>
    <n v="0"/>
    <n v="0"/>
    <n v="0"/>
    <n v="0"/>
    <n v="0"/>
    <n v="0"/>
    <n v="0"/>
    <n v="0"/>
    <x v="1"/>
    <n v="0"/>
    <s v="MMR001CMP015"/>
    <x v="1"/>
    <x v="1"/>
    <x v="1"/>
    <n v="5.5555555555555552E-2"/>
    <s v="No"/>
    <m/>
  </r>
  <r>
    <n v="42.133333333333333"/>
    <d v="2012-07-16T00:00:00"/>
    <x v="0"/>
    <s v="UNHCR"/>
    <s v="Kachin"/>
    <s v="Myitkyina"/>
    <s v="Le Kone Bethlehem Church"/>
    <m/>
    <m/>
    <m/>
    <n v="13"/>
    <n v="13"/>
    <n v="13"/>
    <n v="13"/>
    <n v="13"/>
    <n v="13"/>
    <n v="13"/>
    <m/>
    <m/>
    <m/>
    <m/>
    <m/>
    <m/>
    <m/>
    <n v="0"/>
    <n v="0"/>
    <n v="0"/>
    <n v="0"/>
    <n v="0"/>
    <n v="0"/>
    <n v="0"/>
    <n v="0"/>
    <n v="0"/>
    <n v="0"/>
    <n v="0"/>
    <n v="0"/>
    <n v="0"/>
    <n v="0"/>
    <x v="1"/>
    <n v="0"/>
    <s v="MMR001CMP015"/>
    <x v="1"/>
    <x v="1"/>
    <x v="1"/>
    <n v="0.12037037037037036"/>
    <s v="No"/>
    <m/>
  </r>
  <r>
    <n v="42.133333333333333"/>
    <d v="2012-07-16T00:00:00"/>
    <x v="0"/>
    <s v="UNHCR"/>
    <s v="Kachin"/>
    <s v="Myitkyina"/>
    <s v="Le Kone Ziun Baptist Church "/>
    <m/>
    <m/>
    <m/>
    <n v="50"/>
    <n v="50"/>
    <n v="50"/>
    <n v="50"/>
    <n v="50"/>
    <n v="50"/>
    <n v="50"/>
    <m/>
    <m/>
    <m/>
    <m/>
    <m/>
    <m/>
    <m/>
    <n v="0"/>
    <n v="0"/>
    <n v="0"/>
    <n v="0"/>
    <n v="0"/>
    <n v="0"/>
    <n v="0"/>
    <n v="0"/>
    <n v="0"/>
    <n v="0"/>
    <n v="0"/>
    <n v="0"/>
    <n v="0"/>
    <n v="0"/>
    <x v="1"/>
    <n v="0"/>
    <s v="MMR001CMP014"/>
    <x v="1"/>
    <x v="1"/>
    <x v="1"/>
    <n v="0.30674846625766872"/>
    <s v="No"/>
    <m/>
  </r>
  <r>
    <n v="42.133333333333333"/>
    <d v="2012-07-16T00:00:00"/>
    <x v="0"/>
    <s v="UNHCR"/>
    <s v="Kachin"/>
    <s v="Myitkyina"/>
    <s v="Maliyang Baptist Church"/>
    <m/>
    <m/>
    <m/>
    <n v="3"/>
    <n v="3"/>
    <n v="3"/>
    <n v="3"/>
    <n v="3"/>
    <n v="3"/>
    <n v="3"/>
    <m/>
    <m/>
    <m/>
    <m/>
    <m/>
    <m/>
    <m/>
    <n v="0"/>
    <n v="0"/>
    <n v="0"/>
    <n v="0"/>
    <n v="0"/>
    <n v="0"/>
    <n v="0"/>
    <n v="0"/>
    <n v="0"/>
    <n v="0"/>
    <n v="0"/>
    <n v="0"/>
    <n v="0"/>
    <n v="0"/>
    <x v="1"/>
    <n v="0"/>
    <s v="MMR001CMP016"/>
    <x v="1"/>
    <x v="1"/>
    <x v="1"/>
    <n v="4.1666666666666664E-2"/>
    <s v="No"/>
    <m/>
  </r>
  <r>
    <n v="42.133333333333333"/>
    <d v="2012-07-16T00:00:00"/>
    <x v="0"/>
    <s v="UNHCR"/>
    <s v="Kachin"/>
    <s v="Myitkyina"/>
    <s v="Njang Dung Baptist Church "/>
    <m/>
    <m/>
    <m/>
    <n v="25"/>
    <n v="25"/>
    <n v="25"/>
    <n v="25"/>
    <n v="25"/>
    <n v="25"/>
    <n v="25"/>
    <m/>
    <m/>
    <m/>
    <m/>
    <m/>
    <m/>
    <m/>
    <n v="0"/>
    <n v="0"/>
    <n v="0"/>
    <n v="0"/>
    <n v="0"/>
    <n v="0"/>
    <n v="0"/>
    <n v="0"/>
    <n v="0"/>
    <n v="0"/>
    <n v="0"/>
    <n v="0"/>
    <n v="0"/>
    <n v="0"/>
    <x v="1"/>
    <n v="0"/>
    <s v="MMR001CMP002"/>
    <x v="1"/>
    <x v="1"/>
    <x v="1"/>
    <n v="0.43859649122807015"/>
    <s v="No"/>
    <m/>
  </r>
  <r>
    <n v="42.233333333333334"/>
    <d v="2012-07-13T00:00:00"/>
    <x v="0"/>
    <s v="UNHCR"/>
    <s v="Kachin"/>
    <s v="Waingmaw"/>
    <s v="Hkat Cho "/>
    <m/>
    <m/>
    <m/>
    <n v="9"/>
    <n v="9"/>
    <n v="9"/>
    <n v="9"/>
    <n v="9"/>
    <n v="9"/>
    <n v="9"/>
    <m/>
    <m/>
    <m/>
    <m/>
    <m/>
    <m/>
    <m/>
    <n v="0"/>
    <n v="0"/>
    <n v="0"/>
    <n v="0"/>
    <n v="0"/>
    <n v="0"/>
    <n v="0"/>
    <n v="0"/>
    <n v="0"/>
    <n v="0"/>
    <n v="0"/>
    <n v="0"/>
    <n v="0"/>
    <n v="0"/>
    <x v="1"/>
    <n v="0"/>
    <s v="MMR001CMP028"/>
    <x v="1"/>
    <x v="1"/>
    <x v="1"/>
    <n v="8.1081081081081086E-2"/>
    <s v="No"/>
    <m/>
  </r>
  <r>
    <n v="42.233333333333334"/>
    <d v="2012-07-13T00:00:00"/>
    <x v="0"/>
    <s v="UNHCR"/>
    <s v="Kachin"/>
    <s v="Waingmaw"/>
    <s v="Maina Lawang Baptist Church"/>
    <m/>
    <m/>
    <m/>
    <n v="6"/>
    <n v="6"/>
    <n v="6"/>
    <n v="6"/>
    <n v="6"/>
    <n v="6"/>
    <n v="6"/>
    <m/>
    <m/>
    <m/>
    <m/>
    <m/>
    <m/>
    <m/>
    <n v="0"/>
    <n v="0"/>
    <n v="0"/>
    <n v="0"/>
    <n v="0"/>
    <n v="0"/>
    <n v="0"/>
    <n v="0"/>
    <n v="0"/>
    <n v="0"/>
    <n v="0"/>
    <n v="0"/>
    <n v="0"/>
    <n v="0"/>
    <x v="1"/>
    <n v="0"/>
    <s v="MMR001CMP039"/>
    <x v="1"/>
    <x v="1"/>
    <x v="1"/>
    <n v="0.125"/>
    <s v="No"/>
    <m/>
  </r>
  <r>
    <n v="42.233333333333334"/>
    <d v="2012-07-13T00:00:00"/>
    <x v="0"/>
    <s v="UNHCR"/>
    <s v="Kachin"/>
    <s v="Waingmaw"/>
    <s v="Qtr. 2 Lhaovo Baptist Church"/>
    <m/>
    <m/>
    <m/>
    <n v="13"/>
    <n v="13"/>
    <n v="13"/>
    <n v="13"/>
    <n v="13"/>
    <n v="13"/>
    <n v="13"/>
    <m/>
    <m/>
    <m/>
    <m/>
    <m/>
    <m/>
    <m/>
    <n v="0"/>
    <n v="0"/>
    <n v="0"/>
    <n v="0"/>
    <n v="0"/>
    <n v="0"/>
    <n v="0"/>
    <n v="0"/>
    <n v="0"/>
    <n v="0"/>
    <n v="0"/>
    <n v="0"/>
    <n v="0"/>
    <n v="0"/>
    <x v="1"/>
    <n v="0"/>
    <s v="MMR001CMP032"/>
    <x v="1"/>
    <x v="1"/>
    <x v="1"/>
    <n v="0.13829787234042554"/>
    <s v="No"/>
    <m/>
  </r>
  <r>
    <n v="42.233333333333334"/>
    <d v="2012-07-13T00:00:00"/>
    <x v="0"/>
    <s v="UNHCR"/>
    <s v="Kachin"/>
    <s v="Waingmaw"/>
    <s v="Qtr. 4 Monestry (Thargaya Thayett Taw)"/>
    <m/>
    <m/>
    <m/>
    <n v="3"/>
    <n v="3"/>
    <n v="3"/>
    <n v="3"/>
    <n v="3"/>
    <n v="3"/>
    <n v="3"/>
    <m/>
    <m/>
    <m/>
    <m/>
    <m/>
    <m/>
    <m/>
    <n v="0"/>
    <n v="0"/>
    <n v="0"/>
    <n v="0"/>
    <n v="0"/>
    <n v="0"/>
    <n v="0"/>
    <n v="0"/>
    <n v="0"/>
    <n v="0"/>
    <n v="0"/>
    <n v="0"/>
    <n v="0"/>
    <n v="0"/>
    <x v="1"/>
    <n v="0"/>
    <s v="MMR001CMP026"/>
    <x v="1"/>
    <x v="1"/>
    <x v="1"/>
    <n v="3.2967032967032968E-2"/>
    <s v="No"/>
    <m/>
  </r>
  <r>
    <n v="42.233333333333334"/>
    <d v="2012-07-13T00:00:00"/>
    <x v="0"/>
    <s v="UNHCR"/>
    <s v="Kachin"/>
    <s v="Waingmaw"/>
    <s v="Thargaya Lisu Baptist Church"/>
    <m/>
    <m/>
    <m/>
    <n v="8"/>
    <n v="8"/>
    <n v="8"/>
    <n v="8"/>
    <n v="8"/>
    <n v="8"/>
    <n v="8"/>
    <m/>
    <m/>
    <m/>
    <m/>
    <m/>
    <m/>
    <m/>
    <n v="0"/>
    <n v="0"/>
    <n v="0"/>
    <n v="0"/>
    <n v="0"/>
    <n v="0"/>
    <n v="0"/>
    <n v="0"/>
    <n v="0"/>
    <n v="0"/>
    <n v="0"/>
    <n v="0"/>
    <n v="0"/>
    <n v="0"/>
    <x v="1"/>
    <n v="0"/>
    <s v="MMR001CMP037"/>
    <x v="1"/>
    <x v="1"/>
    <x v="1"/>
    <n v="0.18181818181818182"/>
    <s v="No"/>
    <m/>
  </r>
  <r>
    <n v="42.233333333333334"/>
    <d v="2012-07-13T00:00:00"/>
    <x v="0"/>
    <s v="UNHCR"/>
    <s v="Kachin"/>
    <s v="Waingmaw"/>
    <s v="Waingmaw Baptist Zonal Office"/>
    <m/>
    <m/>
    <m/>
    <n v="2"/>
    <n v="2"/>
    <n v="2"/>
    <n v="2"/>
    <n v="2"/>
    <n v="2"/>
    <n v="2"/>
    <m/>
    <m/>
    <m/>
    <m/>
    <m/>
    <m/>
    <m/>
    <n v="0"/>
    <n v="0"/>
    <n v="0"/>
    <n v="0"/>
    <n v="0"/>
    <n v="0"/>
    <n v="0"/>
    <n v="0"/>
    <n v="0"/>
    <n v="0"/>
    <n v="0"/>
    <n v="0"/>
    <n v="0"/>
    <n v="0"/>
    <x v="1"/>
    <n v="0"/>
    <s v="MMR001CMP036"/>
    <x v="1"/>
    <x v="2"/>
    <x v="1"/>
    <s v=""/>
    <s v="No"/>
    <m/>
  </r>
  <r>
    <n v="42.333333333333336"/>
    <d v="2012-07-10T00:00:00"/>
    <x v="0"/>
    <s v="KMSS"/>
    <s v="Kachin"/>
    <s v="Waingmaw"/>
    <s v="Maga Yang "/>
    <m/>
    <m/>
    <m/>
    <n v="0"/>
    <n v="599"/>
    <n v="675"/>
    <n v="599"/>
    <n v="0"/>
    <m/>
    <m/>
    <m/>
    <m/>
    <m/>
    <m/>
    <m/>
    <m/>
    <m/>
    <n v="0"/>
    <n v="0"/>
    <n v="0"/>
    <n v="0"/>
    <n v="0"/>
    <n v="0"/>
    <n v="0"/>
    <n v="0"/>
    <n v="0"/>
    <n v="0"/>
    <n v="0"/>
    <n v="0"/>
    <n v="0"/>
    <n v="0"/>
    <x v="1"/>
    <n v="0"/>
    <s v="MMR001CMP119"/>
    <x v="1"/>
    <x v="1"/>
    <x v="4"/>
    <n v="0.98519736842105265"/>
    <s v="No"/>
    <m/>
  </r>
  <r>
    <n v="42.366666666666667"/>
    <d v="2012-07-09T00:00:00"/>
    <x v="0"/>
    <s v="UNHCR"/>
    <s v="Kachin"/>
    <s v="Waingmaw"/>
    <s v="Qtr. 2 Lhaovo Baptist Church"/>
    <m/>
    <m/>
    <m/>
    <n v="77"/>
    <n v="34"/>
    <n v="77"/>
    <n v="35"/>
    <n v="52"/>
    <n v="52"/>
    <n v="52"/>
    <m/>
    <m/>
    <m/>
    <m/>
    <m/>
    <m/>
    <m/>
    <n v="0"/>
    <n v="0"/>
    <n v="0"/>
    <n v="0"/>
    <n v="0"/>
    <n v="0"/>
    <n v="0"/>
    <n v="0"/>
    <n v="0"/>
    <n v="0"/>
    <n v="0"/>
    <n v="0"/>
    <n v="0"/>
    <n v="0"/>
    <x v="1"/>
    <n v="0"/>
    <s v="MMR001CMP032"/>
    <x v="1"/>
    <x v="1"/>
    <x v="1"/>
    <n v="0.37234042553191488"/>
    <s v="No"/>
    <m/>
  </r>
  <r>
    <n v="42.466666666666669"/>
    <d v="2012-07-06T00:00:00"/>
    <x v="0"/>
    <s v="UNHCR"/>
    <s v="Kachin"/>
    <s v="Waingmaw"/>
    <s v="Waingmaw AG Church"/>
    <m/>
    <m/>
    <m/>
    <n v="17"/>
    <n v="17"/>
    <n v="17"/>
    <n v="17"/>
    <n v="17"/>
    <n v="17"/>
    <n v="17"/>
    <m/>
    <m/>
    <m/>
    <m/>
    <m/>
    <m/>
    <m/>
    <n v="0"/>
    <n v="0"/>
    <n v="0"/>
    <n v="0"/>
    <n v="0"/>
    <n v="0"/>
    <n v="0"/>
    <n v="0"/>
    <n v="0"/>
    <n v="0"/>
    <n v="0"/>
    <n v="0"/>
    <n v="0"/>
    <n v="0"/>
    <x v="1"/>
    <n v="0"/>
    <s v="MMR001CMP038"/>
    <x v="1"/>
    <x v="1"/>
    <x v="1"/>
    <n v="0.18888888888888888"/>
    <s v="No"/>
    <m/>
  </r>
  <r>
    <n v="42.5"/>
    <d v="2012-07-05T00:00:00"/>
    <x v="0"/>
    <s v="UNHCR"/>
    <s v="Kachin"/>
    <s v="Bhamo"/>
    <s v="Ta Gun Taing Monastery (Shwe Kyi Na)"/>
    <m/>
    <m/>
    <m/>
    <n v="36"/>
    <n v="14"/>
    <n v="36"/>
    <n v="14"/>
    <n v="14"/>
    <n v="14"/>
    <n v="14"/>
    <m/>
    <m/>
    <m/>
    <m/>
    <m/>
    <m/>
    <m/>
    <n v="0"/>
    <n v="0"/>
    <n v="0"/>
    <n v="0"/>
    <n v="0"/>
    <n v="0"/>
    <n v="0"/>
    <n v="0"/>
    <n v="0"/>
    <n v="0"/>
    <n v="0"/>
    <n v="0"/>
    <n v="0"/>
    <n v="0"/>
    <x v="1"/>
    <n v="0"/>
    <s v="MMR001CMP055"/>
    <x v="1"/>
    <x v="1"/>
    <x v="1"/>
    <n v="0.56000000000000005"/>
    <s v="No"/>
    <m/>
  </r>
  <r>
    <n v="42.833333333333336"/>
    <d v="2012-06-25T00:00:00"/>
    <x v="0"/>
    <s v="UNHCR"/>
    <s v="Kachin"/>
    <s v="Momauk"/>
    <s v="Momauk Baptist Church"/>
    <m/>
    <m/>
    <m/>
    <n v="290"/>
    <n v="145"/>
    <n v="290"/>
    <n v="145"/>
    <n v="145"/>
    <n v="145"/>
    <n v="145"/>
    <m/>
    <m/>
    <m/>
    <m/>
    <m/>
    <m/>
    <m/>
    <n v="0"/>
    <n v="0"/>
    <n v="0"/>
    <n v="0"/>
    <n v="0"/>
    <n v="0"/>
    <n v="0"/>
    <n v="0"/>
    <n v="0"/>
    <n v="0"/>
    <n v="0"/>
    <n v="0"/>
    <n v="0"/>
    <n v="0"/>
    <x v="1"/>
    <n v="0"/>
    <s v="MMR001CMP056"/>
    <x v="1"/>
    <x v="1"/>
    <x v="1"/>
    <n v="0.70048309178743962"/>
    <s v="No"/>
    <m/>
  </r>
  <r>
    <n v="42.9"/>
    <d v="2012-06-23T00:00:00"/>
    <x v="0"/>
    <s v="UNHCR"/>
    <s v="Kachin"/>
    <s v="Momauk"/>
    <s v="Dum Bung "/>
    <m/>
    <m/>
    <m/>
    <n v="24"/>
    <n v="13"/>
    <n v="24"/>
    <n v="13"/>
    <n v="13"/>
    <n v="13"/>
    <n v="13"/>
    <m/>
    <m/>
    <m/>
    <m/>
    <m/>
    <m/>
    <m/>
    <n v="0"/>
    <n v="0"/>
    <n v="0"/>
    <n v="0"/>
    <n v="0"/>
    <n v="0"/>
    <n v="0"/>
    <n v="0"/>
    <n v="0"/>
    <n v="0"/>
    <n v="0"/>
    <n v="0"/>
    <n v="0"/>
    <n v="0"/>
    <x v="1"/>
    <n v="0"/>
    <s v="MMR001CMP123"/>
    <x v="1"/>
    <x v="1"/>
    <x v="4"/>
    <n v="0.11206896551724138"/>
    <s v="No"/>
    <m/>
  </r>
  <r>
    <n v="42.93333333333333"/>
    <d v="2012-06-22T00:00:00"/>
    <x v="0"/>
    <s v="UNHCR"/>
    <s v="Kachin"/>
    <s v="Momauk"/>
    <s v="Nhkawng Pa "/>
    <m/>
    <m/>
    <m/>
    <n v="140"/>
    <n v="70"/>
    <n v="140"/>
    <n v="70"/>
    <n v="70"/>
    <n v="70"/>
    <n v="70"/>
    <m/>
    <m/>
    <m/>
    <m/>
    <m/>
    <m/>
    <m/>
    <n v="0"/>
    <n v="0"/>
    <n v="0"/>
    <n v="0"/>
    <n v="0"/>
    <n v="0"/>
    <n v="0"/>
    <n v="0"/>
    <n v="0"/>
    <n v="0"/>
    <n v="0"/>
    <n v="0"/>
    <n v="0"/>
    <n v="0"/>
    <x v="1"/>
    <n v="0"/>
    <s v="MMR001CMP131"/>
    <x v="1"/>
    <x v="1"/>
    <x v="3"/>
    <n v="0.18666666666666668"/>
    <s v="No"/>
    <m/>
  </r>
  <r>
    <n v="43"/>
    <d v="2012-06-20T00:00:00"/>
    <x v="0"/>
    <s v="UNHCR"/>
    <s v="Kachin"/>
    <s v="Waingmaw"/>
    <s v="Waingmaw Baptist Zonal Office"/>
    <m/>
    <m/>
    <m/>
    <n v="141"/>
    <n v="81"/>
    <n v="148"/>
    <n v="84"/>
    <n v="78"/>
    <n v="78"/>
    <n v="78"/>
    <m/>
    <m/>
    <m/>
    <m/>
    <m/>
    <m/>
    <m/>
    <n v="0"/>
    <n v="0"/>
    <n v="0"/>
    <n v="0"/>
    <n v="0"/>
    <n v="0"/>
    <n v="0"/>
    <n v="0"/>
    <n v="0"/>
    <n v="0"/>
    <n v="0"/>
    <n v="0"/>
    <n v="0"/>
    <n v="0"/>
    <x v="1"/>
    <n v="0"/>
    <s v="MMR001CMP036"/>
    <x v="1"/>
    <x v="2"/>
    <x v="1"/>
    <s v=""/>
    <s v="No"/>
    <m/>
  </r>
  <r>
    <n v="43.033333333333331"/>
    <d v="2012-06-19T00:00:00"/>
    <x v="0"/>
    <s v="UNHCR"/>
    <s v="Kachin"/>
    <s v="Waingmaw"/>
    <s v="Maina KBC (Bawng Ring)"/>
    <m/>
    <m/>
    <m/>
    <n v="32"/>
    <n v="17"/>
    <n v="32"/>
    <n v="17"/>
    <n v="17"/>
    <n v="17"/>
    <n v="17"/>
    <m/>
    <m/>
    <m/>
    <m/>
    <m/>
    <m/>
    <m/>
    <n v="0"/>
    <n v="0"/>
    <n v="0"/>
    <n v="0"/>
    <n v="0"/>
    <n v="0"/>
    <n v="0"/>
    <n v="0"/>
    <n v="0"/>
    <n v="0"/>
    <n v="0"/>
    <n v="0"/>
    <n v="0"/>
    <n v="0"/>
    <x v="1"/>
    <n v="0"/>
    <s v="MMR001CMP040"/>
    <x v="1"/>
    <x v="1"/>
    <x v="1"/>
    <n v="3.9719626168224297E-2"/>
    <s v="No"/>
    <m/>
  </r>
  <r>
    <n v="43.033333333333331"/>
    <d v="2012-06-19T00:00:00"/>
    <x v="0"/>
    <s v="UNHCR"/>
    <s v="Kachin"/>
    <s v="Waingmaw"/>
    <s v="Thargaya Lisu Baptist Church"/>
    <m/>
    <m/>
    <m/>
    <n v="31"/>
    <n v="15"/>
    <n v="31"/>
    <n v="15"/>
    <n v="15"/>
    <n v="15"/>
    <n v="15"/>
    <m/>
    <m/>
    <m/>
    <m/>
    <m/>
    <m/>
    <m/>
    <n v="0"/>
    <n v="0"/>
    <n v="0"/>
    <n v="0"/>
    <n v="0"/>
    <n v="0"/>
    <n v="0"/>
    <n v="0"/>
    <n v="0"/>
    <n v="0"/>
    <n v="0"/>
    <n v="0"/>
    <n v="0"/>
    <n v="0"/>
    <x v="1"/>
    <n v="0"/>
    <s v="MMR001CMP037"/>
    <x v="1"/>
    <x v="1"/>
    <x v="1"/>
    <n v="0.34090909090909088"/>
    <s v="No"/>
    <m/>
  </r>
  <r>
    <n v="43.033333333333331"/>
    <d v="2012-06-19T00:00:00"/>
    <x v="0"/>
    <s v="UNHCR"/>
    <s v="Kachin"/>
    <s v="Waingmaw"/>
    <s v="Waingmaw AG Church"/>
    <m/>
    <m/>
    <m/>
    <n v="28"/>
    <n v="15"/>
    <n v="28"/>
    <n v="15"/>
    <n v="15"/>
    <n v="15"/>
    <n v="15"/>
    <m/>
    <m/>
    <m/>
    <m/>
    <m/>
    <m/>
    <m/>
    <n v="0"/>
    <n v="0"/>
    <n v="0"/>
    <n v="0"/>
    <n v="0"/>
    <n v="0"/>
    <n v="0"/>
    <n v="0"/>
    <n v="0"/>
    <n v="0"/>
    <n v="0"/>
    <n v="0"/>
    <n v="0"/>
    <n v="0"/>
    <x v="1"/>
    <n v="0"/>
    <s v="MMR001CMP038"/>
    <x v="1"/>
    <x v="1"/>
    <x v="1"/>
    <n v="0.16666666666666666"/>
    <s v="No"/>
    <m/>
  </r>
  <r>
    <n v="43.333333333333336"/>
    <d v="2012-06-10T00:00:00"/>
    <x v="0"/>
    <s v="UNHCR"/>
    <s v="Kachin"/>
    <s v="Chipwi"/>
    <s v="Lhaovao Baptist Church (LBC)"/>
    <m/>
    <m/>
    <m/>
    <n v="200"/>
    <n v="100"/>
    <n v="150"/>
    <n v="100"/>
    <n v="100"/>
    <n v="100"/>
    <n v="100"/>
    <m/>
    <m/>
    <m/>
    <m/>
    <m/>
    <m/>
    <m/>
    <n v="0"/>
    <n v="0"/>
    <n v="0"/>
    <n v="0"/>
    <n v="0"/>
    <n v="0"/>
    <n v="0"/>
    <n v="0"/>
    <n v="0"/>
    <n v="0"/>
    <n v="0"/>
    <n v="0"/>
    <n v="0"/>
    <n v="0"/>
    <x v="1"/>
    <n v="0"/>
    <s v="MMR001CMP195"/>
    <x v="1"/>
    <x v="1"/>
    <x v="3"/>
    <n v="0.69444444444444442"/>
    <s v="No"/>
    <m/>
  </r>
  <r>
    <n v="43.4"/>
    <d v="2012-06-08T00:00:00"/>
    <x v="0"/>
    <s v="UNHCR"/>
    <s v="Kachin"/>
    <s v="Bhamo"/>
    <s v="Nant Hlaing Church"/>
    <m/>
    <m/>
    <m/>
    <n v="12"/>
    <n v="6"/>
    <n v="12"/>
    <n v="6"/>
    <n v="6"/>
    <n v="6"/>
    <n v="6"/>
    <m/>
    <m/>
    <m/>
    <m/>
    <m/>
    <m/>
    <m/>
    <n v="0"/>
    <n v="0"/>
    <n v="0"/>
    <n v="0"/>
    <n v="0"/>
    <n v="0"/>
    <n v="0"/>
    <n v="0"/>
    <n v="0"/>
    <n v="0"/>
    <n v="0"/>
    <n v="0"/>
    <n v="0"/>
    <n v="0"/>
    <x v="1"/>
    <n v="0"/>
    <s v="MMR001CMP054"/>
    <x v="1"/>
    <x v="1"/>
    <x v="1"/>
    <n v="0.3"/>
    <s v="No"/>
    <m/>
  </r>
  <r>
    <n v="43.466666666666669"/>
    <d v="2012-06-06T00:00:00"/>
    <x v="0"/>
    <s v="UNHCR "/>
    <s v="Kachin"/>
    <s v="Momauk"/>
    <s v="Hpun Lum Yang "/>
    <m/>
    <m/>
    <m/>
    <n v="0"/>
    <n v="200"/>
    <n v="0"/>
    <n v="0"/>
    <n v="0"/>
    <m/>
    <m/>
    <m/>
    <m/>
    <m/>
    <m/>
    <m/>
    <m/>
    <m/>
    <n v="0"/>
    <n v="0"/>
    <n v="0"/>
    <n v="0"/>
    <n v="0"/>
    <n v="0"/>
    <n v="0"/>
    <n v="0"/>
    <n v="0"/>
    <n v="0"/>
    <n v="0"/>
    <n v="0"/>
    <n v="0"/>
    <n v="0"/>
    <x v="1"/>
    <n v="0"/>
    <s v="MMR001CMP122"/>
    <x v="1"/>
    <x v="1"/>
    <x v="4"/>
    <n v="0"/>
    <s v="No"/>
    <m/>
  </r>
  <r>
    <n v="43.466666666666669"/>
    <d v="2012-06-06T00:00:00"/>
    <x v="0"/>
    <s v="UNHCR"/>
    <s v="Kachin"/>
    <s v="Momauk"/>
    <s v="Pa Kahtawng "/>
    <m/>
    <m/>
    <m/>
    <n v="144"/>
    <n v="76"/>
    <n v="143"/>
    <n v="76"/>
    <n v="78"/>
    <n v="78"/>
    <n v="78"/>
    <m/>
    <m/>
    <m/>
    <m/>
    <m/>
    <m/>
    <m/>
    <n v="0"/>
    <n v="0"/>
    <n v="0"/>
    <n v="0"/>
    <n v="0"/>
    <n v="0"/>
    <n v="0"/>
    <n v="0"/>
    <n v="0"/>
    <n v="0"/>
    <n v="0"/>
    <n v="0"/>
    <n v="0"/>
    <n v="0"/>
    <x v="1"/>
    <n v="0"/>
    <s v="MMR001CMP126"/>
    <x v="1"/>
    <x v="1"/>
    <x v="4"/>
    <n v="0.11225997045790251"/>
    <s v="No"/>
    <m/>
  </r>
  <r>
    <n v="43.5"/>
    <d v="2012-06-05T00:00:00"/>
    <x v="0"/>
    <s v="UNHCR"/>
    <s v="Kachin"/>
    <s v="Momauk"/>
    <s v="Momauk Catholic Church (St. Patrick)"/>
    <m/>
    <m/>
    <m/>
    <n v="10"/>
    <n v="5"/>
    <n v="10"/>
    <n v="5"/>
    <n v="5"/>
    <n v="5"/>
    <n v="5"/>
    <m/>
    <m/>
    <m/>
    <m/>
    <m/>
    <m/>
    <m/>
    <n v="0"/>
    <n v="0"/>
    <n v="0"/>
    <n v="0"/>
    <n v="0"/>
    <n v="0"/>
    <n v="0"/>
    <n v="0"/>
    <n v="0"/>
    <n v="0"/>
    <n v="0"/>
    <n v="0"/>
    <n v="0"/>
    <n v="0"/>
    <x v="1"/>
    <n v="0"/>
    <s v="MMR001CMP057"/>
    <x v="1"/>
    <x v="2"/>
    <x v="1"/>
    <s v=""/>
    <s v="No"/>
    <m/>
  </r>
  <r>
    <n v="43.633333333333333"/>
    <d v="2012-06-01T00:00:00"/>
    <x v="0"/>
    <s v="UNHCR"/>
    <s v="Kachin"/>
    <s v="Myitkyina"/>
    <s v="Maw Hpawng Hka Nan Baptist Church"/>
    <m/>
    <m/>
    <m/>
    <n v="22"/>
    <n v="11"/>
    <n v="22"/>
    <n v="11"/>
    <n v="11"/>
    <n v="11"/>
    <n v="11"/>
    <m/>
    <m/>
    <m/>
    <m/>
    <m/>
    <m/>
    <m/>
    <n v="0"/>
    <n v="0"/>
    <n v="0"/>
    <n v="0"/>
    <n v="0"/>
    <n v="0"/>
    <n v="0"/>
    <n v="0"/>
    <n v="0"/>
    <n v="0"/>
    <n v="0"/>
    <n v="0"/>
    <n v="0"/>
    <n v="0"/>
    <x v="1"/>
    <n v="0"/>
    <s v="MMR001CMP020"/>
    <x v="1"/>
    <x v="1"/>
    <x v="1"/>
    <n v="0.5"/>
    <s v="No"/>
    <m/>
  </r>
  <r>
    <n v="43.633333333333333"/>
    <d v="2012-06-01T00:00:00"/>
    <x v="0"/>
    <s v="UNHCR"/>
    <s v="Kachin"/>
    <s v="Myitkyina"/>
    <s v="Maw Hpawng Lhaovo Baptist Church"/>
    <m/>
    <m/>
    <m/>
    <n v="35"/>
    <n v="17"/>
    <n v="35"/>
    <n v="17"/>
    <n v="17"/>
    <n v="17"/>
    <n v="17"/>
    <m/>
    <m/>
    <m/>
    <m/>
    <m/>
    <m/>
    <m/>
    <n v="0"/>
    <n v="0"/>
    <n v="0"/>
    <n v="0"/>
    <n v="0"/>
    <n v="0"/>
    <n v="0"/>
    <n v="0"/>
    <n v="0"/>
    <n v="0"/>
    <n v="0"/>
    <n v="0"/>
    <n v="0"/>
    <n v="0"/>
    <x v="1"/>
    <n v="0"/>
    <s v="MMR001CMP021"/>
    <x v="1"/>
    <x v="1"/>
    <x v="1"/>
    <n v="1.2142857142857142"/>
    <s v="No"/>
    <m/>
  </r>
  <r>
    <n v="43.666666666666664"/>
    <d v="2012-05-31T00:00:00"/>
    <x v="0"/>
    <s v="KBC"/>
    <s v="Kachin"/>
    <s v="Bhamo"/>
    <s v="Robert Church"/>
    <m/>
    <m/>
    <m/>
    <n v="0"/>
    <n v="20"/>
    <n v="0"/>
    <n v="0"/>
    <n v="0"/>
    <m/>
    <m/>
    <m/>
    <m/>
    <m/>
    <m/>
    <m/>
    <m/>
    <m/>
    <n v="0"/>
    <n v="0"/>
    <n v="0"/>
    <n v="0"/>
    <n v="0"/>
    <n v="0"/>
    <n v="0"/>
    <n v="0"/>
    <n v="0"/>
    <n v="0"/>
    <n v="0"/>
    <n v="0"/>
    <n v="0"/>
    <n v="0"/>
    <x v="1"/>
    <n v="0"/>
    <s v="MMR001CMP047"/>
    <x v="1"/>
    <x v="1"/>
    <x v="1"/>
    <n v="0"/>
    <s v="No"/>
    <m/>
  </r>
  <r>
    <n v="43.766666666666666"/>
    <d v="2012-05-28T00:00:00"/>
    <x v="0"/>
    <s v="UNHCR"/>
    <s v="Kachin"/>
    <s v="Waingmaw"/>
    <s v="Qtr. 3 Mu-yin  Baptist Church"/>
    <m/>
    <m/>
    <m/>
    <n v="0"/>
    <n v="11"/>
    <n v="0"/>
    <n v="0"/>
    <n v="0"/>
    <m/>
    <m/>
    <m/>
    <m/>
    <m/>
    <m/>
    <m/>
    <m/>
    <m/>
    <n v="0"/>
    <n v="0"/>
    <n v="0"/>
    <n v="0"/>
    <n v="0"/>
    <n v="0"/>
    <n v="0"/>
    <n v="0"/>
    <n v="0"/>
    <n v="0"/>
    <n v="0"/>
    <n v="0"/>
    <n v="0"/>
    <n v="0"/>
    <x v="1"/>
    <n v="0"/>
    <s v="MMR001CMP030"/>
    <x v="1"/>
    <x v="1"/>
    <x v="1"/>
    <n v="0"/>
    <s v="No"/>
    <m/>
  </r>
  <r>
    <n v="43.833333333333336"/>
    <d v="2012-05-26T00:00:00"/>
    <x v="0"/>
    <s v="KBC"/>
    <s v="Kachin"/>
    <s v="Shwegu"/>
    <s v="Lawk Awng Mare D. (Sinbo Area)"/>
    <m/>
    <m/>
    <m/>
    <n v="200"/>
    <n v="200"/>
    <n v="0"/>
    <n v="0"/>
    <n v="0"/>
    <m/>
    <m/>
    <m/>
    <m/>
    <m/>
    <m/>
    <m/>
    <m/>
    <m/>
    <n v="0"/>
    <n v="0"/>
    <n v="0"/>
    <n v="0"/>
    <n v="0"/>
    <n v="0"/>
    <n v="0"/>
    <n v="0"/>
    <n v="0"/>
    <n v="0"/>
    <n v="0"/>
    <n v="0"/>
    <n v="0"/>
    <n v="0"/>
    <x v="1"/>
    <n v="0"/>
    <s v="MMR001CMP147"/>
    <x v="1"/>
    <x v="1"/>
    <x v="1"/>
    <n v="0"/>
    <s v="No"/>
    <m/>
  </r>
  <r>
    <n v="43.866666666666667"/>
    <d v="2012-05-25T00:00:00"/>
    <x v="0"/>
    <s v="UNHCR"/>
    <s v="Kachin"/>
    <s v="Myitkyina"/>
    <s v="Shwe Zet Baptist Church"/>
    <m/>
    <m/>
    <m/>
    <n v="0"/>
    <n v="25"/>
    <n v="0"/>
    <n v="0"/>
    <n v="0"/>
    <m/>
    <m/>
    <m/>
    <m/>
    <m/>
    <m/>
    <m/>
    <m/>
    <m/>
    <n v="0"/>
    <n v="0"/>
    <n v="0"/>
    <n v="0"/>
    <n v="0"/>
    <n v="0"/>
    <n v="0"/>
    <n v="0"/>
    <n v="0"/>
    <n v="0"/>
    <n v="0"/>
    <n v="0"/>
    <n v="0"/>
    <n v="0"/>
    <x v="1"/>
    <n v="0"/>
    <s v="MMR001CMP009"/>
    <x v="1"/>
    <x v="1"/>
    <x v="1"/>
    <n v="0"/>
    <s v="No"/>
    <m/>
  </r>
  <r>
    <n v="43.93333333333333"/>
    <d v="2012-05-23T00:00:00"/>
    <x v="0"/>
    <s v="UNHCR"/>
    <s v="Kachin"/>
    <s v="Myitkyina"/>
    <s v="Jan Mai Kawng Baptist Church"/>
    <m/>
    <m/>
    <m/>
    <n v="22"/>
    <n v="15"/>
    <n v="22"/>
    <n v="15"/>
    <n v="15"/>
    <n v="15"/>
    <n v="15"/>
    <m/>
    <m/>
    <m/>
    <m/>
    <m/>
    <m/>
    <m/>
    <n v="0"/>
    <n v="0"/>
    <n v="0"/>
    <n v="0"/>
    <n v="0"/>
    <n v="0"/>
    <n v="0"/>
    <n v="0"/>
    <n v="0"/>
    <n v="0"/>
    <n v="0"/>
    <n v="0"/>
    <n v="0"/>
    <n v="0"/>
    <x v="1"/>
    <n v="0"/>
    <s v="MMR001CMP018"/>
    <x v="1"/>
    <x v="1"/>
    <x v="1"/>
    <n v="7.3891625615763554E-2"/>
    <s v="No"/>
    <m/>
  </r>
  <r>
    <n v="43.93333333333333"/>
    <d v="2012-05-23T00:00:00"/>
    <x v="0"/>
    <s v="UNHCR"/>
    <s v="Kachin"/>
    <s v="Myitkyina"/>
    <s v="Nan Kway St. John Catholic Church"/>
    <m/>
    <m/>
    <m/>
    <n v="58"/>
    <n v="29"/>
    <n v="58"/>
    <n v="29"/>
    <n v="29"/>
    <n v="29"/>
    <n v="29"/>
    <m/>
    <m/>
    <m/>
    <m/>
    <m/>
    <m/>
    <m/>
    <n v="0"/>
    <n v="0"/>
    <n v="0"/>
    <n v="0"/>
    <n v="0"/>
    <n v="0"/>
    <n v="0"/>
    <n v="0"/>
    <n v="0"/>
    <n v="0"/>
    <n v="0"/>
    <n v="0"/>
    <n v="0"/>
    <n v="0"/>
    <x v="1"/>
    <n v="0"/>
    <s v="MMR001CMP024"/>
    <x v="1"/>
    <x v="1"/>
    <x v="1"/>
    <n v="0.42028985507246375"/>
    <s v="No"/>
    <m/>
  </r>
  <r>
    <n v="43.93333333333333"/>
    <d v="2012-05-23T00:00:00"/>
    <x v="0"/>
    <s v="UNHCR"/>
    <s v="Kachin"/>
    <s v="Myitkyina"/>
    <s v="Tat Kone Baptist Church"/>
    <m/>
    <m/>
    <m/>
    <n v="54"/>
    <n v="29"/>
    <n v="54"/>
    <n v="29"/>
    <n v="29"/>
    <n v="29"/>
    <n v="29"/>
    <m/>
    <m/>
    <m/>
    <m/>
    <m/>
    <m/>
    <m/>
    <n v="0"/>
    <n v="0"/>
    <n v="0"/>
    <n v="0"/>
    <n v="0"/>
    <n v="0"/>
    <n v="0"/>
    <n v="0"/>
    <n v="0"/>
    <n v="0"/>
    <n v="0"/>
    <n v="0"/>
    <n v="0"/>
    <n v="0"/>
    <x v="1"/>
    <n v="0"/>
    <s v="MMR001CMP001"/>
    <x v="1"/>
    <x v="1"/>
    <x v="1"/>
    <n v="0.41428571428571431"/>
    <s v="No"/>
    <m/>
  </r>
  <r>
    <n v="44"/>
    <d v="2012-05-21T00:00:00"/>
    <x v="0"/>
    <s v="UNHCR"/>
    <s v="Kachin"/>
    <s v="Bhamo"/>
    <s v="AD-2000 Tharthana Compound"/>
    <m/>
    <m/>
    <m/>
    <n v="0"/>
    <n v="15"/>
    <n v="0"/>
    <n v="0"/>
    <n v="0"/>
    <m/>
    <m/>
    <m/>
    <m/>
    <m/>
    <m/>
    <m/>
    <m/>
    <m/>
    <n v="0"/>
    <n v="0"/>
    <n v="0"/>
    <n v="0"/>
    <n v="0"/>
    <n v="0"/>
    <n v="0"/>
    <n v="0"/>
    <n v="0"/>
    <n v="0"/>
    <n v="0"/>
    <n v="0"/>
    <n v="0"/>
    <n v="0"/>
    <x v="1"/>
    <n v="0"/>
    <s v="MMR001CMP050"/>
    <x v="1"/>
    <x v="1"/>
    <x v="1"/>
    <n v="0"/>
    <s v="No"/>
    <m/>
  </r>
  <r>
    <n v="44.2"/>
    <d v="2012-05-15T00:00:00"/>
    <x v="0"/>
    <s v="KBSS"/>
    <s v="Kachin"/>
    <s v="Bhamo"/>
    <s v="AD-2000 Tharthana Compound"/>
    <m/>
    <m/>
    <m/>
    <n v="90"/>
    <n v="0"/>
    <n v="0"/>
    <n v="0"/>
    <n v="0"/>
    <m/>
    <m/>
    <m/>
    <m/>
    <m/>
    <m/>
    <m/>
    <m/>
    <m/>
    <n v="0"/>
    <n v="0"/>
    <n v="0"/>
    <n v="0"/>
    <n v="0"/>
    <n v="0"/>
    <n v="0"/>
    <n v="0"/>
    <n v="0"/>
    <n v="0"/>
    <n v="0"/>
    <n v="0"/>
    <n v="0"/>
    <n v="0"/>
    <x v="1"/>
    <n v="0"/>
    <s v="MMR001CMP050"/>
    <x v="1"/>
    <x v="1"/>
    <x v="1"/>
    <n v="0"/>
    <s v="No"/>
    <m/>
  </r>
  <r>
    <n v="44.333333333333336"/>
    <d v="2012-05-11T00:00:00"/>
    <x v="0"/>
    <s v="KBSS"/>
    <s v="Kachin"/>
    <s v="Shwegu"/>
    <s v="Shwe Gu Baptist Church"/>
    <m/>
    <m/>
    <m/>
    <n v="38"/>
    <n v="23"/>
    <n v="38"/>
    <n v="23"/>
    <n v="23"/>
    <n v="23"/>
    <n v="23"/>
    <m/>
    <m/>
    <m/>
    <m/>
    <m/>
    <m/>
    <m/>
    <n v="0"/>
    <n v="0"/>
    <n v="0"/>
    <n v="0"/>
    <n v="0"/>
    <n v="0"/>
    <n v="0"/>
    <n v="0"/>
    <n v="0"/>
    <n v="0"/>
    <n v="0"/>
    <n v="0"/>
    <n v="0"/>
    <n v="0"/>
    <x v="1"/>
    <n v="0"/>
    <s v="MMR001CMP067"/>
    <x v="1"/>
    <x v="1"/>
    <x v="1"/>
    <n v="0.27710843373493976"/>
    <s v="No"/>
    <m/>
  </r>
  <r>
    <n v="44.333333333333336"/>
    <d v="2012-05-11T00:00:00"/>
    <x v="0"/>
    <s v="UNHCR"/>
    <s v="Kachin"/>
    <s v="Waingmaw"/>
    <s v="Maina Catholic Church (St. Joseph)"/>
    <m/>
    <m/>
    <m/>
    <n v="57"/>
    <n v="29"/>
    <n v="57"/>
    <n v="29"/>
    <n v="29"/>
    <n v="29"/>
    <n v="29"/>
    <m/>
    <m/>
    <m/>
    <m/>
    <m/>
    <m/>
    <m/>
    <n v="0"/>
    <n v="0"/>
    <n v="0"/>
    <n v="0"/>
    <n v="0"/>
    <n v="0"/>
    <n v="0"/>
    <n v="0"/>
    <n v="0"/>
    <n v="0"/>
    <n v="0"/>
    <n v="0"/>
    <n v="0"/>
    <n v="0"/>
    <x v="1"/>
    <n v="0"/>
    <s v="MMR001CMP029"/>
    <x v="1"/>
    <x v="1"/>
    <x v="1"/>
    <n v="0.1277533039647577"/>
    <s v="No"/>
    <m/>
  </r>
  <r>
    <n v="44.333333333333336"/>
    <d v="2012-05-11T00:00:00"/>
    <x v="0"/>
    <s v="UNHCR"/>
    <s v="Kachin"/>
    <s v="Waingmaw"/>
    <s v="Maina KBC (Bawng Ring)"/>
    <m/>
    <m/>
    <m/>
    <n v="50"/>
    <n v="25"/>
    <n v="50"/>
    <n v="24"/>
    <n v="13"/>
    <n v="13"/>
    <n v="13"/>
    <m/>
    <m/>
    <m/>
    <m/>
    <m/>
    <m/>
    <m/>
    <n v="0"/>
    <n v="0"/>
    <n v="0"/>
    <n v="0"/>
    <n v="0"/>
    <n v="0"/>
    <n v="0"/>
    <n v="0"/>
    <n v="0"/>
    <n v="0"/>
    <n v="0"/>
    <n v="0"/>
    <n v="0"/>
    <n v="0"/>
    <x v="1"/>
    <n v="0"/>
    <s v="MMR001CMP040"/>
    <x v="1"/>
    <x v="1"/>
    <x v="1"/>
    <n v="5.6074766355140186E-2"/>
    <s v="No"/>
    <m/>
  </r>
  <r>
    <n v="44.333333333333336"/>
    <d v="2012-05-11T00:00:00"/>
    <x v="0"/>
    <s v="KBSS"/>
    <s v="Kachin"/>
    <s v="Shwegu"/>
    <s v="Shwe Gu Catholic Church"/>
    <m/>
    <m/>
    <m/>
    <n v="37"/>
    <n v="22"/>
    <n v="37"/>
    <n v="22"/>
    <n v="22"/>
    <n v="22"/>
    <n v="22"/>
    <m/>
    <m/>
    <m/>
    <m/>
    <m/>
    <m/>
    <m/>
    <n v="0"/>
    <n v="0"/>
    <n v="0"/>
    <n v="0"/>
    <n v="0"/>
    <n v="0"/>
    <n v="0"/>
    <n v="0"/>
    <n v="0"/>
    <n v="0"/>
    <n v="0"/>
    <n v="0"/>
    <n v="0"/>
    <n v="0"/>
    <x v="1"/>
    <n v="0"/>
    <s v="MMR001CMP068"/>
    <x v="1"/>
    <x v="1"/>
    <x v="1"/>
    <n v="0.53658536585365857"/>
    <s v="No"/>
    <m/>
  </r>
  <r>
    <n v="44.4"/>
    <d v="2012-05-09T00:00:00"/>
    <x v="0"/>
    <s v="UNHCR"/>
    <s v="Kachin"/>
    <s v="Waingmaw"/>
    <s v="Waingmaw Baptist Zonal Office"/>
    <m/>
    <m/>
    <m/>
    <n v="161"/>
    <n v="83"/>
    <n v="161"/>
    <n v="83"/>
    <n v="83"/>
    <n v="83"/>
    <n v="83"/>
    <m/>
    <m/>
    <m/>
    <m/>
    <m/>
    <m/>
    <m/>
    <n v="0"/>
    <n v="0"/>
    <n v="0"/>
    <n v="0"/>
    <n v="0"/>
    <n v="0"/>
    <n v="0"/>
    <n v="0"/>
    <n v="0"/>
    <n v="0"/>
    <n v="0"/>
    <n v="0"/>
    <n v="0"/>
    <n v="0"/>
    <x v="1"/>
    <n v="0"/>
    <s v="MMR001CMP036"/>
    <x v="1"/>
    <x v="2"/>
    <x v="1"/>
    <s v=""/>
    <s v="No"/>
    <m/>
  </r>
  <r>
    <n v="44.6"/>
    <d v="2012-05-03T00:00:00"/>
    <x v="0"/>
    <s v="UNHCR"/>
    <s v="Kachin"/>
    <s v="Waingmaw"/>
    <s v="Maina AG Church"/>
    <m/>
    <m/>
    <m/>
    <n v="42"/>
    <n v="0"/>
    <n v="42"/>
    <n v="0"/>
    <n v="20"/>
    <n v="20"/>
    <n v="20"/>
    <m/>
    <m/>
    <m/>
    <m/>
    <m/>
    <m/>
    <m/>
    <n v="0"/>
    <n v="0"/>
    <n v="0"/>
    <n v="0"/>
    <n v="0"/>
    <n v="0"/>
    <n v="0"/>
    <n v="0"/>
    <n v="0"/>
    <n v="0"/>
    <n v="0"/>
    <n v="0"/>
    <n v="0"/>
    <n v="0"/>
    <x v="1"/>
    <n v="0"/>
    <s v="MMR001CMP031"/>
    <x v="1"/>
    <x v="1"/>
    <x v="1"/>
    <n v="0"/>
    <s v="No"/>
    <m/>
  </r>
  <r>
    <n v="44.6"/>
    <d v="2012-05-03T00:00:00"/>
    <x v="0"/>
    <s v="UNHCR"/>
    <s v="Kachin"/>
    <s v="Myitkyina"/>
    <s v="Myay Myint Baptist Church"/>
    <m/>
    <m/>
    <m/>
    <n v="0"/>
    <n v="0"/>
    <n v="0"/>
    <n v="0"/>
    <n v="5"/>
    <n v="5"/>
    <n v="5"/>
    <m/>
    <m/>
    <m/>
    <m/>
    <m/>
    <m/>
    <m/>
    <n v="0"/>
    <n v="0"/>
    <n v="0"/>
    <n v="0"/>
    <n v="0"/>
    <n v="0"/>
    <n v="0"/>
    <n v="0"/>
    <n v="0"/>
    <n v="0"/>
    <n v="0"/>
    <n v="0"/>
    <n v="0"/>
    <n v="0"/>
    <x v="1"/>
    <n v="0"/>
    <s v="MMR001CMP017"/>
    <x v="1"/>
    <x v="2"/>
    <x v="1"/>
    <s v=""/>
    <s v="No"/>
    <m/>
  </r>
  <r>
    <n v="44.6"/>
    <d v="2012-05-03T00:00:00"/>
    <x v="0"/>
    <s v="UNHCR"/>
    <s v="Kachin"/>
    <s v="Waingmaw"/>
    <s v="Qtr. 3 Mu-yin  Baptist Church"/>
    <m/>
    <m/>
    <m/>
    <n v="12"/>
    <n v="0"/>
    <n v="12"/>
    <n v="6"/>
    <n v="6"/>
    <n v="6"/>
    <n v="6"/>
    <m/>
    <m/>
    <m/>
    <m/>
    <m/>
    <m/>
    <m/>
    <n v="0"/>
    <n v="0"/>
    <n v="0"/>
    <n v="0"/>
    <n v="0"/>
    <n v="0"/>
    <n v="0"/>
    <n v="0"/>
    <n v="0"/>
    <n v="0"/>
    <n v="0"/>
    <n v="0"/>
    <n v="0"/>
    <n v="0"/>
    <x v="1"/>
    <n v="0"/>
    <s v="MMR001CMP030"/>
    <x v="1"/>
    <x v="1"/>
    <x v="1"/>
    <n v="0.19354838709677419"/>
    <s v="No"/>
    <m/>
  </r>
  <r>
    <n v="44.6"/>
    <d v="2012-05-03T00:00:00"/>
    <x v="0"/>
    <s v="UNHCR"/>
    <s v="Kachin"/>
    <s v="Waingmaw"/>
    <s v="Qtr. 4 Monestry (Thargaya Thayett Taw)"/>
    <m/>
    <m/>
    <m/>
    <n v="34"/>
    <n v="0"/>
    <n v="34"/>
    <n v="0"/>
    <n v="18"/>
    <n v="18"/>
    <n v="18"/>
    <m/>
    <m/>
    <m/>
    <m/>
    <m/>
    <m/>
    <m/>
    <n v="0"/>
    <n v="0"/>
    <n v="0"/>
    <n v="0"/>
    <n v="0"/>
    <n v="0"/>
    <n v="0"/>
    <n v="0"/>
    <n v="0"/>
    <n v="0"/>
    <n v="0"/>
    <n v="0"/>
    <n v="0"/>
    <n v="0"/>
    <x v="1"/>
    <n v="0"/>
    <s v="MMR001CMP026"/>
    <x v="1"/>
    <x v="1"/>
    <x v="1"/>
    <n v="0"/>
    <s v="No"/>
    <m/>
  </r>
  <r>
    <n v="44.666666666666664"/>
    <d v="2012-05-01T00:00:00"/>
    <x v="0"/>
    <s v="UNHCR"/>
    <s v="Kachin"/>
    <s v="Waingmaw"/>
    <s v="Qtr. 4 Monestry (Thargaya Thayett Taw)"/>
    <m/>
    <m/>
    <m/>
    <n v="52"/>
    <n v="0"/>
    <n v="52"/>
    <n v="0"/>
    <n v="24"/>
    <n v="24"/>
    <n v="24"/>
    <m/>
    <m/>
    <m/>
    <m/>
    <m/>
    <m/>
    <m/>
    <n v="0"/>
    <n v="0"/>
    <n v="0"/>
    <n v="0"/>
    <n v="0"/>
    <n v="0"/>
    <n v="0"/>
    <n v="0"/>
    <n v="0"/>
    <n v="0"/>
    <n v="0"/>
    <n v="0"/>
    <n v="0"/>
    <n v="0"/>
    <x v="1"/>
    <n v="0"/>
    <s v="MMR001CMP026"/>
    <x v="1"/>
    <x v="1"/>
    <x v="1"/>
    <n v="0"/>
    <s v="No"/>
    <m/>
  </r>
  <r>
    <n v="44.866666666666667"/>
    <d v="2012-04-25T00:00:00"/>
    <x v="0"/>
    <s v="UNHCR"/>
    <s v="Kachin"/>
    <s v="Momauk"/>
    <s v="Dum Bung "/>
    <m/>
    <m/>
    <m/>
    <n v="198"/>
    <n v="99"/>
    <n v="198"/>
    <n v="99"/>
    <n v="99"/>
    <n v="99"/>
    <n v="99"/>
    <m/>
    <m/>
    <m/>
    <m/>
    <m/>
    <m/>
    <m/>
    <n v="0"/>
    <n v="0"/>
    <n v="0"/>
    <n v="0"/>
    <n v="0"/>
    <n v="0"/>
    <n v="0"/>
    <n v="0"/>
    <n v="0"/>
    <n v="0"/>
    <n v="0"/>
    <n v="0"/>
    <n v="0"/>
    <n v="0"/>
    <x v="1"/>
    <n v="0"/>
    <s v="MMR001CMP123"/>
    <x v="1"/>
    <x v="1"/>
    <x v="4"/>
    <n v="0.85344827586206895"/>
    <s v="No"/>
    <m/>
  </r>
  <r>
    <n v="44.866666666666667"/>
    <d v="2012-04-25T00:00:00"/>
    <x v="0"/>
    <s v="UNHCR"/>
    <s v="Kachin"/>
    <s v="Myitkyina"/>
    <s v="Wun Tho Buddhist Monastery"/>
    <m/>
    <m/>
    <m/>
    <n v="39"/>
    <n v="19"/>
    <n v="78"/>
    <n v="19"/>
    <n v="0"/>
    <m/>
    <m/>
    <m/>
    <m/>
    <m/>
    <m/>
    <m/>
    <m/>
    <m/>
    <n v="0"/>
    <n v="0"/>
    <n v="0"/>
    <n v="0"/>
    <n v="0"/>
    <n v="0"/>
    <n v="0"/>
    <n v="0"/>
    <n v="0"/>
    <n v="0"/>
    <n v="0"/>
    <n v="0"/>
    <n v="0"/>
    <n v="0"/>
    <x v="1"/>
    <n v="0"/>
    <s v="MMR001CMP022"/>
    <x v="1"/>
    <x v="1"/>
    <x v="1"/>
    <n v="2.7142857142857144"/>
    <s v="No"/>
    <m/>
  </r>
  <r>
    <n v="44.966666666666669"/>
    <d v="2012-04-22T00:00:00"/>
    <x v="0"/>
    <s v="UNHCR"/>
    <s v="Kachin"/>
    <s v="Momauk"/>
    <s v="Je Gau  (+ WaRaPa )"/>
    <m/>
    <m/>
    <m/>
    <n v="846"/>
    <n v="423"/>
    <n v="846"/>
    <n v="423"/>
    <n v="423"/>
    <n v="423"/>
    <n v="423"/>
    <m/>
    <m/>
    <m/>
    <m/>
    <m/>
    <m/>
    <m/>
    <n v="0"/>
    <n v="0"/>
    <n v="0"/>
    <n v="0"/>
    <n v="0"/>
    <n v="0"/>
    <n v="0"/>
    <n v="0"/>
    <n v="0"/>
    <n v="0"/>
    <n v="0"/>
    <n v="0"/>
    <n v="0"/>
    <n v="0"/>
    <x v="1"/>
    <n v="0"/>
    <s v=""/>
    <x v="0"/>
    <x v="0"/>
    <x v="0"/>
    <s v=""/>
    <s v="No"/>
    <m/>
  </r>
  <r>
    <n v="45.3"/>
    <d v="2012-04-12T00:00:00"/>
    <x v="0"/>
    <s v="UNHCR"/>
    <s v="Kachin"/>
    <s v="Waingmaw"/>
    <s v="Post 6 Camp"/>
    <m/>
    <m/>
    <m/>
    <n v="123"/>
    <n v="95"/>
    <n v="123"/>
    <n v="95"/>
    <n v="95"/>
    <n v="95"/>
    <n v="95"/>
    <m/>
    <m/>
    <m/>
    <m/>
    <m/>
    <m/>
    <m/>
    <n v="0"/>
    <n v="0"/>
    <n v="0"/>
    <n v="0"/>
    <n v="0"/>
    <n v="0"/>
    <n v="0"/>
    <n v="0"/>
    <n v="0"/>
    <n v="0"/>
    <n v="0"/>
    <n v="0"/>
    <n v="0"/>
    <n v="0"/>
    <x v="1"/>
    <n v="0"/>
    <s v="MMR001CMP160"/>
    <x v="1"/>
    <x v="1"/>
    <x v="3"/>
    <n v="0.87962962962962965"/>
    <s v="No"/>
    <m/>
  </r>
  <r>
    <n v="45.366666666666667"/>
    <d v="2012-04-10T00:00:00"/>
    <x v="0"/>
    <s v="KBSS"/>
    <s v="Kachin"/>
    <s v="Shwegu"/>
    <s v="Shwe Gu Baptist Church"/>
    <m/>
    <m/>
    <m/>
    <n v="46"/>
    <n v="27"/>
    <n v="46"/>
    <n v="27"/>
    <n v="27"/>
    <n v="27"/>
    <n v="27"/>
    <m/>
    <m/>
    <m/>
    <m/>
    <m/>
    <m/>
    <m/>
    <n v="0"/>
    <n v="0"/>
    <n v="0"/>
    <n v="0"/>
    <n v="0"/>
    <n v="0"/>
    <n v="0"/>
    <n v="0"/>
    <n v="0"/>
    <n v="0"/>
    <n v="0"/>
    <n v="0"/>
    <n v="0"/>
    <n v="0"/>
    <x v="1"/>
    <n v="0"/>
    <s v="MMR001CMP067"/>
    <x v="1"/>
    <x v="1"/>
    <x v="1"/>
    <n v="0.3253012048192771"/>
    <s v="No"/>
    <m/>
  </r>
  <r>
    <n v="45.366666666666667"/>
    <d v="2012-04-10T00:00:00"/>
    <x v="0"/>
    <s v="KBSS"/>
    <s v="Kachin"/>
    <s v="Shwegu"/>
    <s v="Shwe Gu Catholic Church"/>
    <m/>
    <m/>
    <m/>
    <n v="43"/>
    <n v="25"/>
    <n v="43"/>
    <n v="25"/>
    <n v="25"/>
    <n v="25"/>
    <n v="25"/>
    <m/>
    <m/>
    <m/>
    <m/>
    <m/>
    <m/>
    <m/>
    <n v="0"/>
    <n v="0"/>
    <n v="0"/>
    <n v="0"/>
    <n v="0"/>
    <n v="0"/>
    <n v="0"/>
    <n v="0"/>
    <n v="0"/>
    <n v="0"/>
    <n v="0"/>
    <n v="0"/>
    <n v="0"/>
    <n v="0"/>
    <x v="1"/>
    <n v="0"/>
    <s v="MMR001CMP068"/>
    <x v="1"/>
    <x v="1"/>
    <x v="1"/>
    <n v="0.6097560975609756"/>
    <s v="No"/>
    <m/>
  </r>
  <r>
    <n v="45.533333333333331"/>
    <d v="2012-04-05T00:00:00"/>
    <x v="0"/>
    <s v="UNHCR"/>
    <s v="Kachin"/>
    <s v="Momauk"/>
    <s v="Momauk Catholic Church (St. Patrick)"/>
    <m/>
    <m/>
    <m/>
    <n v="0"/>
    <n v="50"/>
    <n v="0"/>
    <n v="0"/>
    <n v="0"/>
    <m/>
    <m/>
    <m/>
    <m/>
    <m/>
    <m/>
    <m/>
    <m/>
    <m/>
    <n v="0"/>
    <n v="0"/>
    <n v="0"/>
    <n v="0"/>
    <n v="0"/>
    <n v="0"/>
    <n v="0"/>
    <n v="0"/>
    <n v="0"/>
    <n v="0"/>
    <n v="0"/>
    <n v="0"/>
    <n v="0"/>
    <n v="0"/>
    <x v="1"/>
    <n v="0"/>
    <s v="MMR001CMP057"/>
    <x v="1"/>
    <x v="2"/>
    <x v="1"/>
    <s v=""/>
    <s v="No"/>
    <m/>
  </r>
  <r>
    <n v="45.56666666666667"/>
    <d v="2012-04-04T00:00:00"/>
    <x v="0"/>
    <s v="UNHCR"/>
    <s v="Kachin"/>
    <s v="Mansi"/>
    <s v="Bum Tsit Pa "/>
    <m/>
    <m/>
    <m/>
    <n v="216"/>
    <n v="108"/>
    <n v="216"/>
    <n v="108"/>
    <n v="108"/>
    <n v="108"/>
    <n v="108"/>
    <m/>
    <m/>
    <m/>
    <m/>
    <m/>
    <m/>
    <m/>
    <n v="0"/>
    <n v="0"/>
    <n v="0"/>
    <n v="0"/>
    <n v="0"/>
    <n v="0"/>
    <n v="0"/>
    <n v="0"/>
    <n v="0"/>
    <n v="0"/>
    <n v="0"/>
    <n v="0"/>
    <n v="0"/>
    <n v="0"/>
    <x v="1"/>
    <n v="0"/>
    <s v="MMR001CMP129"/>
    <x v="1"/>
    <x v="1"/>
    <x v="4"/>
    <n v="0.44081632653061226"/>
    <s v="No"/>
    <m/>
  </r>
  <r>
    <n v="45.6"/>
    <d v="2012-04-03T00:00:00"/>
    <x v="0"/>
    <s v="UNHCR"/>
    <s v="Kachin"/>
    <s v="Mansi"/>
    <s v="Lana Zup Ja "/>
    <m/>
    <m/>
    <m/>
    <n v="510"/>
    <n v="0"/>
    <n v="510"/>
    <n v="255"/>
    <n v="255"/>
    <n v="255"/>
    <n v="255"/>
    <m/>
    <m/>
    <m/>
    <m/>
    <m/>
    <m/>
    <m/>
    <n v="0"/>
    <n v="0"/>
    <n v="0"/>
    <n v="0"/>
    <n v="0"/>
    <n v="0"/>
    <n v="0"/>
    <n v="0"/>
    <n v="0"/>
    <n v="0"/>
    <n v="0"/>
    <n v="0"/>
    <n v="0"/>
    <n v="0"/>
    <x v="1"/>
    <n v="0"/>
    <s v="MMR001CMP128"/>
    <x v="1"/>
    <x v="1"/>
    <x v="4"/>
    <n v="0.46788990825688076"/>
    <s v="No"/>
    <m/>
  </r>
  <r>
    <n v="45.766666666666666"/>
    <d v="2012-03-29T00:00:00"/>
    <x v="0"/>
    <s v="UNHCR"/>
    <s v="Kachin"/>
    <s v="Mansi"/>
    <s v="Bum Tsit Pa "/>
    <m/>
    <m/>
    <m/>
    <n v="66"/>
    <n v="66"/>
    <n v="0"/>
    <n v="0"/>
    <n v="0"/>
    <m/>
    <m/>
    <m/>
    <m/>
    <m/>
    <m/>
    <m/>
    <m/>
    <m/>
    <n v="0"/>
    <n v="0"/>
    <n v="0"/>
    <n v="0"/>
    <n v="0"/>
    <n v="0"/>
    <n v="0"/>
    <n v="0"/>
    <n v="0"/>
    <n v="0"/>
    <n v="0"/>
    <n v="0"/>
    <n v="0"/>
    <n v="0"/>
    <x v="1"/>
    <n v="0"/>
    <s v="MMR001CMP129"/>
    <x v="1"/>
    <x v="1"/>
    <x v="4"/>
    <n v="0"/>
    <s v="No"/>
    <m/>
  </r>
  <r>
    <n v="45.766666666666666"/>
    <d v="2012-03-29T00:00:00"/>
    <x v="0"/>
    <s v="UNHCR"/>
    <s v="Kachin"/>
    <s v="Momauk"/>
    <s v="Pa Kahtawng "/>
    <m/>
    <m/>
    <m/>
    <n v="0"/>
    <n v="50"/>
    <n v="0"/>
    <n v="0"/>
    <n v="0"/>
    <m/>
    <m/>
    <m/>
    <m/>
    <m/>
    <m/>
    <m/>
    <m/>
    <m/>
    <n v="0"/>
    <n v="0"/>
    <n v="0"/>
    <n v="0"/>
    <n v="0"/>
    <n v="0"/>
    <n v="0"/>
    <n v="0"/>
    <n v="0"/>
    <n v="0"/>
    <n v="0"/>
    <n v="0"/>
    <n v="0"/>
    <n v="0"/>
    <x v="1"/>
    <n v="0"/>
    <s v="MMR001CMP126"/>
    <x v="1"/>
    <x v="1"/>
    <x v="4"/>
    <n v="0"/>
    <s v="No"/>
    <m/>
  </r>
  <r>
    <n v="45.766666666666666"/>
    <d v="2012-03-29T00:00:00"/>
    <x v="0"/>
    <s v="UNHCR"/>
    <s v="Kachin"/>
    <s v="Momauk"/>
    <s v="Seng Ja "/>
    <m/>
    <m/>
    <m/>
    <n v="66"/>
    <n v="66"/>
    <n v="0"/>
    <n v="0"/>
    <n v="0"/>
    <m/>
    <m/>
    <m/>
    <m/>
    <m/>
    <m/>
    <m/>
    <m/>
    <m/>
    <n v="0"/>
    <n v="0"/>
    <n v="0"/>
    <n v="0"/>
    <n v="0"/>
    <n v="0"/>
    <n v="0"/>
    <n v="0"/>
    <n v="0"/>
    <n v="0"/>
    <n v="0"/>
    <n v="0"/>
    <n v="0"/>
    <n v="0"/>
    <x v="1"/>
    <n v="0"/>
    <s v="MMR001CMP073"/>
    <x v="1"/>
    <x v="1"/>
    <x v="2"/>
    <n v="0"/>
    <s v="No"/>
    <m/>
  </r>
  <r>
    <n v="45.8"/>
    <d v="2012-03-28T00:00:00"/>
    <x v="0"/>
    <s v="UNHCR"/>
    <s v="Kachin"/>
    <s v="Momauk"/>
    <s v="Mai Ja Yang Ung Lung "/>
    <m/>
    <m/>
    <m/>
    <n v="217"/>
    <n v="217"/>
    <n v="0"/>
    <n v="0"/>
    <n v="0"/>
    <m/>
    <m/>
    <m/>
    <m/>
    <m/>
    <m/>
    <m/>
    <m/>
    <m/>
    <n v="0"/>
    <n v="0"/>
    <n v="0"/>
    <n v="0"/>
    <n v="0"/>
    <n v="0"/>
    <n v="0"/>
    <n v="0"/>
    <n v="0"/>
    <n v="0"/>
    <n v="0"/>
    <n v="0"/>
    <n v="0"/>
    <n v="0"/>
    <x v="1"/>
    <n v="0"/>
    <s v=""/>
    <x v="0"/>
    <x v="0"/>
    <x v="0"/>
    <s v=""/>
    <s v="No"/>
    <m/>
  </r>
  <r>
    <n v="45.833333333333336"/>
    <d v="2012-03-27T00:00:00"/>
    <x v="0"/>
    <s v="UNHCR"/>
    <s v="Kachin"/>
    <s v="Momauk"/>
    <s v="Mai Ja Yang Gat Pa "/>
    <m/>
    <m/>
    <m/>
    <n v="52"/>
    <n v="52"/>
    <n v="0"/>
    <n v="0"/>
    <n v="0"/>
    <m/>
    <m/>
    <m/>
    <m/>
    <m/>
    <m/>
    <m/>
    <m/>
    <m/>
    <n v="0"/>
    <n v="0"/>
    <n v="0"/>
    <n v="0"/>
    <n v="0"/>
    <n v="0"/>
    <n v="0"/>
    <n v="0"/>
    <n v="0"/>
    <n v="0"/>
    <n v="0"/>
    <n v="0"/>
    <n v="0"/>
    <n v="0"/>
    <x v="1"/>
    <n v="0"/>
    <s v=""/>
    <x v="0"/>
    <x v="0"/>
    <x v="0"/>
    <s v=""/>
    <s v="No"/>
    <m/>
  </r>
  <r>
    <n v="45.833333333333336"/>
    <d v="2012-03-27T00:00:00"/>
    <x v="0"/>
    <s v="UNHCR"/>
    <s v="Kachin"/>
    <s v="Bhamo"/>
    <s v="AD-2000 Tharthana Compound"/>
    <m/>
    <m/>
    <m/>
    <n v="560"/>
    <n v="280"/>
    <n v="560"/>
    <n v="280"/>
    <n v="280"/>
    <n v="280"/>
    <n v="280"/>
    <m/>
    <m/>
    <m/>
    <m/>
    <m/>
    <m/>
    <m/>
    <n v="0"/>
    <n v="0"/>
    <n v="0"/>
    <n v="0"/>
    <n v="0"/>
    <n v="0"/>
    <n v="0"/>
    <n v="0"/>
    <n v="0"/>
    <n v="0"/>
    <n v="0"/>
    <n v="0"/>
    <n v="0"/>
    <n v="0"/>
    <x v="1"/>
    <n v="0"/>
    <s v="MMR001CMP050"/>
    <x v="1"/>
    <x v="1"/>
    <x v="1"/>
    <n v="1.0218978102189782"/>
    <s v="No"/>
    <m/>
  </r>
  <r>
    <n v="45.833333333333336"/>
    <d v="2012-03-27T00:00:00"/>
    <x v="0"/>
    <s v="UNHCR"/>
    <s v="Kachin"/>
    <s v="Waingmaw"/>
    <s v="Border Post 8"/>
    <m/>
    <m/>
    <m/>
    <n v="460"/>
    <n v="228"/>
    <n v="460"/>
    <n v="228"/>
    <n v="228"/>
    <n v="228"/>
    <n v="228"/>
    <m/>
    <m/>
    <m/>
    <m/>
    <m/>
    <m/>
    <m/>
    <n v="0"/>
    <n v="0"/>
    <n v="0"/>
    <n v="0"/>
    <n v="0"/>
    <n v="0"/>
    <n v="0"/>
    <n v="0"/>
    <n v="0"/>
    <n v="0"/>
    <n v="0"/>
    <n v="0"/>
    <n v="0"/>
    <n v="0"/>
    <x v="1"/>
    <n v="0"/>
    <s v="MMR001CMP113"/>
    <x v="1"/>
    <x v="1"/>
    <x v="3"/>
    <n v="1.4709677419354839"/>
    <s v="No"/>
    <m/>
  </r>
  <r>
    <n v="45.833333333333336"/>
    <d v="2012-03-27T00:00:00"/>
    <x v="0"/>
    <s v="UNHCR"/>
    <s v="Kachin"/>
    <s v="Waingmaw"/>
    <s v="Post 6 Camp"/>
    <m/>
    <m/>
    <m/>
    <n v="0"/>
    <n v="40"/>
    <n v="0"/>
    <n v="0"/>
    <n v="0"/>
    <m/>
    <m/>
    <m/>
    <m/>
    <m/>
    <m/>
    <m/>
    <m/>
    <m/>
    <n v="0"/>
    <n v="0"/>
    <n v="0"/>
    <n v="0"/>
    <n v="0"/>
    <n v="0"/>
    <n v="0"/>
    <n v="0"/>
    <n v="0"/>
    <n v="0"/>
    <n v="0"/>
    <n v="0"/>
    <n v="0"/>
    <n v="0"/>
    <x v="1"/>
    <n v="0"/>
    <s v="MMR001CMP160"/>
    <x v="1"/>
    <x v="1"/>
    <x v="3"/>
    <n v="0"/>
    <s v="No"/>
    <m/>
  </r>
  <r>
    <n v="45.833333333333336"/>
    <d v="2012-03-27T00:00:00"/>
    <x v="0"/>
    <s v="UNHCR"/>
    <s v="Kachin"/>
    <s v="Bhamo"/>
    <s v="Robert Church"/>
    <m/>
    <m/>
    <m/>
    <n v="1000"/>
    <n v="500"/>
    <n v="1000"/>
    <n v="500"/>
    <n v="500"/>
    <n v="500"/>
    <n v="500"/>
    <m/>
    <m/>
    <m/>
    <m/>
    <m/>
    <m/>
    <m/>
    <n v="0"/>
    <n v="0"/>
    <n v="0"/>
    <n v="0"/>
    <n v="0"/>
    <n v="0"/>
    <n v="0"/>
    <n v="0"/>
    <n v="0"/>
    <n v="0"/>
    <n v="0"/>
    <n v="0"/>
    <n v="0"/>
    <n v="0"/>
    <x v="1"/>
    <n v="0"/>
    <s v="MMR001CMP047"/>
    <x v="1"/>
    <x v="1"/>
    <x v="1"/>
    <n v="0.76687116564417179"/>
    <s v="No"/>
    <m/>
  </r>
  <r>
    <n v="45.866666666666667"/>
    <d v="2012-03-26T00:00:00"/>
    <x v="0"/>
    <s v="UNHCR"/>
    <s v="Kachin"/>
    <s v="Waingmaw"/>
    <s v="Border Post 8"/>
    <m/>
    <m/>
    <m/>
    <n v="460"/>
    <n v="250"/>
    <n v="460"/>
    <n v="230"/>
    <n v="0"/>
    <m/>
    <m/>
    <m/>
    <m/>
    <m/>
    <m/>
    <m/>
    <m/>
    <m/>
    <n v="0"/>
    <n v="0"/>
    <n v="0"/>
    <n v="0"/>
    <n v="0"/>
    <n v="0"/>
    <n v="0"/>
    <n v="0"/>
    <n v="0"/>
    <n v="0"/>
    <n v="0"/>
    <n v="0"/>
    <n v="0"/>
    <n v="0"/>
    <x v="1"/>
    <n v="0"/>
    <s v="MMR001CMP113"/>
    <x v="1"/>
    <x v="1"/>
    <x v="3"/>
    <n v="1.4838709677419355"/>
    <s v="No"/>
    <m/>
  </r>
  <r>
    <n v="45.866666666666667"/>
    <d v="2012-03-26T00:00:00"/>
    <x v="0"/>
    <s v="UNHCR"/>
    <s v="Kachin"/>
    <s v="Momauk"/>
    <s v="Momauk Catholic Church (St. Patrick)"/>
    <m/>
    <m/>
    <m/>
    <n v="49"/>
    <n v="49"/>
    <n v="0"/>
    <n v="0"/>
    <n v="49"/>
    <n v="49"/>
    <n v="49"/>
    <m/>
    <m/>
    <m/>
    <m/>
    <m/>
    <m/>
    <m/>
    <n v="0"/>
    <n v="0"/>
    <n v="0"/>
    <n v="0"/>
    <n v="0"/>
    <n v="0"/>
    <n v="0"/>
    <n v="0"/>
    <n v="0"/>
    <n v="0"/>
    <n v="0"/>
    <n v="0"/>
    <n v="0"/>
    <n v="0"/>
    <x v="1"/>
    <n v="0"/>
    <s v="MMR001CMP057"/>
    <x v="1"/>
    <x v="2"/>
    <x v="1"/>
    <s v=""/>
    <s v="No"/>
    <m/>
  </r>
  <r>
    <n v="46.5"/>
    <d v="2012-03-07T00:00:00"/>
    <x v="0"/>
    <s v="UNHCR"/>
    <s v="Kachin"/>
    <s v="Waingmaw"/>
    <s v="Qtr. 2 Lhaovo Baptist Church"/>
    <m/>
    <m/>
    <m/>
    <n v="12"/>
    <n v="8"/>
    <n v="12"/>
    <n v="8"/>
    <n v="8"/>
    <n v="8"/>
    <n v="8"/>
    <m/>
    <m/>
    <m/>
    <m/>
    <m/>
    <m/>
    <m/>
    <n v="0"/>
    <n v="0"/>
    <n v="0"/>
    <n v="0"/>
    <n v="0"/>
    <n v="0"/>
    <n v="0"/>
    <n v="0"/>
    <n v="0"/>
    <n v="0"/>
    <n v="0"/>
    <n v="0"/>
    <n v="0"/>
    <n v="0"/>
    <x v="1"/>
    <n v="0"/>
    <s v="MMR001CMP032"/>
    <x v="1"/>
    <x v="1"/>
    <x v="1"/>
    <n v="8.5106382978723402E-2"/>
    <s v="No"/>
    <m/>
  </r>
  <r>
    <n v="46.5"/>
    <d v="2012-03-07T00:00:00"/>
    <x v="0"/>
    <s v="UNHCR"/>
    <s v="Kachin"/>
    <s v="Waingmaw"/>
    <s v="Thargaya Lisu Baptist Church"/>
    <m/>
    <m/>
    <m/>
    <n v="38"/>
    <n v="18"/>
    <n v="38"/>
    <n v="17"/>
    <n v="18"/>
    <n v="18"/>
    <n v="18"/>
    <m/>
    <m/>
    <m/>
    <m/>
    <m/>
    <m/>
    <m/>
    <n v="0"/>
    <n v="0"/>
    <n v="0"/>
    <n v="0"/>
    <n v="0"/>
    <n v="0"/>
    <n v="0"/>
    <n v="0"/>
    <n v="0"/>
    <n v="0"/>
    <n v="0"/>
    <n v="0"/>
    <n v="0"/>
    <n v="0"/>
    <x v="1"/>
    <n v="0"/>
    <s v="MMR001CMP037"/>
    <x v="1"/>
    <x v="1"/>
    <x v="1"/>
    <n v="0.38636363636363635"/>
    <s v="No"/>
    <m/>
  </r>
  <r>
    <n v="46.8"/>
    <d v="2012-02-27T00:00:00"/>
    <x v="0"/>
    <s v="SC&amp;L Group"/>
    <s v="Kachin"/>
    <s v="Myitkyina"/>
    <s v="Wun Tho Buddhist Monastery"/>
    <m/>
    <m/>
    <m/>
    <n v="34"/>
    <n v="0"/>
    <n v="34"/>
    <n v="0"/>
    <n v="34"/>
    <n v="34"/>
    <n v="34"/>
    <m/>
    <m/>
    <m/>
    <m/>
    <m/>
    <m/>
    <m/>
    <n v="0"/>
    <n v="0"/>
    <n v="0"/>
    <n v="0"/>
    <n v="0"/>
    <n v="0"/>
    <n v="0"/>
    <n v="0"/>
    <n v="0"/>
    <n v="0"/>
    <n v="0"/>
    <n v="0"/>
    <n v="0"/>
    <n v="0"/>
    <x v="1"/>
    <n v="0"/>
    <s v="MMR001CMP022"/>
    <x v="1"/>
    <x v="1"/>
    <x v="1"/>
    <n v="0"/>
    <s v="No"/>
    <m/>
  </r>
  <r>
    <n v="46.833333333333336"/>
    <d v="2012-02-26T00:00:00"/>
    <x v="0"/>
    <s v="UNHCR"/>
    <s v="Kachin"/>
    <s v="Myitkyina"/>
    <s v="Pamati Kayan"/>
    <m/>
    <m/>
    <m/>
    <n v="25"/>
    <n v="18"/>
    <n v="25"/>
    <n v="18"/>
    <n v="18"/>
    <n v="18"/>
    <n v="18"/>
    <m/>
    <m/>
    <m/>
    <m/>
    <m/>
    <m/>
    <m/>
    <n v="0"/>
    <n v="0"/>
    <n v="0"/>
    <n v="0"/>
    <n v="0"/>
    <n v="0"/>
    <n v="0"/>
    <n v="0"/>
    <n v="0"/>
    <n v="0"/>
    <n v="0"/>
    <n v="0"/>
    <n v="0"/>
    <n v="0"/>
    <x v="1"/>
    <n v="0"/>
    <s v=""/>
    <x v="0"/>
    <x v="0"/>
    <x v="0"/>
    <s v=""/>
    <s v="No"/>
    <s v="Lone Zut"/>
  </r>
  <r>
    <n v="46.833333333333336"/>
    <d v="2012-02-26T00:00:00"/>
    <x v="0"/>
    <s v="SC&amp;L Group"/>
    <s v="Kachin"/>
    <s v="Myitkyina"/>
    <s v="Pan Ma Tee"/>
    <m/>
    <m/>
    <m/>
    <n v="25"/>
    <n v="0"/>
    <n v="25"/>
    <n v="0"/>
    <n v="10"/>
    <n v="10"/>
    <n v="10"/>
    <m/>
    <m/>
    <m/>
    <m/>
    <m/>
    <m/>
    <m/>
    <n v="0"/>
    <n v="0"/>
    <n v="0"/>
    <n v="0"/>
    <n v="0"/>
    <n v="0"/>
    <n v="0"/>
    <n v="0"/>
    <n v="0"/>
    <n v="0"/>
    <n v="0"/>
    <n v="0"/>
    <n v="0"/>
    <n v="0"/>
    <x v="1"/>
    <n v="0"/>
    <s v=""/>
    <x v="0"/>
    <x v="0"/>
    <x v="0"/>
    <s v=""/>
    <s v="No"/>
    <m/>
  </r>
  <r>
    <n v="47.466666666666669"/>
    <d v="2012-02-07T00:00:00"/>
    <x v="0"/>
    <s v="SC&amp;L Group"/>
    <s v="Kachin"/>
    <s v="Myitkyina"/>
    <s v="Maw Hpawng Hka Nan Baptist Church"/>
    <m/>
    <m/>
    <m/>
    <n v="38"/>
    <n v="18"/>
    <n v="38"/>
    <n v="18"/>
    <n v="18"/>
    <n v="18"/>
    <n v="18"/>
    <m/>
    <m/>
    <m/>
    <m/>
    <m/>
    <m/>
    <m/>
    <n v="0"/>
    <n v="0"/>
    <n v="0"/>
    <n v="0"/>
    <n v="0"/>
    <n v="0"/>
    <n v="0"/>
    <n v="0"/>
    <n v="0"/>
    <n v="0"/>
    <n v="0"/>
    <n v="0"/>
    <n v="0"/>
    <n v="0"/>
    <x v="1"/>
    <n v="0"/>
    <s v="MMR001CMP020"/>
    <x v="1"/>
    <x v="1"/>
    <x v="1"/>
    <n v="0.81818181818181823"/>
    <s v="No"/>
    <m/>
  </r>
  <r>
    <n v="47.5"/>
    <d v="2012-02-06T00:00:00"/>
    <x v="0"/>
    <s v="UNHCR"/>
    <s v="Kachin"/>
    <s v="Waingmaw"/>
    <s v="Qtr. 4 Monestry (Thargaya Thayett Taw)"/>
    <m/>
    <m/>
    <m/>
    <n v="0"/>
    <n v="0"/>
    <n v="0"/>
    <n v="0"/>
    <n v="13"/>
    <n v="13"/>
    <n v="13"/>
    <m/>
    <m/>
    <m/>
    <m/>
    <m/>
    <m/>
    <m/>
    <n v="0"/>
    <n v="0"/>
    <n v="0"/>
    <n v="0"/>
    <n v="0"/>
    <n v="0"/>
    <n v="0"/>
    <n v="0"/>
    <n v="0"/>
    <n v="0"/>
    <n v="0"/>
    <n v="0"/>
    <n v="0"/>
    <n v="0"/>
    <x v="1"/>
    <n v="0"/>
    <s v="MMR001CMP026"/>
    <x v="1"/>
    <x v="1"/>
    <x v="1"/>
    <n v="0"/>
    <s v="No"/>
    <m/>
  </r>
  <r>
    <n v="47.7"/>
    <d v="2012-01-31T00:00:00"/>
    <x v="0"/>
    <s v="UNHCR"/>
    <s v="Kachin"/>
    <s v="Waingmaw"/>
    <s v="Qtr. 4 Monestry (Thargaya Thayett Taw)"/>
    <m/>
    <m/>
    <m/>
    <n v="0"/>
    <n v="0"/>
    <n v="0"/>
    <n v="0"/>
    <n v="61"/>
    <n v="61"/>
    <n v="61"/>
    <m/>
    <m/>
    <m/>
    <m/>
    <m/>
    <m/>
    <m/>
    <n v="0"/>
    <n v="0"/>
    <n v="0"/>
    <n v="0"/>
    <n v="0"/>
    <n v="0"/>
    <n v="0"/>
    <n v="0"/>
    <n v="0"/>
    <n v="0"/>
    <n v="0"/>
    <n v="0"/>
    <n v="0"/>
    <n v="0"/>
    <x v="1"/>
    <n v="0"/>
    <s v="MMR001CMP026"/>
    <x v="1"/>
    <x v="1"/>
    <x v="1"/>
    <n v="0"/>
    <s v="No"/>
    <m/>
  </r>
  <r>
    <n v="48.1"/>
    <d v="2012-01-19T00:00:00"/>
    <x v="0"/>
    <s v="KBC"/>
    <s v="Kachin"/>
    <s v="Myitkyina"/>
    <s v="Jan Mai Kawng Baptist Church"/>
    <m/>
    <m/>
    <m/>
    <n v="0"/>
    <n v="0"/>
    <n v="0"/>
    <n v="0"/>
    <n v="118"/>
    <n v="118"/>
    <n v="118"/>
    <m/>
    <m/>
    <m/>
    <m/>
    <m/>
    <m/>
    <m/>
    <n v="0"/>
    <n v="0"/>
    <n v="0"/>
    <n v="0"/>
    <n v="0"/>
    <n v="0"/>
    <n v="0"/>
    <n v="0"/>
    <n v="0"/>
    <n v="0"/>
    <n v="0"/>
    <n v="0"/>
    <n v="0"/>
    <n v="0"/>
    <x v="1"/>
    <n v="0"/>
    <s v="MMR001CMP018"/>
    <x v="1"/>
    <x v="1"/>
    <x v="1"/>
    <n v="0"/>
    <s v="No"/>
    <m/>
  </r>
  <r>
    <n v="48.3"/>
    <d v="2012-01-13T00:00:00"/>
    <x v="0"/>
    <s v="KBC"/>
    <s v="Kachin"/>
    <m/>
    <s v="Kat Hmaw Zut Baptist Church"/>
    <m/>
    <m/>
    <m/>
    <n v="76"/>
    <n v="38"/>
    <n v="38"/>
    <n v="0"/>
    <n v="38"/>
    <n v="38"/>
    <n v="38"/>
    <m/>
    <m/>
    <m/>
    <m/>
    <m/>
    <m/>
    <m/>
    <n v="0"/>
    <n v="0"/>
    <n v="0"/>
    <n v="0"/>
    <n v="0"/>
    <n v="0"/>
    <n v="0"/>
    <n v="0"/>
    <n v="0"/>
    <n v="0"/>
    <n v="0"/>
    <n v="0"/>
    <n v="0"/>
    <n v="0"/>
    <x v="1"/>
    <n v="0"/>
    <s v=""/>
    <x v="0"/>
    <x v="0"/>
    <x v="0"/>
    <s v=""/>
    <s v="No"/>
    <m/>
  </r>
  <r>
    <n v="48.3"/>
    <d v="2012-01-13T00:00:00"/>
    <x v="0"/>
    <s v="KBC"/>
    <s v="Kachin"/>
    <m/>
    <s v="Le Pyin - Kar Gyi Winn"/>
    <m/>
    <m/>
    <m/>
    <n v="18"/>
    <n v="9"/>
    <n v="9"/>
    <n v="0"/>
    <n v="9"/>
    <n v="9"/>
    <n v="9"/>
    <m/>
    <m/>
    <m/>
    <m/>
    <m/>
    <m/>
    <m/>
    <n v="0"/>
    <n v="0"/>
    <n v="0"/>
    <n v="0"/>
    <n v="0"/>
    <n v="0"/>
    <n v="0"/>
    <n v="0"/>
    <n v="0"/>
    <n v="0"/>
    <n v="0"/>
    <n v="0"/>
    <n v="0"/>
    <n v="0"/>
    <x v="1"/>
    <n v="0"/>
    <s v=""/>
    <x v="0"/>
    <x v="0"/>
    <x v="0"/>
    <s v=""/>
    <s v="No"/>
    <s v="Lone Zut"/>
  </r>
  <r>
    <n v="48.3"/>
    <d v="2012-01-13T00:00:00"/>
    <x v="0"/>
    <s v="KBC"/>
    <s v="Kachin"/>
    <m/>
    <s v="Le Pyin Christian Church"/>
    <m/>
    <m/>
    <m/>
    <n v="10"/>
    <n v="5"/>
    <n v="5"/>
    <n v="0"/>
    <n v="5"/>
    <n v="5"/>
    <n v="5"/>
    <m/>
    <m/>
    <m/>
    <m/>
    <m/>
    <m/>
    <m/>
    <n v="0"/>
    <n v="0"/>
    <n v="0"/>
    <n v="0"/>
    <n v="0"/>
    <n v="0"/>
    <n v="0"/>
    <n v="0"/>
    <n v="0"/>
    <n v="0"/>
    <n v="0"/>
    <n v="0"/>
    <n v="0"/>
    <n v="0"/>
    <x v="1"/>
    <n v="0"/>
    <s v=""/>
    <x v="0"/>
    <x v="0"/>
    <x v="0"/>
    <s v=""/>
    <s v="No"/>
    <s v="CBP"/>
  </r>
  <r>
    <n v="48.3"/>
    <d v="2012-01-13T00:00:00"/>
    <x v="0"/>
    <s v="KBC"/>
    <s v="Kachin"/>
    <m/>
    <s v="Nant Yar Baptist Church"/>
    <m/>
    <m/>
    <m/>
    <n v="126"/>
    <n v="63"/>
    <n v="63"/>
    <n v="0"/>
    <n v="63"/>
    <n v="63"/>
    <n v="63"/>
    <m/>
    <m/>
    <m/>
    <m/>
    <m/>
    <m/>
    <m/>
    <n v="0"/>
    <n v="0"/>
    <n v="0"/>
    <n v="0"/>
    <n v="0"/>
    <n v="0"/>
    <n v="0"/>
    <n v="0"/>
    <n v="0"/>
    <n v="0"/>
    <n v="0"/>
    <n v="0"/>
    <n v="0"/>
    <n v="0"/>
    <x v="1"/>
    <n v="0"/>
    <s v=""/>
    <x v="0"/>
    <x v="0"/>
    <x v="0"/>
    <s v=""/>
    <s v="No"/>
    <s v="Emergency Aung Bar Li"/>
  </r>
  <r>
    <n v="48.3"/>
    <d v="2012-01-13T00:00:00"/>
    <x v="0"/>
    <s v="KBC"/>
    <s v="Kachin"/>
    <s v="Hpakant"/>
    <s v="5 Ward Baptist Church(lon Khin)"/>
    <m/>
    <m/>
    <m/>
    <n v="52"/>
    <n v="26"/>
    <n v="36"/>
    <n v="0"/>
    <n v="26"/>
    <n v="26"/>
    <n v="26"/>
    <m/>
    <m/>
    <m/>
    <m/>
    <m/>
    <m/>
    <m/>
    <n v="0"/>
    <n v="0"/>
    <n v="0"/>
    <n v="0"/>
    <n v="0"/>
    <n v="0"/>
    <n v="0"/>
    <n v="0"/>
    <n v="0"/>
    <n v="0"/>
    <n v="0"/>
    <n v="0"/>
    <n v="0"/>
    <n v="0"/>
    <x v="1"/>
    <n v="0"/>
    <s v="MMR001CMP179"/>
    <x v="1"/>
    <x v="1"/>
    <x v="1"/>
    <n v="0"/>
    <s v="No"/>
    <m/>
  </r>
  <r>
    <n v="48.3"/>
    <d v="2012-01-13T00:00:00"/>
    <x v="0"/>
    <s v="KBC"/>
    <s v="Kachin"/>
    <s v="Hpakant"/>
    <s v="5 Ward Baptist Church(lon Khin)"/>
    <m/>
    <m/>
    <m/>
    <n v="120"/>
    <n v="60"/>
    <n v="60"/>
    <n v="0"/>
    <n v="60"/>
    <n v="60"/>
    <n v="60"/>
    <m/>
    <m/>
    <m/>
    <m/>
    <m/>
    <m/>
    <m/>
    <n v="0"/>
    <n v="0"/>
    <n v="0"/>
    <n v="0"/>
    <n v="0"/>
    <n v="0"/>
    <n v="0"/>
    <n v="0"/>
    <n v="0"/>
    <n v="0"/>
    <n v="0"/>
    <n v="0"/>
    <n v="0"/>
    <n v="0"/>
    <x v="1"/>
    <n v="0"/>
    <s v="MMR001CMP179"/>
    <x v="1"/>
    <x v="1"/>
    <x v="1"/>
    <n v="0"/>
    <s v="No"/>
    <m/>
  </r>
  <r>
    <n v="48.3"/>
    <d v="2012-01-13T00:00:00"/>
    <x v="0"/>
    <s v="KBC"/>
    <s v="Kachin"/>
    <s v="Hpakant"/>
    <s v="5 Ward Baptist Church(lon Khin)"/>
    <m/>
    <m/>
    <m/>
    <n v="148"/>
    <n v="74"/>
    <n v="74"/>
    <n v="0"/>
    <n v="74"/>
    <n v="74"/>
    <n v="74"/>
    <m/>
    <m/>
    <m/>
    <m/>
    <m/>
    <m/>
    <m/>
    <n v="0"/>
    <n v="0"/>
    <n v="0"/>
    <n v="0"/>
    <n v="0"/>
    <n v="0"/>
    <n v="0"/>
    <n v="0"/>
    <n v="0"/>
    <n v="0"/>
    <n v="0"/>
    <n v="0"/>
    <n v="0"/>
    <n v="0"/>
    <x v="1"/>
    <n v="0"/>
    <s v="MMR001CMP179"/>
    <x v="1"/>
    <x v="1"/>
    <x v="1"/>
    <n v="0"/>
    <s v="No"/>
    <m/>
  </r>
  <r>
    <n v="48.3"/>
    <d v="2012-01-13T00:00:00"/>
    <x v="0"/>
    <s v="KBC"/>
    <s v="Kachin"/>
    <s v="Hpakant"/>
    <s v="Baptist Church, Hmaw Si Sar(Lon Khin)"/>
    <m/>
    <m/>
    <m/>
    <n v="70"/>
    <n v="35"/>
    <n v="35"/>
    <n v="0"/>
    <n v="35"/>
    <n v="35"/>
    <n v="35"/>
    <m/>
    <m/>
    <m/>
    <m/>
    <m/>
    <m/>
    <m/>
    <n v="0"/>
    <n v="0"/>
    <n v="0"/>
    <n v="0"/>
    <n v="0"/>
    <n v="0"/>
    <n v="0"/>
    <n v="0"/>
    <n v="0"/>
    <n v="0"/>
    <n v="0"/>
    <n v="0"/>
    <n v="0"/>
    <n v="0"/>
    <x v="1"/>
    <n v="0"/>
    <s v="MMR001CMP169"/>
    <x v="1"/>
    <x v="1"/>
    <x v="1"/>
    <n v="0"/>
    <s v="No"/>
    <m/>
  </r>
  <r>
    <n v="48.3"/>
    <d v="2012-01-13T00:00:00"/>
    <x v="0"/>
    <s v="KBC"/>
    <s v="Kachin"/>
    <s v="Hpakant"/>
    <s v="Hlaing Naung Baptist"/>
    <m/>
    <m/>
    <m/>
    <n v="10"/>
    <n v="5"/>
    <n v="5"/>
    <n v="0"/>
    <n v="5"/>
    <n v="5"/>
    <n v="5"/>
    <m/>
    <m/>
    <m/>
    <m/>
    <m/>
    <m/>
    <m/>
    <n v="0"/>
    <n v="0"/>
    <n v="0"/>
    <n v="0"/>
    <n v="0"/>
    <n v="0"/>
    <n v="0"/>
    <n v="0"/>
    <n v="0"/>
    <n v="0"/>
    <n v="0"/>
    <n v="0"/>
    <n v="0"/>
    <n v="0"/>
    <x v="1"/>
    <n v="0"/>
    <s v="MMR001CMP148"/>
    <x v="1"/>
    <x v="1"/>
    <x v="1"/>
    <n v="0"/>
    <s v="No"/>
    <m/>
  </r>
  <r>
    <n v="48.3"/>
    <d v="2012-01-13T00:00:00"/>
    <x v="0"/>
    <s v="UNHCR"/>
    <s v="Kachin"/>
    <s v="Waingmaw"/>
    <s v="Maina Lawang Baptist Church"/>
    <m/>
    <m/>
    <m/>
    <n v="35"/>
    <n v="17"/>
    <n v="35"/>
    <n v="17"/>
    <n v="17"/>
    <n v="17"/>
    <n v="17"/>
    <m/>
    <m/>
    <m/>
    <m/>
    <m/>
    <m/>
    <m/>
    <n v="0"/>
    <n v="0"/>
    <n v="0"/>
    <n v="0"/>
    <n v="0"/>
    <n v="0"/>
    <n v="0"/>
    <n v="0"/>
    <n v="0"/>
    <n v="0"/>
    <n v="0"/>
    <n v="0"/>
    <n v="0"/>
    <n v="0"/>
    <x v="1"/>
    <n v="0"/>
    <s v="MMR001CMP039"/>
    <x v="1"/>
    <x v="1"/>
    <x v="1"/>
    <n v="0.35416666666666669"/>
    <s v="No"/>
    <m/>
  </r>
  <r>
    <n v="48.3"/>
    <d v="2012-01-13T00:00:00"/>
    <x v="0"/>
    <s v="KBC"/>
    <s v="Kachin"/>
    <s v="Hpakant"/>
    <s v="Maw Si Zar, Thiriyardanar Sein, Damma Compound, Lone Khin"/>
    <m/>
    <m/>
    <m/>
    <n v="224"/>
    <n v="112"/>
    <n v="112"/>
    <n v="0"/>
    <n v="112"/>
    <n v="112"/>
    <n v="112"/>
    <m/>
    <m/>
    <m/>
    <m/>
    <m/>
    <m/>
    <m/>
    <n v="0"/>
    <n v="0"/>
    <n v="0"/>
    <n v="0"/>
    <n v="0"/>
    <n v="0"/>
    <n v="0"/>
    <n v="0"/>
    <n v="0"/>
    <n v="0"/>
    <n v="0"/>
    <n v="0"/>
    <n v="0"/>
    <n v="0"/>
    <x v="1"/>
    <n v="0"/>
    <s v="MMR001CMP106"/>
    <x v="1"/>
    <x v="2"/>
    <x v="0"/>
    <s v=""/>
    <s v="No"/>
    <m/>
  </r>
  <r>
    <n v="48.3"/>
    <d v="2012-01-13T00:00:00"/>
    <x v="0"/>
    <s v="KBC"/>
    <s v="Kachin"/>
    <s v="Hpakant"/>
    <s v="Maw Wan, Kachin Baptist Church"/>
    <m/>
    <m/>
    <m/>
    <n v="34"/>
    <n v="17"/>
    <n v="17"/>
    <n v="0"/>
    <n v="17"/>
    <n v="17"/>
    <n v="17"/>
    <m/>
    <m/>
    <m/>
    <m/>
    <m/>
    <m/>
    <m/>
    <n v="0"/>
    <n v="0"/>
    <n v="0"/>
    <n v="0"/>
    <n v="0"/>
    <n v="0"/>
    <n v="0"/>
    <n v="0"/>
    <n v="0"/>
    <n v="0"/>
    <n v="0"/>
    <n v="0"/>
    <n v="0"/>
    <n v="0"/>
    <x v="1"/>
    <n v="0"/>
    <s v="MMR001CMP085"/>
    <x v="1"/>
    <x v="2"/>
    <x v="0"/>
    <s v=""/>
    <s v="No"/>
    <m/>
  </r>
  <r>
    <n v="48.3"/>
    <d v="2012-01-13T00:00:00"/>
    <x v="0"/>
    <s v="KBC"/>
    <s v="Kachin"/>
    <s v="Hpakant"/>
    <s v="Nga Pyaw Taw Baptist Nursery School "/>
    <m/>
    <m/>
    <m/>
    <n v="112"/>
    <n v="56"/>
    <n v="56"/>
    <n v="0"/>
    <n v="56"/>
    <n v="56"/>
    <n v="56"/>
    <m/>
    <m/>
    <m/>
    <m/>
    <m/>
    <m/>
    <m/>
    <n v="0"/>
    <n v="0"/>
    <n v="0"/>
    <n v="0"/>
    <n v="0"/>
    <n v="0"/>
    <n v="0"/>
    <n v="0"/>
    <n v="0"/>
    <n v="0"/>
    <n v="0"/>
    <n v="0"/>
    <n v="0"/>
    <n v="0"/>
    <x v="1"/>
    <n v="0"/>
    <s v="MMR001CMP082"/>
    <x v="1"/>
    <x v="2"/>
    <x v="0"/>
    <s v=""/>
    <s v="No"/>
    <m/>
  </r>
  <r>
    <n v="48.366666666666667"/>
    <d v="2012-01-11T00:00:00"/>
    <x v="0"/>
    <s v="KBC"/>
    <s v="Kachin"/>
    <s v="Waingmaw"/>
    <s v="Shing Jai"/>
    <m/>
    <m/>
    <m/>
    <n v="536"/>
    <n v="268"/>
    <n v="536"/>
    <n v="268"/>
    <n v="268"/>
    <n v="268"/>
    <n v="268"/>
    <m/>
    <m/>
    <m/>
    <m/>
    <m/>
    <m/>
    <m/>
    <n v="0"/>
    <n v="0"/>
    <n v="0"/>
    <n v="0"/>
    <n v="0"/>
    <n v="0"/>
    <n v="0"/>
    <n v="0"/>
    <n v="0"/>
    <n v="0"/>
    <n v="0"/>
    <n v="0"/>
    <n v="0"/>
    <n v="0"/>
    <x v="1"/>
    <n v="0"/>
    <s v="MMR001CMP041"/>
    <x v="1"/>
    <x v="1"/>
    <x v="3"/>
    <n v="1.46448087431694"/>
    <s v="No"/>
    <m/>
  </r>
  <r>
    <n v="48.5"/>
    <d v="2012-01-07T00:00:00"/>
    <x v="0"/>
    <s v="KMSS"/>
    <s v="Kachin"/>
    <s v="Myitkyina"/>
    <s v="Jan Mai Kawng Baptist Church"/>
    <m/>
    <m/>
    <m/>
    <n v="32"/>
    <n v="16"/>
    <n v="32"/>
    <n v="16"/>
    <n v="16"/>
    <n v="16"/>
    <n v="16"/>
    <m/>
    <m/>
    <m/>
    <m/>
    <m/>
    <m/>
    <m/>
    <n v="0"/>
    <n v="0"/>
    <n v="0"/>
    <n v="0"/>
    <n v="0"/>
    <n v="0"/>
    <n v="0"/>
    <n v="0"/>
    <n v="0"/>
    <n v="0"/>
    <n v="0"/>
    <n v="0"/>
    <n v="0"/>
    <n v="0"/>
    <x v="1"/>
    <n v="0"/>
    <s v="MMR001CMP018"/>
    <x v="1"/>
    <x v="1"/>
    <x v="1"/>
    <n v="7.8817733990147784E-2"/>
    <s v="No"/>
    <m/>
  </r>
  <r>
    <n v="48.5"/>
    <d v="2012-01-07T00:00:00"/>
    <x v="0"/>
    <s v="KMSS"/>
    <s v="Kachin"/>
    <s v="Waingmaw"/>
    <s v="Maina Catholic Church (St. Joseph)"/>
    <m/>
    <m/>
    <m/>
    <n v="50"/>
    <n v="25"/>
    <n v="50"/>
    <n v="25"/>
    <n v="27"/>
    <n v="27"/>
    <n v="27"/>
    <m/>
    <m/>
    <m/>
    <m/>
    <m/>
    <m/>
    <m/>
    <n v="0"/>
    <n v="0"/>
    <n v="0"/>
    <n v="0"/>
    <n v="0"/>
    <n v="0"/>
    <n v="0"/>
    <n v="0"/>
    <n v="0"/>
    <n v="0"/>
    <n v="0"/>
    <n v="0"/>
    <n v="0"/>
    <n v="0"/>
    <x v="1"/>
    <n v="0"/>
    <s v="MMR001CMP029"/>
    <x v="1"/>
    <x v="1"/>
    <x v="1"/>
    <n v="0.11013215859030837"/>
    <s v="No"/>
    <m/>
  </r>
  <r>
    <n v="48.533333333333331"/>
    <d v="2012-01-06T00:00:00"/>
    <x v="0"/>
    <s v="KMSS"/>
    <s v="Kachin"/>
    <s v="Myitkyina"/>
    <s v="Jan Mai Kawng Catholic Church"/>
    <m/>
    <m/>
    <m/>
    <n v="0"/>
    <n v="0"/>
    <n v="0"/>
    <n v="0"/>
    <n v="9"/>
    <n v="9"/>
    <n v="9"/>
    <m/>
    <m/>
    <m/>
    <m/>
    <m/>
    <m/>
    <m/>
    <n v="0"/>
    <n v="0"/>
    <n v="0"/>
    <n v="0"/>
    <n v="0"/>
    <n v="0"/>
    <n v="0"/>
    <n v="0"/>
    <n v="0"/>
    <n v="0"/>
    <n v="0"/>
    <n v="0"/>
    <n v="0"/>
    <n v="0"/>
    <x v="1"/>
    <n v="0"/>
    <s v="MMR001CMP019"/>
    <x v="1"/>
    <x v="1"/>
    <x v="1"/>
    <n v="0"/>
    <s v="No"/>
    <m/>
  </r>
  <r>
    <n v="48.533333333333331"/>
    <d v="2012-01-06T00:00:00"/>
    <x v="0"/>
    <s v="UNHCR"/>
    <s v="Kachin"/>
    <s v="Waingmaw"/>
    <s v="Thargaya Lisu Baptist Church"/>
    <m/>
    <m/>
    <m/>
    <n v="29"/>
    <n v="0"/>
    <n v="29"/>
    <n v="15"/>
    <n v="15"/>
    <n v="15"/>
    <n v="15"/>
    <m/>
    <m/>
    <m/>
    <m/>
    <m/>
    <m/>
    <m/>
    <n v="0"/>
    <n v="0"/>
    <n v="0"/>
    <n v="0"/>
    <n v="0"/>
    <n v="0"/>
    <n v="0"/>
    <n v="0"/>
    <n v="0"/>
    <n v="0"/>
    <n v="0"/>
    <n v="0"/>
    <n v="0"/>
    <n v="0"/>
    <x v="1"/>
    <n v="0"/>
    <s v="MMR001CMP037"/>
    <x v="1"/>
    <x v="1"/>
    <x v="1"/>
    <n v="0.34090909090909088"/>
    <s v="No"/>
    <m/>
  </r>
  <r>
    <n v="48.533333333333331"/>
    <d v="2012-01-06T00:00:00"/>
    <x v="0"/>
    <s v="UNHCR"/>
    <s v="Kachin"/>
    <s v="Waingmaw"/>
    <s v="Thargaya Lisu Baptist Church"/>
    <m/>
    <m/>
    <m/>
    <n v="59"/>
    <n v="30"/>
    <n v="59"/>
    <n v="30"/>
    <n v="30"/>
    <n v="30"/>
    <n v="30"/>
    <m/>
    <m/>
    <m/>
    <m/>
    <m/>
    <m/>
    <m/>
    <n v="0"/>
    <n v="0"/>
    <n v="0"/>
    <n v="0"/>
    <n v="0"/>
    <n v="0"/>
    <n v="0"/>
    <n v="0"/>
    <n v="0"/>
    <n v="0"/>
    <n v="0"/>
    <n v="0"/>
    <n v="0"/>
    <n v="0"/>
    <x v="1"/>
    <n v="0"/>
    <s v="MMR001CMP037"/>
    <x v="1"/>
    <x v="1"/>
    <x v="1"/>
    <n v="0.68181818181818177"/>
    <s v="No"/>
    <m/>
  </r>
  <r>
    <n v="48.533333333333331"/>
    <d v="2012-01-06T00:00:00"/>
    <x v="0"/>
    <s v="UNHCR"/>
    <s v="Kachin"/>
    <s v="Waingmaw"/>
    <s v="Waingmaw AG Church"/>
    <m/>
    <m/>
    <m/>
    <n v="29"/>
    <n v="14"/>
    <n v="29"/>
    <n v="14"/>
    <n v="14"/>
    <n v="14"/>
    <n v="14"/>
    <m/>
    <m/>
    <m/>
    <m/>
    <m/>
    <m/>
    <m/>
    <n v="0"/>
    <n v="0"/>
    <n v="0"/>
    <n v="0"/>
    <n v="0"/>
    <n v="0"/>
    <n v="0"/>
    <n v="0"/>
    <n v="0"/>
    <n v="0"/>
    <n v="0"/>
    <n v="0"/>
    <n v="0"/>
    <n v="0"/>
    <x v="1"/>
    <n v="0"/>
    <s v="MMR001CMP038"/>
    <x v="1"/>
    <x v="1"/>
    <x v="1"/>
    <n v="0.15555555555555556"/>
    <s v="No"/>
    <m/>
  </r>
  <r>
    <n v="48.56666666666667"/>
    <d v="2012-01-05T00:00:00"/>
    <x v="0"/>
    <s v="KBC"/>
    <s v="Kachin"/>
    <s v="Waingmaw"/>
    <s v="Maina Lawang Baptist Church"/>
    <m/>
    <m/>
    <m/>
    <n v="52"/>
    <n v="29"/>
    <n v="52"/>
    <n v="29"/>
    <n v="29"/>
    <n v="29"/>
    <n v="29"/>
    <m/>
    <m/>
    <m/>
    <m/>
    <m/>
    <m/>
    <m/>
    <n v="0"/>
    <n v="0"/>
    <n v="0"/>
    <n v="0"/>
    <n v="0"/>
    <n v="0"/>
    <n v="0"/>
    <n v="0"/>
    <n v="0"/>
    <n v="0"/>
    <n v="0"/>
    <n v="0"/>
    <n v="0"/>
    <n v="0"/>
    <x v="1"/>
    <n v="0"/>
    <s v="MMR001CMP039"/>
    <x v="1"/>
    <x v="1"/>
    <x v="1"/>
    <n v="0.60416666666666663"/>
    <s v="No"/>
    <m/>
  </r>
  <r>
    <n v="48.633333333333333"/>
    <d v="2012-01-03T00:00:00"/>
    <x v="0"/>
    <s v="KMSS"/>
    <s v="Kachin"/>
    <s v="Myitkyina"/>
    <s v="Tat Kone Emanuel Church"/>
    <m/>
    <m/>
    <m/>
    <n v="0"/>
    <n v="0"/>
    <n v="0"/>
    <n v="0"/>
    <n v="8"/>
    <n v="8"/>
    <n v="8"/>
    <m/>
    <m/>
    <m/>
    <m/>
    <m/>
    <m/>
    <m/>
    <n v="0"/>
    <n v="0"/>
    <n v="0"/>
    <n v="0"/>
    <n v="0"/>
    <n v="0"/>
    <n v="0"/>
    <n v="0"/>
    <n v="0"/>
    <n v="0"/>
    <n v="0"/>
    <n v="0"/>
    <n v="0"/>
    <n v="0"/>
    <x v="1"/>
    <n v="0"/>
    <s v="MMR001CMP004"/>
    <x v="1"/>
    <x v="1"/>
    <x v="1"/>
    <n v="0"/>
    <s v="No"/>
    <m/>
  </r>
  <r>
    <n v="48.733333333333334"/>
    <d v="2011-12-31T00:00:00"/>
    <x v="0"/>
    <s v="KMSS"/>
    <s v="Kachin"/>
    <s v="Waingmaw"/>
    <s v="Maina Catholic Church (St. Joseph)"/>
    <m/>
    <m/>
    <m/>
    <n v="46"/>
    <n v="27"/>
    <n v="47"/>
    <n v="27"/>
    <n v="27"/>
    <n v="27"/>
    <n v="27"/>
    <m/>
    <m/>
    <m/>
    <m/>
    <m/>
    <m/>
    <m/>
    <n v="0"/>
    <n v="0"/>
    <n v="0"/>
    <n v="0"/>
    <n v="0"/>
    <n v="0"/>
    <n v="0"/>
    <n v="0"/>
    <n v="0"/>
    <n v="0"/>
    <n v="0"/>
    <n v="0"/>
    <n v="0"/>
    <n v="0"/>
    <x v="1"/>
    <n v="0"/>
    <s v="MMR001CMP029"/>
    <x v="1"/>
    <x v="1"/>
    <x v="1"/>
    <n v="0.11894273127753303"/>
    <s v="No"/>
    <m/>
  </r>
  <r>
    <n v="48.766666666666666"/>
    <d v="2011-12-30T00:00:00"/>
    <x v="0"/>
    <s v="KBC"/>
    <s v="Kachin"/>
    <s v="Myitkyina"/>
    <s v="Jan Mai Kawng Baptist Church"/>
    <m/>
    <m/>
    <m/>
    <n v="56"/>
    <n v="29"/>
    <n v="56"/>
    <n v="29"/>
    <n v="29"/>
    <n v="29"/>
    <n v="29"/>
    <m/>
    <m/>
    <m/>
    <m/>
    <m/>
    <m/>
    <m/>
    <n v="0"/>
    <n v="0"/>
    <n v="0"/>
    <n v="0"/>
    <n v="0"/>
    <n v="0"/>
    <n v="0"/>
    <n v="0"/>
    <n v="0"/>
    <n v="0"/>
    <n v="0"/>
    <n v="0"/>
    <n v="0"/>
    <n v="0"/>
    <x v="1"/>
    <n v="0"/>
    <s v="MMR001CMP018"/>
    <x v="1"/>
    <x v="1"/>
    <x v="1"/>
    <n v="0.14285714285714285"/>
    <s v="No"/>
    <m/>
  </r>
  <r>
    <n v="48.833333333333336"/>
    <d v="2011-12-28T00:00:00"/>
    <x v="0"/>
    <s v="Shan Community"/>
    <s v="Kachin"/>
    <s v="Waingmaw"/>
    <s v="Hkat Cho "/>
    <m/>
    <m/>
    <m/>
    <n v="31"/>
    <n v="19"/>
    <n v="31"/>
    <n v="19"/>
    <n v="19"/>
    <n v="19"/>
    <n v="19"/>
    <m/>
    <m/>
    <m/>
    <m/>
    <m/>
    <m/>
    <m/>
    <n v="0"/>
    <n v="0"/>
    <n v="0"/>
    <n v="0"/>
    <n v="0"/>
    <n v="0"/>
    <n v="0"/>
    <n v="0"/>
    <n v="0"/>
    <n v="0"/>
    <n v="0"/>
    <n v="0"/>
    <n v="0"/>
    <n v="0"/>
    <x v="1"/>
    <n v="0"/>
    <s v="MMR001CMP028"/>
    <x v="1"/>
    <x v="1"/>
    <x v="1"/>
    <n v="0.17117117117117117"/>
    <s v="No"/>
    <m/>
  </r>
  <r>
    <n v="48.9"/>
    <d v="2011-12-26T00:00:00"/>
    <x v="0"/>
    <s v="KBC"/>
    <s v="Kachin"/>
    <s v="Waingmaw"/>
    <s v="Qtr. 2 Myoma Baptist Church"/>
    <m/>
    <m/>
    <m/>
    <n v="54"/>
    <n v="33"/>
    <n v="54"/>
    <n v="33"/>
    <n v="33"/>
    <n v="33"/>
    <n v="33"/>
    <m/>
    <m/>
    <m/>
    <m/>
    <m/>
    <m/>
    <m/>
    <n v="0"/>
    <n v="0"/>
    <n v="0"/>
    <n v="0"/>
    <n v="0"/>
    <n v="0"/>
    <n v="0"/>
    <n v="0"/>
    <n v="0"/>
    <n v="0"/>
    <n v="0"/>
    <n v="0"/>
    <n v="0"/>
    <n v="0"/>
    <x v="1"/>
    <n v="0"/>
    <s v="MMR001CMP025"/>
    <x v="1"/>
    <x v="1"/>
    <x v="1"/>
    <n v="0.50769230769230766"/>
    <s v="No"/>
    <m/>
  </r>
  <r>
    <n v="49.033333333333331"/>
    <d v="2011-12-22T00:00:00"/>
    <x v="0"/>
    <s v="UNHCR"/>
    <s v="Kachin"/>
    <s v="Waingmaw"/>
    <s v="Qtr. 2 Lhaovo Baptist Church"/>
    <m/>
    <m/>
    <m/>
    <n v="0"/>
    <n v="0"/>
    <n v="0"/>
    <n v="0"/>
    <n v="4"/>
    <n v="4"/>
    <n v="4"/>
    <m/>
    <m/>
    <m/>
    <m/>
    <m/>
    <m/>
    <m/>
    <n v="0"/>
    <n v="0"/>
    <n v="0"/>
    <n v="0"/>
    <n v="0"/>
    <n v="0"/>
    <n v="0"/>
    <n v="0"/>
    <n v="0"/>
    <n v="0"/>
    <n v="0"/>
    <n v="0"/>
    <n v="0"/>
    <n v="0"/>
    <x v="1"/>
    <n v="0"/>
    <s v="MMR001CMP032"/>
    <x v="1"/>
    <x v="1"/>
    <x v="1"/>
    <n v="0"/>
    <s v="No"/>
    <m/>
  </r>
  <r>
    <n v="49.333333333333336"/>
    <d v="2011-12-13T00:00:00"/>
    <x v="0"/>
    <s v="IRRC"/>
    <s v="Kachin"/>
    <s v="Momauk"/>
    <s v="Hpun Lum Yang "/>
    <m/>
    <m/>
    <m/>
    <n v="250"/>
    <n v="125"/>
    <n v="250"/>
    <n v="125"/>
    <n v="125"/>
    <n v="125"/>
    <n v="125"/>
    <m/>
    <m/>
    <m/>
    <m/>
    <m/>
    <m/>
    <m/>
    <n v="0"/>
    <n v="0"/>
    <n v="0"/>
    <n v="0"/>
    <n v="0"/>
    <n v="0"/>
    <n v="0"/>
    <n v="0"/>
    <n v="0"/>
    <n v="0"/>
    <n v="0"/>
    <n v="0"/>
    <n v="0"/>
    <n v="0"/>
    <x v="1"/>
    <n v="0"/>
    <s v="MMR001CMP122"/>
    <x v="1"/>
    <x v="1"/>
    <x v="4"/>
    <n v="0.20358306188925082"/>
    <s v="No"/>
    <m/>
  </r>
  <r>
    <n v="49.333333333333336"/>
    <d v="2011-12-13T00:00:00"/>
    <x v="0"/>
    <s v="IRRC"/>
    <s v="Kachin"/>
    <s v="Momauk"/>
    <s v="Je Yang Hka "/>
    <m/>
    <m/>
    <m/>
    <n v="250"/>
    <n v="125"/>
    <n v="250"/>
    <n v="125"/>
    <n v="125"/>
    <n v="125"/>
    <n v="125"/>
    <m/>
    <m/>
    <m/>
    <m/>
    <m/>
    <m/>
    <m/>
    <n v="0"/>
    <n v="0"/>
    <n v="0"/>
    <n v="0"/>
    <n v="0"/>
    <n v="0"/>
    <n v="0"/>
    <n v="0"/>
    <n v="0"/>
    <n v="0"/>
    <n v="0"/>
    <n v="0"/>
    <n v="0"/>
    <n v="0"/>
    <x v="1"/>
    <n v="0"/>
    <s v="MMR001CMP121"/>
    <x v="1"/>
    <x v="1"/>
    <x v="4"/>
    <n v="7.3746312684365781E-2"/>
    <s v="No"/>
    <m/>
  </r>
  <r>
    <n v="49.333333333333336"/>
    <d v="2011-12-13T00:00:00"/>
    <x v="0"/>
    <s v="IRRC"/>
    <s v="Kachin"/>
    <s v="Waingmaw"/>
    <s v="Maga Yang "/>
    <m/>
    <m/>
    <m/>
    <n v="250"/>
    <n v="125"/>
    <n v="250"/>
    <n v="125"/>
    <n v="125"/>
    <n v="125"/>
    <n v="125"/>
    <m/>
    <m/>
    <m/>
    <m/>
    <m/>
    <m/>
    <m/>
    <n v="0"/>
    <n v="0"/>
    <n v="0"/>
    <n v="0"/>
    <n v="0"/>
    <n v="0"/>
    <n v="0"/>
    <n v="0"/>
    <n v="0"/>
    <n v="0"/>
    <n v="0"/>
    <n v="0"/>
    <n v="0"/>
    <n v="0"/>
    <x v="1"/>
    <n v="0"/>
    <s v="MMR001CMP119"/>
    <x v="1"/>
    <x v="1"/>
    <x v="4"/>
    <n v="0.20559210526315788"/>
    <s v="No"/>
    <m/>
  </r>
  <r>
    <n v="49.333333333333336"/>
    <d v="2011-12-13T00:00:00"/>
    <x v="0"/>
    <s v="IRRC"/>
    <s v="Kachin"/>
    <s v="Waingmaw"/>
    <s v="Zai Awng - Mung Ga Zup"/>
    <m/>
    <m/>
    <m/>
    <n v="250"/>
    <n v="125"/>
    <n v="250"/>
    <n v="125"/>
    <n v="125"/>
    <n v="125"/>
    <n v="125"/>
    <m/>
    <m/>
    <m/>
    <m/>
    <m/>
    <m/>
    <m/>
    <n v="0"/>
    <n v="0"/>
    <n v="0"/>
    <n v="0"/>
    <n v="0"/>
    <n v="0"/>
    <n v="0"/>
    <n v="0"/>
    <n v="0"/>
    <n v="0"/>
    <n v="0"/>
    <n v="0"/>
    <n v="0"/>
    <n v="0"/>
    <x v="1"/>
    <n v="0"/>
    <s v="MMR001CMP111"/>
    <x v="1"/>
    <x v="1"/>
    <x v="4"/>
    <n v="0.20161290322580644"/>
    <s v="No"/>
    <m/>
  </r>
  <r>
    <n v="49.4"/>
    <d v="2011-12-11T00:00:00"/>
    <x v="0"/>
    <s v="Shan Community"/>
    <s v="Kachin"/>
    <s v="Myitkyina"/>
    <s v="Shan Ywar Monestary Camp"/>
    <m/>
    <m/>
    <m/>
    <n v="88"/>
    <n v="49"/>
    <n v="88"/>
    <n v="49"/>
    <n v="49"/>
    <n v="49"/>
    <n v="49"/>
    <m/>
    <m/>
    <m/>
    <m/>
    <m/>
    <m/>
    <m/>
    <n v="0"/>
    <n v="0"/>
    <n v="0"/>
    <n v="0"/>
    <n v="0"/>
    <n v="0"/>
    <n v="0"/>
    <n v="0"/>
    <n v="0"/>
    <n v="0"/>
    <n v="0"/>
    <n v="0"/>
    <n v="0"/>
    <n v="0"/>
    <x v="1"/>
    <n v="0"/>
    <s v=""/>
    <x v="0"/>
    <x v="0"/>
    <x v="0"/>
    <s v=""/>
    <s v="No"/>
    <m/>
  </r>
  <r>
    <n v="49.4"/>
    <d v="2011-12-11T00:00:00"/>
    <x v="0"/>
    <s v="KBC"/>
    <s v="Kachin"/>
    <s v="Myitkyina"/>
    <s v="Man Hkring Baptist Church"/>
    <m/>
    <m/>
    <m/>
    <n v="6"/>
    <n v="4"/>
    <n v="6"/>
    <n v="4"/>
    <n v="4"/>
    <n v="4"/>
    <n v="4"/>
    <m/>
    <m/>
    <m/>
    <m/>
    <m/>
    <m/>
    <m/>
    <n v="0"/>
    <n v="0"/>
    <n v="0"/>
    <n v="0"/>
    <n v="0"/>
    <n v="0"/>
    <n v="0"/>
    <n v="0"/>
    <n v="0"/>
    <n v="0"/>
    <n v="0"/>
    <n v="0"/>
    <n v="0"/>
    <n v="0"/>
    <x v="1"/>
    <n v="0"/>
    <s v="MMR001CMP008"/>
    <x v="1"/>
    <x v="1"/>
    <x v="1"/>
    <n v="4.1666666666666664E-2"/>
    <s v="No"/>
    <m/>
  </r>
  <r>
    <n v="49.4"/>
    <d v="2011-12-11T00:00:00"/>
    <x v="0"/>
    <s v="KBC"/>
    <s v="Kachin"/>
    <s v="Myitkyina"/>
    <s v="Shatapru Sut Ngai Tawng"/>
    <m/>
    <m/>
    <m/>
    <n v="2"/>
    <n v="2"/>
    <n v="2"/>
    <n v="2"/>
    <n v="2"/>
    <n v="2"/>
    <n v="2"/>
    <m/>
    <m/>
    <m/>
    <m/>
    <m/>
    <m/>
    <m/>
    <n v="0"/>
    <n v="0"/>
    <n v="0"/>
    <n v="0"/>
    <n v="0"/>
    <n v="0"/>
    <n v="0"/>
    <n v="0"/>
    <n v="0"/>
    <n v="0"/>
    <n v="0"/>
    <n v="0"/>
    <n v="0"/>
    <n v="0"/>
    <x v="1"/>
    <n v="0"/>
    <s v="MMR001CMP006"/>
    <x v="1"/>
    <x v="1"/>
    <x v="1"/>
    <n v="2.1052631578947368E-2"/>
    <s v="No"/>
    <m/>
  </r>
  <r>
    <n v="49.4"/>
    <d v="2011-12-11T00:00:00"/>
    <x v="0"/>
    <s v="KBC"/>
    <s v="Kachin"/>
    <s v="Myitkyina"/>
    <s v="Tat Kone San Pya Baptist Church"/>
    <m/>
    <m/>
    <m/>
    <n v="3"/>
    <n v="2"/>
    <n v="3"/>
    <n v="2"/>
    <n v="2"/>
    <n v="2"/>
    <n v="2"/>
    <m/>
    <m/>
    <m/>
    <m/>
    <m/>
    <m/>
    <m/>
    <n v="0"/>
    <n v="0"/>
    <n v="0"/>
    <n v="0"/>
    <n v="0"/>
    <n v="0"/>
    <n v="0"/>
    <n v="0"/>
    <n v="0"/>
    <n v="0"/>
    <n v="0"/>
    <n v="0"/>
    <n v="0"/>
    <n v="0"/>
    <x v="1"/>
    <n v="0"/>
    <s v="MMR001CMP005"/>
    <x v="1"/>
    <x v="1"/>
    <x v="1"/>
    <n v="4.5454545454545456E-2"/>
    <s v="No"/>
    <m/>
  </r>
  <r>
    <n v="49.466666666666669"/>
    <d v="2011-12-09T00:00:00"/>
    <x v="0"/>
    <s v="KBC"/>
    <s v="Kachin"/>
    <s v="Myitkyina"/>
    <s v="Le Kone Bethlehem Church"/>
    <m/>
    <m/>
    <m/>
    <n v="13"/>
    <n v="6"/>
    <n v="13"/>
    <n v="6"/>
    <n v="6"/>
    <n v="6"/>
    <n v="6"/>
    <m/>
    <m/>
    <m/>
    <m/>
    <m/>
    <m/>
    <m/>
    <n v="0"/>
    <n v="0"/>
    <n v="0"/>
    <n v="0"/>
    <n v="0"/>
    <n v="0"/>
    <n v="0"/>
    <n v="0"/>
    <n v="0"/>
    <n v="0"/>
    <n v="0"/>
    <n v="0"/>
    <n v="0"/>
    <n v="0"/>
    <x v="1"/>
    <n v="0"/>
    <s v="MMR001CMP015"/>
    <x v="1"/>
    <x v="1"/>
    <x v="1"/>
    <n v="5.5555555555555552E-2"/>
    <s v="No"/>
    <m/>
  </r>
  <r>
    <n v="49.6"/>
    <d v="2011-12-05T00:00:00"/>
    <x v="0"/>
    <s v="KMSS"/>
    <s v="Kachin"/>
    <s v="Myitkyina"/>
    <s v="Jan Mai Kawng Baptist Church"/>
    <m/>
    <m/>
    <m/>
    <n v="80"/>
    <n v="45"/>
    <n v="80"/>
    <n v="45"/>
    <n v="45"/>
    <n v="45"/>
    <n v="45"/>
    <m/>
    <m/>
    <m/>
    <m/>
    <m/>
    <m/>
    <m/>
    <n v="0"/>
    <n v="0"/>
    <n v="0"/>
    <n v="0"/>
    <n v="0"/>
    <n v="0"/>
    <n v="0"/>
    <n v="0"/>
    <n v="0"/>
    <n v="0"/>
    <n v="0"/>
    <n v="0"/>
    <n v="0"/>
    <n v="0"/>
    <x v="1"/>
    <n v="0"/>
    <s v="MMR001CMP018"/>
    <x v="1"/>
    <x v="1"/>
    <x v="1"/>
    <n v="0.22167487684729065"/>
    <s v="No"/>
    <m/>
  </r>
  <r>
    <n v="49.633333333333333"/>
    <d v="2011-12-04T00:00:00"/>
    <x v="0"/>
    <s v="KBC"/>
    <s v="Kachin"/>
    <s v="Myitkyina"/>
    <s v="Shwe Zet Baptist Church"/>
    <m/>
    <m/>
    <m/>
    <n v="52"/>
    <n v="27"/>
    <n v="52"/>
    <n v="27"/>
    <n v="27"/>
    <n v="27"/>
    <n v="27"/>
    <m/>
    <m/>
    <m/>
    <m/>
    <m/>
    <m/>
    <m/>
    <n v="0"/>
    <n v="0"/>
    <n v="0"/>
    <n v="0"/>
    <n v="0"/>
    <n v="0"/>
    <n v="0"/>
    <n v="0"/>
    <n v="0"/>
    <n v="0"/>
    <n v="0"/>
    <n v="0"/>
    <n v="0"/>
    <n v="0"/>
    <x v="1"/>
    <n v="0"/>
    <s v="MMR001CMP009"/>
    <x v="1"/>
    <x v="1"/>
    <x v="1"/>
    <n v="0.3"/>
    <s v="No"/>
    <m/>
  </r>
  <r>
    <n v="50.166666666666664"/>
    <d v="2011-11-18T00:00:00"/>
    <x v="0"/>
    <s v="UNHCR"/>
    <s v="Kachin"/>
    <s v="Myitkyina"/>
    <s v="Bomb Blast Victims"/>
    <m/>
    <m/>
    <m/>
    <n v="24"/>
    <n v="3"/>
    <n v="24"/>
    <n v="3"/>
    <n v="3"/>
    <n v="3"/>
    <n v="3"/>
    <m/>
    <m/>
    <m/>
    <m/>
    <m/>
    <m/>
    <m/>
    <n v="0"/>
    <n v="0"/>
    <n v="0"/>
    <n v="0"/>
    <n v="0"/>
    <n v="0"/>
    <n v="0"/>
    <n v="0"/>
    <n v="0"/>
    <n v="0"/>
    <n v="0"/>
    <n v="0"/>
    <n v="0"/>
    <n v="0"/>
    <x v="1"/>
    <n v="0"/>
    <s v=""/>
    <x v="0"/>
    <x v="0"/>
    <x v="0"/>
    <s v=""/>
    <s v="No"/>
    <m/>
  </r>
  <r>
    <n v="50.166666666666664"/>
    <d v="2011-11-18T00:00:00"/>
    <x v="0"/>
    <s v="UNHCR"/>
    <s v="Kachin"/>
    <s v="Myitkyina"/>
    <s v="Wun Tho Buddhist Monastery"/>
    <m/>
    <m/>
    <m/>
    <n v="175"/>
    <n v="0"/>
    <n v="175"/>
    <n v="0"/>
    <n v="0"/>
    <m/>
    <m/>
    <m/>
    <m/>
    <m/>
    <m/>
    <m/>
    <m/>
    <m/>
    <n v="0"/>
    <n v="0"/>
    <n v="0"/>
    <n v="0"/>
    <n v="0"/>
    <n v="0"/>
    <n v="0"/>
    <n v="0"/>
    <n v="0"/>
    <n v="0"/>
    <n v="0"/>
    <n v="0"/>
    <n v="0"/>
    <n v="0"/>
    <x v="1"/>
    <n v="0"/>
    <s v="MMR001CMP022"/>
    <x v="1"/>
    <x v="1"/>
    <x v="1"/>
    <n v="0"/>
    <s v="No"/>
    <m/>
  </r>
  <r>
    <n v="50.233333333333334"/>
    <d v="2011-11-16T00:00:00"/>
    <x v="0"/>
    <s v="KBC"/>
    <s v="Kachin"/>
    <s v="Myitkyina"/>
    <s v="Njang Dung Baptist Church "/>
    <m/>
    <m/>
    <m/>
    <n v="92"/>
    <n v="53"/>
    <n v="92"/>
    <n v="53"/>
    <n v="53"/>
    <n v="53"/>
    <n v="53"/>
    <m/>
    <m/>
    <m/>
    <m/>
    <m/>
    <m/>
    <m/>
    <n v="0"/>
    <n v="0"/>
    <n v="0"/>
    <n v="0"/>
    <n v="0"/>
    <n v="0"/>
    <n v="0"/>
    <n v="0"/>
    <n v="0"/>
    <n v="0"/>
    <n v="0"/>
    <n v="0"/>
    <n v="0"/>
    <n v="0"/>
    <x v="1"/>
    <n v="0"/>
    <s v="MMR001CMP002"/>
    <x v="1"/>
    <x v="1"/>
    <x v="1"/>
    <n v="0.92982456140350878"/>
    <s v="No"/>
    <m/>
  </r>
  <r>
    <n v="50.233333333333334"/>
    <d v="2011-11-16T00:00:00"/>
    <x v="0"/>
    <s v="KBC"/>
    <s v="Kachin"/>
    <s v="Myitkyina"/>
    <s v="Tat Kone Galile Baptist Church"/>
    <m/>
    <m/>
    <m/>
    <n v="53"/>
    <n v="31"/>
    <n v="53"/>
    <n v="31"/>
    <n v="31"/>
    <n v="31"/>
    <n v="31"/>
    <m/>
    <m/>
    <m/>
    <m/>
    <m/>
    <m/>
    <m/>
    <n v="0"/>
    <n v="0"/>
    <n v="0"/>
    <n v="0"/>
    <n v="0"/>
    <n v="0"/>
    <n v="0"/>
    <n v="0"/>
    <n v="0"/>
    <n v="0"/>
    <n v="0"/>
    <n v="0"/>
    <n v="0"/>
    <n v="0"/>
    <x v="1"/>
    <n v="0"/>
    <s v="MMR001CMP003"/>
    <x v="1"/>
    <x v="1"/>
    <x v="1"/>
    <n v="0.96875"/>
    <s v="No"/>
    <m/>
  </r>
  <r>
    <n v="50.233333333333334"/>
    <d v="2011-11-16T00:00:00"/>
    <x v="0"/>
    <s v="KBC"/>
    <s v="Kachin"/>
    <s v="Myitkyina"/>
    <s v="Shwe Zet Baptist Church"/>
    <m/>
    <m/>
    <m/>
    <n v="63"/>
    <n v="30"/>
    <n v="63"/>
    <n v="30"/>
    <n v="30"/>
    <n v="30"/>
    <n v="30"/>
    <m/>
    <m/>
    <m/>
    <m/>
    <m/>
    <m/>
    <m/>
    <n v="0"/>
    <n v="0"/>
    <n v="0"/>
    <n v="0"/>
    <n v="0"/>
    <n v="0"/>
    <n v="0"/>
    <n v="0"/>
    <n v="0"/>
    <n v="0"/>
    <n v="0"/>
    <n v="0"/>
    <n v="0"/>
    <n v="0"/>
    <x v="1"/>
    <n v="0"/>
    <s v="MMR001CMP009"/>
    <x v="1"/>
    <x v="1"/>
    <x v="1"/>
    <n v="0.33333333333333331"/>
    <s v="No"/>
    <m/>
  </r>
  <r>
    <n v="50.266666666666666"/>
    <d v="2011-11-15T00:00:00"/>
    <x v="0"/>
    <s v="KBC"/>
    <s v="Kachin"/>
    <s v="Myitkyina"/>
    <s v="Tat Kone San Pya Baptist Church"/>
    <m/>
    <m/>
    <m/>
    <n v="30"/>
    <n v="17"/>
    <n v="30"/>
    <n v="17"/>
    <n v="17"/>
    <n v="17"/>
    <n v="17"/>
    <m/>
    <m/>
    <m/>
    <m/>
    <m/>
    <m/>
    <m/>
    <n v="0"/>
    <n v="0"/>
    <n v="0"/>
    <n v="0"/>
    <n v="0"/>
    <n v="0"/>
    <n v="0"/>
    <n v="0"/>
    <n v="0"/>
    <n v="0"/>
    <n v="0"/>
    <n v="0"/>
    <n v="0"/>
    <n v="0"/>
    <x v="1"/>
    <n v="0"/>
    <s v="MMR001CMP005"/>
    <x v="1"/>
    <x v="1"/>
    <x v="1"/>
    <n v="0.38636363636363635"/>
    <s v="No"/>
    <m/>
  </r>
  <r>
    <n v="50.3"/>
    <d v="2011-11-14T00:00:00"/>
    <x v="0"/>
    <s v="KBC"/>
    <s v="Kachin"/>
    <s v="Myitkyina"/>
    <s v="Kyun Pin Thar Baptist Church"/>
    <m/>
    <m/>
    <m/>
    <n v="47"/>
    <n v="28"/>
    <n v="47"/>
    <n v="28"/>
    <n v="28"/>
    <n v="28"/>
    <n v="28"/>
    <m/>
    <m/>
    <m/>
    <m/>
    <m/>
    <m/>
    <m/>
    <n v="0"/>
    <n v="0"/>
    <n v="0"/>
    <n v="0"/>
    <n v="0"/>
    <n v="0"/>
    <n v="0"/>
    <n v="0"/>
    <n v="0"/>
    <n v="0"/>
    <n v="0"/>
    <n v="0"/>
    <n v="0"/>
    <n v="0"/>
    <x v="1"/>
    <n v="0"/>
    <s v="MMR001CMP013"/>
    <x v="1"/>
    <x v="1"/>
    <x v="1"/>
    <n v="0.62222222222222223"/>
    <s v="No"/>
    <m/>
  </r>
  <r>
    <n v="50.3"/>
    <d v="2011-11-14T00:00:00"/>
    <x v="0"/>
    <s v="KBC"/>
    <s v="Kachin"/>
    <s v="Myitkyina"/>
    <s v="Le Kone Bethlehem Church"/>
    <m/>
    <m/>
    <m/>
    <n v="52"/>
    <n v="25"/>
    <n v="52"/>
    <n v="25"/>
    <n v="25"/>
    <n v="25"/>
    <n v="25"/>
    <m/>
    <m/>
    <m/>
    <m/>
    <m/>
    <m/>
    <m/>
    <n v="0"/>
    <n v="0"/>
    <n v="0"/>
    <n v="0"/>
    <n v="0"/>
    <n v="0"/>
    <n v="0"/>
    <n v="0"/>
    <n v="0"/>
    <n v="0"/>
    <n v="0"/>
    <n v="0"/>
    <n v="0"/>
    <n v="0"/>
    <x v="1"/>
    <n v="0"/>
    <s v="MMR001CMP015"/>
    <x v="1"/>
    <x v="1"/>
    <x v="1"/>
    <n v="0.23148148148148148"/>
    <s v="No"/>
    <m/>
  </r>
  <r>
    <n v="50.3"/>
    <d v="2011-11-14T00:00:00"/>
    <x v="0"/>
    <s v="KBC"/>
    <s v="Kachin"/>
    <s v="Myitkyina"/>
    <s v="Maliyang Baptist Church"/>
    <m/>
    <m/>
    <m/>
    <n v="57"/>
    <n v="30"/>
    <n v="57"/>
    <n v="30"/>
    <n v="30"/>
    <n v="30"/>
    <n v="30"/>
    <m/>
    <m/>
    <m/>
    <m/>
    <m/>
    <m/>
    <m/>
    <n v="0"/>
    <n v="0"/>
    <n v="0"/>
    <n v="0"/>
    <n v="0"/>
    <n v="0"/>
    <n v="0"/>
    <n v="0"/>
    <n v="0"/>
    <n v="0"/>
    <n v="0"/>
    <n v="0"/>
    <n v="0"/>
    <n v="0"/>
    <x v="1"/>
    <n v="0"/>
    <s v="MMR001CMP016"/>
    <x v="1"/>
    <x v="1"/>
    <x v="1"/>
    <n v="0.41666666666666669"/>
    <s v="No"/>
    <m/>
  </r>
  <r>
    <n v="50.633333333333333"/>
    <d v="2011-11-04T00:00:00"/>
    <x v="0"/>
    <s v="KBC"/>
    <s v="Kachin"/>
    <s v="Myitkyina"/>
    <s v="Jan Mai Kawng Baptist Church"/>
    <m/>
    <m/>
    <m/>
    <n v="208"/>
    <n v="102"/>
    <n v="208"/>
    <n v="102"/>
    <n v="102"/>
    <n v="102"/>
    <n v="102"/>
    <m/>
    <m/>
    <m/>
    <m/>
    <m/>
    <m/>
    <m/>
    <n v="0"/>
    <n v="0"/>
    <n v="0"/>
    <n v="0"/>
    <n v="0"/>
    <n v="0"/>
    <n v="0"/>
    <n v="0"/>
    <n v="0"/>
    <n v="0"/>
    <n v="0"/>
    <n v="0"/>
    <n v="0"/>
    <n v="0"/>
    <x v="1"/>
    <n v="0"/>
    <s v="MMR001CMP018"/>
    <x v="1"/>
    <x v="1"/>
    <x v="1"/>
    <n v="0.50246305418719217"/>
    <s v="No"/>
    <m/>
  </r>
  <r>
    <n v="50.633333333333333"/>
    <d v="2011-11-04T00:00:00"/>
    <x v="0"/>
    <s v="KBC"/>
    <s v="Kachin"/>
    <s v="Myitkyina"/>
    <s v="Myay Myint Baptist Church"/>
    <m/>
    <m/>
    <m/>
    <n v="10"/>
    <n v="6"/>
    <n v="10"/>
    <n v="6"/>
    <n v="6"/>
    <n v="6"/>
    <n v="6"/>
    <m/>
    <m/>
    <m/>
    <m/>
    <m/>
    <m/>
    <m/>
    <n v="0"/>
    <n v="0"/>
    <n v="0"/>
    <n v="0"/>
    <n v="0"/>
    <n v="0"/>
    <n v="0"/>
    <n v="0"/>
    <n v="0"/>
    <n v="0"/>
    <n v="0"/>
    <n v="0"/>
    <n v="0"/>
    <n v="0"/>
    <x v="1"/>
    <n v="0"/>
    <s v="MMR001CMP017"/>
    <x v="1"/>
    <x v="2"/>
    <x v="1"/>
    <s v=""/>
    <s v="No"/>
    <m/>
  </r>
  <r>
    <n v="50.666666666666664"/>
    <d v="2011-11-03T00:00:00"/>
    <x v="0"/>
    <s v="KMSS"/>
    <s v="Kachin"/>
    <s v="Myitkyina"/>
    <s v="Jan Mai Kawng Baptist Church"/>
    <m/>
    <m/>
    <m/>
    <n v="106"/>
    <n v="52"/>
    <n v="106"/>
    <n v="52"/>
    <n v="52"/>
    <n v="52"/>
    <n v="52"/>
    <m/>
    <m/>
    <m/>
    <m/>
    <m/>
    <m/>
    <m/>
    <n v="0"/>
    <n v="0"/>
    <n v="0"/>
    <n v="0"/>
    <n v="0"/>
    <n v="0"/>
    <n v="0"/>
    <n v="0"/>
    <n v="0"/>
    <n v="0"/>
    <n v="0"/>
    <n v="0"/>
    <n v="0"/>
    <n v="0"/>
    <x v="1"/>
    <n v="0"/>
    <s v="MMR001CMP018"/>
    <x v="1"/>
    <x v="1"/>
    <x v="1"/>
    <n v="0.25615763546798032"/>
    <s v="No"/>
    <m/>
  </r>
  <r>
    <n v="50.666666666666664"/>
    <d v="2011-11-03T00:00:00"/>
    <x v="0"/>
    <s v="KBC"/>
    <s v="Kachin"/>
    <s v="Myitkyina"/>
    <s v="Le Kone Ziun Baptist Church "/>
    <m/>
    <m/>
    <m/>
    <n v="116"/>
    <n v="49"/>
    <n v="116"/>
    <n v="49"/>
    <n v="49"/>
    <n v="49"/>
    <n v="49"/>
    <m/>
    <m/>
    <m/>
    <m/>
    <m/>
    <m/>
    <m/>
    <n v="0"/>
    <n v="0"/>
    <n v="0"/>
    <n v="0"/>
    <n v="0"/>
    <n v="0"/>
    <n v="0"/>
    <n v="0"/>
    <n v="0"/>
    <n v="0"/>
    <n v="0"/>
    <n v="0"/>
    <n v="0"/>
    <n v="0"/>
    <x v="1"/>
    <n v="0"/>
    <s v="MMR001CMP014"/>
    <x v="1"/>
    <x v="1"/>
    <x v="1"/>
    <n v="0.30061349693251532"/>
    <s v="No"/>
    <m/>
  </r>
  <r>
    <n v="50.666666666666664"/>
    <d v="2011-11-03T00:00:00"/>
    <x v="0"/>
    <s v="KBC"/>
    <s v="Kachin"/>
    <s v="Myitkyina"/>
    <s v="Tat Kone Baptist Church"/>
    <m/>
    <m/>
    <m/>
    <n v="73"/>
    <n v="34"/>
    <n v="73"/>
    <n v="34"/>
    <n v="34"/>
    <n v="34"/>
    <n v="34"/>
    <m/>
    <m/>
    <m/>
    <m/>
    <m/>
    <m/>
    <m/>
    <n v="0"/>
    <n v="0"/>
    <n v="0"/>
    <n v="0"/>
    <n v="0"/>
    <n v="0"/>
    <n v="0"/>
    <n v="0"/>
    <n v="0"/>
    <n v="0"/>
    <n v="0"/>
    <n v="0"/>
    <n v="0"/>
    <n v="0"/>
    <x v="1"/>
    <n v="0"/>
    <s v="MMR001CMP001"/>
    <x v="1"/>
    <x v="1"/>
    <x v="1"/>
    <n v="0.48571428571428571"/>
    <s v="No"/>
    <m/>
  </r>
  <r>
    <n v="50.666666666666664"/>
    <d v="2011-11-03T00:00:00"/>
    <x v="0"/>
    <s v="KMSS"/>
    <s v="Kachin"/>
    <s v="Myitkyina"/>
    <s v="Tat Kone Emanuel Church"/>
    <m/>
    <m/>
    <m/>
    <n v="18"/>
    <n v="8"/>
    <n v="18"/>
    <n v="8"/>
    <n v="8"/>
    <n v="8"/>
    <n v="8"/>
    <m/>
    <m/>
    <m/>
    <m/>
    <m/>
    <m/>
    <m/>
    <n v="0"/>
    <n v="0"/>
    <n v="0"/>
    <n v="0"/>
    <n v="0"/>
    <n v="0"/>
    <n v="0"/>
    <n v="0"/>
    <n v="0"/>
    <n v="0"/>
    <n v="0"/>
    <n v="0"/>
    <n v="0"/>
    <n v="0"/>
    <x v="1"/>
    <n v="0"/>
    <s v="MMR001CMP004"/>
    <x v="1"/>
    <x v="1"/>
    <x v="1"/>
    <n v="0.66666666666666663"/>
    <s v="No"/>
    <m/>
  </r>
  <r>
    <n v="50.666666666666664"/>
    <d v="2011-11-03T00:00:00"/>
    <x v="0"/>
    <s v="KMSS"/>
    <s v="Kachin"/>
    <s v="Myitkyina"/>
    <s v="Shwe Zet Baptist Church"/>
    <m/>
    <m/>
    <m/>
    <n v="18"/>
    <n v="8"/>
    <n v="18"/>
    <n v="8"/>
    <n v="8"/>
    <n v="8"/>
    <n v="8"/>
    <m/>
    <m/>
    <m/>
    <m/>
    <m/>
    <m/>
    <m/>
    <n v="0"/>
    <n v="0"/>
    <n v="0"/>
    <n v="0"/>
    <n v="0"/>
    <n v="0"/>
    <n v="0"/>
    <n v="0"/>
    <n v="0"/>
    <n v="0"/>
    <n v="0"/>
    <n v="0"/>
    <n v="0"/>
    <n v="0"/>
    <x v="1"/>
    <n v="0"/>
    <s v="MMR001CMP009"/>
    <x v="1"/>
    <x v="1"/>
    <x v="1"/>
    <n v="8.8888888888888892E-2"/>
    <s v="No"/>
    <m/>
  </r>
  <r>
    <n v="50.7"/>
    <d v="2011-11-02T00:00:00"/>
    <x v="0"/>
    <s v="KBC"/>
    <s v="Kachin"/>
    <s v="Myitkyina"/>
    <s v="Du Kahtawng Qtr. 14"/>
    <m/>
    <m/>
    <m/>
    <n v="0"/>
    <n v="5"/>
    <n v="0"/>
    <n v="5"/>
    <n v="5"/>
    <n v="5"/>
    <n v="5"/>
    <m/>
    <m/>
    <m/>
    <m/>
    <m/>
    <m/>
    <m/>
    <n v="0"/>
    <n v="0"/>
    <n v="0"/>
    <n v="0"/>
    <n v="0"/>
    <n v="0"/>
    <n v="0"/>
    <n v="0"/>
    <n v="0"/>
    <n v="0"/>
    <n v="0"/>
    <n v="0"/>
    <n v="0"/>
    <n v="0"/>
    <x v="1"/>
    <n v="0"/>
    <s v="MMR001CMP012"/>
    <x v="1"/>
    <x v="1"/>
    <x v="1"/>
    <n v="0.83333333333333337"/>
    <s v="No"/>
    <m/>
  </r>
  <r>
    <n v="50.7"/>
    <d v="2011-11-02T00:00:00"/>
    <x v="0"/>
    <s v="KBC"/>
    <s v="Kachin"/>
    <s v="Myitkyina"/>
    <s v="Du Kahtawng Qtr. 4"/>
    <m/>
    <m/>
    <m/>
    <n v="0"/>
    <n v="6"/>
    <n v="0"/>
    <n v="6"/>
    <n v="6"/>
    <n v="6"/>
    <n v="6"/>
    <m/>
    <m/>
    <m/>
    <m/>
    <m/>
    <m/>
    <m/>
    <n v="0"/>
    <n v="0"/>
    <n v="0"/>
    <n v="0"/>
    <n v="0"/>
    <n v="0"/>
    <n v="0"/>
    <n v="0"/>
    <n v="0"/>
    <n v="0"/>
    <n v="0"/>
    <n v="0"/>
    <n v="0"/>
    <n v="0"/>
    <x v="1"/>
    <n v="0"/>
    <s v="MMR001CMP010"/>
    <x v="1"/>
    <x v="1"/>
    <x v="1"/>
    <n v="1"/>
    <s v="No"/>
    <m/>
  </r>
  <r>
    <n v="50.7"/>
    <d v="2011-11-02T00:00:00"/>
    <x v="0"/>
    <s v="KBC"/>
    <s v="Kachin"/>
    <s v="Myitkyina"/>
    <s v="Du Kahtawng Qtr. 5"/>
    <m/>
    <m/>
    <m/>
    <n v="39"/>
    <n v="8"/>
    <n v="39"/>
    <n v="8"/>
    <n v="8"/>
    <n v="8"/>
    <n v="8"/>
    <m/>
    <m/>
    <m/>
    <m/>
    <m/>
    <m/>
    <m/>
    <n v="0"/>
    <n v="0"/>
    <n v="0"/>
    <n v="0"/>
    <n v="0"/>
    <n v="0"/>
    <n v="0"/>
    <n v="0"/>
    <n v="0"/>
    <n v="0"/>
    <n v="0"/>
    <n v="0"/>
    <n v="0"/>
    <n v="0"/>
    <x v="1"/>
    <n v="0"/>
    <s v="MMR001CMP011"/>
    <x v="1"/>
    <x v="1"/>
    <x v="1"/>
    <n v="0.16"/>
    <s v="No"/>
    <m/>
  </r>
  <r>
    <n v="50.7"/>
    <d v="2011-11-02T00:00:00"/>
    <x v="0"/>
    <s v="KBC"/>
    <s v="Kachin"/>
    <s v="Myitkyina"/>
    <s v="Man Hkring Baptist Church"/>
    <m/>
    <m/>
    <m/>
    <n v="112"/>
    <n v="68"/>
    <n v="112"/>
    <n v="68"/>
    <n v="68"/>
    <n v="68"/>
    <n v="68"/>
    <m/>
    <m/>
    <m/>
    <m/>
    <m/>
    <m/>
    <m/>
    <n v="0"/>
    <n v="0"/>
    <n v="0"/>
    <n v="0"/>
    <n v="0"/>
    <n v="0"/>
    <n v="0"/>
    <n v="0"/>
    <n v="0"/>
    <n v="0"/>
    <n v="0"/>
    <n v="0"/>
    <n v="0"/>
    <n v="0"/>
    <x v="1"/>
    <n v="0"/>
    <s v="MMR001CMP008"/>
    <x v="1"/>
    <x v="1"/>
    <x v="1"/>
    <n v="0.70833333333333337"/>
    <s v="No"/>
    <m/>
  </r>
  <r>
    <n v="50.7"/>
    <d v="2011-11-02T00:00:00"/>
    <x v="0"/>
    <s v="KBC"/>
    <s v="Kachin"/>
    <s v="Myitkyina"/>
    <s v="Shatapru Sut Ngai Tawng"/>
    <m/>
    <m/>
    <m/>
    <n v="219"/>
    <n v="117"/>
    <n v="219"/>
    <n v="117"/>
    <n v="117"/>
    <n v="117"/>
    <n v="117"/>
    <m/>
    <m/>
    <m/>
    <m/>
    <m/>
    <m/>
    <m/>
    <n v="0"/>
    <n v="0"/>
    <n v="0"/>
    <n v="0"/>
    <n v="0"/>
    <n v="0"/>
    <n v="0"/>
    <n v="0"/>
    <n v="0"/>
    <n v="0"/>
    <n v="0"/>
    <n v="0"/>
    <n v="0"/>
    <n v="0"/>
    <x v="1"/>
    <n v="0"/>
    <s v="MMR001CMP006"/>
    <x v="1"/>
    <x v="1"/>
    <x v="1"/>
    <n v="1.2315789473684211"/>
    <s v="No"/>
    <m/>
  </r>
  <r>
    <n v="50.7"/>
    <d v="2011-11-02T00:00:00"/>
    <x v="0"/>
    <s v="KBC"/>
    <s v="Kachin"/>
    <s v="Myitkyina"/>
    <s v="Shatapru Thida Aye Baptist Church"/>
    <m/>
    <m/>
    <m/>
    <n v="2"/>
    <n v="1"/>
    <n v="2"/>
    <n v="1"/>
    <n v="1"/>
    <n v="1"/>
    <n v="1"/>
    <m/>
    <m/>
    <m/>
    <m/>
    <m/>
    <m/>
    <m/>
    <n v="0"/>
    <n v="0"/>
    <n v="0"/>
    <n v="0"/>
    <n v="0"/>
    <n v="0"/>
    <n v="0"/>
    <n v="0"/>
    <n v="0"/>
    <n v="0"/>
    <n v="0"/>
    <n v="0"/>
    <n v="0"/>
    <n v="0"/>
    <x v="1"/>
    <n v="0"/>
    <s v="MMR001CMP007"/>
    <x v="1"/>
    <x v="1"/>
    <x v="1"/>
    <n v="3.5714285714285712E-2"/>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r>
    <s v=""/>
    <m/>
    <x v="12"/>
    <m/>
    <m/>
    <m/>
    <m/>
    <m/>
    <m/>
    <m/>
    <m/>
    <m/>
    <m/>
    <m/>
    <m/>
    <m/>
    <m/>
    <m/>
    <m/>
    <m/>
    <m/>
    <m/>
    <m/>
    <m/>
    <n v="0"/>
    <n v="0"/>
    <n v="0"/>
    <n v="0"/>
    <n v="0"/>
    <n v="0"/>
    <n v="0"/>
    <n v="0"/>
    <n v="0"/>
    <n v="0"/>
    <n v="0"/>
    <n v="0"/>
    <n v="0"/>
    <n v="0"/>
    <x v="1"/>
    <n v="0"/>
    <s v=""/>
    <x v="0"/>
    <x v="0"/>
    <x v="0"/>
    <s v=""/>
    <s v="No"/>
    <m/>
  </r>
</pivotCacheRecords>
</file>

<file path=xl/pivotCache/pivotCacheRecords4.xml><?xml version="1.0" encoding="utf-8"?>
<pivotCacheRecords xmlns="http://schemas.openxmlformats.org/spreadsheetml/2006/main" xmlns:r="http://schemas.openxmlformats.org/officeDocument/2006/relationships" count="243">
  <r>
    <x v="0"/>
    <x v="0"/>
    <s v="MMR001"/>
    <s v="Mohnyin"/>
    <s v="MMR001D002"/>
    <x v="0"/>
    <s v="MMR001009"/>
    <s v="Lone Khin"/>
    <s v="MMR001009001"/>
    <s v="Lone Khin"/>
    <n v="166773"/>
    <x v="0"/>
    <x v="0"/>
    <x v="0"/>
    <n v="25.658650000000002"/>
    <m/>
    <n v="0"/>
    <n v="0"/>
    <s v="NA"/>
    <x v="0"/>
    <x v="0"/>
    <x v="0"/>
    <x v="0"/>
    <m/>
    <m/>
    <x v="0"/>
    <m/>
    <m/>
    <m/>
    <s v=" "/>
    <s v=""/>
    <n v="0"/>
    <m/>
    <n v="0"/>
    <s v=""/>
    <s v=""/>
    <s v=""/>
  </r>
  <r>
    <x v="1"/>
    <x v="0"/>
    <s v="MMR001"/>
    <s v="Mohnyin"/>
    <s v="MMR001D002"/>
    <x v="0"/>
    <s v="MMR001009"/>
    <s v="Lone Khin"/>
    <s v="MMR001009001"/>
    <s v="Lone Khin"/>
    <n v="166773"/>
    <x v="1"/>
    <x v="1"/>
    <x v="1"/>
    <n v="25.656130000000001"/>
    <n v="0"/>
    <n v="76"/>
    <n v="344"/>
    <n v="4.5263157894736841"/>
    <x v="0"/>
    <x v="0"/>
    <x v="0"/>
    <x v="1"/>
    <d v="2013-01-01T00:00:00"/>
    <n v="2"/>
    <x v="1"/>
    <s v="IP"/>
    <m/>
    <d v="2016-01-28T00:00:00"/>
    <s v="28/Jan/2016. Population update. Data source: KBC (mail by maran)_x000a_2/Dec/2015. Population update. Data source: KBC_x000a_14-Oct-15 Population update. Soruce; Hpakant Mission Report_WFP_x000a_25-Jun-15 Population update. Source: KBC_x000a_2-Apr-15 (Population update, Source: UNHCR CCCM Mission)_x000a_Population Update. Source: KBC."/>
    <s v="P4"/>
    <n v="56"/>
    <m/>
    <n v="56"/>
    <s v="Hpakant Town"/>
    <n v="6.4753396248436657"/>
    <n v="2"/>
  </r>
  <r>
    <x v="1"/>
    <x v="0"/>
    <s v="MMR001"/>
    <s v="Mohnyin"/>
    <s v="MMR001D002"/>
    <x v="0"/>
    <s v="MMR001009"/>
    <s v="Lone Khin"/>
    <s v="MMR001009001"/>
    <s v="Lone Khin"/>
    <n v="166773"/>
    <x v="2"/>
    <x v="2"/>
    <x v="2"/>
    <n v="25.655819999999999"/>
    <n v="317"/>
    <n v="75"/>
    <n v="404"/>
    <n v="5.3866666666666667"/>
    <x v="0"/>
    <x v="0"/>
    <x v="0"/>
    <x v="1"/>
    <d v="2013-01-01T00:00:00"/>
    <m/>
    <x v="2"/>
    <s v="IP"/>
    <m/>
    <d v="2016-01-28T00:00:00"/>
    <s v="28/Jan/2016. Population update. Data source: KBC (mail by maran)_x000a_23-Oct-15 Population update. Data source; Monthly report by KMSS_MYT. Reason for changes; A new sprad HH is added._x000a_14-Oct-15 Population update. Soruce; Hpakant Mission Report_WFP_x000a_2-Oct-15 (Population update. Data Source: Monthly report by KMSS-MYT)_x000a_25-Jun-15 (Population update. Source: KMSS-MYT)_x000a_18-May-15 (Population update from field mission)_x000a_2-Apr-15 (Population update, Source: UNHCR CCCM Mission)_x000a_Population Update. Source: KMSS-MYT"/>
    <s v="P4"/>
    <n v="63"/>
    <m/>
    <n v="63"/>
    <s v="Hpakant Town"/>
    <n v="6.3039408411778268"/>
    <n v="2"/>
  </r>
  <r>
    <x v="1"/>
    <x v="0"/>
    <s v="MMR001"/>
    <s v="Bhamo"/>
    <s v="MMR001D003"/>
    <x v="1"/>
    <s v="MMR001010"/>
    <s v="Bhamo Town"/>
    <s v="MMR001010701"/>
    <m/>
    <m/>
    <x v="3"/>
    <x v="3"/>
    <x v="3"/>
    <n v="24.260719999999999"/>
    <m/>
    <n v="274"/>
    <n v="1349"/>
    <n v="4.9233576642335768"/>
    <x v="0"/>
    <x v="0"/>
    <x v="0"/>
    <x v="2"/>
    <d v="2011-11-01T00:00:00"/>
    <n v="2"/>
    <x v="3"/>
    <s v="IP"/>
    <m/>
    <d v="2016-01-28T00:00:00"/>
    <s v="28/Jan/2016. Population update. Data source: KBC (mail by maran)_x000a_19-Aug-15 (Population Update. Data Source: KMSS-BMO)_x000a_Population update: Source: Camp Profile Round 2."/>
    <s v="P4"/>
    <n v="104"/>
    <n v="20"/>
    <n v="20"/>
    <s v="Bhamo Town"/>
    <n v="0.78440046838596356"/>
    <n v="1"/>
  </r>
  <r>
    <x v="1"/>
    <x v="0"/>
    <s v="MMR001"/>
    <s v="Mohnyin"/>
    <s v="MMR001D002"/>
    <x v="0"/>
    <s v="MMR001009"/>
    <s v="Hpakan Town"/>
    <s v="MMR001009701"/>
    <m/>
    <m/>
    <x v="4"/>
    <x v="4"/>
    <x v="4"/>
    <n v="25.635300000000001"/>
    <n v="0"/>
    <n v="67"/>
    <n v="350"/>
    <n v="5.2238805970149258"/>
    <x v="0"/>
    <x v="0"/>
    <x v="0"/>
    <x v="2"/>
    <d v="2013-01-01T00:00:00"/>
    <n v="1"/>
    <x v="4"/>
    <s v="IP"/>
    <m/>
    <d v="2015-10-14T00:00:00"/>
    <s v="14-Oct-15 Population update. Soruce; Hpakant Mission Report_WFP_x000a_19-Aug-15 Population update. Source: Shalom_x000a_25-Jun-15 (Population update. Source: Shalom)_x000a_Population update: Source: Camp Profile Round 2._x000a_2-Apr-15 (Population update, Source: UNHCR CCCM Mission)"/>
    <s v="P4"/>
    <n v="7"/>
    <m/>
    <n v="7"/>
    <s v="Hpakant Town"/>
    <n v="4.1842484710239098"/>
    <n v="1"/>
  </r>
  <r>
    <x v="1"/>
    <x v="0"/>
    <s v="MMR001"/>
    <s v="Mohnyin"/>
    <s v="MMR001D002"/>
    <x v="0"/>
    <s v="MMR001009"/>
    <s v="Hpakan Town"/>
    <s v="MMR001009701"/>
    <s v="Maw Wam Ward"/>
    <s v="MMR001009701501"/>
    <x v="5"/>
    <x v="5"/>
    <x v="5"/>
    <n v="25.616509000000001"/>
    <n v="264"/>
    <n v="14"/>
    <n v="83"/>
    <n v="5.9285714285714288"/>
    <x v="0"/>
    <x v="0"/>
    <x v="0"/>
    <x v="2"/>
    <d v="2013-01-01T00:00:00"/>
    <n v="1"/>
    <x v="4"/>
    <s v="IP"/>
    <m/>
    <d v="2015-10-14T00:00:00"/>
    <s v="14-Oct-15 Population update. Soruce; Hpakant Mission Report_WFP_x000a_19-Aug-15 Population update. Source: Shalom_x000a_25-Jun-15 (Population update. Source: Shalom)_x000a_Population update: Source: Camp Profile Round 2._x000a_2-Apr-15 (Population update, Source: UNHCR CCCM Mission)"/>
    <s v="P4"/>
    <n v="4"/>
    <m/>
    <n v="4"/>
    <s v="Hpakant Town"/>
    <n v="0.66733171900141897"/>
    <n v="1"/>
  </r>
  <r>
    <x v="0"/>
    <x v="0"/>
    <s v="MMR001"/>
    <s v="Mohnyin"/>
    <s v="MMR001D002"/>
    <x v="0"/>
    <s v="MMR001009"/>
    <s v="Lone Khin"/>
    <s v="MMR001009001"/>
    <s v="Hmaw Si Zar"/>
    <n v="166775"/>
    <x v="6"/>
    <x v="6"/>
    <x v="6"/>
    <m/>
    <m/>
    <n v="0"/>
    <n v="0"/>
    <s v="NA"/>
    <x v="0"/>
    <x v="0"/>
    <x v="0"/>
    <x v="0"/>
    <m/>
    <m/>
    <x v="0"/>
    <m/>
    <m/>
    <m/>
    <s v=" "/>
    <s v=""/>
    <n v="0"/>
    <m/>
    <n v="0"/>
    <s v=""/>
    <s v=""/>
    <s v=""/>
  </r>
  <r>
    <x v="1"/>
    <x v="0"/>
    <s v="MMR001"/>
    <s v="Bhamo"/>
    <s v="MMR001D003"/>
    <x v="1"/>
    <s v="MMR001010"/>
    <s v="Bhamo Town"/>
    <s v="MMR001010701"/>
    <m/>
    <m/>
    <x v="7"/>
    <x v="7"/>
    <x v="7"/>
    <n v="24.260466999999998"/>
    <n v="0"/>
    <n v="12"/>
    <n v="52"/>
    <n v="4.333333333333333"/>
    <x v="0"/>
    <x v="0"/>
    <x v="0"/>
    <x v="2"/>
    <d v="2011-09-01T00:00:00"/>
    <n v="1"/>
    <x v="1"/>
    <s v="IP"/>
    <m/>
    <d v="2016-01-28T00:00:00"/>
    <s v="28/Jan/2016. Population update. Data source: KBC (mail by maran)_x000a_13/Dec/2015. Population update. Data source: mail by Ko Maran. reason for population changes: Aung Tar KBC camp still exist. WFP report about camp closure but the small camp still exist. We change the status as open again_x000a_9/Nov/15. Camp Closed_x000a_25-Jun-15 Population update. Source: KBC_x000a_Population Update. Source: KBC."/>
    <s v="P4"/>
    <n v="0"/>
    <m/>
    <n v="0"/>
    <s v="Bhamo Town"/>
    <n v="1.9489261822960435"/>
    <n v="1"/>
  </r>
  <r>
    <x v="0"/>
    <x v="0"/>
    <s v="MMR001"/>
    <s v="Mohnyin"/>
    <s v="MMR001D002"/>
    <x v="0"/>
    <s v="MMR001009"/>
    <s v="Lone Khin"/>
    <s v="MMR001009001"/>
    <s v="Ku Day"/>
    <n v="216877"/>
    <x v="8"/>
    <x v="8"/>
    <x v="8"/>
    <n v="25.655989999999999"/>
    <m/>
    <n v="0"/>
    <n v="0"/>
    <s v="NA"/>
    <x v="0"/>
    <x v="0"/>
    <x v="0"/>
    <x v="0"/>
    <m/>
    <m/>
    <x v="0"/>
    <m/>
    <m/>
    <m/>
    <s v=" "/>
    <s v=""/>
    <n v="0"/>
    <m/>
    <n v="0"/>
    <s v=""/>
    <s v=""/>
    <s v=""/>
  </r>
  <r>
    <x v="0"/>
    <x v="0"/>
    <s v="MMR001"/>
    <s v="Mohnyin"/>
    <s v="MMR001D002"/>
    <x v="0"/>
    <s v="MMR001009"/>
    <s v="Hpakan Town"/>
    <s v="MMR001009701"/>
    <s v="Aye Mya Thar Yar Ward"/>
    <s v="MMR001009701504"/>
    <x v="9"/>
    <x v="9"/>
    <x v="6"/>
    <m/>
    <m/>
    <n v="0"/>
    <n v="0"/>
    <s v="NA"/>
    <x v="0"/>
    <x v="0"/>
    <x v="0"/>
    <x v="0"/>
    <m/>
    <m/>
    <x v="0"/>
    <m/>
    <m/>
    <m/>
    <s v=" "/>
    <s v=""/>
    <n v="0"/>
    <m/>
    <n v="0"/>
    <s v=""/>
    <s v=""/>
    <s v=""/>
  </r>
  <r>
    <x v="0"/>
    <x v="0"/>
    <s v="MMR001"/>
    <s v="Bhamo"/>
    <s v="MMR001D003"/>
    <x v="2"/>
    <s v="MMR001013"/>
    <m/>
    <m/>
    <m/>
    <m/>
    <x v="10"/>
    <x v="10"/>
    <x v="6"/>
    <m/>
    <m/>
    <n v="0"/>
    <n v="0"/>
    <s v="NA"/>
    <x v="0"/>
    <x v="0"/>
    <x v="0"/>
    <x v="0"/>
    <m/>
    <m/>
    <x v="0"/>
    <s v="IP"/>
    <m/>
    <d v="2014-03-03T00:00:00"/>
    <s v="Closed. Rellocated to Man Win and La Ga Yaung"/>
    <s v=""/>
    <n v="0"/>
    <m/>
    <n v="0"/>
    <s v=""/>
    <s v=""/>
    <s v=""/>
  </r>
  <r>
    <x v="0"/>
    <x v="0"/>
    <s v="MMR001"/>
    <s v="Bhamo"/>
    <s v="MMR001D003"/>
    <x v="2"/>
    <s v="MMR001013"/>
    <m/>
    <m/>
    <m/>
    <m/>
    <x v="11"/>
    <x v="11"/>
    <x v="6"/>
    <m/>
    <m/>
    <n v="0"/>
    <n v="0"/>
    <s v="NA"/>
    <x v="0"/>
    <x v="0"/>
    <x v="1"/>
    <x v="1"/>
    <m/>
    <m/>
    <x v="0"/>
    <s v="IP"/>
    <m/>
    <d v="2015-03-27T00:00:00"/>
    <s v="27-Mar-15 (Closed. Source: UNHCR-Bhamo)_x000a_New Camp"/>
    <s v="P4"/>
    <n v="0"/>
    <m/>
    <n v="0"/>
    <s v=""/>
    <s v=""/>
    <s v=""/>
  </r>
  <r>
    <x v="0"/>
    <x v="0"/>
    <s v="MMR001"/>
    <s v="Bhamo"/>
    <s v="MMR001D003"/>
    <x v="2"/>
    <s v="MMR001013"/>
    <m/>
    <m/>
    <m/>
    <m/>
    <x v="12"/>
    <x v="12"/>
    <x v="6"/>
    <m/>
    <m/>
    <n v="0"/>
    <n v="0"/>
    <s v="NA"/>
    <x v="0"/>
    <x v="0"/>
    <x v="0"/>
    <x v="0"/>
    <m/>
    <m/>
    <x v="0"/>
    <s v="IP"/>
    <m/>
    <d v="2014-03-03T00:00:00"/>
    <s v="Closed. Rellocated to Man Win and La Ga Yaung"/>
    <s v=""/>
    <n v="0"/>
    <m/>
    <n v="0"/>
    <s v=""/>
    <s v=""/>
    <s v=""/>
  </r>
  <r>
    <x v="1"/>
    <x v="0"/>
    <s v="MMR001"/>
    <s v="Mohnyin"/>
    <s v="MMR001D002"/>
    <x v="0"/>
    <s v="MMR001009"/>
    <s v="Lone Khin"/>
    <s v="MMR001009001"/>
    <s v="Hmaw Si Zar"/>
    <n v="166775"/>
    <x v="13"/>
    <x v="13"/>
    <x v="9"/>
    <n v="25.647649999999999"/>
    <n v="0"/>
    <n v="35"/>
    <n v="214"/>
    <n v="6.1142857142857139"/>
    <x v="0"/>
    <x v="0"/>
    <x v="0"/>
    <x v="1"/>
    <d v="2013-01-01T00:00:00"/>
    <n v="2"/>
    <x v="1"/>
    <s v="IP"/>
    <m/>
    <d v="2016-01-28T00:00:00"/>
    <s v="28/Jan/2016. Population update. Data source: KBC (mail by maran)_x000a_2/Dec/2015. Population update. Data source: KBC_x000a_25-Jun-15 Population update. Source: KBC_x000a_2-Apr-15 (Population update, Source: UNHCR CCCM Mission)"/>
    <s v="P4"/>
    <n v="15"/>
    <m/>
    <n v="15"/>
    <s v="Hpakant Town"/>
    <n v="5.184483270539272"/>
    <n v="2"/>
  </r>
  <r>
    <x v="0"/>
    <x v="0"/>
    <s v="MMR001"/>
    <s v="Mohnyin"/>
    <s v="MMR001D002"/>
    <x v="0"/>
    <s v="MMR001009"/>
    <s v="Nawng Mi"/>
    <s v="MMR001009008"/>
    <s v="Nawng Myi"/>
    <n v="166817"/>
    <x v="14"/>
    <x v="14"/>
    <x v="10"/>
    <n v="25.728653000000001"/>
    <m/>
    <n v="0"/>
    <n v="0"/>
    <s v="NA"/>
    <x v="0"/>
    <x v="0"/>
    <x v="0"/>
    <x v="1"/>
    <m/>
    <n v="1"/>
    <x v="4"/>
    <s v="IP"/>
    <m/>
    <d v="2015-04-02T00:00:00"/>
    <s v="19-Aug-15 Closed. IDP were provided with individual lands within Naung Hmee village and transit toward semi-permanent settlement. Source: CCCM Unit_x000a_2-Apr-15 (Population update, Source: UNHCR CCCM Mission)_x000a_Population update: Source: Camp Profile Round 2."/>
    <s v="P4"/>
    <n v="0"/>
    <m/>
    <n v="0"/>
    <s v="Kamaing Town"/>
    <n v="23.222739740353646"/>
    <n v="5"/>
  </r>
  <r>
    <x v="0"/>
    <x v="0"/>
    <s v="MMR001"/>
    <s v="Mohnyin"/>
    <s v="MMR001D002"/>
    <x v="0"/>
    <s v="MMR001009"/>
    <s v="Lone Khin"/>
    <s v="MMR001009001"/>
    <s v="Ma Sut Yang"/>
    <n v="216880"/>
    <x v="15"/>
    <x v="15"/>
    <x v="2"/>
    <n v="25.668469999999999"/>
    <n v="256"/>
    <n v="0"/>
    <n v="0"/>
    <s v="NA"/>
    <x v="0"/>
    <x v="0"/>
    <x v="0"/>
    <x v="1"/>
    <d v="2013-01-01T00:00:00"/>
    <m/>
    <x v="0"/>
    <s v="RRD"/>
    <m/>
    <d v="2014-05-15T00:00:00"/>
    <s v="Only one HH left, included in Lon Khin Baptist distribution list."/>
    <s v=""/>
    <n v="0"/>
    <m/>
    <n v="0"/>
    <s v=""/>
    <s v=""/>
    <s v=""/>
  </r>
  <r>
    <x v="0"/>
    <x v="0"/>
    <s v="MMR001"/>
    <s v="Myitkyina"/>
    <s v="MMR001D001"/>
    <x v="3"/>
    <s v="MMR001002"/>
    <s v="Saga Pa (Sadung Sub-township)"/>
    <m/>
    <m/>
    <m/>
    <x v="16"/>
    <x v="16"/>
    <x v="11"/>
    <n v="25.273333000000001"/>
    <m/>
    <n v="0"/>
    <n v="0"/>
    <s v="NA"/>
    <x v="1"/>
    <x v="0"/>
    <x v="0"/>
    <x v="0"/>
    <m/>
    <m/>
    <x v="0"/>
    <m/>
    <m/>
    <m/>
    <m/>
    <s v=""/>
    <n v="0"/>
    <m/>
    <n v="0"/>
    <s v=""/>
    <s v=""/>
    <s v=""/>
  </r>
  <r>
    <x v="1"/>
    <x v="0"/>
    <s v="MMR001"/>
    <s v="Myitkyina"/>
    <s v="MMR001D001"/>
    <x v="3"/>
    <s v="MMR001002"/>
    <s v="Saga Pa (Sadung Sub-township)"/>
    <s v="MMR001002040"/>
    <s v="Saga Pa"/>
    <m/>
    <x v="17"/>
    <x v="17"/>
    <x v="12"/>
    <n v="25.220278"/>
    <n v="2404"/>
    <n v="155"/>
    <n v="640"/>
    <n v="4.129032258064516"/>
    <x v="1"/>
    <x v="0"/>
    <x v="0"/>
    <x v="3"/>
    <d v="2011-11-01T00:00:00"/>
    <n v="3"/>
    <x v="2"/>
    <s v="IP"/>
    <m/>
    <d v="2016-01-28T00:00:00"/>
    <s v="28/Jan/2016. Population update. Data source: KBC (mail by maran)_x000a_2/Dec/2015 (Population update. Data source: Monthly report by KMSS_MYT). Reason for pop changes; Arrived at the camp from daily work._x000a_23-Oct-15 (Population update. Data sorce: Monthly report by KMSS-MYT). Reason for changes; Travelling from the camp for daily worker._x000a_2-Oct-15 (Population update. Data sorce: Monthly report by KMSS-MYT)_x000a_19-Aug-15 (Population update. Data source: KMSS-MYT)_x000a_25-Jun-15 (Population update. KMSS-MYT)_x000a_Population Update. Source: KMSS-MYT"/>
    <s v="P1"/>
    <n v="0"/>
    <m/>
    <n v="0"/>
    <s v="Sadung Town"/>
    <n v="18.198335991626355"/>
    <n v="4"/>
  </r>
  <r>
    <x v="1"/>
    <x v="0"/>
    <s v="MMR001"/>
    <s v="Bhamo"/>
    <s v="MMR001D003"/>
    <x v="2"/>
    <s v="MMR001013"/>
    <s v="Dum Buk"/>
    <s v="MMR001013014"/>
    <s v="Dum Buk"/>
    <s v="Dum Buk"/>
    <x v="18"/>
    <x v="18"/>
    <x v="13"/>
    <n v="24.002433"/>
    <n v="854"/>
    <n v="245"/>
    <n v="1232"/>
    <n v="5.0285714285714285"/>
    <x v="1"/>
    <x v="0"/>
    <x v="0"/>
    <x v="1"/>
    <d v="2011-10-01T00:00:00"/>
    <n v="2"/>
    <x v="3"/>
    <s v="IP"/>
    <m/>
    <d v="2016-01-28T00:00:00"/>
    <s v="28/Jan/2016. Population update. Data source: KBC (mail by maran)_x000a_Population update: Source: KMSS-BMO_x000a_Population Update. Source: Save The Children."/>
    <s v="P2"/>
    <n v="55"/>
    <m/>
    <n v="55"/>
    <s v="Namhkan Town"/>
    <n v="19.796407430638478"/>
    <n v="4"/>
  </r>
  <r>
    <x v="1"/>
    <x v="0"/>
    <s v="MMR001"/>
    <s v="Bhamo"/>
    <s v="MMR001D003"/>
    <x v="2"/>
    <s v="MMR001013"/>
    <s v="Dum Buk"/>
    <s v="MMR001013014"/>
    <s v="Dum Buk"/>
    <s v="Dum Buk"/>
    <x v="19"/>
    <x v="19"/>
    <x v="14"/>
    <n v="24.000250000000001"/>
    <m/>
    <n v="219"/>
    <n v="891"/>
    <n v="4.0684931506849313"/>
    <x v="1"/>
    <x v="0"/>
    <x v="0"/>
    <x v="1"/>
    <m/>
    <m/>
    <x v="3"/>
    <s v="IP"/>
    <m/>
    <d v="2016-01-28T00:00:00"/>
    <s v="28/Jan/2016. Population update. Data source: KBC (mail by maran)_x000a_Population Update. Source: Save The Children."/>
    <s v="P2"/>
    <n v="99"/>
    <m/>
    <n v="99"/>
    <s v="Namhkan Town"/>
    <n v="19.631786732140053"/>
    <n v="4"/>
  </r>
  <r>
    <x v="1"/>
    <x v="0"/>
    <s v="MMR001"/>
    <s v="Mohnyin"/>
    <s v="MMR001D002"/>
    <x v="0"/>
    <s v="MMR001009"/>
    <s v="Seik Mu"/>
    <s v="MMR001009003"/>
    <s v="Seik Mu"/>
    <n v="166783"/>
    <x v="20"/>
    <x v="20"/>
    <x v="15"/>
    <n v="25.582065"/>
    <n v="0"/>
    <n v="6"/>
    <n v="30"/>
    <n v="5"/>
    <x v="0"/>
    <x v="0"/>
    <x v="0"/>
    <x v="2"/>
    <d v="2013-08-01T00:00:00"/>
    <n v="1"/>
    <x v="4"/>
    <s v="IP"/>
    <m/>
    <d v="2015-10-14T00:00:00"/>
    <s v="14-Oct-15 Population update. Soruce; Hpakant Mission Report_WFP_x000a_19-Aug-15 Population update. Source: Shalom_x000a_2-Apr-15 (Population update, Source: UNHCR CCCM Mission)_x000a_Population update: Source: Camp Profile Round 2."/>
    <s v="P4"/>
    <n v="0"/>
    <m/>
    <n v="0"/>
    <s v="Hpakant Town"/>
    <n v="4.4704963044882238"/>
    <n v="1"/>
  </r>
  <r>
    <x v="0"/>
    <x v="0"/>
    <s v="MMR001"/>
    <s v="Mohnyin"/>
    <s v="MMR001D002"/>
    <x v="0"/>
    <s v="MMR001009"/>
    <m/>
    <m/>
    <m/>
    <m/>
    <x v="21"/>
    <x v="21"/>
    <x v="6"/>
    <m/>
    <m/>
    <n v="0"/>
    <n v="0"/>
    <s v="NA"/>
    <x v="0"/>
    <x v="0"/>
    <x v="0"/>
    <x v="0"/>
    <m/>
    <m/>
    <x v="0"/>
    <m/>
    <m/>
    <m/>
    <s v=" "/>
    <s v=""/>
    <n v="0"/>
    <m/>
    <n v="0"/>
    <s v=""/>
    <s v=""/>
    <s v=""/>
  </r>
  <r>
    <x v="1"/>
    <x v="0"/>
    <s v="MMR001"/>
    <s v="Myitkyina"/>
    <s v="MMR001D001"/>
    <x v="4"/>
    <s v="MMR001005"/>
    <s v="Chipwi Town"/>
    <s v="MMR001005701"/>
    <m/>
    <m/>
    <x v="22"/>
    <x v="22"/>
    <x v="16"/>
    <n v="25.889410000000002"/>
    <n v="304"/>
    <n v="108"/>
    <n v="518"/>
    <n v="4.7962962962962967"/>
    <x v="0"/>
    <x v="0"/>
    <x v="0"/>
    <x v="2"/>
    <d v="2012-12-01T00:00:00"/>
    <n v="1"/>
    <x v="4"/>
    <s v="IP"/>
    <m/>
    <d v="2016-01-18T00:00:00"/>
    <s v="28/Jan/2016. Population update. Data source: KBC (mail by maran)_x000a_9/Nov/15. Population update. Data source: monthly report by HAP._x000a_19-Aug-15 Population updae. Source: Shalom_x000a_25-Jun-15 (Population update. Source : Shalom)_x000a_2-Apr-15 (Population update, Source: UNHCR CCCM Mission)_x000a_Update IDP population from Shalom data (Assistant CCCM Officer)"/>
    <s v="P1"/>
    <n v="1"/>
    <m/>
    <n v="1"/>
    <s v="Chipwi Town"/>
    <n v="0.15809623370782155"/>
    <n v="1"/>
  </r>
  <r>
    <x v="0"/>
    <x v="0"/>
    <s v="MMR001"/>
    <s v="Bhamo"/>
    <s v="MMR001D003"/>
    <x v="1"/>
    <s v="MMR001010"/>
    <m/>
    <m/>
    <m/>
    <m/>
    <x v="23"/>
    <x v="23"/>
    <x v="6"/>
    <m/>
    <m/>
    <n v="0"/>
    <n v="0"/>
    <s v="NA"/>
    <x v="0"/>
    <x v="0"/>
    <x v="1"/>
    <x v="0"/>
    <m/>
    <m/>
    <x v="0"/>
    <m/>
    <s v="Estimation"/>
    <d v="2014-01-27T00:00:00"/>
    <s v="Closed : Source, OCHA"/>
    <s v=""/>
    <n v="0"/>
    <m/>
    <n v="0"/>
    <s v=""/>
    <s v=""/>
    <s v=""/>
  </r>
  <r>
    <x v="1"/>
    <x v="0"/>
    <s v="MMR001"/>
    <s v="Bhamo"/>
    <s v="MMR001D003"/>
    <x v="5"/>
    <s v="MMR001012"/>
    <s v="Dawthponeyan  Town"/>
    <s v="MMR001012703"/>
    <m/>
    <m/>
    <x v="24"/>
    <x v="24"/>
    <x v="17"/>
    <n v="24.613976000000001"/>
    <m/>
    <m/>
    <n v="49"/>
    <s v="NA"/>
    <x v="0"/>
    <x v="0"/>
    <x v="2"/>
    <x v="1"/>
    <m/>
    <m/>
    <x v="0"/>
    <m/>
    <m/>
    <d v="2015-11-09T00:00:00"/>
    <s v="9/Nov/2015. Population update. Data source: mail from Pancy (WFP)._x000a_New added Boarding School"/>
    <m/>
    <n v="0"/>
    <m/>
    <n v="0"/>
    <s v=""/>
    <s v=""/>
    <s v=""/>
  </r>
  <r>
    <x v="1"/>
    <x v="0"/>
    <s v="MMR001"/>
    <s v="Mohnyin"/>
    <s v="MMR001D002"/>
    <x v="0"/>
    <s v="MMR001009"/>
    <s v="Hpakan Town"/>
    <s v="MMR001009701"/>
    <m/>
    <m/>
    <x v="25"/>
    <x v="25"/>
    <x v="18"/>
    <n v="25.637309999999999"/>
    <n v="277.60000000000002"/>
    <n v="65"/>
    <n v="347"/>
    <n v="5.3384615384615381"/>
    <x v="0"/>
    <x v="0"/>
    <x v="0"/>
    <x v="2"/>
    <d v="2013-01-01T00:00:00"/>
    <n v="1"/>
    <x v="4"/>
    <s v="IP"/>
    <m/>
    <d v="2015-10-14T00:00:00"/>
    <s v="14-Oct-15 Population update. Soruce; Hpakant Mission Report_WFP_x000a_19-Aug-15 Population update. Source: Shalom_x000a_25-Jun-15 (Population update. Source: Shalom)_x000a_2-Apr-15 (Population update, Source: UNHCR CCCM Mission)_x000a_Population update: Source: Camp Profile Round 2."/>
    <s v="P4"/>
    <n v="0"/>
    <m/>
    <n v="0"/>
    <s v="Hpakant Town"/>
    <n v="4.8862832644478198"/>
    <n v="1"/>
  </r>
  <r>
    <x v="1"/>
    <x v="0"/>
    <s v="MMR001"/>
    <s v="Myitkyina"/>
    <s v="MMR001D001"/>
    <x v="6"/>
    <s v="MMR001001"/>
    <s v="Myitkyina Town"/>
    <s v="MMR001001701"/>
    <s v="Du Ka Htaung Ward"/>
    <s v="MMR001001701504"/>
    <x v="26"/>
    <x v="26"/>
    <x v="19"/>
    <n v="25.4002701851852"/>
    <n v="0"/>
    <n v="6"/>
    <n v="28"/>
    <n v="4.666666666666667"/>
    <x v="0"/>
    <x v="0"/>
    <x v="0"/>
    <x v="2"/>
    <d v="2011-06-01T00:00:00"/>
    <m/>
    <x v="1"/>
    <s v="RRD"/>
    <m/>
    <m/>
    <s v=" "/>
    <s v="P4"/>
    <n v="3"/>
    <m/>
    <n v="3"/>
    <s v="Myitkyina Town"/>
    <n v="1.5295244799681529"/>
    <n v="1"/>
  </r>
  <r>
    <x v="1"/>
    <x v="0"/>
    <s v="MMR001"/>
    <s v="Myitkyina"/>
    <s v="MMR001D001"/>
    <x v="6"/>
    <s v="MMR001001"/>
    <s v="Myitkyina Town"/>
    <s v="MMR001001701"/>
    <s v="Du Ka Htaung Ward"/>
    <s v="MMR001001701504"/>
    <x v="27"/>
    <x v="27"/>
    <x v="20"/>
    <n v="25.3959740909091"/>
    <n v="0"/>
    <n v="6"/>
    <n v="39"/>
    <n v="6.5"/>
    <x v="0"/>
    <x v="0"/>
    <x v="0"/>
    <x v="2"/>
    <d v="2011-06-01T00:00:00"/>
    <m/>
    <x v="1"/>
    <s v="RRD"/>
    <m/>
    <m/>
    <s v=" "/>
    <s v="P4"/>
    <n v="0"/>
    <m/>
    <n v="0"/>
    <s v="Myitkyina Town"/>
    <n v="1.1985969617964649"/>
    <n v="1"/>
  </r>
  <r>
    <x v="1"/>
    <x v="0"/>
    <s v="MMR001"/>
    <s v="Myitkyina"/>
    <s v="MMR001D001"/>
    <x v="6"/>
    <s v="MMR001001"/>
    <s v="Myitkyina Town"/>
    <s v="MMR001001701"/>
    <s v="Du Ka Htaung Ward"/>
    <s v="MMR001001701504"/>
    <x v="28"/>
    <x v="28"/>
    <x v="21"/>
    <n v="25.396492500000001"/>
    <n v="0"/>
    <n v="50"/>
    <n v="236"/>
    <n v="4.72"/>
    <x v="0"/>
    <x v="0"/>
    <x v="0"/>
    <x v="2"/>
    <d v="2011-06-01T00:00:00"/>
    <n v="2"/>
    <x v="1"/>
    <s v="IP"/>
    <m/>
    <d v="2016-01-28T00:00:00"/>
    <s v="28/Jan/2016. Population update. Data source: KBC (mail by maran)_x000a_2/Dec/2015. Population update. Data source: KBC._x000a_Update population according to KBC data"/>
    <s v="P4"/>
    <n v="47"/>
    <m/>
    <n v="47"/>
    <s v="Myitkyina Town"/>
    <n v="1.3510454549069482"/>
    <n v="1"/>
  </r>
  <r>
    <x v="1"/>
    <x v="0"/>
    <s v="MMR001"/>
    <s v="Bhamo"/>
    <s v="MMR001D003"/>
    <x v="5"/>
    <s v="MMR001012"/>
    <s v="Zee Wone Gawt"/>
    <s v="MMR001012023"/>
    <s v="Dum Bung"/>
    <m/>
    <x v="29"/>
    <x v="29"/>
    <x v="22"/>
    <n v="24.461033"/>
    <n v="360"/>
    <n v="116"/>
    <n v="595"/>
    <n v="5.1293103448275863"/>
    <x v="1"/>
    <x v="0"/>
    <x v="0"/>
    <x v="3"/>
    <d v="2011-08-01T00:00:00"/>
    <n v="4"/>
    <x v="2"/>
    <s v="IP"/>
    <m/>
    <d v="2016-01-28T00:00:00"/>
    <s v="28/Jan/2016. Population update. Data source: KBC (mail by maran)_x000a_23-Oct-15 (Population update. Data source: Monthly report by KMSS-MYT). Reason for changes; Travelling from the camp for daily worker._x000a_2-Oct-15 (Population update. Data Source: Monthly report by KMSS-MYT)_x000a_19-Aug-15 (Population update. Data Source: KMSS-MYT)_x000a_25-Jun-15 (Population update. Source: KMSS-MYT)_x000a_Population Update. Source: KMSS-MYT"/>
    <s v="P2"/>
    <n v="0"/>
    <m/>
    <n v="0"/>
    <s v="Dawthponeyan  Town"/>
    <n v="18.65617244319267"/>
    <n v="4"/>
  </r>
  <r>
    <x v="0"/>
    <x v="0"/>
    <s v="MMR001"/>
    <s v="Mohnyin"/>
    <s v="MMR001D002"/>
    <x v="0"/>
    <s v="MMR001009"/>
    <s v="Seik Mu"/>
    <s v="MMR001009003"/>
    <s v="Seik Mu"/>
    <n v="166783"/>
    <x v="30"/>
    <x v="30"/>
    <x v="6"/>
    <m/>
    <m/>
    <n v="0"/>
    <n v="0"/>
    <s v="NA"/>
    <x v="0"/>
    <x v="0"/>
    <x v="0"/>
    <x v="1"/>
    <m/>
    <m/>
    <x v="0"/>
    <s v="IP"/>
    <m/>
    <d v="2014-05-15T00:00:00"/>
    <s v="Closed."/>
    <s v=""/>
    <n v="0"/>
    <m/>
    <n v="0"/>
    <s v=""/>
    <s v=""/>
    <s v=""/>
  </r>
  <r>
    <x v="0"/>
    <x v="0"/>
    <s v="MMR001"/>
    <s v="Mohnyin"/>
    <s v="MMR001D002"/>
    <x v="0"/>
    <s v="MMR001009"/>
    <s v="Seik Mu"/>
    <s v="MMR001009003"/>
    <s v="Seik Mu"/>
    <n v="166783"/>
    <x v="31"/>
    <x v="31"/>
    <x v="6"/>
    <m/>
    <m/>
    <n v="0"/>
    <n v="0"/>
    <s v="NA"/>
    <x v="0"/>
    <x v="0"/>
    <x v="0"/>
    <x v="0"/>
    <m/>
    <m/>
    <x v="0"/>
    <s v="RRD"/>
    <m/>
    <d v="2014-01-24T00:00:00"/>
    <s v="UNOCHA"/>
    <s v=""/>
    <n v="0"/>
    <m/>
    <n v="0"/>
    <s v=""/>
    <s v=""/>
    <s v=""/>
  </r>
  <r>
    <x v="0"/>
    <x v="1"/>
    <s v="MMR015"/>
    <s v="Muse"/>
    <s v="MMR015D002"/>
    <x v="7"/>
    <s v="MMR015011"/>
    <s v="Galeng"/>
    <m/>
    <s v="Galeng"/>
    <m/>
    <x v="32"/>
    <x v="32"/>
    <x v="6"/>
    <m/>
    <m/>
    <n v="0"/>
    <n v="0"/>
    <s v="NA"/>
    <x v="1"/>
    <x v="0"/>
    <x v="0"/>
    <x v="1"/>
    <m/>
    <m/>
    <x v="0"/>
    <s v="IP"/>
    <m/>
    <d v="2013-01-15T00:00:00"/>
    <s v="Close: Duplicate Camp (MMR015CMP020 - Zup Aung Camp) 21-Jan-14"/>
    <s v=""/>
    <n v="0"/>
    <m/>
    <n v="0"/>
    <s v=""/>
    <s v=""/>
    <s v=""/>
  </r>
  <r>
    <x v="0"/>
    <x v="1"/>
    <s v="MMR015"/>
    <s v="Muse"/>
    <s v="MMR015D002"/>
    <x v="7"/>
    <s v="MMR015011"/>
    <s v="Galeng"/>
    <m/>
    <s v="Galeng"/>
    <m/>
    <x v="33"/>
    <x v="33"/>
    <x v="6"/>
    <m/>
    <m/>
    <n v="0"/>
    <n v="0"/>
    <s v="NA"/>
    <x v="1"/>
    <x v="0"/>
    <x v="0"/>
    <x v="1"/>
    <m/>
    <m/>
    <x v="0"/>
    <s v="IP"/>
    <m/>
    <d v="2013-01-15T00:00:00"/>
    <s v="Close: Duplicate Camp (MMR015CMP015 - Kone Khem Camp) 21-Jan-14"/>
    <s v=""/>
    <n v="0"/>
    <m/>
    <n v="0"/>
    <s v=""/>
    <s v=""/>
    <s v=""/>
  </r>
  <r>
    <x v="0"/>
    <x v="0"/>
    <s v="MMR001"/>
    <s v="Myitkyina"/>
    <s v="MMR001D001"/>
    <x v="4"/>
    <s v="MMR001005"/>
    <m/>
    <m/>
    <m/>
    <m/>
    <x v="34"/>
    <x v="34"/>
    <x v="6"/>
    <m/>
    <m/>
    <m/>
    <m/>
    <s v="NA"/>
    <x v="0"/>
    <x v="0"/>
    <x v="0"/>
    <x v="1"/>
    <m/>
    <m/>
    <x v="2"/>
    <s v="IP"/>
    <m/>
    <d v="2015-04-02T00:00:00"/>
    <s v="2-Apr-15 (Closed. Source: GAD)_x000a_Responsible Agency update. KMSS-BMO to KMSS-MYT."/>
    <s v="P1"/>
    <n v="0"/>
    <m/>
    <n v="0"/>
    <s v=""/>
    <s v=""/>
    <s v=""/>
  </r>
  <r>
    <x v="1"/>
    <x v="0"/>
    <s v="MMR001"/>
    <s v="Myitkyina"/>
    <s v="MMR001D001"/>
    <x v="3"/>
    <s v="MMR001002"/>
    <s v="Hkat Shu"/>
    <s v="MMR001002003"/>
    <s v="Hkat Shu"/>
    <n v="165735"/>
    <x v="35"/>
    <x v="35"/>
    <x v="23"/>
    <n v="25.321710740740698"/>
    <n v="0"/>
    <n v="111"/>
    <n v="511"/>
    <n v="4.6036036036036032"/>
    <x v="0"/>
    <x v="0"/>
    <x v="0"/>
    <x v="1"/>
    <d v="2011-06-01T00:00:00"/>
    <n v="2"/>
    <x v="4"/>
    <s v="IP"/>
    <m/>
    <d v="2016-01-18T00:00:00"/>
    <s v="28/Jan/2016. Population update. Data source: KBC (mail by maran)_x000a_9/Nov/15. Population update. Data source: monthly report by HAP._x000a_19-Aug-15. Population update. Source: Shalom._x000a_25-Jun-15 Population update. Source : Shalom._x000a_Population update: Source: Camp Profile Round 2."/>
    <s v="P4"/>
    <n v="6"/>
    <m/>
    <n v="6"/>
    <s v="Waingmaw Town"/>
    <n v="5.0655036329811631"/>
    <n v="2"/>
  </r>
  <r>
    <x v="1"/>
    <x v="0"/>
    <s v="MMR001"/>
    <s v="Myitkyina"/>
    <s v="MMR001D001"/>
    <x v="3"/>
    <s v="MMR001002"/>
    <s v="Hpung Tang Kawng"/>
    <s v="MMR001002030"/>
    <m/>
    <m/>
    <x v="36"/>
    <x v="36"/>
    <x v="24"/>
    <n v="25.200333000000001"/>
    <n v="1023"/>
    <n v="154"/>
    <n v="1153"/>
    <n v="7.4870129870129869"/>
    <x v="1"/>
    <x v="0"/>
    <x v="0"/>
    <x v="1"/>
    <d v="2011-12-01T00:00:00"/>
    <n v="3"/>
    <x v="1"/>
    <s v="IP"/>
    <m/>
    <d v="2016-01-28T00:00:00"/>
    <s v="28/Jan/2016. Population update. Data source: KBC (mail by maran)_x000a_2/Dec/2015. Population update. Data source: KBC_x000a_25-Jun-15 Population update. Source: KBC_x000a_Update population according to KBC data"/>
    <s v="P1"/>
    <n v="54"/>
    <m/>
    <n v="54"/>
    <s v="Sadung Town"/>
    <n v="21.287604662770121"/>
    <n v="5"/>
  </r>
  <r>
    <x v="1"/>
    <x v="0"/>
    <s v="MMR001"/>
    <s v="Mohnyin"/>
    <s v="MMR001D002"/>
    <x v="0"/>
    <s v="MMR001009"/>
    <s v="Nam Si In (Karmaing Sub-township)"/>
    <s v="MMR001009012"/>
    <m/>
    <m/>
    <x v="37"/>
    <x v="37"/>
    <x v="25"/>
    <n v="25.51352"/>
    <n v="0"/>
    <n v="12"/>
    <n v="52"/>
    <n v="4.333333333333333"/>
    <x v="0"/>
    <x v="0"/>
    <x v="0"/>
    <x v="2"/>
    <d v="2012-10-01T00:00:00"/>
    <n v="1"/>
    <x v="1"/>
    <s v="IP"/>
    <m/>
    <d v="2016-01-28T00:00:00"/>
    <s v="28/Jan/2016. Population update. Data source: KBC (mail by maran)_x000a_2/Dec/2015. Population update. Data source: KBC._x000a_19-Aug-15 Population update. Source: KBC._x000a_25-Jun-15 Population update. Source: KBC_x000a_Update population according to KBC data"/>
    <s v="P4"/>
    <n v="12"/>
    <m/>
    <n v="12"/>
    <s v="Kamaing Town"/>
    <n v="1.1537462444167914"/>
    <n v="1"/>
  </r>
  <r>
    <x v="1"/>
    <x v="0"/>
    <s v="MMR001"/>
    <s v="Mohnyin"/>
    <s v="MMR001D002"/>
    <x v="0"/>
    <s v="MMR001009"/>
    <s v="Hpakan Town"/>
    <s v="MMR001009701"/>
    <s v="Maw Wam Ward"/>
    <s v="MMR001009701501"/>
    <x v="38"/>
    <x v="38"/>
    <x v="26"/>
    <n v="25.615960999999999"/>
    <n v="281"/>
    <n v="13"/>
    <n v="75"/>
    <n v="5.7692307692307692"/>
    <x v="0"/>
    <x v="0"/>
    <x v="0"/>
    <x v="2"/>
    <d v="2012-08-01T00:00:00"/>
    <n v="1"/>
    <x v="4"/>
    <s v="IP"/>
    <m/>
    <d v="2015-11-09T00:00:00"/>
    <s v="9/Nov/15. Population update. Data source: monthly report by HAP._x000a_14-Oct-15 Population update. Soruce; Hpakant Mission Report_WFP_x000a_25-Jun-15 (Population update. Source: Shalom)_x000a_18-May-15 (Population update from field mission)_x000a_2-Apr-15 (Population update, Source: UNHCR CCCM Mission)_x000a_Population update: Source: Camp Profile Round 2."/>
    <s v="P4"/>
    <n v="0"/>
    <m/>
    <n v="0"/>
    <s v="Hpakant Town"/>
    <n v="0.56771790814545575"/>
    <n v="1"/>
  </r>
  <r>
    <x v="0"/>
    <x v="0"/>
    <s v="MMR001"/>
    <s v="Mohnyin"/>
    <s v="MMR001D002"/>
    <x v="0"/>
    <s v="MMR001009"/>
    <s v="Hpakan Town"/>
    <s v="MMR001009701"/>
    <s v="Maw Wam Ward"/>
    <s v="MMR001009701501"/>
    <x v="39"/>
    <x v="39"/>
    <x v="6"/>
    <m/>
    <m/>
    <n v="0"/>
    <n v="0"/>
    <s v="NA"/>
    <x v="0"/>
    <x v="0"/>
    <x v="0"/>
    <x v="0"/>
    <m/>
    <m/>
    <x v="0"/>
    <m/>
    <m/>
    <m/>
    <m/>
    <s v=""/>
    <n v="0"/>
    <m/>
    <n v="0"/>
    <s v=""/>
    <s v=""/>
    <s v=""/>
  </r>
  <r>
    <x v="1"/>
    <x v="0"/>
    <s v="MMR001"/>
    <s v="Mohnyin"/>
    <s v="MMR001D002"/>
    <x v="8"/>
    <s v="MMR001007"/>
    <s v="Mohnyin Town"/>
    <s v="MMR001007701"/>
    <m/>
    <m/>
    <x v="40"/>
    <x v="40"/>
    <x v="27"/>
    <n v="24.996279999999999"/>
    <m/>
    <n v="36"/>
    <n v="153"/>
    <n v="4.25"/>
    <x v="0"/>
    <x v="0"/>
    <x v="1"/>
    <x v="0"/>
    <m/>
    <m/>
    <x v="0"/>
    <s v="IP"/>
    <m/>
    <d v="2015-03-19T00:00:00"/>
    <s v="19-Mar-2015 (WFP has been providing this host families since 2013.)"/>
    <m/>
    <n v="0"/>
    <m/>
    <n v="0"/>
    <s v=""/>
    <s v=""/>
    <s v=""/>
  </r>
  <r>
    <x v="1"/>
    <x v="0"/>
    <s v="MMR001"/>
    <s v="Bhamo"/>
    <s v="MMR001D003"/>
    <x v="1"/>
    <s v="MMR001010"/>
    <s v="Bhamo Town"/>
    <s v="MMR001010701"/>
    <m/>
    <m/>
    <x v="41"/>
    <x v="41"/>
    <x v="28"/>
    <n v="24.263786"/>
    <m/>
    <n v="211"/>
    <n v="989"/>
    <n v="4.6872037914691944"/>
    <x v="0"/>
    <x v="0"/>
    <x v="1"/>
    <x v="2"/>
    <m/>
    <m/>
    <x v="0"/>
    <s v="IP"/>
    <m/>
    <d v="2015-11-09T00:00:00"/>
    <s v="9/Nov/15. Population update. Data source: mail from Pancy (WFP)._x000a_Update IDP increased in Oct and Nov 2013 from Angela (UNHCR - Bhamo)"/>
    <s v="P4"/>
    <n v="0"/>
    <m/>
    <n v="0"/>
    <s v="Bhamo Town"/>
    <n v="1.1354007641426449"/>
    <n v="1"/>
  </r>
  <r>
    <x v="1"/>
    <x v="0"/>
    <s v="MMR001"/>
    <s v="Bhamo"/>
    <s v="MMR001D003"/>
    <x v="2"/>
    <s v="MMR001013"/>
    <s v="Mansi Town"/>
    <s v="MMR001013701"/>
    <m/>
    <m/>
    <x v="41"/>
    <x v="42"/>
    <x v="29"/>
    <n v="24.118618999999999"/>
    <m/>
    <n v="76"/>
    <n v="256"/>
    <n v="3.3684210526315788"/>
    <x v="0"/>
    <x v="0"/>
    <x v="1"/>
    <x v="2"/>
    <m/>
    <m/>
    <x v="0"/>
    <s v="IP"/>
    <m/>
    <d v="2015-11-09T00:00:00"/>
    <s v="9/Nov/15. Population update. Data source: mail from Pancy (WFP)._x000a_Update IDP increased in Oct and Nov 2013 from (UNHCR - Bhamo)"/>
    <s v="P4"/>
    <n v="0"/>
    <m/>
    <n v="0"/>
    <s v="Mansi Town"/>
    <n v="0.51447052329458698"/>
    <n v="1"/>
  </r>
  <r>
    <x v="1"/>
    <x v="0"/>
    <s v="MMR001"/>
    <s v="Bhamo"/>
    <s v="MMR001D003"/>
    <x v="5"/>
    <s v="MMR001012"/>
    <s v="Momauk Town"/>
    <s v="MMR001012701"/>
    <m/>
    <m/>
    <x v="41"/>
    <x v="43"/>
    <x v="30"/>
    <n v="24.251232000000002"/>
    <m/>
    <n v="320"/>
    <n v="1125"/>
    <n v="3.515625"/>
    <x v="0"/>
    <x v="0"/>
    <x v="1"/>
    <x v="2"/>
    <m/>
    <m/>
    <x v="0"/>
    <s v="RRD"/>
    <m/>
    <d v="2015-11-09T00:00:00"/>
    <s v="9/Nov/15. Population update. Data source: mail from Pancy (WFP)."/>
    <s v="P4"/>
    <n v="0"/>
    <m/>
    <n v="0"/>
    <s v="Momauk Town"/>
    <n v="0.60629049139006752"/>
    <n v="1"/>
  </r>
  <r>
    <x v="1"/>
    <x v="0"/>
    <s v="MMR001"/>
    <s v="Bhamo"/>
    <s v="MMR001D003"/>
    <x v="9"/>
    <s v="MMR001011"/>
    <s v="Shwegu Town"/>
    <s v="MMR001011701"/>
    <m/>
    <m/>
    <x v="41"/>
    <x v="44"/>
    <x v="31"/>
    <n v="24.224830999999998"/>
    <m/>
    <n v="9"/>
    <n v="30"/>
    <n v="3.3333333333333335"/>
    <x v="0"/>
    <x v="0"/>
    <x v="1"/>
    <x v="2"/>
    <m/>
    <m/>
    <x v="0"/>
    <s v="RRD"/>
    <m/>
    <m/>
    <m/>
    <s v="P4"/>
    <n v="0"/>
    <m/>
    <n v="0"/>
    <s v="Shwegu Town"/>
    <n v="2.3794331620169178"/>
    <n v="1"/>
  </r>
  <r>
    <x v="1"/>
    <x v="1"/>
    <s v="MMR015"/>
    <s v="Muse"/>
    <s v="MMR015D003"/>
    <x v="10"/>
    <s v="MMR015019"/>
    <s v="Man Pying (Pang Hseng (Kyu Koke)) Sub-township"/>
    <s v="MMR015009038"/>
    <s v="Hawwa"/>
    <m/>
    <x v="42"/>
    <x v="45"/>
    <x v="32"/>
    <n v="23.917631"/>
    <m/>
    <n v="32"/>
    <m/>
    <n v="0"/>
    <x v="0"/>
    <x v="0"/>
    <x v="1"/>
    <x v="1"/>
    <m/>
    <m/>
    <x v="0"/>
    <m/>
    <m/>
    <d v="2014-03-03T00:00:00"/>
    <s v="Change to Host Families."/>
    <s v="P3"/>
    <n v="0"/>
    <m/>
    <n v="0"/>
    <s v="Pang Hseng (Kyu Koke) Town"/>
    <n v="18.405283544772924"/>
    <n v="4"/>
  </r>
  <r>
    <x v="1"/>
    <x v="1"/>
    <s v="MMR015"/>
    <s v="Muse"/>
    <s v="MMR015D002"/>
    <x v="10"/>
    <s v="MMR015009"/>
    <s v="Hpai Kawng (Pang Hseng-Kyu Koke Sub-township"/>
    <s v="MMR015009031"/>
    <s v="Hpai Kawng"/>
    <n v="208156"/>
    <x v="43"/>
    <x v="46"/>
    <x v="33"/>
    <n v="24.08738"/>
    <m/>
    <n v="32"/>
    <n v="187"/>
    <n v="5.84375"/>
    <x v="1"/>
    <x v="0"/>
    <x v="1"/>
    <x v="1"/>
    <m/>
    <m/>
    <x v="0"/>
    <s v="IRRC"/>
    <m/>
    <d v="2014-03-03T00:00:00"/>
    <s v="Change to Host Families."/>
    <s v="P4"/>
    <n v="0"/>
    <m/>
    <n v="0"/>
    <s v="Pang Hseng (Kyu Koke) Town"/>
    <n v="5.5919136174199959"/>
    <n v="2"/>
  </r>
  <r>
    <x v="1"/>
    <x v="0"/>
    <s v="MMR001"/>
    <s v="Mohnyin"/>
    <s v="MMR001D002"/>
    <x v="0"/>
    <s v="MMR001009"/>
    <s v="Nam Ma Hpyit"/>
    <s v="MMR001009002"/>
    <s v="Nam Ma Hpyit"/>
    <n v="166776"/>
    <x v="44"/>
    <x v="47"/>
    <x v="34"/>
    <n v="25.611160000000002"/>
    <m/>
    <n v="116"/>
    <n v="530"/>
    <n v="4.568965517241379"/>
    <x v="0"/>
    <x v="0"/>
    <x v="0"/>
    <x v="2"/>
    <m/>
    <m/>
    <x v="1"/>
    <s v="IP"/>
    <m/>
    <d v="2015-10-14T00:00:00"/>
    <s v="14-Oct-15 Population update. Soruce; Hpakant Mission Report_WFP_x000a_25-Jun-15 Population update. Source: KBC_x000a_18-May-15 (Population update from field mission)_x000a_3-Apr-15 (Population update. Source: Camp Profile Round 3)_x000a_New camp"/>
    <s v="P4"/>
    <n v="116"/>
    <m/>
    <n v="116"/>
    <s v="Hpakant Town"/>
    <n v="0.19374952337076978"/>
    <n v="1"/>
  </r>
  <r>
    <x v="1"/>
    <x v="0"/>
    <s v="MMR001"/>
    <s v="Myitkyina"/>
    <s v="MMR001D001"/>
    <x v="4"/>
    <s v="MMR001005"/>
    <s v="Hpa Re (Pang War Sub-township)"/>
    <s v="MMR001005026"/>
    <s v="Hpa Re Waw Jang"/>
    <n v="166355"/>
    <x v="45"/>
    <x v="48"/>
    <x v="35"/>
    <n v="25.754110000000001"/>
    <n v="2785"/>
    <n v="154"/>
    <n v="920"/>
    <n v="5.9740259740259738"/>
    <x v="1"/>
    <x v="0"/>
    <x v="0"/>
    <x v="3"/>
    <d v="2012-05-01T00:00:00"/>
    <n v="2"/>
    <x v="1"/>
    <s v="IP"/>
    <m/>
    <d v="2016-01-28T00:00:00"/>
    <s v="28/Jan/2016. Population update. Data source: KBC (mail by maran)_x000a_2/Dec/2015. Population update. Data source: KBC_x000a_25-Jun-2015 Update population. Data Source: KBC_x000a_Update population according to KBC data"/>
    <s v="P1"/>
    <n v="154"/>
    <m/>
    <n v="154"/>
    <s v="Pang War Town"/>
    <n v="19.834999342466848"/>
    <n v="4"/>
  </r>
  <r>
    <x v="1"/>
    <x v="0"/>
    <s v="MMR001"/>
    <s v="Bhamo"/>
    <s v="MMR001D003"/>
    <x v="5"/>
    <s v="MMR001012"/>
    <s v="In Baw Mai Kyin (Dawthponeyan Sub-township)"/>
    <s v="MMR001012042"/>
    <s v="Hpun Lum Yang"/>
    <n v="167223"/>
    <x v="46"/>
    <x v="49"/>
    <x v="36"/>
    <n v="24.661905999999998"/>
    <n v="415"/>
    <n v="614"/>
    <n v="2915"/>
    <n v="4.7475570032573291"/>
    <x v="1"/>
    <x v="0"/>
    <x v="0"/>
    <x v="1"/>
    <d v="2011-06-01T00:00:00"/>
    <n v="5"/>
    <x v="2"/>
    <s v="IRRC"/>
    <m/>
    <d v="2016-01-28T00:00:00"/>
    <s v="28/Jan/2016. Population update. Data source: KBC (mail by maran)_x000a_2-Oct-15 (Population update. Data Source: Monthly report by KMSS-MYT)_x000a_19-Aug-15 (Populaiton update. Data Source: KMSS-MYT)_x000a_25-Jun-15 (Population update. Source: IRRC)_x000a_2015-03-16 (Population moved from Je Yang Hka as there was no land available)_x000a_Population Update. Source: UNHCR Cross-Line Mission Report. (July 2014)"/>
    <s v="P2"/>
    <n v="0"/>
    <m/>
    <n v="0"/>
    <s v="Laiza town"/>
    <n v="10.953347686331073"/>
    <n v="3"/>
  </r>
  <r>
    <x v="1"/>
    <x v="0"/>
    <s v="MMR001"/>
    <s v="Bhamo"/>
    <s v="MMR001D003"/>
    <x v="1"/>
    <s v="MMR001010"/>
    <s v="Bhamo Town"/>
    <s v="MMR001010701"/>
    <s v="Pauk Kone Ward"/>
    <s v="MMR001010701506"/>
    <x v="47"/>
    <x v="50"/>
    <x v="37"/>
    <n v="24.24766"/>
    <n v="0"/>
    <n v="43"/>
    <n v="237"/>
    <n v="5.5116279069767442"/>
    <x v="0"/>
    <x v="0"/>
    <x v="0"/>
    <x v="2"/>
    <d v="2011-12-01T00:00:00"/>
    <n v="1"/>
    <x v="1"/>
    <s v="IP"/>
    <m/>
    <d v="2016-01-28T00:00:00"/>
    <s v="28/Jan/2016. Population update. Data source: KBC (mail by maran)_x000a_2/Dec/2015. Population update. Data source: KBC._x000a_25-Jun-2015 Update population. Data Source: KBC_x000a_Population update: Source: Camp Profile Round 2."/>
    <s v="P4"/>
    <n v="5"/>
    <m/>
    <n v="5"/>
    <s v="Bhamo Town"/>
    <n v="0.84749304721635399"/>
    <n v="1"/>
  </r>
  <r>
    <x v="1"/>
    <x v="0"/>
    <s v="MMR001"/>
    <s v="Myitkyina"/>
    <s v="MMR001D001"/>
    <x v="3"/>
    <s v="MMR001002"/>
    <s v="Nam Sang Yang"/>
    <s v="MMR001002024"/>
    <m/>
    <m/>
    <x v="48"/>
    <x v="51"/>
    <x v="38"/>
    <n v="24.752471"/>
    <m/>
    <m/>
    <n v="1047"/>
    <s v="NA"/>
    <x v="1"/>
    <x v="0"/>
    <x v="2"/>
    <x v="2"/>
    <m/>
    <m/>
    <x v="0"/>
    <s v="IRRC"/>
    <m/>
    <d v="2014-09-17T00:00:00"/>
    <s v="In 2014, this school is no longer accepting the lower grade students."/>
    <s v="P2"/>
    <n v="0"/>
    <m/>
    <n v="0"/>
    <s v="Laiza town"/>
    <n v="2.3307568207764655"/>
    <n v="1"/>
  </r>
  <r>
    <x v="0"/>
    <x v="0"/>
    <s v="MMR001"/>
    <s v="Bhamo"/>
    <s v="MMR001D003"/>
    <x v="2"/>
    <s v="MMR001013"/>
    <m/>
    <m/>
    <m/>
    <m/>
    <x v="49"/>
    <x v="52"/>
    <x v="6"/>
    <m/>
    <m/>
    <n v="0"/>
    <n v="0"/>
    <s v="NA"/>
    <x v="0"/>
    <x v="0"/>
    <x v="3"/>
    <x v="0"/>
    <m/>
    <m/>
    <x v="0"/>
    <s v="IP"/>
    <m/>
    <d v="2014-02-07T00:00:00"/>
    <s v="Source OCHA"/>
    <s v=""/>
    <n v="0"/>
    <m/>
    <n v="0"/>
    <s v=""/>
    <s v=""/>
    <s v=""/>
  </r>
  <r>
    <x v="1"/>
    <x v="0"/>
    <s v="MMR001"/>
    <s v="Puta-O"/>
    <s v="MMR001D004"/>
    <x v="11"/>
    <s v="MMR001014"/>
    <s v="Lang Taung"/>
    <s v="MMR001014009"/>
    <s v="Inn Lel Yan"/>
    <n v="217032"/>
    <x v="50"/>
    <x v="53"/>
    <x v="39"/>
    <n v="27.248964999999998"/>
    <n v="398"/>
    <n v="10"/>
    <n v="56"/>
    <n v="5.6"/>
    <x v="0"/>
    <x v="0"/>
    <x v="1"/>
    <x v="1"/>
    <d v="2013-08-01T00:00:00"/>
    <m/>
    <x v="0"/>
    <s v="IP"/>
    <m/>
    <d v="2014-04-07T00:00:00"/>
    <s v="New host families."/>
    <s v="P3"/>
    <n v="0"/>
    <m/>
    <n v="0"/>
    <s v="Machanbaw Town"/>
    <n v="4.789460146835963"/>
    <n v="1"/>
  </r>
  <r>
    <x v="1"/>
    <x v="0"/>
    <s v="MMR001"/>
    <s v="Myitkyina"/>
    <s v="MMR001D001"/>
    <x v="6"/>
    <s v="MMR001001"/>
    <s v="Myitkyina Town"/>
    <s v="MMR001001701"/>
    <m/>
    <m/>
    <x v="51"/>
    <x v="54"/>
    <x v="40"/>
    <n v="25.403476999999999"/>
    <n v="0"/>
    <n v="203"/>
    <n v="1072"/>
    <n v="5.2807881773399012"/>
    <x v="0"/>
    <x v="0"/>
    <x v="0"/>
    <x v="2"/>
    <d v="2011-07-01T00:00:00"/>
    <n v="2"/>
    <x v="1"/>
    <s v="IP"/>
    <m/>
    <d v="2016-01-28T00:00:00"/>
    <s v="28/Jan/2016. Population update. Data source: KBC (mail by maran)_x000a_2/Dec/2015. Population update. Data source: KBC._x000a_19-Aug-15 Update population from KBC._x000a_25-Jun-2015 Update population from KBC._x000a_Checked with KBC data"/>
    <s v="P4"/>
    <n v="43"/>
    <m/>
    <n v="43"/>
    <s v="Myitkyina Town"/>
    <n v="2.4647367211404561"/>
    <n v="1"/>
  </r>
  <r>
    <x v="1"/>
    <x v="0"/>
    <s v="MMR001"/>
    <s v="Myitkyina"/>
    <s v="MMR001D001"/>
    <x v="6"/>
    <s v="MMR001001"/>
    <s v="Myitkyina Town"/>
    <s v="MMR001001701"/>
    <s v="Jan Mai Kawng"/>
    <m/>
    <x v="52"/>
    <x v="55"/>
    <x v="41"/>
    <n v="25.401061110000001"/>
    <m/>
    <n v="109"/>
    <n v="487"/>
    <n v="4.4678899082568808"/>
    <x v="0"/>
    <x v="0"/>
    <x v="0"/>
    <x v="2"/>
    <d v="2011-07-01T00:00:00"/>
    <n v="3"/>
    <x v="2"/>
    <s v="IP"/>
    <m/>
    <d v="2016-01-28T00:00:00"/>
    <s v="28/Jan/2016. Population update. Data source: KBC (mail by maran)_x000a_2/Dec/2015 (Population update. Data source: Monthly report by KMSS_MYT). Reason for pop changes; Arrived at the camp from daily work._x000a_23-Oct-15 (Population update. Data source: Monthly report by KMSS-MYT). Reason for changes; Arrive from the Daily Work._x000a_2 Oct 15 (Population update. Data Source: KMSS-MYT)_x000a_19-Aug-15 (Population update. Data Source: KMSS-MYT)_x000a_25-Jun-15 (Population update. Source : KMSS-MYT)_x000a_Population Update. Source: KMSS-MYT"/>
    <s v="P4"/>
    <n v="29"/>
    <m/>
    <n v="29"/>
    <s v="Myitkyina Town"/>
    <n v="1.8563710010113432"/>
    <n v="1"/>
  </r>
  <r>
    <x v="1"/>
    <x v="0"/>
    <s v="MMR001"/>
    <s v="Bhamo"/>
    <s v="MMR001D003"/>
    <x v="5"/>
    <s v="MMR001012"/>
    <s v="Ton Hone Yang (Dawthponeyan Sub-township)"/>
    <s v="MMR001012050"/>
    <m/>
    <m/>
    <x v="53"/>
    <x v="56"/>
    <x v="42"/>
    <n v="24.688338999999999"/>
    <n v="314"/>
    <n v="1695"/>
    <n v="8848"/>
    <n v="5.2200589970501472"/>
    <x v="1"/>
    <x v="0"/>
    <x v="0"/>
    <x v="1"/>
    <d v="2012-06-01T00:00:00"/>
    <n v="7"/>
    <x v="2"/>
    <s v="IP"/>
    <m/>
    <d v="2016-01-28T00:00:00"/>
    <s v="28/Jan/2016. Population update. Data source: KBC (mail by maran)_x000a_2/Dec/2015 (population changes. Data source; KMSS_MYT). Reason for pop changes; arrived at the camp form daily work._x000a_2-Oct-15 (Population update. Data Source: KMSS-MYT)_x000a_19-Aug-15 (Population update. Data Source: KMSS-MYT)_x000a_25-Jun-15 (Population update. KMSS-MYT)_x000a_2015-03-16 (Population moved to Hpun Lum Yang as there was no land available)_x000a_Population Update. Source: KMSS-MYT"/>
    <s v="P2"/>
    <n v="500"/>
    <m/>
    <n v="500"/>
    <s v="Laiza town"/>
    <n v="7.985347533011188"/>
    <n v="2"/>
  </r>
  <r>
    <x v="0"/>
    <x v="0"/>
    <s v="MMR001"/>
    <s v="Bhamo"/>
    <s v="MMR001D003"/>
    <x v="1"/>
    <s v="MMR001010"/>
    <m/>
    <m/>
    <m/>
    <m/>
    <x v="54"/>
    <x v="57"/>
    <x v="43"/>
    <n v="24.262418020999998"/>
    <m/>
    <n v="0"/>
    <n v="0"/>
    <s v="NA"/>
    <x v="0"/>
    <x v="0"/>
    <x v="0"/>
    <x v="0"/>
    <m/>
    <m/>
    <x v="0"/>
    <s v="IP"/>
    <m/>
    <d v="2014-01-22T00:00:00"/>
    <s v="Closed: Source UNHCR-Bhamo"/>
    <s v=""/>
    <n v="0"/>
    <m/>
    <n v="0"/>
    <s v=""/>
    <s v=""/>
    <s v=""/>
  </r>
  <r>
    <x v="1"/>
    <x v="0"/>
    <s v="MMR001"/>
    <s v="Bhamo"/>
    <s v="MMR001D003"/>
    <x v="5"/>
    <s v="MMR001012"/>
    <s v="Khon Sint"/>
    <s v="MMR001012013"/>
    <s v="Khon Sint"/>
    <n v="167060"/>
    <x v="55"/>
    <x v="58"/>
    <x v="44"/>
    <n v="24.377054000000001"/>
    <m/>
    <n v="4"/>
    <n v="26"/>
    <n v="6.5"/>
    <x v="0"/>
    <x v="0"/>
    <x v="1"/>
    <x v="1"/>
    <m/>
    <m/>
    <x v="0"/>
    <s v="RRD"/>
    <m/>
    <d v="2014-03-03T00:00:00"/>
    <s v="Change to Host Families."/>
    <s v="P4"/>
    <n v="0"/>
    <m/>
    <n v="0"/>
    <s v="Momauk Town"/>
    <n v="13.446032768350749"/>
    <n v="3"/>
  </r>
  <r>
    <x v="1"/>
    <x v="1"/>
    <s v="MMR015"/>
    <s v="Muse"/>
    <s v="MMR015D002"/>
    <x v="7"/>
    <s v="MMR015011"/>
    <s v="Kar Lai Kone Hsar"/>
    <s v="MMR015011005"/>
    <s v="Kar Lai"/>
    <n v="208557"/>
    <x v="56"/>
    <x v="59"/>
    <x v="45"/>
    <n v="23.4008"/>
    <n v="0"/>
    <n v="87"/>
    <n v="488"/>
    <n v="5.6091954022988508"/>
    <x v="0"/>
    <x v="0"/>
    <x v="0"/>
    <x v="1"/>
    <d v="2013-01-01T00:00:00"/>
    <m/>
    <x v="1"/>
    <s v="IP"/>
    <m/>
    <d v="2015-06-25T00:00:00"/>
    <s v="25-Jun-15 Population update. Source: KBC_x000a_Update population. Source: Camp Profile."/>
    <s v="P3"/>
    <n v="0"/>
    <m/>
    <n v="0"/>
    <s v="Kutkai Town"/>
    <n v="11.65743881259678"/>
    <n v="3"/>
  </r>
  <r>
    <x v="1"/>
    <x v="0"/>
    <s v="MMR001"/>
    <s v="Mohnyin"/>
    <s v="MMR001D002"/>
    <x v="0"/>
    <s v="MMR001009"/>
    <s v="Lone Khin"/>
    <s v="MR001009001"/>
    <s v="Ku Day"/>
    <n v="216877"/>
    <x v="57"/>
    <x v="60"/>
    <x v="6"/>
    <m/>
    <m/>
    <n v="50"/>
    <n v="226"/>
    <n v="4.5199999999999996"/>
    <x v="0"/>
    <x v="0"/>
    <x v="0"/>
    <x v="1"/>
    <d v="2015-01-15T00:00:00"/>
    <m/>
    <x v="1"/>
    <s v="IP"/>
    <m/>
    <d v="2016-01-28T00:00:00"/>
    <s v="28/Jan/2016. Population update. Data source: KBC (mail by maran)_x000a_2/Dec/2015. Population update. Data source: KBC_x000a_25-Jun-15 Population update. Source: KBC_x000a_18-May-15 (Population update by field mission)_x000a_Source: CCCM Unit (Hpakant Assessement Mission)"/>
    <m/>
    <n v="0"/>
    <m/>
    <n v="0"/>
    <s v=""/>
    <s v=""/>
    <s v=""/>
  </r>
  <r>
    <x v="1"/>
    <x v="1"/>
    <s v="MMR015"/>
    <s v="Muse"/>
    <s v="MMR015D002"/>
    <x v="7"/>
    <s v="MMR015011"/>
    <s v="Kutkai Town"/>
    <s v="MMR015011701"/>
    <s v="No (5) Ward"/>
    <s v="MMR015011701505"/>
    <x v="58"/>
    <x v="61"/>
    <x v="46"/>
    <n v="23.450914000000001"/>
    <n v="4336"/>
    <n v="64"/>
    <n v="305"/>
    <n v="4.765625"/>
    <x v="0"/>
    <x v="0"/>
    <x v="0"/>
    <x v="2"/>
    <d v="2012-12-01T00:00:00"/>
    <n v="2"/>
    <x v="1"/>
    <s v="IP"/>
    <m/>
    <d v="2016-01-28T00:00:00"/>
    <s v="28/Jan/2016. Population update. Data source: KBC (mail by maran)_x000a_25-Jun-15 Population update. Source: KBC_x000a_Update population. Source: Camp Profile."/>
    <s v="P3"/>
    <n v="0"/>
    <m/>
    <n v="0"/>
    <s v="Kutkai Town"/>
    <n v="1.9281430163271129"/>
    <n v="1"/>
  </r>
  <r>
    <x v="1"/>
    <x v="1"/>
    <s v="MMR015"/>
    <s v="Muse"/>
    <s v="MMR015D002"/>
    <x v="7"/>
    <s v="MMR015011"/>
    <s v="Kutkai Town"/>
    <s v="MMR015011701"/>
    <s v="No (3) Ward"/>
    <s v="MMR015011701503"/>
    <x v="59"/>
    <x v="62"/>
    <x v="47"/>
    <n v="23.460349999999998"/>
    <n v="4430"/>
    <n v="31"/>
    <n v="144"/>
    <n v="4.645161290322581"/>
    <x v="0"/>
    <x v="0"/>
    <x v="0"/>
    <x v="2"/>
    <d v="2012-12-01T00:00:00"/>
    <m/>
    <x v="5"/>
    <s v="IP"/>
    <m/>
    <d v="2016-01-28T00:00:00"/>
    <s v="28/Jan/2016. Population update. Data source: KBC (mail by maran)_x000a_19-Aug-15 (Population update. Source: MKSS-LSO)_x000a_25-Jun-15 (Population update. Source: KMSS-LSO)_x000a_Population updated. Source: Shelter unit."/>
    <s v="P3"/>
    <n v="0"/>
    <m/>
    <n v="0"/>
    <s v="Kutkai Town"/>
    <n v="0.42212558305526549"/>
    <n v="1"/>
  </r>
  <r>
    <x v="1"/>
    <x v="0"/>
    <s v="MMR001"/>
    <s v="Myitkyina"/>
    <s v="MMR001D001"/>
    <x v="6"/>
    <s v="MMR001001"/>
    <s v="Myitkyina Town"/>
    <s v="MMR001001701"/>
    <s v="Kyun Pin Thar Ward"/>
    <s v="MMR001001701510"/>
    <x v="60"/>
    <x v="63"/>
    <x v="48"/>
    <n v="25.3660036111111"/>
    <n v="0"/>
    <n v="45"/>
    <n v="194"/>
    <n v="4.3111111111111109"/>
    <x v="0"/>
    <x v="0"/>
    <x v="0"/>
    <x v="2"/>
    <d v="2012-01-01T00:00:00"/>
    <n v="1"/>
    <x v="1"/>
    <s v="IP"/>
    <m/>
    <d v="2016-01-28T00:00:00"/>
    <s v="28/Jan/2016. Population update. Data source: KBC (mail by maran)_x000a_2/Dec/2015 (Population update. Data source: Monthly report by KBC)._x000a_19-Aug-2015 Update population from KBC._x000a_25-Jun-2015 Update population from KBC._x000a_Update population according to KBC data"/>
    <s v="P4"/>
    <n v="40"/>
    <m/>
    <n v="40"/>
    <s v="Myitkyina Town"/>
    <n v="2.8164250706222882"/>
    <n v="1"/>
  </r>
  <r>
    <x v="1"/>
    <x v="0"/>
    <s v="MMR001"/>
    <s v="Mohnyin"/>
    <s v="MMR001D002"/>
    <x v="12"/>
    <s v="MMR001008"/>
    <s v="Mogaung Town"/>
    <s v="MMR001008701"/>
    <m/>
    <m/>
    <x v="61"/>
    <x v="64"/>
    <x v="49"/>
    <n v="25.305669999999999"/>
    <n v="470"/>
    <n v="16"/>
    <n v="69"/>
    <n v="4.3125"/>
    <x v="0"/>
    <x v="0"/>
    <x v="0"/>
    <x v="2"/>
    <d v="2012-05-01T00:00:00"/>
    <n v="1"/>
    <x v="1"/>
    <s v="IP"/>
    <m/>
    <d v="2016-01-28T00:00:00"/>
    <s v="28/Jan/2016. Population update. Data source: KBC (mail by maran)_x000a_2/Dec/2015. Population update. Data source: KBC._x000a_19-Aug-15 Update population from KBC._x000a_25-Jun-2015 Update population. Data Source: KBC_x000a_Checked with KBC data"/>
    <s v="P4"/>
    <n v="1"/>
    <m/>
    <n v="1"/>
    <s v="Mogaung Town"/>
    <n v="1.815139598767344"/>
    <n v="1"/>
  </r>
  <r>
    <x v="1"/>
    <x v="0"/>
    <s v="MMR001"/>
    <s v="Puta-O"/>
    <s v="MMR001D004"/>
    <x v="13"/>
    <s v="MMR001018"/>
    <s v="La Ja Ga"/>
    <s v="MMR001018021"/>
    <s v="La Ja"/>
    <n v="168236"/>
    <x v="62"/>
    <x v="65"/>
    <x v="50"/>
    <n v="26.890058"/>
    <n v="1393"/>
    <n v="11"/>
    <n v="17"/>
    <n v="1.5454545454545454"/>
    <x v="0"/>
    <x v="0"/>
    <x v="0"/>
    <x v="1"/>
    <m/>
    <m/>
    <x v="0"/>
    <s v="RRD"/>
    <m/>
    <d v="2014-01-07T00:00:00"/>
    <s v="Update data from OCHA IDPs List"/>
    <s v="P4"/>
    <n v="11"/>
    <m/>
    <n v="11"/>
    <s v="Khaunglanhpu Town"/>
    <n v="28.422357500443528"/>
    <n v="6"/>
  </r>
  <r>
    <x v="0"/>
    <x v="0"/>
    <s v="MMR001"/>
    <s v="Bhamo"/>
    <s v="MMR001D003"/>
    <x v="2"/>
    <s v="MMR001013"/>
    <s v="Man Mawn"/>
    <s v="MMR001013022"/>
    <m/>
    <m/>
    <x v="63"/>
    <x v="66"/>
    <x v="51"/>
    <n v="23.867713999999999"/>
    <n v="755"/>
    <n v="0"/>
    <n v="0"/>
    <s v="NA"/>
    <x v="1"/>
    <x v="0"/>
    <x v="0"/>
    <x v="1"/>
    <d v="2013-04-01T00:00:00"/>
    <n v="2"/>
    <x v="3"/>
    <s v="IP"/>
    <m/>
    <d v="2014-06-21T00:00:00"/>
    <s v="Closed. Source: Save The Children"/>
    <s v="P4"/>
    <n v="0"/>
    <m/>
    <n v="0"/>
    <s v=""/>
    <s v=""/>
    <s v=""/>
  </r>
  <r>
    <x v="0"/>
    <x v="0"/>
    <s v="MMR001"/>
    <s v="Myitkyina"/>
    <s v="MMR001D001"/>
    <x v="3"/>
    <s v="MMR001002"/>
    <s v="Nam Sang Yang"/>
    <s v="MMR001002024"/>
    <s v="Nam Sang Yang"/>
    <n v="165772"/>
    <x v="64"/>
    <x v="67"/>
    <x v="52"/>
    <n v="24.747212999999999"/>
    <n v="221"/>
    <n v="0"/>
    <n v="0"/>
    <s v="NA"/>
    <x v="1"/>
    <x v="0"/>
    <x v="0"/>
    <x v="1"/>
    <d v="2011-06-01T00:00:00"/>
    <n v="3"/>
    <x v="2"/>
    <s v="IP"/>
    <m/>
    <d v="2015-06-25T00:00:00"/>
    <s v="25-Jun-15 (Relocated to Hpum Lone Yan and Wai Choi)_x000a_Population Update. Source: UNHCR Cross-Line Mission Report. (July 2014)"/>
    <s v="P2"/>
    <n v="0"/>
    <n v="0"/>
    <n v="0"/>
    <s v="Laiza town"/>
    <n v="1.857513522619473"/>
    <n v="1"/>
  </r>
  <r>
    <x v="1"/>
    <x v="0"/>
    <s v="MMR001"/>
    <s v="Myitkyina"/>
    <s v="MMR001D001"/>
    <x v="3"/>
    <s v="MMR001002"/>
    <s v="Hpawt Dawt"/>
    <s v="MMR001002032"/>
    <s v="Lai Zar"/>
    <n v="165816"/>
    <x v="65"/>
    <x v="68"/>
    <x v="53"/>
    <n v="25.108011999999999"/>
    <m/>
    <n v="355"/>
    <n v="4450"/>
    <n v="12.535211267605634"/>
    <x v="1"/>
    <x v="1"/>
    <x v="4"/>
    <x v="2"/>
    <m/>
    <m/>
    <x v="0"/>
    <s v="IRRC"/>
    <m/>
    <d v="2014-06-13T00:00:00"/>
    <s v="2015-04-01 : According to UNICEF and WFP this location is a village. People are not IDP but are affected by the crisis. That s why it would remain in the list._x000a_Geo-Info, HH/Pop data was updated from Google Earth."/>
    <s v="P4"/>
    <n v="0"/>
    <m/>
    <n v="0"/>
    <s v="Sadung Town"/>
    <n v="34.344689881690819"/>
    <n v="7"/>
  </r>
  <r>
    <x v="1"/>
    <x v="0"/>
    <s v="MMR001"/>
    <s v="Myitkyina"/>
    <s v="MMR001D001"/>
    <x v="4"/>
    <s v="MMR001005"/>
    <s v="Lang Jaw (Pang War Sub-township)"/>
    <s v="MMR001005022"/>
    <s v="Lang Jaw"/>
    <n v="166337"/>
    <x v="66"/>
    <x v="69"/>
    <x v="54"/>
    <n v="25.708763000000001"/>
    <m/>
    <m/>
    <m/>
    <s v="NA"/>
    <x v="0"/>
    <x v="0"/>
    <x v="1"/>
    <x v="1"/>
    <m/>
    <m/>
    <x v="0"/>
    <m/>
    <m/>
    <m/>
    <m/>
    <s v="P1"/>
    <n v="0"/>
    <m/>
    <n v="0"/>
    <s v="Pang War Town"/>
    <n v="12.486065224161463"/>
    <n v="3"/>
  </r>
  <r>
    <x v="1"/>
    <x v="0"/>
    <s v="MMR001"/>
    <s v="Bhamo"/>
    <s v="MMR001D003"/>
    <x v="2"/>
    <s v="MMR001013"/>
    <s v="In Ba Pa"/>
    <s v="MMR001013012"/>
    <s v="La Na"/>
    <n v="216948"/>
    <x v="67"/>
    <x v="70"/>
    <x v="55"/>
    <n v="24.056132999999999"/>
    <n v="866"/>
    <n v="545"/>
    <n v="2560"/>
    <n v="4.6972477064220186"/>
    <x v="1"/>
    <x v="0"/>
    <x v="0"/>
    <x v="1"/>
    <d v="2011-10-01T00:00:00"/>
    <n v="2"/>
    <x v="3"/>
    <s v="IP"/>
    <m/>
    <d v="2016-01-28T00:00:00"/>
    <s v="28/Jan/2016. Population update. Data source: KBC (mail by maran)_x000a_19-Aug-2015. Update Population. Data Source; KMSS-BMO_x000a_Population update: Source UNHCR-Bhamo"/>
    <s v="P2"/>
    <n v="51"/>
    <m/>
    <n v="51"/>
    <s v="Lwegel Town"/>
    <n v="18.620903555062636"/>
    <n v="4"/>
  </r>
  <r>
    <x v="1"/>
    <x v="0"/>
    <s v="MMR001"/>
    <s v="Bhamo"/>
    <s v="MMR001D003"/>
    <x v="9"/>
    <s v="MMR001011"/>
    <m/>
    <m/>
    <m/>
    <m/>
    <x v="68"/>
    <x v="71"/>
    <x v="6"/>
    <m/>
    <m/>
    <n v="375"/>
    <n v="1691"/>
    <n v="4.5093333333333332"/>
    <x v="1"/>
    <x v="0"/>
    <x v="1"/>
    <x v="1"/>
    <m/>
    <m/>
    <x v="0"/>
    <s v="IRRC"/>
    <m/>
    <d v="2014-03-03T00:00:00"/>
    <s v="Change to Host Families."/>
    <s v="P4"/>
    <n v="0"/>
    <m/>
    <n v="0"/>
    <s v=""/>
    <s v=""/>
    <s v=""/>
  </r>
  <r>
    <x v="0"/>
    <x v="0"/>
    <s v="MMR001"/>
    <s v="Myitkyina"/>
    <s v="MMR001D001"/>
    <x v="14"/>
    <s v="MMR001003"/>
    <m/>
    <m/>
    <m/>
    <m/>
    <x v="69"/>
    <x v="72"/>
    <x v="6"/>
    <m/>
    <m/>
    <n v="0"/>
    <n v="0"/>
    <s v="NA"/>
    <x v="0"/>
    <x v="0"/>
    <x v="0"/>
    <x v="0"/>
    <m/>
    <m/>
    <x v="0"/>
    <m/>
    <m/>
    <d v="2014-03-14T00:00:00"/>
    <s v="Close. According to RRC's info, this camp does not include in reported list."/>
    <s v=""/>
    <n v="0"/>
    <m/>
    <n v="0"/>
    <s v=""/>
    <s v=""/>
    <s v=""/>
  </r>
  <r>
    <x v="1"/>
    <x v="0"/>
    <s v="MMR001"/>
    <s v="Myitkyina"/>
    <s v="MMR001D001"/>
    <x v="6"/>
    <s v="MMR001001"/>
    <s v="Myitkyina Town"/>
    <s v="MMR001001701"/>
    <s v="Lel Kone Ward"/>
    <s v="MMR001001701525"/>
    <x v="70"/>
    <x v="73"/>
    <x v="56"/>
    <n v="25.362420757575801"/>
    <n v="0"/>
    <n v="108"/>
    <n v="605"/>
    <n v="5.6018518518518521"/>
    <x v="0"/>
    <x v="0"/>
    <x v="0"/>
    <x v="2"/>
    <d v="2011-03-01T00:00:00"/>
    <n v="2"/>
    <x v="1"/>
    <s v="IP"/>
    <m/>
    <d v="2016-01-28T00:00:00"/>
    <s v="28/Jan/2016. Population update. Data source: KBC (mail by maran)_x000a_2/Dec/2015. Population update. Data source: KBC._x000a_19-Aug-15 Update population from KBC._x000a_25-Jun-2015 Update population from KBC._x000a_Update population according to KBC data"/>
    <s v="P4"/>
    <n v="84"/>
    <m/>
    <n v="84"/>
    <s v="Myitkyina Town"/>
    <n v="3.3602711423118103"/>
    <n v="1"/>
  </r>
  <r>
    <x v="1"/>
    <x v="0"/>
    <s v="MMR001"/>
    <s v="Myitkyina"/>
    <s v="MMR001D001"/>
    <x v="6"/>
    <s v="MMR001001"/>
    <s v="Myitkyina Town"/>
    <s v="MMR001001701"/>
    <s v="Lel Kone Ward"/>
    <s v="MMR001001701525"/>
    <x v="71"/>
    <x v="74"/>
    <x v="57"/>
    <n v="25.3510167948718"/>
    <n v="0"/>
    <n v="163"/>
    <n v="712"/>
    <n v="4.3680981595092021"/>
    <x v="0"/>
    <x v="0"/>
    <x v="0"/>
    <x v="2"/>
    <d v="2011-06-01T00:00:00"/>
    <n v="2"/>
    <x v="1"/>
    <s v="IP"/>
    <m/>
    <d v="2016-01-28T00:00:00"/>
    <s v="28/Jan/2016. Population update. Data source: KBC (mail by maran)_x000a_19-Aug-15 Update population from KBC._x000a_Update population according to KBC data"/>
    <s v="P4"/>
    <n v="38"/>
    <m/>
    <n v="38"/>
    <s v="Myitkyina Town"/>
    <n v="4.262018365878137"/>
    <n v="1"/>
  </r>
  <r>
    <x v="1"/>
    <x v="0"/>
    <s v="MMR001"/>
    <s v="Myitkyina"/>
    <s v="MMR001D001"/>
    <x v="4"/>
    <s v="MMR001005"/>
    <s v="Urban"/>
    <s v="MMR001005701"/>
    <s v="Rit Law"/>
    <m/>
    <x v="72"/>
    <x v="75"/>
    <x v="58"/>
    <n v="25.887339999999998"/>
    <n v="259.10000000000002"/>
    <n v="144"/>
    <n v="645"/>
    <n v="4.479166666666667"/>
    <x v="0"/>
    <x v="0"/>
    <x v="0"/>
    <x v="1"/>
    <d v="2012-02-01T00:00:00"/>
    <n v="1"/>
    <x v="4"/>
    <s v="IP"/>
    <m/>
    <d v="2016-01-18T00:00:00"/>
    <s v="28/Jan/2016. (New added camp) Population update. Data source: KBC (mail by maran)_x000a_9/Nov/15. Population update. Data source: monthly report by HAP._x000a_19-Aug-15 Population update. Source: Shalom_x000a_25-Jun-15 (Population update. Source: Shalom)_x000a_2-Apr-15 (Population update, Source: UNHCR CCCM Mission)_x000a_Population update: Source: Camp Profile Round 2."/>
    <s v="P1"/>
    <n v="71"/>
    <m/>
    <n v="71"/>
    <m/>
    <s v=""/>
    <s v=""/>
  </r>
  <r>
    <x v="1"/>
    <x v="0"/>
    <s v="MMR001"/>
    <s v="Mohnyin"/>
    <s v="MMR001D002"/>
    <x v="0"/>
    <s v="MMR001009"/>
    <s v="Seik Mu"/>
    <s v="MMR001009003"/>
    <s v="Maw Shan"/>
    <n v="166785"/>
    <x v="73"/>
    <x v="76"/>
    <x v="59"/>
    <n v="25.566510000000001"/>
    <n v="278"/>
    <n v="25"/>
    <n v="133"/>
    <n v="5.32"/>
    <x v="0"/>
    <x v="0"/>
    <x v="0"/>
    <x v="1"/>
    <d v="2013-01-01T00:00:00"/>
    <n v="1"/>
    <x v="4"/>
    <s v="IP"/>
    <m/>
    <d v="2015-10-14T00:00:00"/>
    <s v="14-Oct-15 Population update. Soruce; Hpakant Mission Report_WFP_x000a_19-Aug-15 Population update. Source: Shalom_x000a_2-Apr-15 (Population update, Source: UNHCR CCCM Mission)_x000a_Population update: Source: Camp Profile Round 2."/>
    <s v="P4"/>
    <n v="0"/>
    <m/>
    <n v="0"/>
    <s v="Hpakant Town"/>
    <n v="6.7094919928483892"/>
    <n v="2"/>
  </r>
  <r>
    <x v="1"/>
    <x v="0"/>
    <s v="MMR001"/>
    <s v="Mohnyin"/>
    <s v="MMR001D002"/>
    <x v="0"/>
    <s v="MMR001009"/>
    <s v="Hpakan Town"/>
    <s v="MMR001009701"/>
    <s v="Maw Wam Ward"/>
    <s v="MMR001009701501"/>
    <x v="74"/>
    <x v="77"/>
    <x v="60"/>
    <n v="25.61842"/>
    <n v="250"/>
    <n v="15"/>
    <n v="74"/>
    <n v="4.9333333333333336"/>
    <x v="0"/>
    <x v="0"/>
    <x v="0"/>
    <x v="2"/>
    <d v="2013-01-01T00:00:00"/>
    <n v="1"/>
    <x v="4"/>
    <s v="IP"/>
    <m/>
    <d v="2015-08-19T00:00:00"/>
    <s v="19-Aug-15 Population update. Source: Shalom_x000a_25-Jun-15 (Population update. Source : Shalom)_x000a_2-Apr-15 (Population update, Source: UNHCR CCCM Mission)_x000a_Population update: Source: Camp Profile Round 2."/>
    <s v="P4"/>
    <n v="0"/>
    <m/>
    <n v="0"/>
    <s v="Hpakant Town"/>
    <n v="0.75842119772531946"/>
    <n v="1"/>
  </r>
  <r>
    <x v="1"/>
    <x v="0"/>
    <s v="MMR001"/>
    <s v="Bhamo"/>
    <s v="MMR001D003"/>
    <x v="1"/>
    <s v="MMR001010"/>
    <s v="Bhamo Town"/>
    <s v="MMR001010701"/>
    <m/>
    <m/>
    <x v="75"/>
    <x v="78"/>
    <x v="61"/>
    <n v="24.2631743589744"/>
    <n v="0"/>
    <n v="116"/>
    <n v="659"/>
    <n v="5.681034482758621"/>
    <x v="0"/>
    <x v="0"/>
    <x v="0"/>
    <x v="2"/>
    <d v="2011-06-01T00:00:00"/>
    <n v="2"/>
    <x v="4"/>
    <s v="IP"/>
    <m/>
    <d v="2015-08-19T00:00:00"/>
    <s v="19-Aug-15 Population update. Source: Shalom_x000a_25-Jun-15 (Population update. Source : Shalom)_x000a_Population update: Source: Camp Profile Round 2."/>
    <s v="P4"/>
    <n v="14"/>
    <m/>
    <n v="14"/>
    <s v="Bhamo Town"/>
    <n v="1.0876401420946245"/>
    <n v="1"/>
  </r>
  <r>
    <x v="1"/>
    <x v="0"/>
    <s v="MMR001"/>
    <s v="Bhamo"/>
    <s v="MMR001D003"/>
    <x v="5"/>
    <s v="MMR001012"/>
    <s v="Lwegel Town"/>
    <s v="MMR001012702"/>
    <m/>
    <m/>
    <x v="76"/>
    <x v="79"/>
    <x v="62"/>
    <n v="24.200972"/>
    <m/>
    <n v="29"/>
    <n v="182"/>
    <n v="6.2758620689655169"/>
    <x v="0"/>
    <x v="0"/>
    <x v="0"/>
    <x v="2"/>
    <m/>
    <n v="1"/>
    <x v="1"/>
    <s v="IP"/>
    <m/>
    <d v="2016-01-28T00:00:00"/>
    <s v="28/Jan/2016. Population update. Data source: KBC (mail by maran)_x000a_2/Dec/2015. Population update. Data source: KBC._x000a_25-Jun-2015 Update population. Data Source: KBC_x000a_Population update: Source: Camp Profile Round 2."/>
    <s v="P3"/>
    <n v="0"/>
    <m/>
    <n v="0"/>
    <s v="Lwegel Town"/>
    <n v="0.28829825866869707"/>
    <n v="1"/>
  </r>
  <r>
    <x v="1"/>
    <x v="0"/>
    <s v="MMR001"/>
    <s v="Bhamo"/>
    <s v="MMR001D003"/>
    <x v="5"/>
    <s v="MMR001012"/>
    <s v="Lwegel Town"/>
    <s v="MMR001012702"/>
    <s v="Loi Je"/>
    <m/>
    <x v="77"/>
    <x v="80"/>
    <x v="63"/>
    <n v="24.205417000000001"/>
    <m/>
    <n v="124"/>
    <n v="544"/>
    <n v="4.387096774193548"/>
    <x v="0"/>
    <x v="0"/>
    <x v="0"/>
    <x v="2"/>
    <d v="2011-11-01T00:00:00"/>
    <n v="2"/>
    <x v="3"/>
    <s v="IP"/>
    <m/>
    <d v="2016-01-28T00:00:00"/>
    <s v="28/Jan/2016. Population update. Data source: KBC (mail by maran)_x000a_19 Aug 2015. Udate Population. Date Source; KMSS-BMO_x000a_Population update: Source: KMSS-BMO"/>
    <s v="P3"/>
    <n v="57"/>
    <m/>
    <n v="57"/>
    <s v="Lwegel Town"/>
    <n v="0.77978735578277303"/>
    <n v="1"/>
  </r>
  <r>
    <x v="1"/>
    <x v="0"/>
    <s v="MMR001"/>
    <s v="Bhamo"/>
    <s v="MMR001D003"/>
    <x v="5"/>
    <s v="MMR001012"/>
    <s v="Lwegel Town"/>
    <s v="MMR001012702"/>
    <s v="Aung Zay Yar Ward"/>
    <s v="MMR001012702505"/>
    <x v="78"/>
    <x v="81"/>
    <x v="64"/>
    <n v="24.200433"/>
    <n v="0"/>
    <n v="188"/>
    <n v="993"/>
    <n v="5.2819148936170217"/>
    <x v="0"/>
    <x v="0"/>
    <x v="0"/>
    <x v="2"/>
    <d v="2012-04-01T00:00:00"/>
    <n v="2"/>
    <x v="1"/>
    <s v="IP"/>
    <m/>
    <d v="2016-01-28T00:00:00"/>
    <s v="28/Jan/2016. Population update. Data source: KBC (mail by maran)_x000a_2/Dec/2015. Population update. Data source: KBC._x000a_25-Jun-2015 Update population. Data Source: KBC_x000a_Population update: Source: Camp Profile Round 2."/>
    <s v="P3"/>
    <n v="106"/>
    <m/>
    <n v="106"/>
    <s v="Lwegel Town"/>
    <n v="0.38934692601696641"/>
    <n v="1"/>
  </r>
  <r>
    <x v="0"/>
    <x v="0"/>
    <s v="MMR001"/>
    <s v="Bhamo"/>
    <s v="MMR001D003"/>
    <x v="2"/>
    <s v="MMR001013"/>
    <s v="La Gat Dawt"/>
    <s v="MMR001013027"/>
    <m/>
    <m/>
    <x v="79"/>
    <x v="82"/>
    <x v="65"/>
    <n v="23.9055"/>
    <n v="745"/>
    <n v="0"/>
    <n v="0"/>
    <s v="NA"/>
    <x v="1"/>
    <x v="0"/>
    <x v="0"/>
    <x v="3"/>
    <d v="2012-08-01T00:00:00"/>
    <n v="2"/>
    <x v="3"/>
    <s v="IP"/>
    <m/>
    <d v="2015-08-19T00:00:00"/>
    <s v="19-Aug-15 Close. Source: CCCM Unit._x000a_Population source: KMSS-BMO"/>
    <s v="P2"/>
    <n v="0"/>
    <m/>
    <n v="0"/>
    <s v="Namhkan Town"/>
    <n v="12.392289083396149"/>
    <n v="3"/>
  </r>
  <r>
    <x v="1"/>
    <x v="0"/>
    <s v="MMR001"/>
    <s v="Puta-O"/>
    <s v="MMR001D004"/>
    <x v="11"/>
    <s v="MMR001014"/>
    <s v="Puta-O Town"/>
    <s v="MMR001014701"/>
    <s v="Lone Sut Ward"/>
    <s v="MMR001014701510"/>
    <x v="80"/>
    <x v="83"/>
    <x v="66"/>
    <n v="27.337499999999999"/>
    <m/>
    <n v="58"/>
    <n v="224"/>
    <n v="3.8620689655172415"/>
    <x v="0"/>
    <x v="0"/>
    <x v="0"/>
    <x v="2"/>
    <d v="2015-06-25T00:00:00"/>
    <m/>
    <x v="1"/>
    <s v="IP"/>
    <m/>
    <d v="2016-01-28T00:00:00"/>
    <s v="28/Jan/2016. Population update. Data source: KBC (mail by maran)_x000a_13/Dec/2015. Population update. Data source: Mail by Ko Maran. Reason for pop changes: data obtain from Protection team monitoring report  November 2015_x000a_2/Dec/2015. Population update. Data source: KBC_x000a_19-Aug-15 Population update. Source KBC._x000a_25-Jun-15 New camp. Data Source : KBC"/>
    <m/>
    <n v="0"/>
    <m/>
    <n v="0"/>
    <s v=""/>
    <s v=""/>
    <s v=""/>
  </r>
  <r>
    <x v="1"/>
    <x v="0"/>
    <m/>
    <m/>
    <m/>
    <x v="12"/>
    <s v="MMR001008"/>
    <s v="Nawng Kaing Htaw"/>
    <s v="MMR001008002"/>
    <s v="Ma Haung"/>
    <n v="166676"/>
    <x v="81"/>
    <x v="84"/>
    <x v="6"/>
    <m/>
    <m/>
    <n v="9"/>
    <n v="39"/>
    <n v="4.333333333333333"/>
    <x v="0"/>
    <x v="0"/>
    <x v="0"/>
    <x v="2"/>
    <d v="2015-05-01T00:00:00"/>
    <m/>
    <x v="2"/>
    <s v="RRD"/>
    <m/>
    <d v="2015-11-09T00:00:00"/>
    <s v="9/Nov/15. Accomodation changes from Host families to Camp. Data source: mail by Maran Tang Nau._x000a_19-Aug-15 (Population Udate. Data Source: KMSS-MYT)_x000a_25-Jun-2015 (New host families. Source: RRD)"/>
    <m/>
    <n v="9"/>
    <m/>
    <n v="9"/>
    <s v=""/>
    <s v=""/>
    <s v=""/>
  </r>
  <r>
    <x v="0"/>
    <x v="0"/>
    <s v="MMR001"/>
    <s v="Mohnyin"/>
    <s v="MMR001D002"/>
    <x v="0"/>
    <s v="MMR001009"/>
    <s v="Seik Mu"/>
    <s v="MMR001009003"/>
    <s v="Ma Mon"/>
    <n v="166790"/>
    <x v="82"/>
    <x v="85"/>
    <x v="6"/>
    <m/>
    <m/>
    <n v="0"/>
    <n v="0"/>
    <s v="NA"/>
    <x v="0"/>
    <x v="0"/>
    <x v="0"/>
    <x v="0"/>
    <m/>
    <m/>
    <x v="0"/>
    <m/>
    <m/>
    <m/>
    <s v=" "/>
    <s v=""/>
    <n v="0"/>
    <m/>
    <n v="0"/>
    <s v=""/>
    <s v=""/>
    <s v=""/>
  </r>
  <r>
    <x v="0"/>
    <x v="0"/>
    <s v="MMR001"/>
    <s v="Puta-O"/>
    <s v="MMR001D004"/>
    <x v="15"/>
    <s v="MMR001016"/>
    <m/>
    <m/>
    <m/>
    <m/>
    <x v="83"/>
    <x v="86"/>
    <x v="67"/>
    <n v="27.274059999999999"/>
    <n v="403"/>
    <n v="0"/>
    <n v="0"/>
    <s v="NA"/>
    <x v="0"/>
    <x v="0"/>
    <x v="0"/>
    <x v="1"/>
    <d v="2013-09-01T00:00:00"/>
    <m/>
    <x v="0"/>
    <s v="IP"/>
    <m/>
    <d v="2015-06-25T00:00:00"/>
    <s v="25-Jun-15 (Relocate to Long Sut)_x000a_Geo-Info, HH/Pop data received from MIRA Form"/>
    <s v="P3"/>
    <n v="0"/>
    <m/>
    <n v="0"/>
    <s v="Machanbaw Town"/>
    <n v="1.136583238544624"/>
    <n v="1"/>
  </r>
  <r>
    <x v="1"/>
    <x v="0"/>
    <s v="MMR001"/>
    <s v="Myitkyina"/>
    <s v="MMR001D001"/>
    <x v="3"/>
    <s v="MMR001002"/>
    <s v="Mading"/>
    <s v="MMR001002001"/>
    <s v="Mading/Hka Kun"/>
    <n v="165730"/>
    <x v="84"/>
    <x v="87"/>
    <x v="68"/>
    <n v="25.356632000000001"/>
    <n v="0"/>
    <n v="25"/>
    <n v="138"/>
    <n v="5.52"/>
    <x v="0"/>
    <x v="0"/>
    <x v="0"/>
    <x v="2"/>
    <d v="2012-05-01T00:00:00"/>
    <n v="1"/>
    <x v="1"/>
    <s v="IP"/>
    <m/>
    <d v="2016-01-28T00:00:00"/>
    <s v="28/Jan/2016. Population update. Data source: KBC (mail by maran)_x000a_2/Dec/2015 (Population update. Data source: Monthly report by KBC)._x000a_19-Aug-2015 Update population from KBC._x000a_25-Jun-2015 Update population from KBC._x000a_Population updated. Source: Shelter unit."/>
    <s v="P4"/>
    <n v="0"/>
    <m/>
    <n v="0"/>
    <s v="Waingmaw Town"/>
    <n v="1.1134935940025397"/>
    <n v="1"/>
  </r>
  <r>
    <x v="1"/>
    <x v="0"/>
    <s v="MMR001"/>
    <s v="Myitkyina"/>
    <s v="MMR001D001"/>
    <x v="3"/>
    <s v="MMR001002"/>
    <s v="Sa Ma"/>
    <s v="MMR001002031"/>
    <s v="Nar Gu"/>
    <n v="165790"/>
    <x v="85"/>
    <x v="88"/>
    <x v="69"/>
    <n v="24.980250000000002"/>
    <n v="984"/>
    <n v="608"/>
    <n v="2636"/>
    <n v="4.3355263157894735"/>
    <x v="1"/>
    <x v="0"/>
    <x v="0"/>
    <x v="1"/>
    <d v="2011-06-01T00:00:00"/>
    <n v="5"/>
    <x v="2"/>
    <s v="IP"/>
    <m/>
    <d v="2016-01-28T00:00:00"/>
    <s v="28/Jan/2016. Population update. Data source: KBC (mail by maran)_x000a_23-Oct-15 (Population update. Data sorce: Monthly report by KMSS-MYT). Reason for changes; Traveling from the camp for daily worker._x000a_2-Oct-15 (Population update. Data Source: Monthly Report by KMSS-MYT)_x000a_19-Aug-15 (Population update. Data source: KMSS-MYT)_x000a_25-Jun-15 (Population update. Source: KMSS-MYT)_x000a_Population Update. Source: KMSS-MYT"/>
    <s v="P2"/>
    <n v="4"/>
    <m/>
    <n v="4"/>
    <s v="Laiza town"/>
    <n v="28.888856599204185"/>
    <n v="6"/>
  </r>
  <r>
    <x v="1"/>
    <x v="0"/>
    <s v="MMR001"/>
    <s v="Bhamo"/>
    <s v="MMR001D003"/>
    <x v="5"/>
    <s v="MMR001012"/>
    <s v="Pan Choe Hai"/>
    <s v="MMR001012016"/>
    <m/>
    <m/>
    <x v="86"/>
    <x v="89"/>
    <x v="70"/>
    <n v="24.441697000000001"/>
    <m/>
    <n v="2"/>
    <n v="9"/>
    <n v="4.5"/>
    <x v="0"/>
    <x v="0"/>
    <x v="1"/>
    <x v="1"/>
    <m/>
    <m/>
    <x v="0"/>
    <s v="RRD"/>
    <m/>
    <d v="2014-06-13T00:00:00"/>
    <s v="Geo-Info, HH/Pop data was updated from Google Earth."/>
    <s v="P4"/>
    <n v="0"/>
    <m/>
    <n v="0"/>
    <s v="Dawthponeyan  Town"/>
    <n v="19.860265975801305"/>
    <n v="4"/>
  </r>
  <r>
    <x v="1"/>
    <x v="0"/>
    <s v="MMR001"/>
    <s v="Myitkyina"/>
    <s v="MMR001D001"/>
    <x v="3"/>
    <s v="MMR001002"/>
    <s v="Mai Na"/>
    <s v="MMR001002006"/>
    <s v="Mai Na"/>
    <n v="165740"/>
    <x v="87"/>
    <x v="90"/>
    <x v="71"/>
    <n v="25.424529444444399"/>
    <n v="0"/>
    <n v="135"/>
    <n v="729"/>
    <n v="5.4"/>
    <x v="0"/>
    <x v="0"/>
    <x v="0"/>
    <x v="1"/>
    <d v="2013-07-01T00:00:00"/>
    <n v="1"/>
    <x v="4"/>
    <s v="IP"/>
    <m/>
    <d v="2016-01-18T00:00:00"/>
    <s v="28/Jan/2016. Population update. Data source: KBC (mail by maran)_x000a_9/Nov/15. Population update. Data source: monthly report by HAP._x000a_19-Aug-15 Population update. Source: Shalom._x000a_25-Jun-15 Population update. Source : Shalom._x000a_Update population. Source: Camp Profile."/>
    <s v="P4"/>
    <n v="28"/>
    <m/>
    <n v="28"/>
    <s v="Myitkyina Town"/>
    <n v="5.9727739497559158"/>
    <n v="2"/>
  </r>
  <r>
    <x v="1"/>
    <x v="0"/>
    <s v="MMR001"/>
    <s v="Myitkyina"/>
    <s v="MMR001D001"/>
    <x v="3"/>
    <s v="MMR001002"/>
    <s v="Mai Na"/>
    <s v="MMR001002006"/>
    <s v="Mai Na"/>
    <n v="165740"/>
    <x v="88"/>
    <x v="91"/>
    <x v="72"/>
    <n v="25.415667500000001"/>
    <m/>
    <n v="227"/>
    <n v="1221"/>
    <n v="5.3788546255506606"/>
    <x v="0"/>
    <x v="0"/>
    <x v="0"/>
    <x v="2"/>
    <d v="2013-06-01T00:00:00"/>
    <n v="4"/>
    <x v="2"/>
    <s v="IP"/>
    <m/>
    <d v="2016-01-28T00:00:00"/>
    <s v="28/Jan/2016. Population update. Data source: KBC (mail by maran)_x000a_2/Dec/2015 (Population update. Data source: Monthly report by KMSS_MYT). Reason for pop changes; Arrived at the camp from daily work._x000a_23-Oct-15 (Population update. Data sorce: Monthly report by KMSS-MYT). Reasion for changes; Travelling from the camp for daily worker._x000a_2-Oct-15 (Pupulation update. Data Source: KMSS-MYT) and NFI Distribution List (New arrival)_x000a_19-Aug-15 (Population update. Data Source: KMSS-MYT)_x000a_25-Jun-15 (Population update. Source: KMSS-MYT)_x000a_Population Update. Source: KMSS-MYT"/>
    <s v="P4"/>
    <n v="17"/>
    <m/>
    <n v="17"/>
    <s v="Myitkyina Town"/>
    <n v="5.7019834469756479"/>
    <n v="2"/>
  </r>
  <r>
    <x v="1"/>
    <x v="0"/>
    <s v="MMR001"/>
    <s v="Myitkyina"/>
    <s v="MMR001D001"/>
    <x v="3"/>
    <s v="MMR001002"/>
    <s v="Mai Na"/>
    <s v="MMR001002006"/>
    <s v="Mai Na"/>
    <n v="165740"/>
    <x v="89"/>
    <x v="92"/>
    <x v="73"/>
    <n v="25.4118005797101"/>
    <n v="0"/>
    <n v="428"/>
    <n v="2219"/>
    <n v="5.1845794392523361"/>
    <x v="0"/>
    <x v="0"/>
    <x v="0"/>
    <x v="1"/>
    <d v="2012-06-01T00:00:00"/>
    <n v="3"/>
    <x v="1"/>
    <s v="IP"/>
    <m/>
    <d v="2016-01-28T00:00:00"/>
    <s v="28/Jan/2016. Population update. Data source: KBC (mail by maran)_x000a_2/Dec/2015 (Population update. Data source: Monthly report by KBC)._x000a_19-Aug-15 Update population from KBC_x000a_25-Jun-2015 Update population. Data Source: KBC_x000a_Update population according to KBC data"/>
    <s v="P4"/>
    <n v="0"/>
    <m/>
    <n v="0"/>
    <s v="Myitkyina Town"/>
    <n v="5.2238983299151851"/>
    <n v="2"/>
  </r>
  <r>
    <x v="1"/>
    <x v="0"/>
    <s v="MMR001"/>
    <s v="Myitkyina"/>
    <s v="MMR001D001"/>
    <x v="3"/>
    <s v="MMR001002"/>
    <s v="Mai Na"/>
    <s v="MMR001002006"/>
    <s v="Mai Na"/>
    <n v="165740"/>
    <x v="90"/>
    <x v="93"/>
    <x v="74"/>
    <n v="25.409612685185198"/>
    <n v="0"/>
    <n v="48"/>
    <n v="199"/>
    <n v="4.145833333333333"/>
    <x v="0"/>
    <x v="0"/>
    <x v="0"/>
    <x v="2"/>
    <d v="2011-12-01T00:00:00"/>
    <n v="1"/>
    <x v="1"/>
    <s v="IP"/>
    <m/>
    <d v="2016-01-28T00:00:00"/>
    <s v="28/Jan/2016. Population update. Data source: KBC (mail by maran)_x000a_2/Dec/2015 (Population update. Data source: Monthly report by KBC)._x000a_19-Aug-15 Update population from KBC_x000a_25-Jun-2015 Update population. Data Source: KBC_x000a_Update population according to KBC data"/>
    <s v="P4"/>
    <n v="8"/>
    <m/>
    <n v="8"/>
    <s v="Myitkyina Town"/>
    <n v="4.3887485673235673"/>
    <n v="1"/>
  </r>
  <r>
    <x v="1"/>
    <x v="0"/>
    <s v="MMR001"/>
    <s v="Bhamo"/>
    <s v="MMR001D003"/>
    <x v="2"/>
    <s v="MMR001013"/>
    <s v="Maing Khaung"/>
    <n v="167301"/>
    <s v="Maing Khaung"/>
    <m/>
    <x v="91"/>
    <x v="94"/>
    <x v="75"/>
    <n v="23.972453000000002"/>
    <n v="466"/>
    <n v="372"/>
    <n v="1443"/>
    <n v="3.879032258064516"/>
    <x v="0"/>
    <x v="0"/>
    <x v="0"/>
    <x v="1"/>
    <m/>
    <n v="2"/>
    <x v="1"/>
    <s v="IP"/>
    <m/>
    <d v="2016-01-28T00:00:00"/>
    <s v="28/Jan/2016. Population update. Data source: KBC (mail by maran)_x000a_13/Dec/2014. Population update. Data source: Mail by Ko Maran. Reason for Pop changes: Following September 2016 conflict there was sudden increase of IDP pp in Mansi and Mahkawng_x000a_2/Dec/2015. Population update. Data source: KBC_x000a_2-Oct-14 Population update (New arrival). Data source: NFI distribution list from Bhamo._x000a_19-Aug-15 Population update. Source: KBC._x000a_25-Jun-15 Population update. Source: KBC_x000a_Population update: Source: Camp Profile Round 2."/>
    <s v="P4"/>
    <n v="148"/>
    <m/>
    <n v="148"/>
    <s v="Mansi Town"/>
    <n v="17.731070777343263"/>
    <n v="4"/>
  </r>
  <r>
    <x v="1"/>
    <x v="0"/>
    <s v="MMR001"/>
    <s v="Bhamo"/>
    <s v="MMR001D003"/>
    <x v="2"/>
    <s v="MMR001013"/>
    <s v="Maing Khaung"/>
    <n v="167301"/>
    <s v="Maing Khaung"/>
    <m/>
    <x v="92"/>
    <x v="95"/>
    <x v="76"/>
    <n v="23.976571"/>
    <n v="478"/>
    <n v="123"/>
    <n v="582"/>
    <n v="4.7317073170731705"/>
    <x v="0"/>
    <x v="0"/>
    <x v="0"/>
    <x v="1"/>
    <m/>
    <n v="2"/>
    <x v="3"/>
    <s v="IP"/>
    <m/>
    <d v="2016-01-28T00:00:00"/>
    <s v="28/Jan/2016. Population update. Data source: KBC (mail by maran)_x000a_19-Aug-15 Update population. Source KMSS-BMO_x000a_Geo-Info update."/>
    <s v="P4"/>
    <n v="73"/>
    <m/>
    <n v="73"/>
    <s v="Kamaing Town"/>
    <n v="12.257552920582597"/>
    <n v="3"/>
  </r>
  <r>
    <x v="1"/>
    <x v="0"/>
    <s v="MMR001"/>
    <s v="Myitkyina"/>
    <s v="MMR001D001"/>
    <x v="6"/>
    <s v="MMR001001"/>
    <s v="Myitkyina Town"/>
    <s v="MMR001001701"/>
    <m/>
    <m/>
    <x v="93"/>
    <x v="96"/>
    <x v="77"/>
    <n v="25.360463124999999"/>
    <n v="0"/>
    <n v="72"/>
    <n v="375"/>
    <n v="5.208333333333333"/>
    <x v="0"/>
    <x v="0"/>
    <x v="0"/>
    <x v="2"/>
    <d v="2011-08-01T00:00:00"/>
    <n v="2"/>
    <x v="1"/>
    <s v="IP"/>
    <m/>
    <d v="2016-01-28T00:00:00"/>
    <s v="28/Jan/2016. Population update. Data source: KBC (mail by maran)_x000a_2/Dec/2015. Population update. Data source: KBC._x000a_19-Aug-15 Update population from KBC._x000a_25-Jun-2015 Update population from KBC._x000a_Update population according to KBC data"/>
    <s v="P4"/>
    <n v="52"/>
    <m/>
    <n v="52"/>
    <s v="Waingmaw Town"/>
    <n v="3.3362307375127798"/>
    <n v="1"/>
  </r>
  <r>
    <x v="1"/>
    <x v="0"/>
    <s v="MMR001"/>
    <s v="Bhamo"/>
    <s v="MMR001D003"/>
    <x v="5"/>
    <s v="MMR001012"/>
    <s v="Man Pon"/>
    <s v="MMR001012001"/>
    <s v="Man Pon"/>
    <n v="167009"/>
    <x v="94"/>
    <x v="97"/>
    <x v="78"/>
    <n v="24.245100000000001"/>
    <m/>
    <n v="261"/>
    <n v="1155"/>
    <n v="4.4252873563218387"/>
    <x v="0"/>
    <x v="0"/>
    <x v="0"/>
    <x v="2"/>
    <d v="2012-05-01T00:00:00"/>
    <n v="2"/>
    <x v="3"/>
    <s v="IP"/>
    <m/>
    <d v="2016-01-28T00:00:00"/>
    <s v="28/Jan/2016. Population update. Data source: KBC (mail by maran)_x000a_19-Aug-2015. Population Update. Data Source; KMSS-BMO_x000a_Population increased. Relocated from Momauk Catholic Church (St. Patrick) - MMR001CMP057"/>
    <s v="P4"/>
    <n v="108"/>
    <m/>
    <n v="108"/>
    <s v="Momauk Town"/>
    <n v="2.4411071835305544"/>
    <n v="1"/>
  </r>
  <r>
    <x v="1"/>
    <x v="0"/>
    <s v="MMR001"/>
    <s v="Myitkyina"/>
    <s v="MMR001D001"/>
    <x v="6"/>
    <s v="MMR001001"/>
    <s v="Myitkyina Town"/>
    <s v="MMR001001701"/>
    <s v="Man Khein Ward"/>
    <s v="MMR001001701519"/>
    <x v="95"/>
    <x v="98"/>
    <x v="79"/>
    <n v="25.428910999999999"/>
    <n v="0"/>
    <n v="96"/>
    <n v="505"/>
    <n v="5.260416666666667"/>
    <x v="0"/>
    <x v="0"/>
    <x v="0"/>
    <x v="2"/>
    <d v="2011-07-01T00:00:00"/>
    <n v="2"/>
    <x v="1"/>
    <s v="IP"/>
    <m/>
    <d v="2016-01-28T00:00:00"/>
    <s v="28/Jan/2016. Population update. Data source: KBC (mail by maran)_x000a_2/Dec/2015. Population update. Data source: KBC._x000a_19-Aug-15 Update population from KBC_x000a_25-Jun-2015 Update population from KBC._x000a_Update population according to KBC data"/>
    <s v="P4"/>
    <n v="16"/>
    <m/>
    <n v="16"/>
    <s v="Myitkyina Town"/>
    <n v="5.4145379230647226"/>
    <n v="2"/>
  </r>
  <r>
    <x v="0"/>
    <x v="0"/>
    <s v="MMR001"/>
    <s v="Bhamo"/>
    <s v="MMR001D003"/>
    <x v="2"/>
    <s v="MMR001013"/>
    <s v="Mai Bat"/>
    <s v="MMR001013018"/>
    <s v="Man Kawng"/>
    <n v="167391"/>
    <x v="96"/>
    <x v="99"/>
    <x v="80"/>
    <n v="24.181640000000002"/>
    <m/>
    <n v="0"/>
    <n v="0"/>
    <s v="NA"/>
    <x v="0"/>
    <x v="0"/>
    <x v="0"/>
    <x v="0"/>
    <m/>
    <m/>
    <x v="0"/>
    <s v="IP"/>
    <m/>
    <d v="2014-03-03T00:00:00"/>
    <s v="Closed. Duplicate with Maing Khaung."/>
    <s v=""/>
    <n v="0"/>
    <m/>
    <n v="0"/>
    <s v=""/>
    <s v=""/>
    <s v=""/>
  </r>
  <r>
    <x v="0"/>
    <x v="0"/>
    <s v="MMR001"/>
    <s v="Bhamo"/>
    <s v="MMR001D003"/>
    <x v="2"/>
    <s v="MMR001013"/>
    <s v="Mai Bat"/>
    <s v="MMR001013018"/>
    <s v="Man Kawng"/>
    <n v="167391"/>
    <x v="97"/>
    <x v="100"/>
    <x v="80"/>
    <n v="24.181640000000002"/>
    <m/>
    <n v="0"/>
    <n v="0"/>
    <s v="NA"/>
    <x v="0"/>
    <x v="0"/>
    <x v="0"/>
    <x v="0"/>
    <m/>
    <m/>
    <x v="0"/>
    <s v="IP"/>
    <m/>
    <d v="2014-03-03T00:00:00"/>
    <s v="Closed. Duplicate with Maing Khaung."/>
    <s v=""/>
    <n v="0"/>
    <m/>
    <n v="0"/>
    <s v=""/>
    <s v=""/>
    <s v=""/>
  </r>
  <r>
    <x v="1"/>
    <x v="0"/>
    <s v="MMR001"/>
    <s v="Bhamo"/>
    <s v="MMR001D003"/>
    <x v="5"/>
    <s v="MMR001012"/>
    <s v="Man Nawng"/>
    <s v="MMR001012014"/>
    <s v="Man Nawng"/>
    <n v="167063"/>
    <x v="98"/>
    <x v="101"/>
    <x v="81"/>
    <n v="24.410008999999999"/>
    <m/>
    <n v="28"/>
    <n v="136"/>
    <n v="4.8571428571428568"/>
    <x v="0"/>
    <x v="0"/>
    <x v="1"/>
    <x v="1"/>
    <m/>
    <m/>
    <x v="0"/>
    <s v="RRD"/>
    <m/>
    <m/>
    <m/>
    <s v="P4"/>
    <n v="0"/>
    <m/>
    <n v="0"/>
    <s v="Momauk Town"/>
    <n v="17.282528446236295"/>
    <n v="4"/>
  </r>
  <r>
    <x v="1"/>
    <x v="0"/>
    <s v="MMR001"/>
    <s v="Bhamo"/>
    <s v="MMR001D003"/>
    <x v="5"/>
    <s v="MMR001012"/>
    <s v="Man Ping (Ping) (Dawthponeyan Sub-township)"/>
    <s v="MMR001012052"/>
    <s v="Man Ping"/>
    <n v="167270"/>
    <x v="99"/>
    <x v="102"/>
    <x v="82"/>
    <n v="24.759551999999999"/>
    <m/>
    <m/>
    <m/>
    <s v="NA"/>
    <x v="0"/>
    <x v="0"/>
    <x v="1"/>
    <x v="1"/>
    <m/>
    <m/>
    <x v="0"/>
    <s v="RRD"/>
    <m/>
    <d v="2014-06-13T00:00:00"/>
    <s v="Geo-Info, HH/Pop data was updated from Google Earth."/>
    <s v="P4"/>
    <n v="0"/>
    <m/>
    <n v="0"/>
    <s v="Dawthponeyan  Town"/>
    <n v="24.701686141136339"/>
    <n v="5"/>
  </r>
  <r>
    <x v="1"/>
    <x v="0"/>
    <s v="MMR001"/>
    <s v="Bhamo"/>
    <s v="MMR001D003"/>
    <x v="2"/>
    <s v="MMR001013"/>
    <s v="Man Wein"/>
    <s v="MMR001013021"/>
    <m/>
    <m/>
    <x v="100"/>
    <x v="103"/>
    <x v="83"/>
    <n v="23.83013"/>
    <n v="741"/>
    <n v="114"/>
    <n v="539"/>
    <n v="4.7280701754385968"/>
    <x v="0"/>
    <x v="0"/>
    <x v="0"/>
    <x v="1"/>
    <d v="2012-02-01T00:00:00"/>
    <n v="2"/>
    <x v="1"/>
    <s v="IP"/>
    <m/>
    <d v="2016-01-28T00:00:00"/>
    <s v="28/Jan/2016. Population update. Data source: KBC (mail by maran)_x000a_13/Dec/2015. Population update. Data source: Mail by Ko Maran. Reason for Pop changes: camp pp reduced as IDP in the host who were registered in the camp but now they established their own separate entity as IDP in the host. _x000a_2/Dec/2015. Population update. Data source: KBC_x000a_25-Jun-15 Population update. Source: KBC_x000a_Population Update. Source: Save The Children."/>
    <s v="P4"/>
    <n v="40"/>
    <m/>
    <n v="40"/>
    <s v="Namhkan Town"/>
    <n v="9.3704379947870464"/>
    <n v="2"/>
  </r>
  <r>
    <x v="1"/>
    <x v="0"/>
    <s v="MMR001"/>
    <s v="Bhamo"/>
    <s v="MMR001D003"/>
    <x v="2"/>
    <s v="MMR001013"/>
    <s v="Man Wein"/>
    <s v="MMR001013021"/>
    <s v="Man Wein"/>
    <n v="167405"/>
    <x v="101"/>
    <x v="104"/>
    <x v="84"/>
    <n v="23.829599000000002"/>
    <m/>
    <n v="114"/>
    <n v="524"/>
    <n v="4.5964912280701755"/>
    <x v="0"/>
    <x v="0"/>
    <x v="0"/>
    <x v="1"/>
    <m/>
    <m/>
    <x v="1"/>
    <s v="IP"/>
    <m/>
    <d v="2016-01-28T00:00:00"/>
    <s v="28/Jan/2016. Population update. Data source: KBC (mail by maran)_x000a_2/Dec/2015. Population update. Data source: KBC_x000a_25-Jun-15 Population update. Source: KBC_x000a_Population Update. Source: Save The Children."/>
    <s v=""/>
    <n v="114"/>
    <m/>
    <n v="114"/>
    <s v="Namhkan Town"/>
    <n v="9.2957189123335944"/>
    <n v="2"/>
  </r>
  <r>
    <x v="1"/>
    <x v="0"/>
    <s v="MMR001"/>
    <s v="Bhamo"/>
    <s v="MMR001D003"/>
    <x v="2"/>
    <s v="MMR001013"/>
    <s v="Man Wein"/>
    <s v="MMR001013021"/>
    <m/>
    <m/>
    <x v="102"/>
    <x v="105"/>
    <x v="85"/>
    <n v="23.835319999999999"/>
    <n v="795"/>
    <n v="458"/>
    <n v="2139"/>
    <n v="4.6703056768558948"/>
    <x v="0"/>
    <x v="0"/>
    <x v="0"/>
    <x v="1"/>
    <d v="2011-11-01T00:00:00"/>
    <n v="2"/>
    <x v="3"/>
    <s v="IP"/>
    <m/>
    <d v="2016-02-16T00:00:00"/>
    <s v="16/Feb/2016. spontenous return to villages near Manwin Gyi_x000a_28/Jan/2016. Population update. Data source: KBC (mail by maran)_x000a_19-Aug-2015. Update Population. Data Source; KMSS-BMO_x000a_Population Update. Source: KMSS-BMO"/>
    <s v="P4"/>
    <n v="258"/>
    <m/>
    <n v="258"/>
    <s v="Namhkan Town"/>
    <n v="10.509375400480517"/>
    <n v="3"/>
  </r>
  <r>
    <x v="1"/>
    <x v="0"/>
    <s v="MMR001"/>
    <s v="Bhamo"/>
    <s v="MMR001D003"/>
    <x v="2"/>
    <s v="MMR001013"/>
    <s v="Man Wein"/>
    <s v="MMR001013021"/>
    <m/>
    <m/>
    <x v="103"/>
    <x v="106"/>
    <x v="86"/>
    <n v="23.833477999999999"/>
    <n v="925"/>
    <n v="123"/>
    <n v="555"/>
    <n v="4.5121951219512191"/>
    <x v="0"/>
    <x v="0"/>
    <x v="0"/>
    <x v="1"/>
    <m/>
    <m/>
    <x v="3"/>
    <s v="IP"/>
    <m/>
    <d v="2016-02-16T00:00:00"/>
    <s v="16/Feb/2016. families’ extension_x000a_28/Jan/2016. Population update. Data source: KBC (mail by maran)_x000a_19-Aug-2015. Update Population. Data Source; KMSS-BMO_x000a_Responsible Agency update. KMSS-MYT to KMSS-BMO."/>
    <s v="P4"/>
    <n v="123"/>
    <m/>
    <n v="123"/>
    <s v="Namhkan Town"/>
    <n v="10.527586947557506"/>
    <n v="3"/>
  </r>
  <r>
    <x v="1"/>
    <x v="0"/>
    <s v="MMR001"/>
    <s v="Bhamo"/>
    <s v="MMR001D003"/>
    <x v="2"/>
    <s v="MMR001013"/>
    <s v="Man Wein"/>
    <s v="MMR001013021"/>
    <s v="Man Wein"/>
    <n v="167405"/>
    <x v="104"/>
    <x v="107"/>
    <x v="87"/>
    <n v="23.827870999999998"/>
    <m/>
    <n v="175"/>
    <n v="834"/>
    <n v="4.765714285714286"/>
    <x v="0"/>
    <x v="0"/>
    <x v="1"/>
    <x v="1"/>
    <m/>
    <m/>
    <x v="0"/>
    <s v="IP"/>
    <m/>
    <d v="2016-01-28T00:00:00"/>
    <s v="28/Jan/2016. Population update. Data source: KBC (mail by maran)_x000a_13/Dec/15. Population update. Data source: Mail by Ko Maran. Reason for pop changes: IDP in the host who were registered in the Man Win Bapitst Church (cultural compound) camp established their own separate entity as IDP in the host. _x000a_Population Update. Source: Save The Children."/>
    <s v="P4"/>
    <n v="0"/>
    <m/>
    <n v="0"/>
    <s v="Namhkan Town"/>
    <n v="9.5650381623500511"/>
    <n v="2"/>
  </r>
  <r>
    <x v="0"/>
    <x v="0"/>
    <s v="MMR001"/>
    <s v="Myitkyina"/>
    <s v="MMR001D001"/>
    <x v="3"/>
    <s v="MMR001002"/>
    <s v="Nam Sang Yang"/>
    <s v="MMR001002024"/>
    <s v="Nam Sang Yang"/>
    <n v="165772"/>
    <x v="105"/>
    <x v="108"/>
    <x v="88"/>
    <n v="24.747966999999999"/>
    <m/>
    <n v="0"/>
    <n v="0"/>
    <s v="NA"/>
    <x v="0"/>
    <x v="0"/>
    <x v="0"/>
    <x v="0"/>
    <m/>
    <m/>
    <x v="0"/>
    <m/>
    <m/>
    <m/>
    <s v="Changed to closed"/>
    <s v=""/>
    <n v="0"/>
    <m/>
    <n v="0"/>
    <s v=""/>
    <s v=""/>
    <s v=""/>
  </r>
  <r>
    <x v="0"/>
    <x v="0"/>
    <s v="MMR001"/>
    <s v="Bhamo"/>
    <s v="MMR001D003"/>
    <x v="5"/>
    <s v="MMR001012"/>
    <s v="Momauk Town"/>
    <s v="MMR001012701"/>
    <s v="Ah Lin Kawng Ward"/>
    <s v="MMR001012701502"/>
    <x v="106"/>
    <x v="109"/>
    <x v="89"/>
    <n v="24.251860000000001"/>
    <n v="0"/>
    <m/>
    <m/>
    <s v="NA"/>
    <x v="0"/>
    <x v="0"/>
    <x v="0"/>
    <x v="2"/>
    <d v="2011-10-01T00:00:00"/>
    <m/>
    <x v="0"/>
    <s v="IP"/>
    <m/>
    <d v="2015-11-09T00:00:00"/>
    <s v="9/Nov/2015. updated camp status (Closed). Data Source; Lu Lu Awng by mail._x000a_19-Aug-15 Population update. Source: Shalom_x000a_25-Jun-15 (Population update. Source : Shalom)_x000a_Checked with Shalom data, IDPs figure do not change"/>
    <s v="P4"/>
    <n v="0"/>
    <m/>
    <n v="0"/>
    <m/>
    <m/>
    <m/>
  </r>
  <r>
    <x v="1"/>
    <x v="1"/>
    <s v="MMR015"/>
    <s v="Kyaukme"/>
    <s v="MMR015D003"/>
    <x v="16"/>
    <s v="MMR015019"/>
    <s v="Urban"/>
    <s v="MMR015019701"/>
    <s v="Ward (2)"/>
    <m/>
    <x v="107"/>
    <x v="110"/>
    <x v="90"/>
    <n v="23.250678000000001"/>
    <n v="1250"/>
    <n v="38"/>
    <n v="164"/>
    <n v="4.3157894736842106"/>
    <x v="0"/>
    <x v="0"/>
    <x v="0"/>
    <x v="2"/>
    <d v="2012-04-01T00:00:00"/>
    <n v="1"/>
    <x v="1"/>
    <s v="IP"/>
    <m/>
    <d v="2016-01-28T00:00:00"/>
    <s v="28/Jan/2016. Population update. Data source: KBC (mail by maran)_x000a_25-Jun-15 Population update. Source: KBC_x000a_Changed NGCA to GCA. Source: CCCM Unit"/>
    <s v="P2"/>
    <n v="0"/>
    <m/>
    <n v="0"/>
    <s v="Manton Town"/>
    <n v="0.43878855438285824"/>
    <n v="1"/>
  </r>
  <r>
    <x v="1"/>
    <x v="1"/>
    <s v="MMR015"/>
    <s v="Kyaukme"/>
    <s v="MMR015D003"/>
    <x v="16"/>
    <s v="MMR015019"/>
    <s v="Urban"/>
    <s v="MMR015019701"/>
    <m/>
    <m/>
    <x v="108"/>
    <x v="111"/>
    <x v="91"/>
    <n v="23.24661"/>
    <n v="87.3"/>
    <n v="31"/>
    <n v="183"/>
    <n v="5.903225806451613"/>
    <x v="0"/>
    <x v="0"/>
    <x v="0"/>
    <x v="2"/>
    <m/>
    <m/>
    <x v="5"/>
    <s v="IP"/>
    <m/>
    <d v="2016-01-28T00:00:00"/>
    <s v="28/Jan/2016. Population update. Data source: KBC (mail by maran)_x000a_19-Aug-15 (Population update. Source: KMSS-LSO)_x000a_25-Jun-15 (Population update. Source: KMSS-LSO)_x000a_New Camp"/>
    <s v="P3"/>
    <n v="1"/>
    <m/>
    <n v="1"/>
    <s v="Manton Town"/>
    <n v="0.71762888500316424"/>
    <n v="1"/>
  </r>
  <r>
    <x v="1"/>
    <x v="0"/>
    <s v="MMR001"/>
    <s v="Mohnyin"/>
    <s v="MMR001D002"/>
    <x v="12"/>
    <s v="MMR001008"/>
    <s v="Nawng Kaing Htaw"/>
    <s v="MMR001008002"/>
    <s v="Ma Haung"/>
    <n v="166676"/>
    <x v="109"/>
    <x v="112"/>
    <x v="92"/>
    <n v="25.296579999999999"/>
    <n v="0"/>
    <n v="18"/>
    <n v="79"/>
    <n v="4.3888888888888893"/>
    <x v="0"/>
    <x v="0"/>
    <x v="0"/>
    <x v="2"/>
    <d v="2012-05-01T00:00:00"/>
    <n v="1"/>
    <x v="1"/>
    <s v="IP"/>
    <m/>
    <d v="2016-01-28T00:00:00"/>
    <s v="28/Jan/2016. Population update. Data source: KBC (mail by maran)_x000a_2/Dec/2015. Population update. Data source: KBC._x000a_19-Aug-15 Update population from KBC._x000a_25-Jun-2015 Update population. Data Source: KBC_x000a_Checked with KBC data"/>
    <s v="P4"/>
    <n v="8"/>
    <m/>
    <n v="8"/>
    <s v="Mogaung Town"/>
    <n v="0.71141459237180937"/>
    <n v="1"/>
  </r>
  <r>
    <x v="1"/>
    <x v="0"/>
    <s v="MMR001"/>
    <s v="Bhamo"/>
    <s v="MMR001D003"/>
    <x v="2"/>
    <s v="MMR001013"/>
    <s v="Mansi Town"/>
    <s v="MMR001013701"/>
    <s v="Kawng Yar Ward"/>
    <s v="MMR001013701504"/>
    <x v="110"/>
    <x v="113"/>
    <x v="93"/>
    <n v="24.129059999999999"/>
    <n v="0"/>
    <n v="221"/>
    <n v="1003"/>
    <n v="4.5384615384615383"/>
    <x v="0"/>
    <x v="0"/>
    <x v="0"/>
    <x v="2"/>
    <d v="2013-11-01T00:00:00"/>
    <n v="2"/>
    <x v="1"/>
    <s v="IP"/>
    <m/>
    <d v="2016-01-28T00:00:00"/>
    <s v="28/Jan/2016. Population update. Data source: KBC (mail by maran)"/>
    <s v="P4"/>
    <n v="116"/>
    <m/>
    <n v="116"/>
    <s v="Mansi Town"/>
    <n v="1.0576516850656514"/>
    <n v="1"/>
  </r>
  <r>
    <x v="0"/>
    <x v="0"/>
    <s v="MMR001"/>
    <s v="Mohnyin"/>
    <s v="MMR001D002"/>
    <x v="0"/>
    <s v="MMR001009"/>
    <s v="Hpakan Town"/>
    <s v="MMR001009701"/>
    <s v="Ma Shi Ka Htaung Ward"/>
    <s v="MMR001009701505"/>
    <x v="111"/>
    <x v="114"/>
    <x v="94"/>
    <n v="25.609179999999999"/>
    <m/>
    <n v="0"/>
    <n v="0"/>
    <s v="NA"/>
    <x v="0"/>
    <x v="0"/>
    <x v="0"/>
    <x v="0"/>
    <m/>
    <m/>
    <x v="0"/>
    <m/>
    <m/>
    <m/>
    <s v=" "/>
    <s v=""/>
    <n v="0"/>
    <m/>
    <n v="0"/>
    <s v=""/>
    <s v=""/>
    <s v=""/>
  </r>
  <r>
    <x v="0"/>
    <x v="0"/>
    <s v="MMR001"/>
    <s v="Mohnyin"/>
    <s v="MMR001D002"/>
    <x v="0"/>
    <s v="MMR001009"/>
    <s v="Hpakan Town"/>
    <s v="MMR001009701"/>
    <s v="Ma Shi Ka Htaung Ward"/>
    <s v="MMR001009701505"/>
    <x v="112"/>
    <x v="115"/>
    <x v="6"/>
    <m/>
    <m/>
    <n v="0"/>
    <n v="0"/>
    <s v="NA"/>
    <x v="0"/>
    <x v="0"/>
    <x v="0"/>
    <x v="0"/>
    <m/>
    <m/>
    <x v="0"/>
    <m/>
    <m/>
    <m/>
    <s v=" "/>
    <s v=""/>
    <n v="0"/>
    <m/>
    <n v="0"/>
    <s v=""/>
    <s v=""/>
    <s v=""/>
  </r>
  <r>
    <x v="0"/>
    <x v="0"/>
    <s v="MMR001"/>
    <s v="Mohnyin"/>
    <s v="MMR001D002"/>
    <x v="0"/>
    <s v="MMR001009"/>
    <s v="Hpakan Town"/>
    <s v="MMR001009701"/>
    <s v="Ma Shi Ka Htaung Ward"/>
    <s v="MMR001009701505"/>
    <x v="113"/>
    <x v="116"/>
    <x v="6"/>
    <m/>
    <m/>
    <n v="0"/>
    <n v="0"/>
    <s v="NA"/>
    <x v="0"/>
    <x v="0"/>
    <x v="0"/>
    <x v="0"/>
    <m/>
    <m/>
    <x v="0"/>
    <m/>
    <m/>
    <m/>
    <s v=" "/>
    <s v=""/>
    <n v="0"/>
    <m/>
    <n v="0"/>
    <s v=""/>
    <s v=""/>
    <s v=""/>
  </r>
  <r>
    <x v="0"/>
    <x v="0"/>
    <s v="MMR001"/>
    <s v="Mohnyin"/>
    <s v="MMR001D002"/>
    <x v="0"/>
    <s v="MMR001009"/>
    <s v="Hpakan Town"/>
    <s v="MMR001009701"/>
    <s v="Ma Shi Ka Htaung Ward"/>
    <s v="MMR001009701505"/>
    <x v="114"/>
    <x v="117"/>
    <x v="6"/>
    <m/>
    <m/>
    <n v="0"/>
    <n v="0"/>
    <s v="NA"/>
    <x v="0"/>
    <x v="0"/>
    <x v="0"/>
    <x v="0"/>
    <m/>
    <m/>
    <x v="0"/>
    <m/>
    <m/>
    <m/>
    <s v=" "/>
    <s v=""/>
    <n v="0"/>
    <m/>
    <n v="0"/>
    <s v=""/>
    <s v=""/>
    <s v=""/>
  </r>
  <r>
    <x v="0"/>
    <x v="0"/>
    <s v="MMR001"/>
    <s v="Mohnyin"/>
    <s v="MMR001D002"/>
    <x v="0"/>
    <s v="MMR001009"/>
    <s v="Hpakan Town"/>
    <s v="MMR001009701"/>
    <s v="Ma Shi Ka Htaung Ward"/>
    <s v="MMR001009701505"/>
    <x v="115"/>
    <x v="118"/>
    <x v="6"/>
    <m/>
    <m/>
    <n v="0"/>
    <n v="0"/>
    <s v="NA"/>
    <x v="0"/>
    <x v="0"/>
    <x v="0"/>
    <x v="0"/>
    <m/>
    <m/>
    <x v="0"/>
    <m/>
    <m/>
    <m/>
    <s v=" "/>
    <s v=""/>
    <n v="0"/>
    <m/>
    <n v="0"/>
    <s v=""/>
    <s v=""/>
    <s v=""/>
  </r>
  <r>
    <x v="0"/>
    <x v="0"/>
    <s v="MMR001"/>
    <s v="Mohnyin"/>
    <s v="MMR001D002"/>
    <x v="0"/>
    <s v="MMR001009"/>
    <s v="Hpakan Town"/>
    <s v="MMR001009701"/>
    <s v="Ma Shi Ka Htaung Ward"/>
    <s v="MMR001009701505"/>
    <x v="116"/>
    <x v="119"/>
    <x v="6"/>
    <m/>
    <m/>
    <n v="0"/>
    <n v="0"/>
    <s v="NA"/>
    <x v="0"/>
    <x v="0"/>
    <x v="0"/>
    <x v="0"/>
    <m/>
    <m/>
    <x v="0"/>
    <m/>
    <m/>
    <m/>
    <s v=" "/>
    <s v=""/>
    <n v="0"/>
    <m/>
    <n v="0"/>
    <s v=""/>
    <s v=""/>
    <s v=""/>
  </r>
  <r>
    <x v="0"/>
    <x v="0"/>
    <s v="MMR001"/>
    <s v="Mohnyin"/>
    <s v="MMR001D002"/>
    <x v="0"/>
    <s v="MMR001009"/>
    <s v="Hpakan Town"/>
    <s v="MMR001009701"/>
    <s v="Ma Shi Ka Htaung Ward"/>
    <s v="MMR001009701505"/>
    <x v="117"/>
    <x v="120"/>
    <x v="6"/>
    <m/>
    <m/>
    <n v="0"/>
    <n v="0"/>
    <s v="NA"/>
    <x v="0"/>
    <x v="0"/>
    <x v="0"/>
    <x v="0"/>
    <m/>
    <m/>
    <x v="0"/>
    <m/>
    <m/>
    <m/>
    <s v=" "/>
    <s v=""/>
    <n v="0"/>
    <m/>
    <n v="0"/>
    <s v=""/>
    <s v=""/>
    <s v=""/>
  </r>
  <r>
    <x v="0"/>
    <x v="0"/>
    <s v="MMR001"/>
    <s v="Mohnyin"/>
    <s v="MMR001D002"/>
    <x v="0"/>
    <s v="MMR001009"/>
    <s v="Hpakan Town"/>
    <s v="MMR001009701"/>
    <s v="Ma Shi Ka Htaung Ward"/>
    <s v="MMR001009701505"/>
    <x v="118"/>
    <x v="121"/>
    <x v="6"/>
    <m/>
    <m/>
    <n v="0"/>
    <n v="0"/>
    <s v="NA"/>
    <x v="0"/>
    <x v="0"/>
    <x v="0"/>
    <x v="0"/>
    <m/>
    <m/>
    <x v="0"/>
    <m/>
    <m/>
    <m/>
    <s v=" "/>
    <s v=""/>
    <n v="0"/>
    <m/>
    <n v="0"/>
    <s v=""/>
    <s v=""/>
    <s v=""/>
  </r>
  <r>
    <x v="1"/>
    <x v="0"/>
    <s v="MMR001"/>
    <s v="Myitkyina"/>
    <s v="MMR001D001"/>
    <x v="6"/>
    <s v="MMR001001"/>
    <s v="Maw Hpawng"/>
    <s v="MMR001001007"/>
    <s v="Maw Hpawng"/>
    <n v="165698"/>
    <x v="119"/>
    <x v="122"/>
    <x v="95"/>
    <n v="25.374343974359"/>
    <n v="0"/>
    <n v="22"/>
    <n v="104"/>
    <n v="4.7272727272727275"/>
    <x v="0"/>
    <x v="0"/>
    <x v="0"/>
    <x v="1"/>
    <d v="2011-10-01T00:00:00"/>
    <n v="1"/>
    <x v="4"/>
    <s v="IP"/>
    <m/>
    <d v="2016-01-18T00:00:00"/>
    <s v="28/Jan/2016. Population update. Data source: KBC (mail by maran)_x000a_9/Nov/15. Population Upate. Data source: monthly report by HAP._x000a_19-Aug-15 Population update. Source: Shalom_x000a_25-Jun-15 Population update. Source : Shalom._x000a_Population update: Source: Camp Profile Round 2."/>
    <s v="P4"/>
    <n v="0"/>
    <m/>
    <n v="0"/>
    <s v="Myitkyina Town"/>
    <n v="10.744749696609457"/>
    <n v="3"/>
  </r>
  <r>
    <x v="1"/>
    <x v="0"/>
    <s v="MMR001"/>
    <s v="Myitkyina"/>
    <s v="MMR001D001"/>
    <x v="6"/>
    <s v="MMR001001"/>
    <s v="Maw Hpawng"/>
    <s v="MMR001001007"/>
    <s v="Maw Hpawng"/>
    <n v="165698"/>
    <x v="120"/>
    <x v="123"/>
    <x v="96"/>
    <n v="25.371049444444399"/>
    <n v="476"/>
    <n v="14"/>
    <n v="73"/>
    <n v="5.2142857142857144"/>
    <x v="0"/>
    <x v="0"/>
    <x v="0"/>
    <x v="1"/>
    <d v="2011-10-01T00:00:00"/>
    <n v="1"/>
    <x v="4"/>
    <s v="IP"/>
    <m/>
    <d v="2016-01-18T00:00:00"/>
    <s v="28/Jan/2016. Population update. Data source: KBC (mail by maran)_x000a_25-Jun-15 Population update. Source : Shalom._x000a_Population update: Source: Camp Profile Round 2."/>
    <s v="P4"/>
    <n v="0"/>
    <m/>
    <n v="0"/>
    <s v="Myitkyina Town"/>
    <n v="10.15228229456989"/>
    <n v="3"/>
  </r>
  <r>
    <x v="0"/>
    <x v="0"/>
    <s v="MMR001"/>
    <s v="Mohnyin"/>
    <s v="MMR001D002"/>
    <x v="0"/>
    <s v="MMR001009"/>
    <m/>
    <m/>
    <m/>
    <m/>
    <x v="121"/>
    <x v="124"/>
    <x v="97"/>
    <n v="25.6447"/>
    <m/>
    <n v="0"/>
    <n v="0"/>
    <s v="NA"/>
    <x v="0"/>
    <x v="0"/>
    <x v="0"/>
    <x v="0"/>
    <m/>
    <m/>
    <x v="0"/>
    <m/>
    <m/>
    <m/>
    <s v=" "/>
    <s v=""/>
    <n v="0"/>
    <m/>
    <n v="0"/>
    <s v=""/>
    <s v=""/>
    <s v=""/>
  </r>
  <r>
    <x v="0"/>
    <x v="0"/>
    <s v="MMR001"/>
    <s v="Mohnyin"/>
    <s v="MMR001D002"/>
    <x v="0"/>
    <s v="MMR001009"/>
    <s v="Hpakan Town"/>
    <s v="MMR001009701"/>
    <s v="Maw Wam Ward"/>
    <s v="MMR001009701501"/>
    <x v="122"/>
    <x v="125"/>
    <x v="6"/>
    <m/>
    <m/>
    <n v="0"/>
    <n v="0"/>
    <s v="NA"/>
    <x v="0"/>
    <x v="0"/>
    <x v="0"/>
    <x v="0"/>
    <m/>
    <m/>
    <x v="0"/>
    <m/>
    <m/>
    <m/>
    <s v=" "/>
    <s v=""/>
    <n v="0"/>
    <m/>
    <n v="0"/>
    <s v=""/>
    <s v=""/>
    <s v=""/>
  </r>
  <r>
    <x v="0"/>
    <x v="0"/>
    <s v="MMR001"/>
    <s v="Mohnyin"/>
    <s v="MMR001D002"/>
    <x v="0"/>
    <s v="MMR001009"/>
    <s v="Hpakan Town"/>
    <s v="MMR001009701"/>
    <s v="Maw Wam Ward"/>
    <s v="MMR001009701501"/>
    <x v="123"/>
    <x v="126"/>
    <x v="98"/>
    <n v="25.619221"/>
    <m/>
    <n v="0"/>
    <n v="0"/>
    <s v="NA"/>
    <x v="0"/>
    <x v="0"/>
    <x v="0"/>
    <x v="0"/>
    <m/>
    <m/>
    <x v="0"/>
    <m/>
    <m/>
    <m/>
    <s v=" "/>
    <s v=""/>
    <n v="0"/>
    <m/>
    <n v="0"/>
    <s v=""/>
    <s v=""/>
    <s v=""/>
  </r>
  <r>
    <x v="0"/>
    <x v="0"/>
    <s v="MMR001"/>
    <s v="Mohnyin"/>
    <s v="MMR001D002"/>
    <x v="0"/>
    <s v="MMR001009"/>
    <s v="Hpakan Town"/>
    <s v="MMR001009701"/>
    <s v="Maw Wam Ward"/>
    <s v="MMR001009701501"/>
    <x v="124"/>
    <x v="127"/>
    <x v="6"/>
    <m/>
    <m/>
    <n v="0"/>
    <n v="0"/>
    <s v="NA"/>
    <x v="0"/>
    <x v="0"/>
    <x v="0"/>
    <x v="0"/>
    <m/>
    <m/>
    <x v="0"/>
    <m/>
    <m/>
    <m/>
    <s v=" "/>
    <s v=""/>
    <n v="0"/>
    <m/>
    <n v="0"/>
    <s v=""/>
    <s v=""/>
    <s v=""/>
  </r>
  <r>
    <x v="1"/>
    <x v="0"/>
    <s v="MMR001"/>
    <s v="Mohnyin"/>
    <s v="MMR001D002"/>
    <x v="0"/>
    <s v="MMR001009"/>
    <s v="Hpakan Town"/>
    <s v="MMR001009701"/>
    <s v="Maw Wam Ward"/>
    <s v="MMR001009701501"/>
    <x v="125"/>
    <x v="128"/>
    <x v="99"/>
    <n v="25.6145"/>
    <n v="65"/>
    <n v="5"/>
    <n v="26"/>
    <n v="5.2"/>
    <x v="0"/>
    <x v="0"/>
    <x v="0"/>
    <x v="2"/>
    <d v="2012-08-01T00:00:00"/>
    <n v="1"/>
    <x v="4"/>
    <s v="IP"/>
    <m/>
    <d v="2015-06-25T00:00:00"/>
    <s v="25-Jun-15 (Population update. Source : Shalom)_x000a_Population update: Source: Camp Profile Round 2."/>
    <s v="P4"/>
    <n v="0"/>
    <m/>
    <n v="0"/>
    <s v="Hpakant Town"/>
    <n v="0.79577754007276646"/>
    <n v="1"/>
  </r>
  <r>
    <x v="0"/>
    <x v="0"/>
    <s v="MMR001"/>
    <s v="Mohnyin"/>
    <s v="MMR001D002"/>
    <x v="0"/>
    <s v="MMR001009"/>
    <s v="Hpakan Town"/>
    <s v="MMR001009701"/>
    <s v="Maw Wam Ward"/>
    <s v="MMR001009701501"/>
    <x v="126"/>
    <x v="129"/>
    <x v="6"/>
    <m/>
    <m/>
    <n v="0"/>
    <n v="0"/>
    <s v="NA"/>
    <x v="0"/>
    <x v="0"/>
    <x v="0"/>
    <x v="0"/>
    <m/>
    <m/>
    <x v="0"/>
    <m/>
    <m/>
    <m/>
    <s v=" "/>
    <s v=""/>
    <n v="0"/>
    <m/>
    <n v="0"/>
    <s v=""/>
    <s v=""/>
    <s v=""/>
  </r>
  <r>
    <x v="0"/>
    <x v="0"/>
    <s v="MMR001"/>
    <s v="Mohnyin"/>
    <s v="MMR001D002"/>
    <x v="0"/>
    <s v="MMR001009"/>
    <s v="Lone Khin"/>
    <s v="MMR001009001"/>
    <s v="Lone Khin"/>
    <n v="166773"/>
    <x v="127"/>
    <x v="130"/>
    <x v="100"/>
    <n v="25.651440000000001"/>
    <m/>
    <n v="0"/>
    <n v="0"/>
    <s v="NA"/>
    <x v="0"/>
    <x v="0"/>
    <x v="0"/>
    <x v="0"/>
    <m/>
    <m/>
    <x v="0"/>
    <m/>
    <m/>
    <m/>
    <s v=" "/>
    <s v=""/>
    <n v="0"/>
    <m/>
    <n v="0"/>
    <s v=""/>
    <s v=""/>
    <s v=""/>
  </r>
  <r>
    <x v="1"/>
    <x v="1"/>
    <s v="MMR015"/>
    <s v="Muse"/>
    <s v="MMR015D002"/>
    <x v="7"/>
    <s v="MMR015011"/>
    <s v="Mong Yu"/>
    <s v="MMR015011030"/>
    <s v="Mong Yu"/>
    <m/>
    <x v="128"/>
    <x v="131"/>
    <x v="101"/>
    <n v="23.588920000000002"/>
    <n v="1012.5"/>
    <n v="79"/>
    <n v="318"/>
    <n v="4.0253164556962027"/>
    <x v="0"/>
    <x v="0"/>
    <x v="0"/>
    <x v="1"/>
    <d v="2013-01-01T00:00:00"/>
    <n v="2"/>
    <x v="1"/>
    <s v="IP"/>
    <m/>
    <d v="2016-01-28T00:00:00"/>
    <s v="28/Jan/2016. Population update. Data source: KBC (mail by maran)_x000a_2/Dec/2015. Population update. Data source: KBC_x000a_25-Jun-15 Population update. Source: KBC_x000a_Update population. Source: Camp Profile."/>
    <s v="P3"/>
    <n v="16"/>
    <m/>
    <n v="16"/>
    <s v="Kutkai Town"/>
    <n v="21.050742639251741"/>
    <n v="5"/>
  </r>
  <r>
    <x v="1"/>
    <x v="0"/>
    <s v="MMR001"/>
    <s v="Mohnyin"/>
    <s v="MMR001D002"/>
    <x v="8"/>
    <s v="MMR001007"/>
    <s v="Mohnyin Town"/>
    <s v="MMR001007701"/>
    <m/>
    <m/>
    <x v="129"/>
    <x v="132"/>
    <x v="102"/>
    <n v="24.764959999999999"/>
    <m/>
    <n v="16"/>
    <n v="67"/>
    <n v="4.1875"/>
    <x v="0"/>
    <x v="0"/>
    <x v="1"/>
    <x v="0"/>
    <m/>
    <m/>
    <x v="0"/>
    <s v="IP"/>
    <m/>
    <d v="2016-01-28T00:00:00"/>
    <s v="28/Jan/2016. Population update. Data source: KBC (mail by maran)_x000a_9/Nov/15. Population update. Data source: mail from Pancy (WFP)._x000a_19-Mar-2015 (WFP has been providing this host families since 2013.)"/>
    <m/>
    <n v="0"/>
    <m/>
    <n v="0"/>
    <s v=""/>
    <s v=""/>
    <s v=""/>
  </r>
  <r>
    <x v="0"/>
    <x v="0"/>
    <s v="MMR001"/>
    <s v="Myitkyina"/>
    <s v="MMR001D001"/>
    <x v="3"/>
    <s v="MMR001002"/>
    <s v="Hkat Shu"/>
    <s v="MMR001002003"/>
    <s v="Hkat Shu"/>
    <n v="165735"/>
    <x v="130"/>
    <x v="133"/>
    <x v="103"/>
    <n v="25.328987000000001"/>
    <m/>
    <n v="0"/>
    <n v="0"/>
    <s v="NA"/>
    <x v="0"/>
    <x v="0"/>
    <x v="0"/>
    <x v="0"/>
    <m/>
    <m/>
    <x v="0"/>
    <m/>
    <m/>
    <m/>
    <s v=" "/>
    <s v=""/>
    <n v="0"/>
    <m/>
    <n v="0"/>
    <s v=""/>
    <s v=""/>
    <s v=""/>
  </r>
  <r>
    <x v="1"/>
    <x v="0"/>
    <s v="MMR001"/>
    <s v="Bhamo"/>
    <s v="MMR001D003"/>
    <x v="5"/>
    <s v="MMR001012"/>
    <s v="Momauk Town"/>
    <s v="MMR001012701"/>
    <s v="Ah Lin Kawng Ward"/>
    <s v="MMR001012701502"/>
    <x v="131"/>
    <x v="134"/>
    <x v="104"/>
    <n v="24.250689999999999"/>
    <n v="0"/>
    <n v="207"/>
    <n v="1863"/>
    <n v="9"/>
    <x v="0"/>
    <x v="0"/>
    <x v="0"/>
    <x v="2"/>
    <d v="2011-06-01T00:00:00"/>
    <n v="3"/>
    <x v="1"/>
    <s v="IP"/>
    <m/>
    <d v="2016-01-28T00:00:00"/>
    <s v="28/Jan/2016. Population update. Data source: KBC (mail by maran)_x000a_2/Dec/2015. Population update. Data source: KBC_x000a_25-Jun-2015 Update population. Data Source: KBC_x000a_Population update: Source: Camp Profile Round 2."/>
    <s v="P4"/>
    <n v="0"/>
    <m/>
    <n v="0"/>
    <s v="Momauk Town"/>
    <n v="0.62513510418653162"/>
    <n v="1"/>
  </r>
  <r>
    <x v="0"/>
    <x v="0"/>
    <s v="MMR001"/>
    <s v="Bhamo"/>
    <s v="MMR001D003"/>
    <x v="5"/>
    <s v="MMR001012"/>
    <s v="Momauk Town"/>
    <s v="MMR001012701"/>
    <s v="Kyay Nan Waing Ward"/>
    <s v="MMR001012701503"/>
    <x v="132"/>
    <x v="135"/>
    <x v="105"/>
    <n v="24.25177"/>
    <n v="0"/>
    <m/>
    <m/>
    <s v="NA"/>
    <x v="0"/>
    <x v="0"/>
    <x v="0"/>
    <x v="2"/>
    <d v="2011-08-01T00:00:00"/>
    <n v="2"/>
    <x v="3"/>
    <s v="IP"/>
    <m/>
    <d v="2014-11-28T00:00:00"/>
    <s v="Closed. Population relocated to Man Bung Catholic Compound (MMR001CMP062)"/>
    <s v="P4"/>
    <n v="0"/>
    <m/>
    <n v="0"/>
    <s v=""/>
    <s v=""/>
    <s v=""/>
  </r>
  <r>
    <x v="1"/>
    <x v="1"/>
    <s v="MMR015"/>
    <s v="Muse"/>
    <s v="MMR015D002"/>
    <x v="10"/>
    <s v="MMR015009"/>
    <s v="Man Gyat (Monekoe Sub-township)"/>
    <s v="MMR015009048"/>
    <s v="Gwum Hsan"/>
    <m/>
    <x v="133"/>
    <x v="136"/>
    <x v="106"/>
    <n v="24.101320999999999"/>
    <n v="2979"/>
    <n v="9"/>
    <n v="52"/>
    <n v="5.7777777777777777"/>
    <x v="1"/>
    <x v="0"/>
    <x v="0"/>
    <x v="2"/>
    <d v="2012-07-01T00:00:00"/>
    <n v="1"/>
    <x v="1"/>
    <s v="IP"/>
    <m/>
    <d v="2016-01-28T00:00:00"/>
    <s v="28/Jan/2016. Population update. Data source: KBC (mail by maran)_x000a_2/Dec/2015. Population update. Data source: KBC_x000a_25-Jun-15 Population update. Source: KBC_x000a_Update population. Source: Camp Profile."/>
    <s v="P1"/>
    <n v="9"/>
    <m/>
    <n v="9"/>
    <s v="Monekoe Town"/>
    <n v="1.789574394782699"/>
    <n v="1"/>
  </r>
  <r>
    <x v="1"/>
    <x v="1"/>
    <s v="MMR015"/>
    <s v="Muse"/>
    <s v="MMR015D002"/>
    <x v="10"/>
    <s v="MMR015009"/>
    <s v="Mung Baw "/>
    <s v="MMR015009013"/>
    <s v="Mung Baw "/>
    <m/>
    <x v="134"/>
    <x v="137"/>
    <x v="107"/>
    <n v="24.008452999999999"/>
    <n v="3396"/>
    <n v="123"/>
    <n v="503"/>
    <n v="4.0894308943089435"/>
    <x v="1"/>
    <x v="0"/>
    <x v="1"/>
    <x v="1"/>
    <m/>
    <m/>
    <x v="0"/>
    <s v="IRRC"/>
    <m/>
    <d v="2014-03-03T00:00:00"/>
    <s v="Change to Host Families."/>
    <s v="P1"/>
    <n v="0"/>
    <m/>
    <n v="0"/>
    <s v="Pang Hseng (Kyu Koke) Town"/>
    <n v="7.490291417449443"/>
    <n v="2"/>
  </r>
  <r>
    <x v="0"/>
    <x v="0"/>
    <s v="MMR001"/>
    <s v="Bhamo"/>
    <s v="MMR001D003"/>
    <x v="2"/>
    <s v="MMR001013"/>
    <s v="Mung Ding Pa"/>
    <s v="MMR001013038"/>
    <s v="Mung Ding Pa"/>
    <n v="167495"/>
    <x v="135"/>
    <x v="138"/>
    <x v="108"/>
    <n v="23.867000000000001"/>
    <m/>
    <n v="0"/>
    <n v="0"/>
    <s v="NA"/>
    <x v="1"/>
    <x v="0"/>
    <x v="0"/>
    <x v="0"/>
    <m/>
    <m/>
    <x v="0"/>
    <m/>
    <m/>
    <d v="2014-03-03T00:00:00"/>
    <s v="Closed. Same with (Namhkan St. Thomas 1)"/>
    <s v=""/>
    <n v="0"/>
    <m/>
    <n v="0"/>
    <s v=""/>
    <s v=""/>
    <s v=""/>
  </r>
  <r>
    <x v="0"/>
    <x v="0"/>
    <s v="MMR001"/>
    <s v="Bhamo"/>
    <s v="MMR001D003"/>
    <x v="2"/>
    <s v="MMR001013"/>
    <s v="Mung Ding Pa"/>
    <s v="MMR001013038"/>
    <m/>
    <m/>
    <x v="136"/>
    <x v="139"/>
    <x v="109"/>
    <n v="24.20645"/>
    <n v="781.8"/>
    <n v="0"/>
    <n v="0"/>
    <s v="NA"/>
    <x v="1"/>
    <x v="0"/>
    <x v="0"/>
    <x v="1"/>
    <d v="2012-07-01T00:00:00"/>
    <m/>
    <x v="0"/>
    <s v="IP"/>
    <m/>
    <d v="2014-01-22T00:00:00"/>
    <s v="Closed: Source UNHCR-Bhamo"/>
    <s v=""/>
    <n v="0"/>
    <m/>
    <n v="0"/>
    <s v=""/>
    <s v=""/>
    <s v=""/>
  </r>
  <r>
    <x v="1"/>
    <x v="1"/>
    <s v="MMR015"/>
    <s v="Muse"/>
    <s v="MMR015D002"/>
    <x v="7"/>
    <s v="MMR015011"/>
    <s v="Long Waun Nam Rein (Tarmoenye Sub-township)"/>
    <s v="MMR015011050"/>
    <s v="Mai Pong (Shu See)"/>
    <m/>
    <x v="137"/>
    <x v="140"/>
    <x v="110"/>
    <n v="23.400155999999999"/>
    <n v="3109"/>
    <n v="51"/>
    <n v="261"/>
    <n v="5.117647058823529"/>
    <x v="0"/>
    <x v="0"/>
    <x v="0"/>
    <x v="1"/>
    <d v="2011-09-01T00:00:00"/>
    <n v="1"/>
    <x v="1"/>
    <s v="IP"/>
    <m/>
    <d v="2016-01-28T00:00:00"/>
    <s v="28/Jan/2016. Population update. Data source: KBC (mail by maran)_x000a_2/Dec/2015. Population update. Data source: KBC_x000a_25-Jun-15 Population update. Source: KBC_x000a_27-Mar-15 (Changed to GCA. Source UNHCR-Bhamo)_x000a_Update population. Source: Camp Profile."/>
    <s v="P1"/>
    <n v="46"/>
    <m/>
    <n v="46"/>
    <s v="Tarmoenye Town"/>
    <n v="23.172399462804503"/>
    <n v="5"/>
  </r>
  <r>
    <x v="1"/>
    <x v="1"/>
    <s v="MMR015"/>
    <s v="Muse"/>
    <s v="MMR015D002"/>
    <x v="7"/>
    <s v="MMR015011"/>
    <s v="Long Waun Nam Rein (Tarmoenye Sub-township)"/>
    <s v="MMR015011050"/>
    <s v="Mai Pong (Shu See)"/>
    <m/>
    <x v="138"/>
    <x v="141"/>
    <x v="6"/>
    <m/>
    <m/>
    <n v="23"/>
    <n v="112"/>
    <n v="4.8695652173913047"/>
    <x v="0"/>
    <x v="0"/>
    <x v="0"/>
    <x v="1"/>
    <m/>
    <m/>
    <x v="5"/>
    <s v="IP"/>
    <m/>
    <d v="2016-01-28T00:00:00"/>
    <s v="28/Jan/2016. Population update. Data source: KBC (mail by maran)_x000a_19-Aug-15 (Population update. Source KMSS-LSO)_x000a_25-Jun-15 (Population update. Source KMSS-LSO)_x000a_27-Mar-15 (Changed to GCA. Source UNHCR-Bhamo)_x000a_New camp. Source: KMSS-BMO"/>
    <m/>
    <n v="23"/>
    <m/>
    <n v="23"/>
    <s v=""/>
    <s v=""/>
    <s v=""/>
  </r>
  <r>
    <x v="0"/>
    <x v="1"/>
    <s v="MMR015"/>
    <s v="Muse"/>
    <s v="MMR015D002"/>
    <x v="7"/>
    <s v="MMR015011"/>
    <s v="Long Waun Nam Rein (Tarmoenye Sub-township)"/>
    <s v="MMR015011050"/>
    <s v="Mai Pong (Shu See)"/>
    <m/>
    <x v="139"/>
    <x v="142"/>
    <x v="111"/>
    <n v="23.391741"/>
    <n v="0"/>
    <n v="0"/>
    <n v="0"/>
    <s v="NA"/>
    <x v="0"/>
    <x v="0"/>
    <x v="0"/>
    <x v="1"/>
    <d v="2011-09-01T00:00:00"/>
    <m/>
    <x v="0"/>
    <s v="IP"/>
    <m/>
    <d v="2014-03-03T00:00:00"/>
    <s v="Close. Same with Kutkai Down Town RC. Source UNHCR Bhamo"/>
    <s v=""/>
    <n v="0"/>
    <m/>
    <n v="0"/>
    <s v=""/>
    <s v=""/>
    <s v=""/>
  </r>
  <r>
    <x v="0"/>
    <x v="0"/>
    <s v="MMR001"/>
    <s v="Mohnyin"/>
    <s v="MMR001D002"/>
    <x v="0"/>
    <s v="MMR001009"/>
    <s v="Lone Khin"/>
    <s v="MMR001009001"/>
    <s v="Lone Khin"/>
    <n v="166773"/>
    <x v="140"/>
    <x v="143"/>
    <x v="112"/>
    <n v="25.658670000000001"/>
    <n v="0"/>
    <n v="0"/>
    <n v="0"/>
    <s v="NA"/>
    <x v="0"/>
    <x v="0"/>
    <x v="0"/>
    <x v="1"/>
    <d v="2013-01-01T00:00:00"/>
    <m/>
    <x v="0"/>
    <s v="RRD"/>
    <m/>
    <d v="2014-05-15T00:00:00"/>
    <s v="Closed."/>
    <s v=""/>
    <n v="0"/>
    <m/>
    <n v="0"/>
    <s v=""/>
    <s v=""/>
    <s v=""/>
  </r>
  <r>
    <x v="1"/>
    <x v="1"/>
    <s v="MMR015"/>
    <s v="Muse"/>
    <s v="MMR015D002"/>
    <x v="10"/>
    <s v="MMR015009"/>
    <s v="Muse Town"/>
    <s v="MMR015009701"/>
    <s v="Ho Mun Ward"/>
    <s v="MMR015009701504"/>
    <x v="141"/>
    <x v="144"/>
    <x v="113"/>
    <n v="24.006319999999999"/>
    <n v="812.7"/>
    <n v="55"/>
    <n v="237"/>
    <n v="4.3090909090909095"/>
    <x v="0"/>
    <x v="0"/>
    <x v="0"/>
    <x v="2"/>
    <d v="2014-03-05T00:00:00"/>
    <m/>
    <x v="1"/>
    <s v="IP"/>
    <m/>
    <d v="2016-01-28T00:00:00"/>
    <s v="28/Jan/2016. Population update. Data source: KBC (mail by maran)_x000a_2/Dec/2015. Population update. Data source: KBC_x000a_25-Jun-15 Population update. Source: KBC_x000a_New camp."/>
    <s v="P4"/>
    <n v="11"/>
    <m/>
    <n v="11"/>
    <s v="Muse Town"/>
    <n v="1.989668595899414"/>
    <n v="1"/>
  </r>
  <r>
    <x v="1"/>
    <x v="1"/>
    <s v="MMR015"/>
    <s v="Muse"/>
    <s v="MMR015D002"/>
    <x v="10"/>
    <s v="MMR015009"/>
    <s v="Muse Town"/>
    <s v="MMR015009701"/>
    <s v="Ho Mun Ward"/>
    <s v="MMR015009701504"/>
    <x v="142"/>
    <x v="145"/>
    <x v="114"/>
    <n v="24.006789000000001"/>
    <n v="814"/>
    <n v="26"/>
    <n v="111"/>
    <n v="4.2692307692307692"/>
    <x v="0"/>
    <x v="0"/>
    <x v="0"/>
    <x v="2"/>
    <d v="2014-04-05T00:00:00"/>
    <m/>
    <x v="5"/>
    <s v="IP"/>
    <m/>
    <d v="2016-01-28T00:00:00"/>
    <s v="28/Jan/2016. Population update. Data source: KBC (mail by maran)_x000a_19-Aug-15 (Population update. Source: MKSS-LSO)_x000a_25-Jun-15 (Population update. Source: KMSS-LSO)_x000a_Population Update. Source: Save The Children."/>
    <s v="P4"/>
    <n v="0"/>
    <m/>
    <n v="0"/>
    <s v="Muse Town"/>
    <n v="2.1362355825722226"/>
    <n v="1"/>
  </r>
  <r>
    <x v="1"/>
    <x v="0"/>
    <s v="MMR001"/>
    <s v="Bhamo"/>
    <s v="MMR001D003"/>
    <x v="1"/>
    <s v="MMR001010"/>
    <s v="Bhamo Town"/>
    <s v="MMR001010701"/>
    <s v="Pauk Kone Ward"/>
    <s v="MMR001010701506"/>
    <x v="143"/>
    <x v="146"/>
    <x v="115"/>
    <n v="24.253067000000001"/>
    <n v="0"/>
    <n v="23"/>
    <n v="86"/>
    <n v="3.7391304347826089"/>
    <x v="0"/>
    <x v="0"/>
    <x v="0"/>
    <x v="2"/>
    <d v="2012-10-01T00:00:00"/>
    <n v="1"/>
    <x v="4"/>
    <s v="IP"/>
    <m/>
    <d v="2015-11-09T00:00:00"/>
    <s v="9/Nov/15. Population update. Data source: monthly report by HAP._x000a_19-Aug-15 Population update. Source Shalom._x000a_25-Jun-15 Population update. Source Shalom_x000a_Population update: Source: Camp Profile Round 2."/>
    <s v="P4"/>
    <n v="5"/>
    <m/>
    <n v="5"/>
    <s v="Bhamo Town"/>
    <n v="0.20824727902294948"/>
    <n v="1"/>
  </r>
  <r>
    <x v="0"/>
    <x v="0"/>
    <s v="MMR001"/>
    <s v="Myitkyina"/>
    <s v="MMR001D001"/>
    <x v="6"/>
    <s v="MMR001001"/>
    <s v="Myitkyina Town"/>
    <s v="MMR001001701"/>
    <s v="Myay Myint Ward"/>
    <s v="MMR001001701517"/>
    <x v="144"/>
    <x v="147"/>
    <x v="116"/>
    <n v="25.387862999999999"/>
    <n v="0"/>
    <n v="0"/>
    <n v="0"/>
    <s v="NA"/>
    <x v="0"/>
    <x v="0"/>
    <x v="0"/>
    <x v="2"/>
    <d v="2011-10-01T00:00:00"/>
    <n v="1"/>
    <x v="4"/>
    <s v="IP"/>
    <m/>
    <d v="2015-06-25T00:00:00"/>
    <s v="25-Jun-15 Relocate to Shatapru Thida Aye Baptist Church_x000a_Population update: Source: Camp Profile Round 2."/>
    <s v="P4"/>
    <n v="0"/>
    <m/>
    <n v="0"/>
    <s v="Myitkyina Town"/>
    <n v="1.3751794210741128"/>
    <n v="1"/>
  </r>
  <r>
    <x v="1"/>
    <x v="0"/>
    <s v="MMR001"/>
    <s v="Bhamo"/>
    <s v="MMR001D003"/>
    <x v="5"/>
    <s v="MMR001012"/>
    <s v="Myo Thit"/>
    <s v="MMR001012010"/>
    <s v="Myo Thit"/>
    <n v="167048"/>
    <x v="145"/>
    <x v="148"/>
    <x v="117"/>
    <n v="24.404876999999999"/>
    <m/>
    <n v="13"/>
    <n v="53"/>
    <n v="4.0769230769230766"/>
    <x v="0"/>
    <x v="0"/>
    <x v="1"/>
    <x v="1"/>
    <m/>
    <m/>
    <x v="0"/>
    <s v="RRD"/>
    <m/>
    <d v="2014-06-13T00:00:00"/>
    <s v="Geo-Info, HH/Pop data was updated from Google Earth."/>
    <s v="P4"/>
    <n v="0"/>
    <m/>
    <n v="0"/>
    <s v="Momauk Town"/>
    <n v="17.689123339899055"/>
    <n v="4"/>
  </r>
  <r>
    <x v="0"/>
    <x v="0"/>
    <s v="MMR001"/>
    <s v="Bhamo"/>
    <s v="MMR001D003"/>
    <x v="2"/>
    <s v="MMR001013"/>
    <s v="Man Wein"/>
    <s v="MMR001013021"/>
    <m/>
    <m/>
    <x v="146"/>
    <x v="149"/>
    <x v="6"/>
    <m/>
    <m/>
    <n v="0"/>
    <n v="0"/>
    <s v="NA"/>
    <x v="1"/>
    <x v="0"/>
    <x v="0"/>
    <x v="0"/>
    <m/>
    <m/>
    <x v="0"/>
    <s v="IP"/>
    <m/>
    <d v="2014-04-08T00:00:00"/>
    <s v="Closed. Move to Bum Tist Pa II and Man Wing. HH113/Pop837"/>
    <s v=""/>
    <n v="0"/>
    <m/>
    <n v="0"/>
    <s v=""/>
    <s v=""/>
    <s v=""/>
  </r>
  <r>
    <x v="1"/>
    <x v="1"/>
    <s v="MMR015"/>
    <s v="Muse"/>
    <s v="MMR015D002"/>
    <x v="17"/>
    <s v="MMR015010"/>
    <s v="Nawng Hkam"/>
    <s v="MMR015010010"/>
    <s v="Nawng Hkam"/>
    <n v="208353"/>
    <x v="147"/>
    <x v="150"/>
    <x v="118"/>
    <n v="23.821380000000001"/>
    <n v="811.6"/>
    <n v="82"/>
    <n v="408"/>
    <n v="4.975609756097561"/>
    <x v="0"/>
    <x v="0"/>
    <x v="0"/>
    <x v="2"/>
    <d v="2013-12-01T00:00:00"/>
    <n v="2"/>
    <x v="1"/>
    <s v="IP"/>
    <m/>
    <d v="2016-01-28T00:00:00"/>
    <s v="28/Jan/2016. Population update. Data source: KBC (mail by maran)_x000a_2/Dec/2015. Population update. Data source: KBC_x000a_25-Jun-15 Population update. Source: KBC_x000a_Population Update. Source: Save The Children."/>
    <s v="P3"/>
    <n v="0"/>
    <m/>
    <n v="0"/>
    <s v="Namhkan Town"/>
    <n v="1.7369508287203668"/>
    <n v="1"/>
  </r>
  <r>
    <x v="1"/>
    <x v="1"/>
    <s v="MMR015"/>
    <s v="Muse"/>
    <s v="MMR015D002"/>
    <x v="17"/>
    <s v="MMR015010"/>
    <s v="Nawng Hkam"/>
    <s v="MMR015010010"/>
    <s v="Nawng Hkam"/>
    <n v="208353"/>
    <x v="148"/>
    <x v="151"/>
    <x v="119"/>
    <n v="23.828520000000001"/>
    <n v="740"/>
    <n v="68"/>
    <n v="376"/>
    <n v="5.5294117647058822"/>
    <x v="0"/>
    <x v="0"/>
    <x v="0"/>
    <x v="2"/>
    <d v="2011-12-01T00:00:00"/>
    <n v="2"/>
    <x v="1"/>
    <s v="IP"/>
    <m/>
    <d v="2016-01-28T00:00:00"/>
    <s v="28/Jan/2016. Population update. Data source: KBC (mail by maran)_x000a_2/Dec/2015. Population update. Data source: KBC_x000a_25-Jun-15 Population update. Source: KBC_x000a_Population Update. Source: Save The Children."/>
    <s v="P3"/>
    <n v="38"/>
    <m/>
    <n v="38"/>
    <s v="Namhkan Town"/>
    <n v="1.5619149693996526"/>
    <n v="1"/>
  </r>
  <r>
    <x v="1"/>
    <x v="1"/>
    <s v="MMR015"/>
    <s v="Muse"/>
    <s v="MMR015D002"/>
    <x v="17"/>
    <s v="MMR015010"/>
    <s v="Nawng Hkam"/>
    <s v="MMR015010010"/>
    <s v="Nawng Hkam"/>
    <n v="208353"/>
    <x v="149"/>
    <x v="152"/>
    <x v="120"/>
    <n v="23.841646999999998"/>
    <n v="798"/>
    <n v="41"/>
    <n v="225"/>
    <n v="5.4878048780487809"/>
    <x v="0"/>
    <x v="0"/>
    <x v="0"/>
    <x v="2"/>
    <d v="2014-11-04T00:00:00"/>
    <m/>
    <x v="1"/>
    <s v="IP"/>
    <m/>
    <d v="2016-01-28T00:00:00"/>
    <s v="28/Jan/2016. Population update. Data source: KBC (mail by maran)_x000a_2/Dec/2015. Population update. Data source: KBC_x000a_25-Jun-15 Population update. Source: KBC_x000a_Population Update. Source: Save The Children."/>
    <s v="P4"/>
    <n v="4"/>
    <m/>
    <n v="4"/>
    <s v="Namhkan Town"/>
    <n v="2.0141034419413328"/>
    <n v="1"/>
  </r>
  <r>
    <x v="1"/>
    <x v="1"/>
    <s v="MMR015"/>
    <s v="Muse"/>
    <s v="MMR015D002"/>
    <x v="17"/>
    <s v="MMR015010"/>
    <s v="Nawng Hkam"/>
    <s v="MMR015010010"/>
    <s v="Nawng Hkam"/>
    <n v="208353"/>
    <x v="150"/>
    <x v="153"/>
    <x v="121"/>
    <n v="23.828150000000001"/>
    <n v="751.8"/>
    <n v="48"/>
    <n v="218"/>
    <n v="4.541666666666667"/>
    <x v="0"/>
    <x v="0"/>
    <x v="0"/>
    <x v="2"/>
    <d v="2011-12-01T00:00:00"/>
    <m/>
    <x v="5"/>
    <s v="IP"/>
    <m/>
    <d v="2016-01-28T00:00:00"/>
    <s v="28/Jan/2016. Population update. Data source: KBC (mail by maran)_x000a_19-Aug-15 (Population update. Source: KMSS-LSO)_x000a_25-Jun-15 (Population update. Source: KMSS-LSO)_x000a_Population update. Changed NGCA to GCA. Source: CCCM Unit"/>
    <s v="P3"/>
    <n v="48"/>
    <m/>
    <n v="48"/>
    <s v="Namhkan Town"/>
    <n v="1.5239325151406049"/>
    <n v="1"/>
  </r>
  <r>
    <x v="0"/>
    <x v="1"/>
    <s v="MMR015"/>
    <s v="Muse"/>
    <s v="MMR015D002"/>
    <x v="17"/>
    <s v="MMR015010"/>
    <s v="Nawng Hkam"/>
    <s v="MMR015010010"/>
    <s v="Nawng Hkam"/>
    <n v="208353"/>
    <x v="151"/>
    <x v="154"/>
    <x v="122"/>
    <n v="23.82152"/>
    <n v="813.4"/>
    <n v="0"/>
    <n v="0"/>
    <s v="NA"/>
    <x v="1"/>
    <x v="0"/>
    <x v="0"/>
    <x v="0"/>
    <m/>
    <m/>
    <x v="3"/>
    <s v="IP"/>
    <m/>
    <d v="2014-03-14T00:00:00"/>
    <s v="Closed. Source Cluster Coordinator"/>
    <s v=""/>
    <n v="0"/>
    <m/>
    <n v="0"/>
    <s v=""/>
    <s v=""/>
    <s v=""/>
  </r>
  <r>
    <x v="0"/>
    <x v="1"/>
    <s v="MMR015"/>
    <s v="Muse"/>
    <s v="MMR015D002"/>
    <x v="17"/>
    <s v="MMR015010"/>
    <s v="Nawng Hkam"/>
    <s v="MMR015010010"/>
    <s v="Nawng Hkam"/>
    <n v="208353"/>
    <x v="152"/>
    <x v="155"/>
    <x v="6"/>
    <m/>
    <m/>
    <n v="0"/>
    <n v="0"/>
    <s v="NA"/>
    <x v="1"/>
    <x v="0"/>
    <x v="0"/>
    <x v="0"/>
    <m/>
    <m/>
    <x v="0"/>
    <s v="IP"/>
    <m/>
    <d v="2014-03-03T00:00:00"/>
    <s v="Closed. Same with (Nam Hkam Catholic Church  St. Thomas II)"/>
    <s v=""/>
    <n v="0"/>
    <m/>
    <n v="0"/>
    <s v=""/>
    <s v=""/>
    <s v=""/>
  </r>
  <r>
    <x v="0"/>
    <x v="1"/>
    <s v="MMR015"/>
    <s v="Muse"/>
    <s v="MMR015D002"/>
    <x v="10"/>
    <s v="MMR015009"/>
    <s v="Man Nway (Pang Hseng (Kyu Koke)) Sub-township"/>
    <s v="MMR015009036"/>
    <s v="Nam Hkawng Khu"/>
    <n v="208182"/>
    <x v="153"/>
    <x v="156"/>
    <x v="6"/>
    <m/>
    <n v="0"/>
    <m/>
    <m/>
    <s v="NA"/>
    <x v="1"/>
    <x v="0"/>
    <x v="0"/>
    <x v="1"/>
    <d v="2011-09-01T00:00:00"/>
    <n v="1"/>
    <x v="1"/>
    <s v="IP"/>
    <m/>
    <d v="2016-03-03T00:00:00"/>
    <s v="3/Mar/2016. Closed camp. Data source: January report from KBC_x000a_28/Jan/2016. Population update. Data source: KBC (mail by maran)_x000a_2/Dec/2015. Population update. Data source: KBC_x000a_25-Jun-15 Population update. Source: KBC_x000a_Update population. Source: Camp Profile."/>
    <s v="P2"/>
    <n v="0"/>
    <m/>
    <n v="0"/>
    <s v=""/>
    <s v=""/>
    <s v=""/>
  </r>
  <r>
    <x v="1"/>
    <x v="1"/>
    <s v="MMR015"/>
    <s v="Muse"/>
    <s v="MMR015D003"/>
    <x v="10"/>
    <s v="MMR015019"/>
    <s v="Mone Paw Nam Chet (Zay) (Pang Hseng (Kyu Koke)) Sub-township"/>
    <s v="MMR015009033"/>
    <s v="Mone Paw Nam Chet"/>
    <n v="208167"/>
    <x v="154"/>
    <x v="157"/>
    <x v="123"/>
    <n v="23.978088"/>
    <m/>
    <n v="6"/>
    <m/>
    <n v="0"/>
    <x v="0"/>
    <x v="0"/>
    <x v="1"/>
    <x v="1"/>
    <m/>
    <m/>
    <x v="0"/>
    <m/>
    <m/>
    <d v="2014-03-03T00:00:00"/>
    <s v="Change to Host Families."/>
    <s v="P3"/>
    <n v="0"/>
    <m/>
    <n v="0"/>
    <s v="Pang Hseng (Kyu Koke) Town"/>
    <n v="12.794700705104317"/>
    <n v="3"/>
  </r>
  <r>
    <x v="1"/>
    <x v="1"/>
    <s v="MMR015"/>
    <s v="Muse"/>
    <s v="MMR015D002"/>
    <x v="7"/>
    <s v="MMR015011"/>
    <s v="Nam Hpat Kar"/>
    <s v="MMR015011020"/>
    <s v="Nam Hpat Kar (Ho Pon + Pang Sa Lorp)"/>
    <m/>
    <x v="155"/>
    <x v="158"/>
    <x v="124"/>
    <n v="23.694130000000001"/>
    <n v="1135.7"/>
    <n v="71"/>
    <n v="278"/>
    <n v="3.915492957746479"/>
    <x v="0"/>
    <x v="0"/>
    <x v="0"/>
    <x v="1"/>
    <d v="2011-12-01T00:00:00"/>
    <n v="1"/>
    <x v="1"/>
    <s v="IP"/>
    <m/>
    <d v="2016-01-28T00:00:00"/>
    <s v="28/Jan/2016. Population update. Data source: KBC (mail by maran)_x000a_2/Dec/2015. Population update. Data source: KBC_x000a_25-Jun-15 Population update. Source: KBC_x000a_Update population. Source: Camp Profile."/>
    <s v="P3"/>
    <n v="45"/>
    <m/>
    <n v="45"/>
    <s v="Namhkan Town"/>
    <n v="21.148671772283631"/>
    <n v="5"/>
  </r>
  <r>
    <x v="0"/>
    <x v="0"/>
    <s v="MMR001"/>
    <s v="Bhamo"/>
    <s v="MMR001D003"/>
    <x v="2"/>
    <s v="MMR001013"/>
    <s v="Nam Lin Pa"/>
    <s v="MMR001013037"/>
    <m/>
    <m/>
    <x v="156"/>
    <x v="159"/>
    <x v="125"/>
    <n v="23.75817"/>
    <n v="781.8"/>
    <n v="0"/>
    <n v="0"/>
    <s v="NA"/>
    <x v="1"/>
    <x v="0"/>
    <x v="0"/>
    <x v="1"/>
    <d v="2012-07-01T00:00:00"/>
    <m/>
    <x v="0"/>
    <s v="IP"/>
    <m/>
    <m/>
    <s v="Closed: Source UNHCR-Bhamo"/>
    <s v=""/>
    <n v="0"/>
    <m/>
    <n v="0"/>
    <s v=""/>
    <s v=""/>
    <s v=""/>
  </r>
  <r>
    <x v="0"/>
    <x v="0"/>
    <s v="MMR001"/>
    <s v="Bhamo"/>
    <s v="MMR001D003"/>
    <x v="2"/>
    <s v="MMR001013"/>
    <s v="Nam Lin Pa"/>
    <s v="MMR001013037"/>
    <m/>
    <m/>
    <x v="157"/>
    <x v="160"/>
    <x v="6"/>
    <m/>
    <m/>
    <n v="0"/>
    <n v="0"/>
    <s v="NA"/>
    <x v="1"/>
    <x v="0"/>
    <x v="0"/>
    <x v="0"/>
    <m/>
    <m/>
    <x v="0"/>
    <s v="IP"/>
    <m/>
    <m/>
    <s v="Closed: Source UNHCR-Bhamo"/>
    <s v=""/>
    <n v="0"/>
    <m/>
    <n v="0"/>
    <s v=""/>
    <s v=""/>
    <s v=""/>
  </r>
  <r>
    <x v="0"/>
    <x v="0"/>
    <s v="MMR001"/>
    <s v="Bhamo"/>
    <s v="MMR001D003"/>
    <x v="2"/>
    <s v="MMR001013"/>
    <s v="Nam Lin Pa"/>
    <s v="MMR001013037"/>
    <m/>
    <m/>
    <x v="158"/>
    <x v="161"/>
    <x v="125"/>
    <n v="23.75817"/>
    <m/>
    <n v="0"/>
    <n v="0"/>
    <s v="NA"/>
    <x v="1"/>
    <x v="0"/>
    <x v="0"/>
    <x v="0"/>
    <m/>
    <m/>
    <x v="0"/>
    <s v="IRRC"/>
    <m/>
    <m/>
    <s v="This IDP are registered in Nam Lim pa (Boarder) (MMR001CMP204). We should not calculate this number in total. "/>
    <s v=""/>
    <n v="0"/>
    <m/>
    <n v="0"/>
    <s v=""/>
    <s v=""/>
    <s v=""/>
  </r>
  <r>
    <x v="1"/>
    <x v="0"/>
    <s v="MMR001"/>
    <s v="Mohnyin"/>
    <s v="MMR001D002"/>
    <x v="0"/>
    <s v="MMR001009"/>
    <s v="Nam Ma Hpyit"/>
    <s v="MMR001009002"/>
    <s v="Nam Ma Hpyit"/>
    <n v="166776"/>
    <x v="159"/>
    <x v="162"/>
    <x v="126"/>
    <n v="25.617998"/>
    <m/>
    <n v="17"/>
    <n v="64"/>
    <n v="3.7647058823529411"/>
    <x v="0"/>
    <x v="0"/>
    <x v="0"/>
    <x v="2"/>
    <d v="2013-01-01T00:00:00"/>
    <n v="1"/>
    <x v="4"/>
    <s v="IP"/>
    <m/>
    <d v="2015-11-09T00:00:00"/>
    <s v="9/Nov/15. Population update. Data source: monthly report by HAP._x000a_14-Oct-15 Population update. Soruce; Hpakant Mission Report_WFP_x000a_25-Jun-15 (Population update. Source Shalom)_x000a_2-Apr-15 (Population update, Source: UNHCR CCCM Mission)_x000a_Population update: Source: Camp Profile Round 2."/>
    <s v="P4"/>
    <n v="2"/>
    <m/>
    <n v="2"/>
    <s v="Hpakant Town"/>
    <n v="2.814225084976667"/>
    <n v="1"/>
  </r>
  <r>
    <x v="1"/>
    <x v="1"/>
    <s v="MMR015"/>
    <s v="Lashio"/>
    <s v="MMR015D001"/>
    <x v="18"/>
    <s v="MMR015002"/>
    <s v="Nam Sa Larp"/>
    <s v="MMR015002021"/>
    <s v="Nam Sa Larp"/>
    <n v="206352"/>
    <x v="160"/>
    <x v="163"/>
    <x v="127"/>
    <n v="23.354268999999999"/>
    <m/>
    <n v="44"/>
    <n v="273"/>
    <n v="6.2045454545454541"/>
    <x v="0"/>
    <x v="0"/>
    <x v="0"/>
    <x v="1"/>
    <m/>
    <m/>
    <x v="1"/>
    <s v="IP"/>
    <m/>
    <d v="2016-01-28T00:00:00"/>
    <s v="28/Jan/2016. Population update. Data source: KBC (mail by maran)_x000a_19-Aug-15 Population update. Source KBC._x000a_25-Jun-15 New camp. Data Source : KBC"/>
    <m/>
    <n v="9"/>
    <m/>
    <n v="9"/>
    <s v=""/>
    <s v=""/>
    <s v=""/>
  </r>
  <r>
    <x v="1"/>
    <x v="1"/>
    <s v="MMR015"/>
    <s v="Kyaukme"/>
    <s v="MMR015D003"/>
    <x v="19"/>
    <s v="MMR015015"/>
    <s v="Namtu Town"/>
    <s v="MMR015015701"/>
    <s v="Namtu Ward"/>
    <s v="MMR015015701501"/>
    <x v="161"/>
    <x v="164"/>
    <x v="128"/>
    <n v="23.094290000000001"/>
    <n v="534.29999999999995"/>
    <n v="10"/>
    <n v="41"/>
    <n v="4.0999999999999996"/>
    <x v="0"/>
    <x v="0"/>
    <x v="0"/>
    <x v="2"/>
    <d v="2012-04-01T00:00:00"/>
    <n v="1"/>
    <x v="1"/>
    <s v="IP"/>
    <m/>
    <d v="2016-01-28T00:00:00"/>
    <s v="28/Jan/2016. Population update. Data source: KBC (mail by maran)_x000a_2/Dec/2015. Population update. Data source: KBC_x000a_25-Jun-15 Population update. Source: KBC_x000a_Update population. Source: Camp Profile."/>
    <s v="P3"/>
    <n v="0"/>
    <m/>
    <n v="0"/>
    <s v="Namtu Town"/>
    <n v="0.37588352961435612"/>
    <n v="1"/>
  </r>
  <r>
    <x v="1"/>
    <x v="1"/>
    <s v="MMR015"/>
    <s v="Kyaukme"/>
    <s v="MMR015D003"/>
    <x v="19"/>
    <s v="MMR015015"/>
    <s v="Namtu Town"/>
    <s v="MMR015015701"/>
    <s v="Namtu Ward"/>
    <s v="MMR015015701501"/>
    <x v="162"/>
    <x v="165"/>
    <x v="129"/>
    <n v="23.088058"/>
    <n v="1948"/>
    <n v="118"/>
    <n v="520"/>
    <n v="4.406779661016949"/>
    <x v="0"/>
    <x v="0"/>
    <x v="1"/>
    <x v="2"/>
    <m/>
    <m/>
    <x v="0"/>
    <s v="IP"/>
    <m/>
    <d v="2014-09-01T00:00:00"/>
    <s v="Change to Host Families. Source: Programme Unit."/>
    <s v="P3"/>
    <n v="0"/>
    <m/>
    <n v="0"/>
    <s v="Namtu Town"/>
    <n v="0.63626694856259092"/>
    <n v="1"/>
  </r>
  <r>
    <x v="1"/>
    <x v="1"/>
    <s v="MMR015"/>
    <s v="Muse"/>
    <s v="MMR015D002"/>
    <x v="17"/>
    <s v="MMR015010"/>
    <s v="Ho Nar"/>
    <s v="MMR015010002"/>
    <s v="Pang Long"/>
    <n v="208338"/>
    <x v="163"/>
    <x v="166"/>
    <x v="130"/>
    <n v="23.838190000000001"/>
    <n v="829.8"/>
    <n v="141"/>
    <n v="669"/>
    <n v="4.7446808510638299"/>
    <x v="0"/>
    <x v="0"/>
    <x v="0"/>
    <x v="2"/>
    <d v="2014-04-18T00:00:00"/>
    <m/>
    <x v="1"/>
    <s v="IP"/>
    <m/>
    <d v="2016-01-28T00:00:00"/>
    <s v="28/Jan/2016. Population update. Data source: KBC (mail by maran)_x000a_2/Dec/2015. Population update. Data source: KBC_x000a_25-Jun-15 Population update. Source: KBC_x000a_Population Update. Source: Save The Children."/>
    <s v="P4"/>
    <n v="69"/>
    <m/>
    <n v="69"/>
    <s v="Namhkan Town"/>
    <n v="2.8590638493982405"/>
    <n v="1"/>
  </r>
  <r>
    <x v="1"/>
    <x v="0"/>
    <s v="MMR001"/>
    <s v="Myitkyina"/>
    <s v="MMR001D001"/>
    <x v="6"/>
    <s v="MMR001001"/>
    <s v="Nam Koi"/>
    <s v="MMR001001005"/>
    <s v="Nam Koi"/>
    <n v="165695"/>
    <x v="164"/>
    <x v="167"/>
    <x v="131"/>
    <n v="25.410569299999999"/>
    <m/>
    <n v="69"/>
    <n v="325"/>
    <n v="4.7101449275362315"/>
    <x v="0"/>
    <x v="0"/>
    <x v="0"/>
    <x v="2"/>
    <d v="2012-01-01T00:00:00"/>
    <m/>
    <x v="2"/>
    <s v="IP"/>
    <m/>
    <d v="2016-01-28T00:00:00"/>
    <s v="28/Jan/2016. Population update. Data source: KBC (mail by maran)_x000a_23-Oct-15 (Population update. Data source: Monthly report by KMSS-MYT). Reason for changes; Arrive from the Daily Work._x000a_19-Aug-15 (Population update. Data Source: KMSS-MYT) _x000a_25-Jun-15 (Population update. Source: KMSS-MYT)"/>
    <s v="P4"/>
    <n v="2"/>
    <m/>
    <n v="2"/>
    <s v="Myitkyina Town"/>
    <n v="4.037940696665812"/>
    <n v="1"/>
  </r>
  <r>
    <x v="1"/>
    <x v="0"/>
    <s v="MMR001"/>
    <s v="Bhamo"/>
    <s v="MMR001D003"/>
    <x v="1"/>
    <s v="MMR001010"/>
    <s v="Nam Hlaing"/>
    <s v="MMR001010015"/>
    <s v="Nam Hlaing"/>
    <n v="166844"/>
    <x v="165"/>
    <x v="168"/>
    <x v="132"/>
    <n v="24.32638"/>
    <m/>
    <n v="20"/>
    <n v="103"/>
    <n v="5.15"/>
    <x v="0"/>
    <x v="0"/>
    <x v="0"/>
    <x v="2"/>
    <d v="2011-11-01T00:00:00"/>
    <n v="2"/>
    <x v="3"/>
    <s v="IP"/>
    <m/>
    <d v="2016-01-28T00:00:00"/>
    <s v="28/Jan/2016. Population update. Data source: KBC (mail by maran)_x000a_19-Aug-2015. Update Population. Data Source; KMSS-BMO_x000a_Update population. Source UNHCR Bhamo"/>
    <s v="P4"/>
    <n v="10"/>
    <m/>
    <n v="10"/>
    <s v="Momauk Town"/>
    <n v="8.3788619521763046"/>
    <n v="2"/>
  </r>
  <r>
    <x v="1"/>
    <x v="0"/>
    <s v="MMR001"/>
    <s v="Mohnyin"/>
    <s v="MMR001D002"/>
    <x v="0"/>
    <s v="MMR001009"/>
    <s v="Nam Ma Hpyit"/>
    <s v="MMR001009002"/>
    <s v="Nam Ma Hpyit"/>
    <n v="166776"/>
    <x v="166"/>
    <x v="169"/>
    <x v="133"/>
    <n v="25.613894999999999"/>
    <n v="251"/>
    <n v="54"/>
    <n v="254"/>
    <n v="4.7037037037037033"/>
    <x v="0"/>
    <x v="0"/>
    <x v="0"/>
    <x v="2"/>
    <d v="2013-08-01T00:00:00"/>
    <n v="3"/>
    <x v="2"/>
    <s v="IP"/>
    <m/>
    <d v="2016-01-28T00:00:00"/>
    <s v="28/Jan/2016. Population update. Data source: KBC (mail by maran)_x000a_23-Oct-15 (Population update. Data source: Monthly report by KMSS-MYT). Reason for changes; Travelling from the camp for Daily Worker._x000a_2-Oct-15 (Population update. Data Source: Monthly report by KMSS-MYT)_x000a_25-Jun-15 (Population update. Source: KMSS-MYT)_x000a_18-May-15 (Population update from field mission)_x000a_2-Apr-15 (Population update, Source: UNHCR CCCM Mission)"/>
    <s v="P4"/>
    <n v="0"/>
    <m/>
    <n v="0"/>
    <s v="Hpakant Town"/>
    <n v="2.9334852607184256"/>
    <n v="1"/>
  </r>
  <r>
    <x v="0"/>
    <x v="0"/>
    <s v="MMR001"/>
    <s v="Mohnyin"/>
    <s v="MMR001D002"/>
    <x v="8"/>
    <s v="MMR001007"/>
    <s v="Nam Mun"/>
    <s v="MMR001007016"/>
    <s v="Nam Mun"/>
    <n v="166591"/>
    <x v="167"/>
    <x v="170"/>
    <x v="134"/>
    <n v="24.998349999999999"/>
    <n v="0"/>
    <n v="0"/>
    <n v="0"/>
    <s v="NA"/>
    <x v="0"/>
    <x v="0"/>
    <x v="0"/>
    <x v="1"/>
    <d v="2012-03-01T00:00:00"/>
    <m/>
    <x v="1"/>
    <s v="RRD"/>
    <m/>
    <d v="2014-07-17T00:00:00"/>
    <s v="Closed. Duplicate with (Nawng Ing (Indawgyi) Baptist Church)"/>
    <s v="P4"/>
    <n v="0"/>
    <m/>
    <n v="0"/>
    <s v=""/>
    <s v=""/>
    <s v=""/>
  </r>
  <r>
    <x v="1"/>
    <x v="1"/>
    <s v="MMR015"/>
    <s v="Lashio"/>
    <s v="MMR015D001"/>
    <x v="18"/>
    <s v="MMR015002"/>
    <s v="Nar Tee"/>
    <s v="MMR015002029"/>
    <s v="Nar Tee"/>
    <n v="206422"/>
    <x v="168"/>
    <x v="171"/>
    <x v="135"/>
    <n v="23.372409999999999"/>
    <n v="617.6"/>
    <n v="67"/>
    <n v="392"/>
    <n v="5.8507462686567164"/>
    <x v="1"/>
    <x v="0"/>
    <x v="1"/>
    <x v="1"/>
    <d v="2013-04-01T00:00:00"/>
    <m/>
    <x v="0"/>
    <s v="IP"/>
    <m/>
    <d v="2014-03-03T00:00:00"/>
    <s v="Change to Host Families."/>
    <s v="P4"/>
    <n v="0"/>
    <m/>
    <n v="0"/>
    <s v="Kunlong Town"/>
    <n v="30.037709702375544"/>
    <n v="7"/>
  </r>
  <r>
    <x v="1"/>
    <x v="0"/>
    <s v="MMR001"/>
    <s v="Mohnyin"/>
    <s v="MMR001D002"/>
    <x v="12"/>
    <s v="MMR001008"/>
    <s v="Mogaung Town"/>
    <s v="MMR001008701"/>
    <s v="Nat Gyi Kone Ward"/>
    <s v="MMR001008701506"/>
    <x v="169"/>
    <x v="172"/>
    <x v="136"/>
    <n v="25.30442"/>
    <n v="100"/>
    <n v="14"/>
    <n v="44"/>
    <n v="3.1428571428571428"/>
    <x v="0"/>
    <x v="0"/>
    <x v="0"/>
    <x v="2"/>
    <d v="2012-03-01T00:00:00"/>
    <n v="1"/>
    <x v="1"/>
    <s v="IP"/>
    <m/>
    <d v="2016-01-28T00:00:00"/>
    <s v="28/Jan/2016. Population update. Data source: KBC (mail by maran)_x000a_19-Aug-15 Update population. Data Source: KBC._x000a_25-Jun-2015 Update population. Data Source: KBC_x000a_Update population according to KBC data"/>
    <s v="P4"/>
    <n v="0"/>
    <m/>
    <n v="0"/>
    <s v="Mogaung Town"/>
    <n v="0.86042374061342075"/>
    <n v="1"/>
  </r>
  <r>
    <x v="0"/>
    <x v="0"/>
    <s v="MMR001"/>
    <s v="Puta-O"/>
    <s v="MMR001D004"/>
    <x v="11"/>
    <s v="MMR001014"/>
    <s v="Lang Taung"/>
    <s v="MMR001014009"/>
    <s v="Nawng Hkaing"/>
    <n v="167567"/>
    <x v="170"/>
    <x v="173"/>
    <x v="137"/>
    <n v="27.270199999999999"/>
    <n v="372.9"/>
    <n v="0"/>
    <n v="0"/>
    <s v="NA"/>
    <x v="0"/>
    <x v="0"/>
    <x v="0"/>
    <x v="1"/>
    <d v="2013-08-01T00:00:00"/>
    <m/>
    <x v="0"/>
    <s v="IP"/>
    <m/>
    <d v="2014-03-27T00:00:00"/>
    <s v="25-Jun-15 (Relocated to Lone Sut)_x000a_Geo-Info, HH/Pop data received from MIRA Form"/>
    <s v="P3"/>
    <n v="0"/>
    <m/>
    <n v="0"/>
    <s v="Machanbaw Town"/>
    <n v="1.7005689699647559"/>
    <n v="1"/>
  </r>
  <r>
    <x v="1"/>
    <x v="0"/>
    <s v="MMR001"/>
    <s v="Myitkyina"/>
    <s v="MMR001D001"/>
    <x v="3"/>
    <s v="MMR001002"/>
    <s v="Ma Hkan Tee"/>
    <s v="MMR001002009"/>
    <s v="Nawng Hee"/>
    <n v="165745"/>
    <x v="171"/>
    <x v="174"/>
    <x v="138"/>
    <n v="25.351965"/>
    <m/>
    <n v="18"/>
    <n v="82"/>
    <n v="4.5555555555555554"/>
    <x v="0"/>
    <x v="0"/>
    <x v="0"/>
    <x v="1"/>
    <m/>
    <n v="1"/>
    <x v="4"/>
    <s v="IP"/>
    <m/>
    <d v="2016-01-18T00:00:00"/>
    <s v="28/Jan/2016. Population update. Data source: KBC (mail by maran)_x000a_19-Aug-15 Population update. Source: Shalom._x000a_Update population. Source: Camp Profile."/>
    <s v="P4"/>
    <n v="0"/>
    <m/>
    <n v="0"/>
    <s v="Myitkyina Town"/>
    <n v="6.0275881703713861"/>
    <n v="2"/>
  </r>
  <r>
    <x v="1"/>
    <x v="0"/>
    <s v="MMR001"/>
    <s v="Mohnyin"/>
    <s v="MMR001D002"/>
    <x v="8"/>
    <s v="MMR001007"/>
    <s v="Nam Mun"/>
    <s v="MMR001007016"/>
    <s v="Indawgyi"/>
    <m/>
    <x v="172"/>
    <x v="175"/>
    <x v="134"/>
    <n v="24.998349999999999"/>
    <m/>
    <n v="18"/>
    <n v="141"/>
    <n v="7.833333333333333"/>
    <x v="0"/>
    <x v="0"/>
    <x v="0"/>
    <x v="1"/>
    <m/>
    <n v="1"/>
    <x v="1"/>
    <s v="IP"/>
    <m/>
    <d v="2016-01-28T00:00:00"/>
    <s v="28/Jan/2016. Population update. Data source: KBC (mail by maran)_x000a_2/Dec/2015. Population update. Data source: KBC._x000a_19-Aug-15 Population update. Source: KBC._x000a_25-Jun-15 Population update. Source: KBC_x000a_Update population according to KBC data"/>
    <s v="P4"/>
    <n v="0"/>
    <m/>
    <n v="0"/>
    <s v="Hopin Town"/>
    <n v="16.668825701583572"/>
    <n v="4"/>
  </r>
  <r>
    <x v="0"/>
    <x v="0"/>
    <s v="MMR001"/>
    <s v="Myitkyina"/>
    <s v="MMR001D001"/>
    <x v="3"/>
    <s v="MMR001002"/>
    <s v="Nawng Si Paw"/>
    <s v="MMR001002013"/>
    <s v="Nawng Si Paw"/>
    <n v="165750"/>
    <x v="173"/>
    <x v="176"/>
    <x v="6"/>
    <m/>
    <m/>
    <n v="0"/>
    <n v="0"/>
    <s v="NA"/>
    <x v="0"/>
    <x v="0"/>
    <x v="0"/>
    <x v="0"/>
    <m/>
    <m/>
    <x v="0"/>
    <m/>
    <m/>
    <m/>
    <s v=" "/>
    <s v=""/>
    <n v="0"/>
    <m/>
    <n v="0"/>
    <s v=""/>
    <s v=""/>
    <s v=""/>
  </r>
  <r>
    <x v="1"/>
    <x v="0"/>
    <s v="MMR001"/>
    <s v="Puta-O"/>
    <s v="MMR001D004"/>
    <x v="20"/>
    <s v="MMR001015"/>
    <m/>
    <m/>
    <m/>
    <m/>
    <x v="174"/>
    <x v="177"/>
    <x v="139"/>
    <n v="26.569633"/>
    <m/>
    <n v="161"/>
    <n v="711"/>
    <n v="4.4161490683229809"/>
    <x v="0"/>
    <x v="0"/>
    <x v="0"/>
    <x v="0"/>
    <m/>
    <m/>
    <x v="0"/>
    <m/>
    <m/>
    <d v="2015-10-02T00:00:00"/>
    <s v="10/2/2015. New Camp. Data source: CCCM team-Ko Maran"/>
    <m/>
    <n v="161"/>
    <m/>
    <n v="161"/>
    <s v=""/>
    <s v=""/>
    <s v=""/>
  </r>
  <r>
    <x v="1"/>
    <x v="1"/>
    <s v="MMR015"/>
    <s v="Muse"/>
    <s v="MMR015D002"/>
    <x v="7"/>
    <s v="MMR015011"/>
    <s v="Kar Lai Kone Hsar"/>
    <s v="MMR015011005"/>
    <m/>
    <m/>
    <x v="175"/>
    <x v="178"/>
    <x v="140"/>
    <n v="23.264959999999999"/>
    <m/>
    <n v="105"/>
    <n v="568"/>
    <n v="5.4095238095238098"/>
    <x v="0"/>
    <x v="0"/>
    <x v="0"/>
    <x v="1"/>
    <d v="2015-02-01T00:00:00"/>
    <m/>
    <x v="0"/>
    <m/>
    <m/>
    <d v="2015-11-09T00:00:00"/>
    <s v="9/Nov/15. New added camp. Data source: UNHCR CCCM officer NSS mission 8-12 July 2015."/>
    <m/>
    <n v="105"/>
    <m/>
    <n v="105"/>
    <s v=""/>
    <s v=""/>
    <s v=""/>
  </r>
  <r>
    <x v="0"/>
    <x v="0"/>
    <s v="MMR001"/>
    <s v="Mohnyin"/>
    <s v="MMR001D002"/>
    <x v="0"/>
    <s v="MMR001009"/>
    <s v="Hpakan Town"/>
    <s v="MMR001009701"/>
    <s v="Hnget Pyaw Taw Ward"/>
    <s v="MMR001009701502"/>
    <x v="176"/>
    <x v="179"/>
    <x v="34"/>
    <n v="25.611160000000002"/>
    <n v="0"/>
    <n v="0"/>
    <n v="0"/>
    <s v="NA"/>
    <x v="0"/>
    <x v="0"/>
    <x v="0"/>
    <x v="2"/>
    <d v="2012-08-01T00:00:00"/>
    <n v="2"/>
    <x v="1"/>
    <s v="IP"/>
    <m/>
    <d v="2014-05-15T00:00:00"/>
    <s v="Closed.Moved to Na Ma Pyit KBC."/>
    <s v=""/>
    <n v="0"/>
    <m/>
    <n v="0"/>
    <s v=""/>
    <s v=""/>
    <s v=""/>
  </r>
  <r>
    <x v="0"/>
    <x v="0"/>
    <s v="MMR001"/>
    <s v="Mohnyin"/>
    <s v="MMR001D002"/>
    <x v="0"/>
    <s v="MMR001009"/>
    <s v="Hpakan Town"/>
    <s v="MMR001009701"/>
    <s v="Hnget Pyaw Taw Ward"/>
    <s v="MMR001009701502"/>
    <x v="177"/>
    <x v="180"/>
    <x v="141"/>
    <n v="25.611899999999999"/>
    <m/>
    <n v="0"/>
    <n v="0"/>
    <s v="NA"/>
    <x v="0"/>
    <x v="0"/>
    <x v="0"/>
    <x v="0"/>
    <m/>
    <m/>
    <x v="0"/>
    <m/>
    <m/>
    <m/>
    <s v=" "/>
    <s v=""/>
    <n v="0"/>
    <m/>
    <n v="0"/>
    <s v=""/>
    <s v=""/>
    <s v=""/>
  </r>
  <r>
    <x v="1"/>
    <x v="0"/>
    <s v="MMR001"/>
    <s v="Bhamo"/>
    <s v="MMR001D003"/>
    <x v="5"/>
    <s v="MMR001012"/>
    <s v="Ba Lawng Kawng (Lwegel Sub-township)"/>
    <s v="MMR001012030"/>
    <s v="Hpa Lum"/>
    <n v="167138"/>
    <x v="178"/>
    <x v="181"/>
    <x v="142"/>
    <n v="24.378167000000001"/>
    <n v="1149"/>
    <n v="375"/>
    <n v="1598"/>
    <n v="4.261333333333333"/>
    <x v="1"/>
    <x v="0"/>
    <x v="0"/>
    <x v="1"/>
    <d v="2012-04-01T00:00:00"/>
    <n v="2"/>
    <x v="3"/>
    <s v="IP"/>
    <m/>
    <d v="2016-02-16T00:00:00"/>
    <s v="16/Feb/2016. some HH increase as some IDP from Pa Kahtawng join as the camp is closer to village _x000a_28/Jan/2016. Population update. Data source: KBC (mail by maran)_x000a_19-Aug-2015. Update population. Data Source; KMSS-BMO_x000a_Population Update. Source: Save The Children."/>
    <s v="P1"/>
    <n v="0"/>
    <m/>
    <n v="0"/>
    <s v="Lwegel Town"/>
    <n v="20.558236360788097"/>
    <n v="5"/>
  </r>
  <r>
    <x v="1"/>
    <x v="0"/>
    <s v="MMR001"/>
    <s v="Bhamo"/>
    <s v="MMR001D003"/>
    <x v="5"/>
    <s v="MMR001012"/>
    <s v="Momauk Town"/>
    <s v="MMR001012701"/>
    <s v="Ah Lin Kawng Ward"/>
    <s v="MMR001012701502"/>
    <x v="179"/>
    <x v="182"/>
    <x v="143"/>
    <n v="24.253769999999999"/>
    <n v="0"/>
    <n v="24"/>
    <n v="89"/>
    <n v="3.7083333333333335"/>
    <x v="0"/>
    <x v="0"/>
    <x v="0"/>
    <x v="2"/>
    <d v="2011-10-01T00:00:00"/>
    <n v="1"/>
    <x v="4"/>
    <s v="IP"/>
    <m/>
    <d v="2015-11-09T00:00:00"/>
    <s v="9/Nov/15. Population update. Data source: monthly report by HAP._x000a_19-Aug-15 Population update. Source: Shalom_x000a_25-Jun-15 (Population update. Source : Shalom)_x000a_Population update: Source UNHCR-Bhamo"/>
    <s v="P4"/>
    <n v="0"/>
    <m/>
    <n v="0"/>
    <s v="Momauk Town"/>
    <n v="0.32830807173487342"/>
    <n v="1"/>
  </r>
  <r>
    <x v="1"/>
    <x v="0"/>
    <s v="MMR001"/>
    <s v="Myitkyina"/>
    <s v="MMR001D001"/>
    <x v="6"/>
    <s v="MMR001001"/>
    <s v="Myitkyina Town"/>
    <s v="MMR001001701"/>
    <s v="N Jang Dung"/>
    <m/>
    <x v="180"/>
    <x v="183"/>
    <x v="144"/>
    <n v="25.422194000000001"/>
    <n v="0"/>
    <n v="57"/>
    <n v="233"/>
    <n v="4.0877192982456139"/>
    <x v="0"/>
    <x v="0"/>
    <x v="0"/>
    <x v="2"/>
    <d v="2011-06-01T00:00:00"/>
    <n v="1"/>
    <x v="1"/>
    <s v="IP"/>
    <m/>
    <d v="2016-01-28T00:00:00"/>
    <s v="28/Jan/2016. Population update. Data source: KBC (mail by maran)_x000a_2/Dec/2015. Population update. Data source: KBC._x000a_19-Aug-15 Update population from KBC_x000a_25-Jun-2015 Update population from KBC._x000a_Checked with KBC data"/>
    <s v="P4"/>
    <n v="5"/>
    <m/>
    <n v="5"/>
    <s v="Myitkyina Town"/>
    <n v="3.8820329084732181"/>
    <n v="1"/>
  </r>
  <r>
    <x v="1"/>
    <x v="0"/>
    <s v="MMR001"/>
    <s v="Bhamo"/>
    <s v="MMR001D003"/>
    <x v="5"/>
    <s v="MMR001012"/>
    <s v="Wein  Hkam (Lwegel Sub-township)"/>
    <s v="MMR001012039"/>
    <m/>
    <m/>
    <x v="181"/>
    <x v="184"/>
    <x v="145"/>
    <n v="24.205417000000001"/>
    <n v="0"/>
    <n v="50"/>
    <n v="293"/>
    <n v="5.86"/>
    <x v="0"/>
    <x v="0"/>
    <x v="0"/>
    <x v="2"/>
    <d v="2012-08-01T00:00:00"/>
    <n v="1"/>
    <x v="1"/>
    <s v="IP"/>
    <m/>
    <d v="2016-01-28T00:00:00"/>
    <s v="28/Jan/2016. Population update. Data source: KBC (mail by maran)_x000a_2/Dec/2015. Population update. Data source: KBC_x000a_25-Jun-2015 Update population. Data Source: KBC_x000a_Population update: Source: Camp Profile Round 2."/>
    <s v="P3"/>
    <n v="5"/>
    <m/>
    <n v="5"/>
    <s v="Lwegel Town"/>
    <n v="0.77561767807574999"/>
    <n v="1"/>
  </r>
  <r>
    <x v="1"/>
    <x v="0"/>
    <s v="MMR001"/>
    <s v="Myitkyina"/>
    <s v="MMR001D001"/>
    <x v="6"/>
    <s v="MMR001001"/>
    <s v="Pa La Na Sa Khan Myar"/>
    <s v="MMR001001003"/>
    <s v="Pi Tauk Myaing"/>
    <n v="165685"/>
    <x v="182"/>
    <x v="185"/>
    <x v="146"/>
    <n v="25.493819999999999"/>
    <m/>
    <n v="45"/>
    <n v="262"/>
    <n v="5.822222222222222"/>
    <x v="0"/>
    <x v="0"/>
    <x v="0"/>
    <x v="2"/>
    <d v="2012-12-01T00:00:00"/>
    <m/>
    <x v="2"/>
    <s v="IP"/>
    <m/>
    <d v="2016-02-16T00:00:00"/>
    <s v="16/Feb/2016. Pop and HH correction._x000a_28/Jan/2016. Population update. Data source: KBC (mail by maran)_x000a_13/Dec/2015. Population update. Data source: Mail by Ko Maran. Reason for pop changes: Increased from Sumpra Bum area _x000a_2/Dec/2015 (Population update. Data source: Monthly report by KMSS_MYT). Reason for pop changes; Arrived at the camp from daily work and new arrival from sumprabum._x000a_23-Oct-15 (Pupulation update. Data Source: Monthly report by KMSS-MYT). Reason for changes; Increasing from Sumprabum._x000a_2-Oct-15 (Pupulation update. Data Source: KMSS-MYT) and NFI Distribution List (New arrival)_x000a_19-Aug-15 (Population update. Data source: KMSS-MYT)_x000a_25-Jun-15 (Population update. Source: KMSS-MYT)_x000a_Population Update. Source: KMSS-MYT"/>
    <s v="P4"/>
    <n v="1"/>
    <m/>
    <n v="1"/>
    <s v="Myitkyina Town"/>
    <n v="12.627188913244609"/>
    <n v="3"/>
  </r>
  <r>
    <x v="1"/>
    <x v="0"/>
    <s v="MMR001"/>
    <s v="Bhamo"/>
    <s v="MMR001D003"/>
    <x v="5"/>
    <s v="MMR001012"/>
    <s v="Kawng Hsa (Lwegel Sub-township)"/>
    <s v="MMR001012033"/>
    <s v="Mai Gyar Yang"/>
    <n v="216913"/>
    <x v="183"/>
    <x v="186"/>
    <x v="147"/>
    <n v="24.2744"/>
    <n v="978"/>
    <n v="677"/>
    <n v="3622"/>
    <n v="5.3500738552437221"/>
    <x v="1"/>
    <x v="0"/>
    <x v="0"/>
    <x v="1"/>
    <d v="2012-04-01T00:00:00"/>
    <n v="2"/>
    <x v="3"/>
    <s v="IP"/>
    <m/>
    <d v="2016-02-16T00:00:00"/>
    <s v="16/Feb/2016. some hh as they  join Nhkawng Pa camp which is closer to their village of origin_x000a_28/Jan/2016. Population update. Data source: KBC (mail by maran)_x000a_19-Aug-2015. Population Update. Data Source; KMSS-BMO_x000a_Population update: Source: Camp Profile Round 2."/>
    <s v="P2"/>
    <n v="0"/>
    <m/>
    <n v="0"/>
    <s v="Lwegel Town"/>
    <n v="8.953204937938569"/>
    <n v="2"/>
  </r>
  <r>
    <x v="1"/>
    <x v="0"/>
    <s v="MMR001"/>
    <s v="Myitkyina"/>
    <s v="MMR001D001"/>
    <x v="3"/>
    <s v="MMR001002"/>
    <s v="Sa Ma"/>
    <s v="MMR001002031"/>
    <s v="Pa Jau"/>
    <m/>
    <x v="184"/>
    <x v="187"/>
    <x v="148"/>
    <n v="24.831944"/>
    <n v="2330"/>
    <n v="191"/>
    <n v="768"/>
    <n v="4.0209424083769632"/>
    <x v="1"/>
    <x v="0"/>
    <x v="0"/>
    <x v="1"/>
    <d v="2011-07-01T00:00:00"/>
    <n v="3"/>
    <x v="1"/>
    <s v="IP"/>
    <m/>
    <d v="2016-01-28T00:00:00"/>
    <s v="28/Jan/2016. Population update. Data source: KBC (mail by maran)_x000a_2/Dec/2015. Population update. Data source: KBC_x000a_25-Jun-15 Population update. Source: KBC_x000a_Update population according to KBC data"/>
    <s v="P1"/>
    <n v="156"/>
    <m/>
    <n v="156"/>
    <s v="Laiza town"/>
    <n v="20.599512012485512"/>
    <n v="5"/>
  </r>
  <r>
    <x v="1"/>
    <x v="0"/>
    <s v="MMR001"/>
    <s v="Myitkyina"/>
    <s v="MMR001D001"/>
    <x v="4"/>
    <s v="MMR001005"/>
    <s v="Ma Gaung"/>
    <s v="MMR001005009"/>
    <m/>
    <m/>
    <x v="185"/>
    <x v="188"/>
    <x v="149"/>
    <n v="25.60867"/>
    <n v="2345"/>
    <n v="65"/>
    <n v="306"/>
    <n v="4.7076923076923078"/>
    <x v="0"/>
    <x v="0"/>
    <x v="0"/>
    <x v="1"/>
    <m/>
    <n v="1"/>
    <x v="2"/>
    <s v="IP"/>
    <m/>
    <d v="2016-01-28T00:00:00"/>
    <s v="28/Jan/2016. Population update. Data source: KBC (mail by maran)_x000a_2/Dec/2015 (population update. Data source: Monthly report by KMSS-MYT). _x000a_23-Oct-2015 (Population update. Data Source: Monthly report by KMSS-MYT). Reason for population changes; Travelling from the camp for Daily Worker._x000a_19-Aug-2015 (Population update. Data Source: KMSS-MYT)_x000a_2-Apr-15 (Population update, Source: UNHCR CCCM Mission)_x000a_New Camp. KMSS-MYT"/>
    <s v="P1"/>
    <n v="65"/>
    <m/>
    <n v="65"/>
    <s v="Pang War Town"/>
    <n v="0.18710270881855062"/>
    <n v="1"/>
  </r>
  <r>
    <x v="0"/>
    <x v="0"/>
    <s v="MMR001"/>
    <s v="Mohnyin"/>
    <s v="MMR001D002"/>
    <x v="0"/>
    <s v="MMR001009"/>
    <s v="Hpakan Town"/>
    <s v="MMR001009701"/>
    <s v="Myo Ma Ward"/>
    <s v="MMR001009701503"/>
    <x v="186"/>
    <x v="189"/>
    <x v="6"/>
    <m/>
    <m/>
    <n v="0"/>
    <n v="0"/>
    <s v="NA"/>
    <x v="0"/>
    <x v="0"/>
    <x v="0"/>
    <x v="0"/>
    <m/>
    <m/>
    <x v="0"/>
    <m/>
    <m/>
    <m/>
    <s v=" "/>
    <s v=""/>
    <n v="0"/>
    <m/>
    <n v="0"/>
    <s v=""/>
    <s v=""/>
    <s v=""/>
  </r>
  <r>
    <x v="1"/>
    <x v="0"/>
    <s v="MMR001"/>
    <s v="Bhamo"/>
    <s v="MMR001D003"/>
    <x v="1"/>
    <s v="MMR001010"/>
    <s v="Han Te"/>
    <s v="MMR001010024"/>
    <s v="Hpan Hkar Kone"/>
    <n v="166854"/>
    <x v="187"/>
    <x v="190"/>
    <x v="7"/>
    <n v="24.222349999999999"/>
    <n v="0"/>
    <n v="157"/>
    <n v="761"/>
    <n v="4.8471337579617835"/>
    <x v="0"/>
    <x v="0"/>
    <x v="0"/>
    <x v="2"/>
    <d v="2013-01-01T00:00:00"/>
    <n v="1"/>
    <x v="1"/>
    <s v="IP"/>
    <m/>
    <d v="2016-01-28T00:00:00"/>
    <s v="28/Jan/2016. Population update. Data source: KBC (mail by maran)_x000a_2/Dec/2015. Population update. Data source: KBC._x000a_25-Jun-15 Population update. Source: KBC_x000a_Population update: Source: Camp Profile Round 2."/>
    <s v="P4"/>
    <n v="31"/>
    <m/>
    <n v="31"/>
    <s v="Bhamo Town"/>
    <n v="4.067486452659054"/>
    <n v="1"/>
  </r>
  <r>
    <x v="1"/>
    <x v="0"/>
    <s v="MMR001"/>
    <s v="Bhamo"/>
    <s v="MMR001D003"/>
    <x v="5"/>
    <s v="MMR001012"/>
    <s v="Hpar Kei (Dawthponeyan Sub-township)"/>
    <s v="MMR001012046"/>
    <s v="Hpar Kei"/>
    <n v="167242"/>
    <x v="188"/>
    <x v="191"/>
    <x v="150"/>
    <n v="24.630859999999998"/>
    <m/>
    <n v="39"/>
    <n v="176"/>
    <n v="4.5128205128205128"/>
    <x v="0"/>
    <x v="0"/>
    <x v="1"/>
    <x v="1"/>
    <m/>
    <m/>
    <x v="0"/>
    <s v="RRD"/>
    <m/>
    <d v="2014-01-07T00:00:00"/>
    <s v="Update from OCHA Data (2 Jan 2014)"/>
    <s v="P4"/>
    <n v="0"/>
    <m/>
    <n v="0"/>
    <s v="Dawthponeyan  Town"/>
    <n v="3.6887624513681017"/>
    <n v="1"/>
  </r>
  <r>
    <x v="1"/>
    <x v="0"/>
    <s v="MMR001"/>
    <s v="Myitkyina"/>
    <s v="MMR001D001"/>
    <x v="3"/>
    <s v="MMR001002"/>
    <s v="Saga Pa (Sadung Sub-township)"/>
    <s v="MMR001002040"/>
    <m/>
    <m/>
    <x v="189"/>
    <x v="192"/>
    <x v="151"/>
    <n v="25.265277999999999"/>
    <n v="2764"/>
    <n v="108"/>
    <n v="647"/>
    <n v="5.9907407407407405"/>
    <x v="1"/>
    <x v="0"/>
    <x v="0"/>
    <x v="3"/>
    <d v="2011-11-01T00:00:00"/>
    <n v="2"/>
    <x v="2"/>
    <s v="IP"/>
    <m/>
    <d v="2016-01-28T00:00:00"/>
    <s v="28/Jan/2016. Population update. Data source: KBC (mail by maran)_x000a_2/Dec/2015 (Population update. Data source: Monthly report by KMSS_MYT). Reason for pop changes; Arrived at the camp and travelling from the camp for daily work._x000a_2-Oct-15 (Population update. Data source: Monthly report by KMSS-MYT)_x000a_19-Aug-15 (Population update. Data Source: KMSS-MYT)_x000a_25-Jun-15 (Population update. Source: KMSS-MYT)_x000a_Update population according to KBC data"/>
    <s v="P1"/>
    <n v="108"/>
    <m/>
    <n v="108"/>
    <s v="Sadung Town"/>
    <n v="17.035515422123492"/>
    <n v="4"/>
  </r>
  <r>
    <x v="1"/>
    <x v="0"/>
    <s v="MMR001"/>
    <s v="Myitkyina"/>
    <s v="MMR001D001"/>
    <x v="3"/>
    <s v="MMR001002"/>
    <s v="Waingmaw Town"/>
    <s v="MMR001002701"/>
    <s v="No (2) Ward"/>
    <s v="MMR001002701502"/>
    <x v="190"/>
    <x v="193"/>
    <x v="152"/>
    <n v="25.3540362037037"/>
    <n v="0"/>
    <n v="94"/>
    <n v="342"/>
    <n v="3.6382978723404253"/>
    <x v="0"/>
    <x v="0"/>
    <x v="0"/>
    <x v="2"/>
    <d v="2011-07-01T00:00:00"/>
    <n v="2"/>
    <x v="4"/>
    <s v="IP"/>
    <m/>
    <d v="2016-01-18T00:00:00"/>
    <s v="28/Jan/2016. Population update. Data source: KBC (mail by maran)_x000a_19-Aug-15 Population update. Source: Shalom._x000a_25-Jun-15 Population update. Source : Shalom."/>
    <s v="P4"/>
    <n v="0"/>
    <m/>
    <n v="0"/>
    <s v="Waingmaw Town"/>
    <n v="0.37684287609457234"/>
    <n v="1"/>
  </r>
  <r>
    <x v="1"/>
    <x v="0"/>
    <s v="MMR001"/>
    <s v="Myitkyina"/>
    <s v="MMR001D001"/>
    <x v="3"/>
    <s v="MMR001002"/>
    <s v="Waingmaw Town"/>
    <s v="MMR001002701"/>
    <s v="No (2) Ward"/>
    <s v="MMR001002701502"/>
    <x v="191"/>
    <x v="194"/>
    <x v="153"/>
    <n v="25.351724999999998"/>
    <n v="0"/>
    <n v="65"/>
    <n v="322"/>
    <n v="4.953846153846154"/>
    <x v="0"/>
    <x v="0"/>
    <x v="0"/>
    <x v="2"/>
    <d v="2011-06-01T00:00:00"/>
    <n v="2"/>
    <x v="1"/>
    <s v="IP"/>
    <m/>
    <d v="2016-01-28T00:00:00"/>
    <s v="28/Jan/2016. Population update. Data source: KBC (mail by maran)_x000a_2/Dec/2015 (Population update. Data source: Monthly report by KBC)._x000a_19-Aug-2015 Update population from KBC._x000a_25-Jun-2015 Update population from KBC._x000a_Checked with KBC data"/>
    <s v="P4"/>
    <n v="27"/>
    <m/>
    <n v="27"/>
    <s v="Waingmaw Town"/>
    <n v="0.4474205416025816"/>
    <n v="1"/>
  </r>
  <r>
    <x v="1"/>
    <x v="0"/>
    <s v="MMR001"/>
    <s v="Myitkyina"/>
    <s v="MMR001D001"/>
    <x v="3"/>
    <s v="MMR001002"/>
    <s v="Waingmaw Town"/>
    <s v="MMR001002701"/>
    <s v="No (3) Ward"/>
    <s v="MMR001002701503"/>
    <x v="192"/>
    <x v="195"/>
    <x v="154"/>
    <n v="25.345918166666699"/>
    <m/>
    <n v="31"/>
    <n v="171"/>
    <n v="5.5161290322580649"/>
    <x v="0"/>
    <x v="0"/>
    <x v="0"/>
    <x v="2"/>
    <d v="2011-06-01T00:00:00"/>
    <n v="1"/>
    <x v="4"/>
    <s v="IP"/>
    <m/>
    <d v="2016-01-18T00:00:00"/>
    <s v="28/Jan/2016. Population update. Data source: KBC (mail by maran)_x000a_25-Jun-15 Population update. Source : Shalom._x000a_Population update: Source: Camp Profile Round 2."/>
    <s v="P4"/>
    <n v="0"/>
    <m/>
    <n v="0"/>
    <s v="Waingmaw Town"/>
    <n v="0.77827912736780092"/>
    <n v="1"/>
  </r>
  <r>
    <x v="1"/>
    <x v="0"/>
    <s v="MMR001"/>
    <s v="Myitkyina"/>
    <s v="MMR001D001"/>
    <x v="3"/>
    <s v="MMR001002"/>
    <s v="Waingmaw Town"/>
    <s v="MMR001002701"/>
    <s v="No (4) Ward"/>
    <s v="MMR001002701504"/>
    <x v="193"/>
    <x v="196"/>
    <x v="155"/>
    <n v="25.350809000000002"/>
    <n v="0"/>
    <n v="91"/>
    <n v="484"/>
    <n v="5.3186813186813184"/>
    <x v="0"/>
    <x v="0"/>
    <x v="0"/>
    <x v="2"/>
    <d v="2012-02-01T00:00:00"/>
    <n v="1"/>
    <x v="4"/>
    <s v="IP"/>
    <m/>
    <d v="2016-01-18T00:00:00"/>
    <s v="28/Jan/2016. Population update. Data source: KBC (mail by maran)_x000a_9/Nov/15. Population update. Data source: monthly report by HAP._x000a_19-Aug-15 Population update. Source: Shalom._x000a_25-Jun-15 Population update. Source : Shalom._x000a_Population update: Source: Camp Profile Round 2."/>
    <s v="P4"/>
    <n v="0"/>
    <m/>
    <n v="0"/>
    <s v="Waingmaw Town"/>
    <n v="1.0367202051285227"/>
    <n v="1"/>
  </r>
  <r>
    <x v="1"/>
    <x v="0"/>
    <s v="MMR001"/>
    <s v="Mohnyin"/>
    <s v="MMR001D002"/>
    <x v="0"/>
    <s v="MMR001009"/>
    <s v="Seik Mu"/>
    <s v="MMR001009003"/>
    <s v="Maw Shan"/>
    <n v="166785"/>
    <x v="194"/>
    <x v="197"/>
    <x v="156"/>
    <n v="25.56551"/>
    <n v="259"/>
    <n v="10"/>
    <n v="39"/>
    <n v="3.9"/>
    <x v="0"/>
    <x v="0"/>
    <x v="0"/>
    <x v="1"/>
    <d v="2013-01-01T00:00:00"/>
    <n v="1"/>
    <x v="4"/>
    <s v="IP"/>
    <m/>
    <d v="2015-10-14T00:00:00"/>
    <s v="14-Oct-15 Population update. Soruce; Hpakant Mission Report_WFP_x000a_19-Aug-15 Population updae. Source: Shalom._x000a_25-Jun-15 (Population update. Source Shalom)_x000a_Population update: Source: Camp Profile Round 2."/>
    <s v="P4"/>
    <n v="0"/>
    <m/>
    <n v="0"/>
    <s v="Hpakant Town"/>
    <n v="6.2085564346706201"/>
    <n v="2"/>
  </r>
  <r>
    <x v="1"/>
    <x v="0"/>
    <s v="MMR001"/>
    <s v="Bhamo"/>
    <s v="MMR001D003"/>
    <x v="1"/>
    <s v="MMR001010"/>
    <s v="Bhamo Town"/>
    <s v="MMR001010701"/>
    <s v="Nyaung Pin Ward"/>
    <s v="MMR001010701508"/>
    <x v="195"/>
    <x v="198"/>
    <x v="157"/>
    <n v="24.268292826086999"/>
    <m/>
    <n v="652"/>
    <n v="3706"/>
    <n v="5.6840490797546011"/>
    <x v="0"/>
    <x v="0"/>
    <x v="0"/>
    <x v="2"/>
    <d v="2011-07-01T00:00:00"/>
    <n v="3"/>
    <x v="1"/>
    <s v="IP"/>
    <m/>
    <d v="2016-01-28T00:00:00"/>
    <s v="28/Jan/2016. Population update. Data source: KBC (mail by maran)_x000a_2/Dec/2015. Population update. Data source: KBC._x000a_25-Jun-2015 Update population. Data Source: KBC_x000a_Population update: Source: Camp Profile Round 2."/>
    <s v="P4"/>
    <n v="227"/>
    <m/>
    <n v="227"/>
    <s v="Bhamo Town"/>
    <n v="1.5797992800898704"/>
    <n v="1"/>
  </r>
  <r>
    <x v="0"/>
    <x v="0"/>
    <s v="MMR001"/>
    <s v="Mohnyin"/>
    <s v="MMR001D002"/>
    <x v="0"/>
    <s v="MMR001009"/>
    <m/>
    <m/>
    <m/>
    <m/>
    <x v="196"/>
    <x v="199"/>
    <x v="6"/>
    <m/>
    <m/>
    <n v="0"/>
    <n v="0"/>
    <s v="NA"/>
    <x v="0"/>
    <x v="0"/>
    <x v="0"/>
    <x v="0"/>
    <m/>
    <m/>
    <x v="0"/>
    <m/>
    <m/>
    <m/>
    <m/>
    <s v=""/>
    <n v="0"/>
    <m/>
    <n v="0"/>
    <s v=""/>
    <s v=""/>
    <s v=""/>
  </r>
  <r>
    <x v="1"/>
    <x v="0"/>
    <s v="MMR001"/>
    <s v="Mohnyin"/>
    <s v="MMR001D002"/>
    <x v="0"/>
    <s v="MMR001009"/>
    <s v="Lone Khin"/>
    <s v="MR001009001"/>
    <m/>
    <m/>
    <x v="197"/>
    <x v="200"/>
    <x v="158"/>
    <n v="25.668399999999998"/>
    <n v="0"/>
    <n v="8"/>
    <n v="40"/>
    <n v="5"/>
    <x v="0"/>
    <x v="0"/>
    <x v="0"/>
    <x v="1"/>
    <d v="2013-01-01T00:00:00"/>
    <n v="1"/>
    <x v="1"/>
    <s v="IP"/>
    <m/>
    <d v="2016-01-28T00:00:00"/>
    <s v="28/Jan/2016. Population update. Data source: KBC (mail by maran)_x000a_14-Oct-15 Population update. Soruce; Hpakant Mission Report_WFP_x000a_25-Jun-15 Population update. Source: KBC_x000a_2-Apr-15 (Population update, Source: UNHCR CCCM Mission)_x000a_Update population according to KBC data"/>
    <s v="P4"/>
    <n v="3"/>
    <m/>
    <n v="3"/>
    <s v="Hpakant Town"/>
    <n v="7.419312682373878"/>
    <n v="2"/>
  </r>
  <r>
    <x v="1"/>
    <x v="0"/>
    <s v="MMR001"/>
    <s v="Puta-O"/>
    <s v="MMR001D004"/>
    <x v="20"/>
    <s v="MMR001015"/>
    <m/>
    <m/>
    <m/>
    <m/>
    <x v="198"/>
    <x v="201"/>
    <x v="159"/>
    <n v="26.548506"/>
    <m/>
    <m/>
    <n v="489"/>
    <s v="NA"/>
    <x v="0"/>
    <x v="0"/>
    <x v="0"/>
    <x v="0"/>
    <m/>
    <m/>
    <x v="0"/>
    <m/>
    <m/>
    <d v="2015-10-02T00:00:00"/>
    <s v="10/2/2015. New Camp. Data source: CCCM team-Ko Maran"/>
    <m/>
    <n v="0"/>
    <m/>
    <n v="0"/>
    <s v=""/>
    <s v=""/>
    <s v=""/>
  </r>
  <r>
    <x v="0"/>
    <x v="0"/>
    <s v="MMR001"/>
    <s v="Mohnyin"/>
    <s v="MMR001D002"/>
    <x v="0"/>
    <s v="MMR001009"/>
    <m/>
    <m/>
    <m/>
    <m/>
    <x v="199"/>
    <x v="202"/>
    <x v="6"/>
    <m/>
    <m/>
    <n v="0"/>
    <n v="0"/>
    <s v="NA"/>
    <x v="0"/>
    <x v="0"/>
    <x v="0"/>
    <x v="0"/>
    <m/>
    <m/>
    <x v="0"/>
    <m/>
    <m/>
    <m/>
    <s v=" "/>
    <s v=""/>
    <n v="0"/>
    <m/>
    <n v="0"/>
    <s v=""/>
    <s v=""/>
    <s v=""/>
  </r>
  <r>
    <x v="1"/>
    <x v="0"/>
    <m/>
    <m/>
    <m/>
    <x v="12"/>
    <s v="MMR001008"/>
    <s v="Sar Hmaw"/>
    <s v="MMR001008018"/>
    <s v="Sar Hmaw"/>
    <n v="166724"/>
    <x v="200"/>
    <x v="203"/>
    <x v="6"/>
    <m/>
    <m/>
    <n v="24"/>
    <n v="83"/>
    <n v="3.4583333333333335"/>
    <x v="0"/>
    <x v="0"/>
    <x v="1"/>
    <x v="1"/>
    <d v="2015-05-01T00:00:00"/>
    <m/>
    <x v="0"/>
    <s v="RRD"/>
    <m/>
    <d v="2015-06-25T00:00:00"/>
    <s v="25-Jun-2015 (New host families. Source: RRD)"/>
    <m/>
    <n v="0"/>
    <m/>
    <n v="0"/>
    <s v=""/>
    <s v=""/>
    <s v=""/>
  </r>
  <r>
    <x v="1"/>
    <x v="0"/>
    <m/>
    <m/>
    <m/>
    <x v="12"/>
    <s v="MMR001008"/>
    <s v="Sar Hmaw"/>
    <s v="MMR001008018"/>
    <s v="Sar Hmaw"/>
    <n v="166724"/>
    <x v="201"/>
    <x v="204"/>
    <x v="6"/>
    <m/>
    <m/>
    <n v="39"/>
    <n v="163"/>
    <n v="4.1794871794871797"/>
    <x v="0"/>
    <x v="0"/>
    <x v="1"/>
    <x v="1"/>
    <d v="2015-05-01T00:00:00"/>
    <m/>
    <x v="0"/>
    <s v="RRD"/>
    <m/>
    <d v="2016-01-28T00:00:00"/>
    <s v="28/Jan/2016. Population update. Data source: KBC (mail by maran)_x000a_13/Dec/2015. Population update. Data source: Mail by Ko Maran. Reason for pop changes; The same number since March 2015 displacement but pp was divided between KBC and ICM churches. After setting up of a camp managed by KBC from August total population combined as it was. _x000a_2/Dec/2015. Population update. Data source: KBC._x000a_25-Jun-2015 (New host families. Source: RRD)"/>
    <m/>
    <n v="0"/>
    <m/>
    <n v="0"/>
    <s v=""/>
    <s v=""/>
    <s v=""/>
  </r>
  <r>
    <x v="1"/>
    <x v="0"/>
    <s v="MMR001"/>
    <s v="Myitkyina"/>
    <s v="MMR001D001"/>
    <x v="4"/>
    <s v="MMR001005"/>
    <m/>
    <m/>
    <m/>
    <m/>
    <x v="202"/>
    <x v="205"/>
    <x v="160"/>
    <n v="25.645959999999999"/>
    <n v="1945"/>
    <n v="30"/>
    <n v="181"/>
    <n v="6.0333333333333332"/>
    <x v="0"/>
    <x v="0"/>
    <x v="0"/>
    <x v="2"/>
    <m/>
    <m/>
    <x v="2"/>
    <s v="IP"/>
    <m/>
    <d v="2016-01-28T00:00:00"/>
    <s v="28/Jan/2016. Population update. Data source: KBC (mail by maran)_x000a_19-Aug-15 (Population update. Data Source: KMSS-MYT)_x000a_2-Apr-15 (Population update, Source: UNHCR CCCM Mission)_x000a_Population Update. Source: KMSS-MYT"/>
    <s v="P1"/>
    <n v="30"/>
    <m/>
    <n v="30"/>
    <s v="Naypyitaw Town"/>
    <n v="0"/>
    <n v="1"/>
  </r>
  <r>
    <x v="1"/>
    <x v="0"/>
    <s v="MMR001"/>
    <s v="Bhamo"/>
    <s v="MMR001D003"/>
    <x v="5"/>
    <s v="MMR001012"/>
    <s v="Wein  Hkam (Lwegel Sub-township)"/>
    <s v="MMR001012039"/>
    <m/>
    <m/>
    <x v="203"/>
    <x v="206"/>
    <x v="161"/>
    <n v="24.207332999999998"/>
    <n v="0"/>
    <n v="45"/>
    <n v="269"/>
    <n v="5.9777777777777779"/>
    <x v="0"/>
    <x v="0"/>
    <x v="0"/>
    <x v="2"/>
    <d v="2012-08-01T00:00:00"/>
    <n v="1"/>
    <x v="1"/>
    <s v="IP"/>
    <m/>
    <d v="2016-01-28T00:00:00"/>
    <s v="28/Jan/2016. Population update. Data source: KBC (mail by maran)_x000a_2/Dec/2015. Population update. Data source: KBC_x000a_25-Jun-2015 Update population. Data Source: KBC_x000a_Population update: Source: Camp Profile Round 2."/>
    <s v="P3"/>
    <n v="5"/>
    <m/>
    <n v="5"/>
    <s v="Lwegel Town"/>
    <n v="1.343152344964242"/>
    <n v="1"/>
  </r>
  <r>
    <x v="1"/>
    <x v="0"/>
    <s v="MMR001"/>
    <s v="Myitkyina"/>
    <s v="MMR001D001"/>
    <x v="6"/>
    <s v="MMR001001"/>
    <s v="Myitkyina Town"/>
    <s v="MMR001001701"/>
    <s v="Si Tar Pu Ward"/>
    <s v="MMR001001701521"/>
    <x v="204"/>
    <x v="207"/>
    <x v="162"/>
    <n v="25.412313000000001"/>
    <n v="0"/>
    <n v="95"/>
    <n v="385"/>
    <n v="4.0526315789473681"/>
    <x v="0"/>
    <x v="0"/>
    <x v="0"/>
    <x v="2"/>
    <d v="2011-08-01T00:00:00"/>
    <n v="2"/>
    <x v="1"/>
    <s v="IP"/>
    <m/>
    <d v="2016-01-28T00:00:00"/>
    <s v="28/Jan/2016. Population update. Data source: KBC (mail by maran)_x000a_2/Dec/2015. Population update. Data source: KBC._x000a_19-Aug-2015 Update population from KBC._x000a_25-Jun-2015 Update population from KBC._x000a_Update population according to KBC data"/>
    <s v="P4"/>
    <n v="31"/>
    <m/>
    <n v="31"/>
    <s v="Myitkyina Town"/>
    <n v="2.9133254097712102"/>
    <n v="1"/>
  </r>
  <r>
    <x v="1"/>
    <x v="0"/>
    <s v="MMR001"/>
    <s v="Myitkyina"/>
    <s v="MMR001D001"/>
    <x v="6"/>
    <s v="MMR001001"/>
    <s v="Myitkyina Town"/>
    <s v="MMR001001701"/>
    <s v="Si Tar Pu Ward"/>
    <s v="MMR001001701521"/>
    <x v="205"/>
    <x v="208"/>
    <x v="163"/>
    <n v="25.423817"/>
    <n v="0"/>
    <n v="28"/>
    <n v="132"/>
    <n v="4.7142857142857144"/>
    <x v="0"/>
    <x v="0"/>
    <x v="0"/>
    <x v="2"/>
    <d v="2012-01-01T00:00:00"/>
    <n v="1"/>
    <x v="4"/>
    <s v="IP"/>
    <m/>
    <d v="2016-01-18T00:00:00"/>
    <s v="28/Jan/2016. Population update. Data source: KBC (mail by maran)_x000a_19-Aug-15 Population update. Source Shalom._x000a_25-Jun-15 Population update. Source Shalom._x000a_Population update: Source: Camp Profile Round 2."/>
    <s v="P4"/>
    <n v="28"/>
    <m/>
    <n v="28"/>
    <s v="Myitkyina Town"/>
    <n v="4.9021696969220816"/>
    <n v="1"/>
  </r>
  <r>
    <x v="1"/>
    <x v="0"/>
    <s v="MMR001"/>
    <s v="Myitkyina"/>
    <s v="MMR001D001"/>
    <x v="3"/>
    <s v="MMR001002"/>
    <s v="Waw Shung (Kan Paik Ti Sub-township)"/>
    <s v="MMR001002035"/>
    <s v="Shan Kyaing"/>
    <n v="165845"/>
    <x v="206"/>
    <x v="209"/>
    <x v="164"/>
    <n v="25.418084"/>
    <m/>
    <n v="183"/>
    <n v="919"/>
    <n v="5.0218579234972678"/>
    <x v="0"/>
    <x v="0"/>
    <x v="0"/>
    <x v="1"/>
    <m/>
    <n v="2"/>
    <x v="1"/>
    <s v="IP"/>
    <m/>
    <d v="2016-01-28T00:00:00"/>
    <s v="28/Jan/2016. Population update. Data source: KBC (mail by maran)_x000a_25-Jun-2015 Update population. Data Source: KBC_x000a_Changed NGCA to GCA. Source: Programme Unit."/>
    <s v="P1"/>
    <n v="0"/>
    <m/>
    <n v="0"/>
    <s v="Kan Paik Ti Town"/>
    <n v="9.3609732231189877"/>
    <n v="2"/>
  </r>
  <r>
    <x v="1"/>
    <x v="0"/>
    <s v="MMR001"/>
    <s v="Bhamo"/>
    <s v="MMR001D003"/>
    <x v="9"/>
    <s v="MMR001011"/>
    <s v="Shwegu Town"/>
    <s v="MMR001011701"/>
    <s v="Shwegu Town"/>
    <s v="MMR001011701504"/>
    <x v="207"/>
    <x v="210"/>
    <x v="165"/>
    <n v="24.200361000000001"/>
    <n v="0"/>
    <n v="83"/>
    <n v="293"/>
    <n v="3.5301204819277108"/>
    <x v="0"/>
    <x v="0"/>
    <x v="0"/>
    <x v="2"/>
    <d v="2011-07-01T00:00:00"/>
    <n v="1"/>
    <x v="1"/>
    <s v="IP"/>
    <m/>
    <d v="2016-01-28T00:00:00"/>
    <s v="28/Jan/2016. Population update. Data source: KBC (mail by maran)_x000a_2/Dec/2015. Population update. Data source: KBC_x000a_25-Jun-2015 Update population. Data Source: KBC_x000a_Population update: Source UNHCR-Bhamo"/>
    <s v="P4"/>
    <n v="41"/>
    <m/>
    <n v="41"/>
    <s v="Shwegu Town"/>
    <n v="0.74396039478864395"/>
    <n v="1"/>
  </r>
  <r>
    <x v="1"/>
    <x v="0"/>
    <s v="MMR001"/>
    <s v="Bhamo"/>
    <s v="MMR001D003"/>
    <x v="9"/>
    <s v="MMR001011"/>
    <s v="Shwegu Town"/>
    <s v="MMR001011701"/>
    <s v="Shwegu Town"/>
    <s v="MMR001011701504"/>
    <x v="208"/>
    <x v="211"/>
    <x v="165"/>
    <n v="24.200367"/>
    <m/>
    <n v="41"/>
    <n v="152"/>
    <n v="3.7073170731707319"/>
    <x v="0"/>
    <x v="0"/>
    <x v="0"/>
    <x v="2"/>
    <d v="2011-07-01T00:00:00"/>
    <n v="2"/>
    <x v="3"/>
    <s v="IP"/>
    <m/>
    <d v="2016-01-28T00:00:00"/>
    <s v="28/Jan/2016. Population update. Data source: KBC (mail by maran)_x000a_19 Aug 2015. Update Population. Data Source; KMSS-BMO_x000a_Population update: Source UNHCR-Bhamo"/>
    <s v="P4"/>
    <n v="0"/>
    <m/>
    <n v="0"/>
    <s v="Shwegu Town"/>
    <n v="0.74330366237812662"/>
    <n v="1"/>
  </r>
  <r>
    <x v="1"/>
    <x v="0"/>
    <s v="MMR001"/>
    <s v="Myitkyina"/>
    <s v="MMR001D001"/>
    <x v="6"/>
    <s v="MMR001001"/>
    <s v="Myitkyina Town"/>
    <s v="MMR001001701"/>
    <s v="Shwe Set Ward"/>
    <s v="MMR001001701518"/>
    <x v="209"/>
    <x v="212"/>
    <x v="166"/>
    <n v="25.440928"/>
    <n v="0"/>
    <n v="90"/>
    <n v="487"/>
    <n v="5.4111111111111114"/>
    <x v="0"/>
    <x v="0"/>
    <x v="0"/>
    <x v="2"/>
    <d v="2011-07-01T00:00:00"/>
    <n v="2"/>
    <x v="1"/>
    <s v="IP"/>
    <m/>
    <d v="2016-01-28T00:00:00"/>
    <s v="28/Jan/2016. Population update. Data source: KBC (mail by maran)_x000a_2/Dec/2015. Population update. Data source: KBC._x000a_19-Aug-15 - Update population from KBC._x000a_25-Jun-2015 Update population from KBC._x000a_Update population according to KBC data"/>
    <s v="P4"/>
    <n v="40"/>
    <m/>
    <n v="40"/>
    <s v="Myitkyina Town"/>
    <n v="6.6198004689728469"/>
    <n v="2"/>
  </r>
  <r>
    <x v="0"/>
    <x v="0"/>
    <s v="MMR001"/>
    <s v="Bhamo"/>
    <s v="MMR001D003"/>
    <x v="2"/>
    <s v="MMR001013"/>
    <m/>
    <m/>
    <m/>
    <m/>
    <x v="210"/>
    <x v="213"/>
    <x v="6"/>
    <m/>
    <m/>
    <n v="0"/>
    <n v="0"/>
    <s v="NA"/>
    <x v="0"/>
    <x v="0"/>
    <x v="0"/>
    <x v="1"/>
    <m/>
    <m/>
    <x v="0"/>
    <s v="IP"/>
    <m/>
    <d v="2014-01-13T00:00:00"/>
    <s v="Close (Source: OCHA)"/>
    <s v=""/>
    <n v="0"/>
    <m/>
    <n v="0"/>
    <s v=""/>
    <s v=""/>
    <s v=""/>
  </r>
  <r>
    <x v="1"/>
    <x v="0"/>
    <s v="MMR001"/>
    <s v="Mohnyin"/>
    <s v="MMR001D002"/>
    <x v="8"/>
    <s v="MMR001007"/>
    <s v="Mohnyin Town"/>
    <s v="MMR001007701"/>
    <m/>
    <m/>
    <x v="211"/>
    <x v="214"/>
    <x v="167"/>
    <n v="24.764800000000001"/>
    <m/>
    <n v="12"/>
    <n v="55"/>
    <n v="4.583333333333333"/>
    <x v="0"/>
    <x v="0"/>
    <x v="0"/>
    <x v="2"/>
    <m/>
    <m/>
    <x v="2"/>
    <s v="IP"/>
    <m/>
    <d v="2016-01-28T00:00:00"/>
    <s v="28/Jan/2016. Population update. Data source: KBC (mail by maran)_x000a_2/Dec/2015 (Population update. Data source: Monthly report by KMSS_MYT). Reasons for population changes; travelling from the camp for daily worker._x000a_2-Oct-15 (Population update. Data Source: Monthly report by KMSS-MYT)_x000a_19-Aug-15 (Population updata. Data Source: KMSS-MYT)_x000a_25-Jun-15 (Population update. Source KMSS-MYT)_x000a_Population Update. Source: KMSS-MYT"/>
    <s v="P4"/>
    <n v="0"/>
    <m/>
    <n v="0"/>
    <s v="Mohnyin Town"/>
    <n v="1.7021273757523427"/>
    <n v="1"/>
  </r>
  <r>
    <x v="0"/>
    <x v="0"/>
    <s v="MMR001"/>
    <s v="Bhamo"/>
    <s v="MMR001D003"/>
    <x v="1"/>
    <s v="MMR001010"/>
    <m/>
    <m/>
    <m/>
    <m/>
    <x v="212"/>
    <x v="215"/>
    <x v="6"/>
    <m/>
    <m/>
    <n v="0"/>
    <n v="0"/>
    <s v="NA"/>
    <x v="0"/>
    <x v="0"/>
    <x v="0"/>
    <x v="2"/>
    <m/>
    <m/>
    <x v="0"/>
    <s v="IP"/>
    <m/>
    <d v="2014-03-04T00:00:00"/>
    <s v="Closed. Rellocated next to AD 2000 Tharthana Compound and CCCM is under AD 2000"/>
    <s v=""/>
    <n v="0"/>
    <m/>
    <n v="0"/>
    <s v=""/>
    <s v=""/>
    <s v=""/>
  </r>
  <r>
    <x v="1"/>
    <x v="0"/>
    <s v="MMR001"/>
    <s v="Puta-O"/>
    <s v="MMR001D004"/>
    <x v="20"/>
    <s v="MMR001015"/>
    <s v="Sumprabum Town"/>
    <s v="MMR001015701"/>
    <m/>
    <m/>
    <x v="213"/>
    <x v="216"/>
    <x v="168"/>
    <n v="26.541930000000001"/>
    <n v="1025"/>
    <n v="5"/>
    <n v="32"/>
    <n v="6.4"/>
    <x v="0"/>
    <x v="0"/>
    <x v="0"/>
    <x v="1"/>
    <m/>
    <m/>
    <x v="0"/>
    <s v="RRD"/>
    <m/>
    <m/>
    <s v=" "/>
    <s v="P4"/>
    <n v="5"/>
    <m/>
    <n v="5"/>
    <s v="Sumprabum Town"/>
    <n v="0.23004407510846425"/>
    <n v="1"/>
  </r>
  <r>
    <x v="1"/>
    <x v="0"/>
    <s v="MMR001"/>
    <s v="Bhamo"/>
    <s v="MMR001D003"/>
    <x v="1"/>
    <s v="MMR001010"/>
    <s v="Bhamo Town"/>
    <s v="MMR001010701"/>
    <s v="Shwe Kyee Nar Ward"/>
    <s v="MMR001010701513"/>
    <x v="214"/>
    <x v="217"/>
    <x v="169"/>
    <n v="24.29138"/>
    <n v="0"/>
    <n v="25"/>
    <n v="104"/>
    <n v="4.16"/>
    <x v="0"/>
    <x v="0"/>
    <x v="0"/>
    <x v="2"/>
    <d v="2012-05-01T00:00:00"/>
    <n v="2"/>
    <x v="4"/>
    <s v="IP"/>
    <m/>
    <d v="2015-11-09T00:00:00"/>
    <s v="9/Nov/15. Population update. Data source: monthly report by HAP._x000a_19-Aug-15 Population update. Source: Shalom._x000a_25-Jun-15 (Population update. Source : Shalom)_x000a_Population update: Source: Camp Profile Round 2."/>
    <s v="P4"/>
    <n v="0"/>
    <n v="0"/>
    <n v="0"/>
    <s v="Bhamo Town"/>
    <n v="4.108228790802368"/>
    <n v="1"/>
  </r>
  <r>
    <x v="0"/>
    <x v="0"/>
    <s v="MMR001"/>
    <s v="Mohnyin"/>
    <s v="MMR001D002"/>
    <x v="0"/>
    <s v="MMR001009"/>
    <s v="Haung Par"/>
    <s v="MMR001009004"/>
    <s v="Haung Par"/>
    <n v="166794"/>
    <x v="215"/>
    <x v="218"/>
    <x v="6"/>
    <m/>
    <m/>
    <n v="0"/>
    <n v="0"/>
    <s v="NA"/>
    <x v="0"/>
    <x v="0"/>
    <x v="0"/>
    <x v="0"/>
    <m/>
    <m/>
    <x v="0"/>
    <m/>
    <m/>
    <m/>
    <m/>
    <s v=""/>
    <n v="0"/>
    <m/>
    <n v="0"/>
    <s v=""/>
    <s v=""/>
    <s v=""/>
  </r>
  <r>
    <x v="1"/>
    <x v="0"/>
    <s v="MMR001"/>
    <s v="Bhamo"/>
    <s v="MMR001D003"/>
    <x v="5"/>
    <s v="MMR001012"/>
    <s v="Tar Li"/>
    <s v="MMR001012021"/>
    <s v="Tar Li"/>
    <n v="167086"/>
    <x v="216"/>
    <x v="219"/>
    <x v="170"/>
    <n v="24.492493"/>
    <m/>
    <n v="10"/>
    <n v="38"/>
    <n v="3.8"/>
    <x v="0"/>
    <x v="0"/>
    <x v="1"/>
    <x v="1"/>
    <m/>
    <m/>
    <x v="0"/>
    <s v="RRD"/>
    <m/>
    <d v="2014-06-13T00:00:00"/>
    <s v="Geo-Info, HH/Pop data was updated from Google Earth."/>
    <s v="P4"/>
    <n v="0"/>
    <m/>
    <n v="0"/>
    <s v="Dawthponeyan  Town"/>
    <n v="14.236592976936194"/>
    <n v="3"/>
  </r>
  <r>
    <x v="1"/>
    <x v="0"/>
    <s v="MMR001"/>
    <s v="Myitkyina"/>
    <s v="MMR001D001"/>
    <x v="6"/>
    <s v="MMR001001"/>
    <s v="Myitkyina Town"/>
    <s v="MMR001001701"/>
    <s v="Tat Kone Ward"/>
    <s v="MMR001001701520"/>
    <x v="217"/>
    <x v="220"/>
    <x v="171"/>
    <n v="25.415482000000001"/>
    <n v="0"/>
    <n v="70"/>
    <n v="369"/>
    <n v="5.2714285714285714"/>
    <x v="0"/>
    <x v="0"/>
    <x v="0"/>
    <x v="2"/>
    <d v="2011-06-01T00:00:00"/>
    <n v="1"/>
    <x v="1"/>
    <s v="IP"/>
    <m/>
    <d v="2016-01-28T00:00:00"/>
    <s v="28/Jan/2016. Population update. Data source: KBC (mail by maran)_x000a_2/Dec/2015. Population update. Data source: KBC._x000a_19-Aug-15 Update population from KBC_x000a_25-Jun-2015 Update population from KBC._x000a_Checked with KBC data"/>
    <s v="P4"/>
    <n v="10"/>
    <m/>
    <n v="10"/>
    <s v="Myitkyina Town"/>
    <n v="3.1341427522962952"/>
    <n v="1"/>
  </r>
  <r>
    <x v="1"/>
    <x v="0"/>
    <s v="MMR001"/>
    <s v="Myitkyina"/>
    <s v="MMR001D001"/>
    <x v="6"/>
    <s v="MMR001001"/>
    <s v="Myitkyina Town"/>
    <s v="MMR001001701"/>
    <s v="Tat Kone Ward"/>
    <s v="MMR001001701520"/>
    <x v="218"/>
    <x v="221"/>
    <x v="172"/>
    <n v="25.410913749999999"/>
    <n v="0"/>
    <n v="68"/>
    <n v="340"/>
    <n v="5"/>
    <x v="0"/>
    <x v="0"/>
    <x v="0"/>
    <x v="2"/>
    <d v="2012-04-01T00:00:00"/>
    <n v="1"/>
    <x v="4"/>
    <s v="IP"/>
    <m/>
    <d v="2016-01-18T00:00:00"/>
    <s v="28/Jan/2016. Population update. Data source: KBC (mail by maran)_x000a_9/Nov/15. Population update. Data source: monthly report by HAP._x000a_19-Aug-15 Update population. Source: Shalom_x000a_25-Jun-15 Population update. Source : Shalom._x000a_Population update: Source: Camp Profile Round 2."/>
    <s v="P4"/>
    <n v="0"/>
    <m/>
    <n v="0"/>
    <s v="Myitkyina Town"/>
    <n v="2.6190942927115026"/>
    <n v="1"/>
  </r>
  <r>
    <x v="1"/>
    <x v="0"/>
    <s v="MMR001"/>
    <s v="Myitkyina"/>
    <s v="MMR001D001"/>
    <x v="6"/>
    <s v="MMR001001"/>
    <s v="Myitkyina Town"/>
    <s v="MMR001001701"/>
    <s v="Tat Kone Ward"/>
    <s v="MMR001001701520"/>
    <x v="219"/>
    <x v="222"/>
    <x v="173"/>
    <n v="25.417733999999999"/>
    <n v="0"/>
    <n v="12"/>
    <n v="57"/>
    <n v="4.75"/>
    <x v="0"/>
    <x v="0"/>
    <x v="0"/>
    <x v="2"/>
    <d v="2011-08-01T00:00:00"/>
    <n v="1"/>
    <x v="4"/>
    <s v="IP"/>
    <m/>
    <d v="2016-01-18T00:00:00"/>
    <s v="28/Jan/2016. Population update. Data source: KBC (mail by maran)_x000a_9/Nov/15. Population update. Data source: monthly report by HAP._x000a_19-Aug-15 Update Population. Source: Shalom._x000a_25-Jun-2015 Update population. Source : Shalom._x000a_Population update: Source: Camp Profile Round 2."/>
    <s v="P4"/>
    <n v="0"/>
    <m/>
    <n v="0"/>
    <s v="Myitkyina Town"/>
    <n v="3.3637010801853577"/>
    <n v="1"/>
  </r>
  <r>
    <x v="1"/>
    <x v="0"/>
    <s v="MMR001"/>
    <s v="Myitkyina"/>
    <s v="MMR001D001"/>
    <x v="6"/>
    <s v="MMR001001"/>
    <s v="Myitkyina Town"/>
    <s v="MMR001001701"/>
    <s v="Tat Kone Ward"/>
    <s v="MMR001001701520"/>
    <x v="220"/>
    <x v="223"/>
    <x v="174"/>
    <n v="25.404752999999999"/>
    <n v="0"/>
    <n v="32"/>
    <n v="146"/>
    <n v="4.5625"/>
    <x v="0"/>
    <x v="0"/>
    <x v="0"/>
    <x v="2"/>
    <d v="2011-07-01T00:00:00"/>
    <n v="1"/>
    <x v="1"/>
    <s v="IP"/>
    <m/>
    <d v="2016-01-28T00:00:00"/>
    <s v="28/Jan/2016. Population update. Data source: KBC (mail by maran)_x000a_19-Aug-15 Update pouplation from KBC_x000a_25-Jun-2015 Update population from KBC._x000a_Update population according to KBC data"/>
    <s v="P4"/>
    <n v="12"/>
    <m/>
    <n v="12"/>
    <s v="Myitkyina Town"/>
    <n v="2.3045478259125423"/>
    <n v="1"/>
  </r>
  <r>
    <x v="1"/>
    <x v="0"/>
    <s v="MMR001"/>
    <s v="Myitkyina"/>
    <s v="MMR001D001"/>
    <x v="6"/>
    <s v="MMR001001"/>
    <s v="Myitkyina Town"/>
    <s v="MMR001001701"/>
    <s v="Tat Kone Ward"/>
    <s v="MMR001001701520"/>
    <x v="221"/>
    <x v="224"/>
    <x v="175"/>
    <n v="25.404015000000001"/>
    <n v="0"/>
    <n v="44"/>
    <n v="212"/>
    <n v="4.8181818181818183"/>
    <x v="0"/>
    <x v="0"/>
    <x v="0"/>
    <x v="2"/>
    <m/>
    <n v="1"/>
    <x v="1"/>
    <s v="IP"/>
    <m/>
    <d v="2016-01-28T00:00:00"/>
    <s v="28/Jan/2016. Population update. Data source: KBC (mail by maran)_x000a_2/Dec/2015 (Population update. Data source: Monthly report by KBC)._x000a_19-Aug-15 Update population from KBC._x000a_25-Jun-2015 Update population from KBC._x000a_Checked with KBC data"/>
    <s v="P4"/>
    <n v="12"/>
    <m/>
    <n v="12"/>
    <s v="Myitkyina Town"/>
    <n v="2.0123527499589278"/>
    <n v="1"/>
  </r>
  <r>
    <x v="1"/>
    <x v="0"/>
    <s v="MMR001"/>
    <s v="Myitkyina"/>
    <s v="MMR001D001"/>
    <x v="3"/>
    <s v="MMR001002"/>
    <s v="Waingmaw Town"/>
    <s v="MMR001002701"/>
    <s v="No (4) Ward"/>
    <s v="MMR001002701504"/>
    <x v="222"/>
    <x v="225"/>
    <x v="176"/>
    <n v="25.333683333333301"/>
    <m/>
    <n v="44"/>
    <n v="182"/>
    <n v="4.1363636363636367"/>
    <x v="0"/>
    <x v="0"/>
    <x v="0"/>
    <x v="2"/>
    <m/>
    <n v="1"/>
    <x v="4"/>
    <s v="IP"/>
    <m/>
    <d v="2016-01-18T00:00:00"/>
    <s v="28/Jan/2016. Population update. Data source: KBC (mail by maran)_x000a_9/Nov/15. Population update. Data source: monthly report by HAP._x000a_19-Aug-15 Population update. Source: Shalom._x000a_25-Jun-15 Population update. Source : Shalom._x000a_Population update: Source: Camp Profile Round 2."/>
    <s v="P4"/>
    <n v="0"/>
    <m/>
    <n v="0"/>
    <s v="Waingmaw Town"/>
    <n v="2.4174307716662291"/>
    <n v="1"/>
  </r>
  <r>
    <x v="0"/>
    <x v="0"/>
    <s v="MMR001"/>
    <s v="Bhamo"/>
    <s v="MMR001D003"/>
    <x v="1"/>
    <s v="MMR001010"/>
    <s v="Han Te"/>
    <s v="MMR001010024"/>
    <m/>
    <m/>
    <x v="223"/>
    <x v="226"/>
    <x v="177"/>
    <n v="24.229189999999999"/>
    <n v="126"/>
    <n v="0"/>
    <n v="0"/>
    <s v="NA"/>
    <x v="0"/>
    <x v="0"/>
    <x v="0"/>
    <x v="2"/>
    <m/>
    <m/>
    <x v="4"/>
    <s v="IP"/>
    <m/>
    <d v="2014-09-24T00:00:00"/>
    <s v="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
    <s v="P4"/>
    <n v="0"/>
    <m/>
    <n v="0"/>
    <s v=""/>
    <s v=""/>
    <s v=""/>
  </r>
  <r>
    <x v="0"/>
    <x v="0"/>
    <s v="MMR001"/>
    <s v="Mohnyin"/>
    <s v="MMR001D002"/>
    <x v="0"/>
    <s v="MMR001009"/>
    <s v="Hpakan Town"/>
    <s v="MMR001009701"/>
    <s v="Myo Ma Ward"/>
    <s v="MMR001009701503"/>
    <x v="224"/>
    <x v="227"/>
    <x v="6"/>
    <m/>
    <m/>
    <n v="0"/>
    <n v="0"/>
    <s v="NA"/>
    <x v="0"/>
    <x v="0"/>
    <x v="0"/>
    <x v="0"/>
    <m/>
    <m/>
    <x v="0"/>
    <m/>
    <m/>
    <m/>
    <s v=" "/>
    <s v=""/>
    <n v="0"/>
    <m/>
    <n v="0"/>
    <s v=""/>
    <s v=""/>
    <s v=""/>
  </r>
  <r>
    <x v="0"/>
    <x v="0"/>
    <s v="MMR001"/>
    <s v="Bhamo"/>
    <s v="MMR001D003"/>
    <x v="1"/>
    <s v="MMR001010"/>
    <m/>
    <m/>
    <m/>
    <m/>
    <x v="225"/>
    <x v="228"/>
    <x v="6"/>
    <m/>
    <m/>
    <n v="0"/>
    <n v="0"/>
    <s v="NA"/>
    <x v="0"/>
    <x v="0"/>
    <x v="0"/>
    <x v="2"/>
    <m/>
    <m/>
    <x v="0"/>
    <s v="IP"/>
    <m/>
    <d v="2014-03-03T00:00:00"/>
    <s v="Closed. Rellocated to Tharthana Ahlin Yaung."/>
    <s v=""/>
    <n v="0"/>
    <m/>
    <n v="0"/>
    <s v=""/>
    <s v=""/>
    <s v=""/>
  </r>
  <r>
    <x v="1"/>
    <x v="0"/>
    <s v="MMR001"/>
    <s v="Puta-O"/>
    <s v="MMR001D004"/>
    <x v="11"/>
    <s v="MMR001014"/>
    <s v="Puta-O Town"/>
    <s v="MMR001014701"/>
    <s v="Doke Tan Ward"/>
    <s v="MMR001014701509"/>
    <x v="226"/>
    <x v="229"/>
    <x v="178"/>
    <n v="27.311699999999998"/>
    <n v="476.7"/>
    <n v="14"/>
    <n v="64"/>
    <n v="4.5714285714285712"/>
    <x v="0"/>
    <x v="0"/>
    <x v="1"/>
    <x v="1"/>
    <m/>
    <m/>
    <x v="0"/>
    <s v="IP"/>
    <m/>
    <d v="2014-04-07T00:00:00"/>
    <s v="Changed Camp to Host Families. Source: Camp Profile Questionnaire."/>
    <s v="P3"/>
    <n v="0"/>
    <m/>
    <n v="0"/>
    <s v="Puta-O Town"/>
    <n v="1.3759254000531889"/>
    <n v="1"/>
  </r>
  <r>
    <x v="1"/>
    <x v="0"/>
    <s v="MMR001"/>
    <s v="Myitkyina"/>
    <s v="MMR001D001"/>
    <x v="3"/>
    <s v="MMR001002"/>
    <s v="Waingmaw Town"/>
    <s v="MMR001002701"/>
    <s v="No (3) Ward"/>
    <s v="MMR001002701503"/>
    <x v="227"/>
    <x v="230"/>
    <x v="179"/>
    <n v="25.351250396825399"/>
    <n v="476"/>
    <n v="90"/>
    <n v="365"/>
    <n v="4.0555555555555554"/>
    <x v="0"/>
    <x v="0"/>
    <x v="0"/>
    <x v="2"/>
    <d v="2011-11-01T00:00:00"/>
    <n v="1"/>
    <x v="4"/>
    <s v="IP"/>
    <m/>
    <d v="2016-01-18T00:00:00"/>
    <s v="28/Jan/2016. Population update. Data source: KBC (mail by maran)_x000a_9/Nov/15. Population update. Data source: monthly report by HAP._x000a_19-Aug-15 Population update. Source: Shalom._x000a_25-Jun-15 Population update. Source : Shalom._x000a_Population update: Source: Camp Profile Round 2."/>
    <s v="P4"/>
    <n v="35"/>
    <m/>
    <n v="35"/>
    <s v="Waingmaw Town"/>
    <n v="0.15089472113650237"/>
    <n v="1"/>
  </r>
  <r>
    <x v="0"/>
    <x v="0"/>
    <s v="MMR001"/>
    <s v="Myitkyina"/>
    <s v="MMR001D001"/>
    <x v="3"/>
    <s v="MMR001002"/>
    <s v="Waingmaw Town"/>
    <s v="MMR001002701"/>
    <s v="No (2) Ward"/>
    <s v="MMR001002701502"/>
    <x v="228"/>
    <x v="231"/>
    <x v="180"/>
    <n v="25.355841999999999"/>
    <n v="0"/>
    <m/>
    <m/>
    <s v="NA"/>
    <x v="0"/>
    <x v="0"/>
    <x v="2"/>
    <x v="2"/>
    <d v="2011-11-01T00:00:00"/>
    <n v="1"/>
    <x v="1"/>
    <s v="IP"/>
    <m/>
    <d v="2016-03-03T00:00:00"/>
    <s v="3/Mar/2016. Closed Camp. Data source: January report from KBC._x000a_28/Jan/2016. Population update. Data source: KBC (mail by maran)_x000a_2/Dec/2015 (Population update. Data source: Monthly report by KBC)._x000a_25-Jun-2015 Update population. Data Source: KBC_x000a_Changed to Boarding School."/>
    <s v="P4"/>
    <n v="0"/>
    <m/>
    <n v="0"/>
    <s v="Waingmaw Town"/>
    <n v="0.70725493400809891"/>
    <n v="1"/>
  </r>
  <r>
    <x v="0"/>
    <x v="0"/>
    <s v="MMR001"/>
    <s v="Mohnyin"/>
    <s v="MMR001D002"/>
    <x v="0"/>
    <s v="MMR001009"/>
    <s v="Seik Mu"/>
    <s v="MMR001009003"/>
    <s v="Seik Mu"/>
    <n v="166783"/>
    <x v="229"/>
    <x v="232"/>
    <x v="181"/>
    <n v="25.57921"/>
    <n v="0"/>
    <n v="0"/>
    <n v="0"/>
    <s v="NA"/>
    <x v="0"/>
    <x v="0"/>
    <x v="0"/>
    <x v="1"/>
    <d v="2013-01-01T00:00:00"/>
    <m/>
    <x v="2"/>
    <s v="RRD"/>
    <m/>
    <d v="2014-04-07T00:00:00"/>
    <s v="Move to Nant Ma Hpit Catholic Church."/>
    <s v=""/>
    <n v="0"/>
    <m/>
    <n v="0"/>
    <s v=""/>
    <s v=""/>
    <s v=""/>
  </r>
  <r>
    <x v="1"/>
    <x v="0"/>
    <s v="MMR001"/>
    <s v="Mohnyin"/>
    <s v="MMR001D002"/>
    <x v="0"/>
    <s v="MMR001009"/>
    <s v="Seik Mu"/>
    <s v="MMR001009003"/>
    <s v="Sai Taung (Ywar Haung)"/>
    <n v="166788"/>
    <x v="230"/>
    <x v="233"/>
    <x v="182"/>
    <n v="25.577559999999998"/>
    <n v="0"/>
    <n v="41"/>
    <n v="201"/>
    <n v="4.9024390243902438"/>
    <x v="0"/>
    <x v="0"/>
    <x v="0"/>
    <x v="2"/>
    <d v="2013-01-01T00:00:00"/>
    <n v="2"/>
    <x v="1"/>
    <s v="IP"/>
    <m/>
    <d v="2016-01-28T00:00:00"/>
    <s v="28/Jan/2016. Population update. Data source: KBC (mail by maran)_x000a_2/Dec/2015. Population update. Data source: KBC_x000a_14-Oct-15 Population update. Soruce; Hpakant Mission Report_WFP_x000a_25-Jun-15 Population update. Source: KBC_x000a_18-May-15 (Population update with field mission)_x000a_2-Apr-15 (Population update, Source: UNHCR CCCM Mission)_x000a_Update population according to KBC data"/>
    <s v="P4"/>
    <n v="26"/>
    <m/>
    <n v="26"/>
    <s v="Hpakant Town"/>
    <n v="4.6754712546149264"/>
    <n v="1"/>
  </r>
  <r>
    <x v="1"/>
    <x v="0"/>
    <s v="MMR001"/>
    <s v="Myitkyina"/>
    <s v="MMR001D001"/>
    <x v="3"/>
    <s v="MMR001002"/>
    <s v="Nam Sang Yang"/>
    <s v="MMR001002024"/>
    <s v="Nam Sang Yang"/>
    <n v="165772"/>
    <x v="231"/>
    <x v="234"/>
    <x v="183"/>
    <n v="24.755253"/>
    <n v="316"/>
    <n v="1348"/>
    <n v="6839"/>
    <n v="5.0734421364985165"/>
    <x v="1"/>
    <x v="0"/>
    <x v="0"/>
    <x v="2"/>
    <d v="2011-06-01T00:00:00"/>
    <n v="5"/>
    <x v="2"/>
    <s v="IRRC"/>
    <m/>
    <d v="2016-02-16T00:00:00"/>
    <s v="16/Feb/2016. HH and Pop correction_x000a_28/Jan/2016. Population update. Data source: KBC (mail by maran)_x000a_2/Dec/2015 (Population update. Data source: Monthly report by KMSS_MYT). Reason for pop changes; Travelling from the camp for daily work._x000a_23-Oct-15 (Population update. Data sorce: Monthly report by KMSS-MYT). Reason for changes; Arrived from daily work._x000a_2-Oct-15 (Population update. Data Source: Monthly report by KMSS-MYT)_x000a_19-Aug-15 (Population update: Data Source: KMSS-MYT)_x000a_25-Jun-15 (Population update. Source: IRRC)_x000a_Population Update. Source: KMSS-MYT"/>
    <s v="P4"/>
    <n v="1188"/>
    <m/>
    <n v="1188"/>
    <s v="Laiza town"/>
    <n v="1.7420415164460403"/>
    <n v="1"/>
  </r>
  <r>
    <x v="0"/>
    <x v="0"/>
    <s v="MMR001"/>
    <s v="Myitkyina"/>
    <s v="MMR001D001"/>
    <x v="4"/>
    <s v="MMR001005"/>
    <m/>
    <m/>
    <m/>
    <m/>
    <x v="232"/>
    <x v="235"/>
    <x v="6"/>
    <m/>
    <m/>
    <n v="0"/>
    <n v="0"/>
    <s v="NA"/>
    <x v="0"/>
    <x v="0"/>
    <x v="0"/>
    <x v="0"/>
    <m/>
    <m/>
    <x v="0"/>
    <m/>
    <m/>
    <m/>
    <s v=" "/>
    <s v=""/>
    <n v="0"/>
    <m/>
    <n v="0"/>
    <s v=""/>
    <s v=""/>
    <s v=""/>
  </r>
  <r>
    <x v="0"/>
    <x v="0"/>
    <s v="MMR001"/>
    <s v="Mohnyin"/>
    <s v="MMR001D002"/>
    <x v="0"/>
    <s v="MMR001009"/>
    <s v="Hpakan Town"/>
    <s v="MMR001009701"/>
    <s v="Ma Shi Ka Htaung Ward"/>
    <s v="MMR001009701505"/>
    <x v="233"/>
    <x v="236"/>
    <x v="6"/>
    <m/>
    <m/>
    <n v="0"/>
    <n v="0"/>
    <s v="NA"/>
    <x v="0"/>
    <x v="0"/>
    <x v="0"/>
    <x v="0"/>
    <m/>
    <m/>
    <x v="0"/>
    <m/>
    <m/>
    <m/>
    <s v=" "/>
    <s v=""/>
    <n v="0"/>
    <m/>
    <n v="0"/>
    <s v=""/>
    <s v=""/>
    <s v=""/>
  </r>
  <r>
    <x v="1"/>
    <x v="0"/>
    <s v="MMR001"/>
    <s v="Myitkyina"/>
    <s v="MMR001D001"/>
    <x v="6"/>
    <s v="MMR001001"/>
    <s v="Myitkyina Town"/>
    <s v="MMR001001701"/>
    <s v="Kachin Su Ward"/>
    <s v="MMR001001701509"/>
    <x v="234"/>
    <x v="237"/>
    <x v="184"/>
    <n v="25.377038166666701"/>
    <n v="0"/>
    <n v="7"/>
    <n v="37"/>
    <n v="5.2857142857142856"/>
    <x v="0"/>
    <x v="0"/>
    <x v="0"/>
    <x v="2"/>
    <d v="2012-04-01T00:00:00"/>
    <n v="1"/>
    <x v="4"/>
    <s v="IP"/>
    <m/>
    <d v="2016-01-18T00:00:00"/>
    <s v="28/Jan/2016. Population update. Data source: KBC (mail by maran)_x000a_9/Nov/15. Population update. Data source: monthly report by HAP_x000a_25-Jun-15 Population update. Source : Shalom._x000a_Population update: Source: Camp Profile Round 2."/>
    <s v="P4"/>
    <n v="0"/>
    <m/>
    <n v="0"/>
    <s v="Myitkyina Town"/>
    <n v="1.7877148351104664"/>
    <n v="1"/>
  </r>
  <r>
    <x v="1"/>
    <x v="0"/>
    <s v="MMR001"/>
    <s v="Bhamo"/>
    <s v="MMR001D003"/>
    <x v="1"/>
    <s v="MMR001010"/>
    <s v="Bhamo Town"/>
    <s v="MMR001010701"/>
    <m/>
    <m/>
    <x v="235"/>
    <x v="238"/>
    <x v="185"/>
    <n v="24.24953"/>
    <n v="0"/>
    <n v="15"/>
    <n v="64"/>
    <n v="4.2666666666666666"/>
    <x v="0"/>
    <x v="0"/>
    <x v="0"/>
    <x v="2"/>
    <d v="2012-08-01T00:00:00"/>
    <n v="1"/>
    <x v="4"/>
    <s v="IP"/>
    <m/>
    <d v="2015-11-09T00:00:00"/>
    <s v="9/Nov/15. Population update. Data source: monthly report by HAP._x000a_19-Aug-15 Update population. Data Source: Shalom._x000a_25-Jun-2015 Update population. Data Source: KBC_x000a_Population update: Source: Camp Profile Round 2."/>
    <s v="P4"/>
    <n v="0"/>
    <n v="0"/>
    <n v="0"/>
    <s v="Bhamo Town"/>
    <n v="0.87147615879849294"/>
    <n v="1"/>
  </r>
  <r>
    <x v="1"/>
    <x v="0"/>
    <s v="MMR001"/>
    <s v="Mohnyin"/>
    <s v="MMR001D002"/>
    <x v="0"/>
    <s v="MMR001009"/>
    <s v="Nam Ma Hpyit"/>
    <s v="MMR001009002"/>
    <m/>
    <m/>
    <x v="236"/>
    <x v="239"/>
    <x v="186"/>
    <n v="25.599250000000001"/>
    <n v="0"/>
    <n v="20"/>
    <n v="80"/>
    <n v="4"/>
    <x v="0"/>
    <x v="0"/>
    <x v="0"/>
    <x v="2"/>
    <d v="2012-08-01T00:00:00"/>
    <n v="1"/>
    <x v="1"/>
    <s v="IP"/>
    <m/>
    <d v="2016-01-28T00:00:00"/>
    <s v="28/Jan/2016. Population update. Data source: KBC (mail by maran)_x000a_2/Dec/2015. Population update. Data source: KBC_x000a_14-Oct-15 Population update. Soruce; Hpakant Mission Report_WFP_x000a_25-Jun-15 Population update. Source: KBC_x000a_2-Apr-15 (Population update, Source: UNHCR CCCM Mission)_x000a_Update population according to KBC data."/>
    <s v="P4"/>
    <n v="10"/>
    <m/>
    <n v="10"/>
    <s v="Hpakant Town"/>
    <n v="1.5942018764815451"/>
    <n v="1"/>
  </r>
  <r>
    <x v="1"/>
    <x v="0"/>
    <s v="MMR001"/>
    <s v="Myitkyina"/>
    <s v="MMR001D001"/>
    <x v="3"/>
    <s v="MMR001002"/>
    <s v="Hpawt Dawt"/>
    <s v="MMR001002032"/>
    <s v="Zai Aung"/>
    <m/>
    <x v="237"/>
    <x v="240"/>
    <x v="187"/>
    <n v="25.106670000000001"/>
    <n v="756"/>
    <n v="620"/>
    <n v="2782"/>
    <n v="4.4870967741935486"/>
    <x v="1"/>
    <x v="0"/>
    <x v="0"/>
    <x v="1"/>
    <d v="2011-11-01T00:00:00"/>
    <n v="3"/>
    <x v="1"/>
    <s v="IP"/>
    <m/>
    <d v="2016-01-28T00:00:00"/>
    <s v="28/Jan/2016. Population update. Data source: KBC (mail by maran)_x000a_2/Dec/2015. Population update. Data source: KBC_x000a_25-Jun-15 Population update. Source: KBC_x000a_Update population according to KBC data"/>
    <s v="P2"/>
    <n v="0"/>
    <m/>
    <n v="0"/>
    <s v="Sadung Town"/>
    <n v="32.827754639406997"/>
    <n v="7"/>
  </r>
  <r>
    <x v="0"/>
    <x v="0"/>
    <s v="MMR001"/>
    <s v="Mohnyin"/>
    <s v="MMR001D002"/>
    <x v="0"/>
    <s v="MMR001009"/>
    <s v="Hpakan Town"/>
    <s v="MMR001009701"/>
    <s v="Maw Wam Ward"/>
    <s v="MMR001009701501"/>
    <x v="238"/>
    <x v="241"/>
    <x v="188"/>
    <n v="25.615006000000001"/>
    <m/>
    <n v="0"/>
    <n v="0"/>
    <s v="NA"/>
    <x v="0"/>
    <x v="0"/>
    <x v="0"/>
    <x v="0"/>
    <m/>
    <m/>
    <x v="0"/>
    <m/>
    <m/>
    <m/>
    <s v=" "/>
    <s v=""/>
    <n v="0"/>
    <m/>
    <n v="0"/>
    <s v=""/>
    <s v=""/>
    <s v=""/>
  </r>
  <r>
    <x v="1"/>
    <x v="1"/>
    <s v="MMR015"/>
    <s v="Muse"/>
    <s v="MMR015D002"/>
    <x v="7"/>
    <s v="MMR015011"/>
    <s v="Kar Lai Kone Hsar"/>
    <s v="MMR015011005"/>
    <s v="Kar Lai"/>
    <n v="208557"/>
    <x v="239"/>
    <x v="242"/>
    <x v="189"/>
    <n v="23.38503"/>
    <n v="0"/>
    <n v="189"/>
    <n v="935"/>
    <n v="4.947089947089947"/>
    <x v="0"/>
    <x v="0"/>
    <x v="0"/>
    <x v="1"/>
    <d v="2012-12-01T00:00:00"/>
    <m/>
    <x v="1"/>
    <s v="IP"/>
    <m/>
    <d v="2016-01-28T00:00:00"/>
    <s v="28/Jan/2016. Population update. Data source: KBC (mail by maran)_x000a_25-Jun-15 Population update. Source: KBC_x000a_Population update. Source: KBC."/>
    <s v="P3"/>
    <n v="88"/>
    <m/>
    <n v="88"/>
    <s v="Kutkai Town"/>
    <n v="13.632081902964599"/>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1" cacheId="23"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9:C34" firstHeaderRow="0" firstDataRow="1" firstDataCol="1" rowPageCount="3" colPageCount="1"/>
  <pivotFields count="42">
    <pivotField axis="axisRow" multipleItemSelectionAllowed="1" showAll="0">
      <items count="3">
        <item x="1"/>
        <item x="0"/>
        <item t="default"/>
      </items>
    </pivotField>
    <pivotField axis="axisPage" subtotalTop="0" multipleItemSelectionAllowed="1" showAll="0">
      <items count="3">
        <item x="0"/>
        <item x="1"/>
        <item t="default"/>
      </items>
    </pivotField>
    <pivotField showAll="0" defaultSubtotal="0"/>
    <pivotField showAll="0" defaultSubtotal="0"/>
    <pivotField showAll="0" defaultSubtotal="0"/>
    <pivotField axis="axisPage" multipleItemSelectionAllowed="1" showAll="0" defaultSubtotal="0">
      <items count="21">
        <item x="1"/>
        <item x="4"/>
        <item x="0"/>
        <item x="18"/>
        <item x="14"/>
        <item x="13"/>
        <item x="7"/>
        <item x="15"/>
        <item x="2"/>
        <item x="16"/>
        <item x="12"/>
        <item x="8"/>
        <item x="5"/>
        <item x="10"/>
        <item x="6"/>
        <item x="17"/>
        <item x="19"/>
        <item x="11"/>
        <item x="9"/>
        <item x="20"/>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dataField="1" subtotalTop="0" showAll="0"/>
    <pivotField dataField="1" subtotalTop="0" showAll="0"/>
    <pivotField showAll="0" defaultSubtotal="0"/>
    <pivotField showAll="0" defaultSubtotal="0"/>
    <pivotField axis="axisPage" showAll="0" defaultSubtotal="0">
      <items count="2">
        <item x="1"/>
        <item x="0"/>
      </items>
    </pivotField>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axis="axisRow"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2">
    <field x="0"/>
    <field x="38"/>
  </rowFields>
  <rowItems count="25">
    <i>
      <x/>
    </i>
    <i r="1">
      <x/>
    </i>
    <i r="1">
      <x v="1"/>
    </i>
    <i r="1">
      <x v="2"/>
    </i>
    <i r="1">
      <x v="3"/>
    </i>
    <i r="1">
      <x v="5"/>
    </i>
    <i r="1">
      <x v="6"/>
    </i>
    <i r="1">
      <x v="7"/>
    </i>
    <i r="1">
      <x v="8"/>
    </i>
    <i r="1">
      <x v="9"/>
    </i>
    <i r="1">
      <x v="10"/>
    </i>
    <i r="1">
      <x v="11"/>
    </i>
    <i>
      <x v="1"/>
    </i>
    <i r="1">
      <x/>
    </i>
    <i r="1">
      <x v="1"/>
    </i>
    <i r="1">
      <x v="2"/>
    </i>
    <i r="1">
      <x v="4"/>
    </i>
    <i r="1">
      <x v="5"/>
    </i>
    <i r="1">
      <x v="6"/>
    </i>
    <i r="1">
      <x v="7"/>
    </i>
    <i r="1">
      <x v="8"/>
    </i>
    <i r="1">
      <x v="9"/>
    </i>
    <i r="1">
      <x v="10"/>
    </i>
    <i r="1">
      <x v="11"/>
    </i>
    <i t="grand">
      <x/>
    </i>
  </rowItems>
  <colFields count="1">
    <field x="-2"/>
  </colFields>
  <colItems count="2">
    <i>
      <x/>
    </i>
    <i i="1">
      <x v="1"/>
    </i>
  </colItems>
  <pageFields count="3">
    <pageField fld="1" hier="-1"/>
    <pageField fld="5" hier="-1"/>
    <pageField fld="20" item="1" hier="-1"/>
  </pageFields>
  <dataFields count="2">
    <dataField name="Households" fld="16" baseField="2" baseItem="0"/>
    <dataField name="Population" fld="17" baseField="2" baseItem="0"/>
  </dataFields>
  <formats count="20">
    <format dxfId="979">
      <pivotArea type="all" dataOnly="0" outline="0" fieldPosition="0"/>
    </format>
    <format dxfId="978">
      <pivotArea field="1" type="button" dataOnly="0" labelOnly="1" outline="0" axis="axisPage" fieldPosition="0"/>
    </format>
    <format dxfId="977">
      <pivotArea dataOnly="0" labelOnly="1" outline="0" fieldPosition="0">
        <references count="1">
          <reference field="4294967294" count="2">
            <x v="0"/>
            <x v="1"/>
          </reference>
        </references>
      </pivotArea>
    </format>
    <format dxfId="976">
      <pivotArea grandRow="1" outline="0" collapsedLevelsAreSubtotals="1" fieldPosition="0"/>
    </format>
    <format dxfId="975">
      <pivotArea dataOnly="0" labelOnly="1" grandRow="1" outline="0" fieldPosition="0"/>
    </format>
    <format dxfId="974">
      <pivotArea outline="0" collapsedLevelsAreSubtotals="1" fieldPosition="0"/>
    </format>
    <format dxfId="973">
      <pivotArea dataOnly="0" labelOnly="1" fieldPosition="0">
        <references count="1">
          <reference field="0" count="0"/>
        </references>
      </pivotArea>
    </format>
    <format dxfId="972">
      <pivotArea dataOnly="0" labelOnly="1" grandRow="1" outline="0" fieldPosition="0"/>
    </format>
    <format dxfId="971">
      <pivotArea outline="0" collapsedLevelsAreSubtotals="1" fieldPosition="0">
        <references count="1">
          <reference field="4294967294" count="1" selected="0">
            <x v="1"/>
          </reference>
        </references>
      </pivotArea>
    </format>
    <format dxfId="970">
      <pivotArea dataOnly="0" labelOnly="1" outline="0" fieldPosition="0">
        <references count="1">
          <reference field="4294967294" count="1">
            <x v="1"/>
          </reference>
        </references>
      </pivotArea>
    </format>
    <format dxfId="969">
      <pivotArea type="all" dataOnly="0" outline="0" fieldPosition="0"/>
    </format>
    <format dxfId="968">
      <pivotArea field="1" type="button" dataOnly="0" labelOnly="1" outline="0" axis="axisPage" fieldPosition="0"/>
    </format>
    <format dxfId="967">
      <pivotArea dataOnly="0" labelOnly="1" outline="0" fieldPosition="0">
        <references count="1">
          <reference field="1" count="0"/>
        </references>
      </pivotArea>
    </format>
    <format dxfId="966">
      <pivotArea field="5" type="button" dataOnly="0" labelOnly="1" outline="0" axis="axisPage" fieldPosition="1"/>
    </format>
    <format dxfId="965">
      <pivotArea dataOnly="0" labelOnly="1" outline="0" fieldPosition="0">
        <references count="1">
          <reference field="5" count="0"/>
        </references>
      </pivotArea>
    </format>
    <format dxfId="964">
      <pivotArea field="1" type="button" dataOnly="0" labelOnly="1" outline="0" axis="axisPage" fieldPosition="0"/>
    </format>
    <format dxfId="963">
      <pivotArea dataOnly="0" labelOnly="1" outline="0" fieldPosition="0">
        <references count="1">
          <reference field="1" count="0"/>
        </references>
      </pivotArea>
    </format>
    <format dxfId="962">
      <pivotArea field="5" type="button" dataOnly="0" labelOnly="1" outline="0" axis="axisPage" fieldPosition="1"/>
    </format>
    <format dxfId="961">
      <pivotArea dataOnly="0" labelOnly="1" outline="0" fieldPosition="0">
        <references count="1">
          <reference field="5" count="0"/>
        </references>
      </pivotArea>
    </format>
    <format dxfId="960">
      <pivotArea field="0" grandRow="1" outline="0" collapsedLevelsAreSubtotals="1" axis="axisRow" fieldPosition="0">
        <references count="1">
          <reference field="4294967294" count="1" selected="0">
            <x v="1"/>
          </reference>
        </references>
      </pivotArea>
    </format>
  </formats>
  <chartFormats count="2">
    <chartFormat chart="4"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2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81:D92" firstHeaderRow="0" firstDataRow="1" firstDataCol="1" rowPageCount="2" colPageCount="1"/>
  <pivotFields count="42">
    <pivotField axis="axisPage" multipleItemSelectionAllowed="1" showAll="0">
      <items count="3">
        <item x="1"/>
        <item h="1" x="0"/>
        <item t="default"/>
      </items>
    </pivotField>
    <pivotField axis="axisRow" multipleItemSelectionAllowed="1" showAll="0">
      <items count="3">
        <item x="0"/>
        <item sd="0" x="1"/>
        <item t="default"/>
      </items>
    </pivotField>
    <pivotField showAll="0" defaultSubtotal="0"/>
    <pivotField showAll="0" defaultSubtotal="0"/>
    <pivotField showAll="0" defaultSubtotal="0"/>
    <pivotField showAll="0" defaultSubtotal="0">
      <items count="21">
        <item x="1"/>
        <item x="4"/>
        <item x="0"/>
        <item x="18"/>
        <item x="14"/>
        <item x="13"/>
        <item x="7"/>
        <item x="15"/>
        <item x="2"/>
        <item x="16"/>
        <item x="12"/>
        <item x="8"/>
        <item x="5"/>
        <item x="10"/>
        <item x="6"/>
        <item x="17"/>
        <item x="19"/>
        <item x="11"/>
        <item x="9"/>
        <item x="20"/>
        <item x="3"/>
      </items>
    </pivotField>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pivotField showAll="0" defaultSubtotal="0"/>
    <pivotField showAll="0" defaultSubtotal="0"/>
    <pivotField showAll="0"/>
    <pivotField dataField="1" showAll="0"/>
    <pivotField showAll="0" defaultSubtotal="0"/>
    <pivotField axis="axisRow" showAll="0" defaultSubtotal="0">
      <items count="2">
        <item x="0"/>
        <item x="1"/>
      </items>
    </pivotField>
    <pivotField axis="axisPage" multipleItemSelectionAllowed="1" showAll="0" defaultSubtotal="0">
      <items count="2">
        <item h="1" x="1"/>
        <item x="0"/>
      </items>
    </pivotField>
    <pivotField axis="axisRow" showAll="0">
      <items count="6">
        <item x="2"/>
        <item x="0"/>
        <item x="1"/>
        <item x="4"/>
        <item x="3"/>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3">
    <field x="1"/>
    <field x="19"/>
    <field x="21"/>
  </rowFields>
  <rowItems count="11">
    <i>
      <x/>
    </i>
    <i r="1">
      <x/>
    </i>
    <i r="2">
      <x/>
    </i>
    <i r="2">
      <x v="1"/>
    </i>
    <i r="2">
      <x v="2"/>
    </i>
    <i r="1">
      <x v="1"/>
    </i>
    <i r="2">
      <x/>
    </i>
    <i r="2">
      <x v="1"/>
    </i>
    <i r="2">
      <x v="2"/>
    </i>
    <i>
      <x v="1"/>
    </i>
    <i t="grand">
      <x/>
    </i>
  </rowItems>
  <colFields count="1">
    <field x="-2"/>
  </colFields>
  <colItems count="3">
    <i>
      <x/>
    </i>
    <i i="1">
      <x v="1"/>
    </i>
    <i i="2">
      <x v="2"/>
    </i>
  </colItems>
  <pageFields count="2">
    <pageField fld="0" hier="-1"/>
    <pageField fld="20" hier="-1"/>
  </pageFields>
  <dataFields count="3">
    <dataField name="Count of Camp" fld="11" subtotal="count" baseField="0" baseItem="0"/>
    <dataField name="Sum of Total" fld="17" baseField="2" baseItem="0"/>
    <dataField name="Sum of Total2" fld="17" showDataAs="percentOfTotal" baseField="20" baseItem="1" numFmtId="10"/>
  </dataFields>
  <formats count="21">
    <format dxfId="1000">
      <pivotArea type="all" dataOnly="0" outline="0" fieldPosition="0"/>
    </format>
    <format dxfId="999">
      <pivotArea grandRow="1" outline="0" collapsedLevelsAreSubtotals="1" fieldPosition="0"/>
    </format>
    <format dxfId="998">
      <pivotArea dataOnly="0" labelOnly="1" grandRow="1" outline="0" fieldPosition="0"/>
    </format>
    <format dxfId="997">
      <pivotArea outline="0" collapsedLevelsAreSubtotals="1" fieldPosition="0"/>
    </format>
    <format dxfId="996">
      <pivotArea dataOnly="0" labelOnly="1" fieldPosition="0">
        <references count="1">
          <reference field="0" count="0"/>
        </references>
      </pivotArea>
    </format>
    <format dxfId="995">
      <pivotArea dataOnly="0" labelOnly="1" grandRow="1" outline="0" fieldPosition="0"/>
    </format>
    <format dxfId="994">
      <pivotArea outline="0" fieldPosition="0">
        <references count="1">
          <reference field="4294967294" count="1">
            <x v="2"/>
          </reference>
        </references>
      </pivotArea>
    </format>
    <format dxfId="993">
      <pivotArea collapsedLevelsAreSubtotals="1" fieldPosition="0">
        <references count="4">
          <reference field="4294967294" count="1" selected="0">
            <x v="2"/>
          </reference>
          <reference field="1" count="1" selected="0">
            <x v="0"/>
          </reference>
          <reference field="19" count="1" selected="0">
            <x v="0"/>
          </reference>
          <reference field="21" count="3">
            <x v="0"/>
            <x v="1"/>
            <x v="2"/>
          </reference>
        </references>
      </pivotArea>
    </format>
    <format dxfId="992">
      <pivotArea collapsedLevelsAreSubtotals="1" fieldPosition="0">
        <references count="3">
          <reference field="4294967294" count="1" selected="0">
            <x v="2"/>
          </reference>
          <reference field="1" count="1" selected="0">
            <x v="0"/>
          </reference>
          <reference field="19" count="1">
            <x v="1"/>
          </reference>
        </references>
      </pivotArea>
    </format>
    <format dxfId="991">
      <pivotArea collapsedLevelsAreSubtotals="1" fieldPosition="0">
        <references count="4">
          <reference field="4294967294" count="1" selected="0">
            <x v="2"/>
          </reference>
          <reference field="1" count="1" selected="0">
            <x v="0"/>
          </reference>
          <reference field="19" count="1" selected="0">
            <x v="1"/>
          </reference>
          <reference field="21" count="3">
            <x v="0"/>
            <x v="1"/>
            <x v="2"/>
          </reference>
        </references>
      </pivotArea>
    </format>
    <format dxfId="990">
      <pivotArea collapsedLevelsAreSubtotals="1" fieldPosition="0">
        <references count="2">
          <reference field="4294967294" count="1" selected="0">
            <x v="2"/>
          </reference>
          <reference field="1" count="1">
            <x v="1"/>
          </reference>
        </references>
      </pivotArea>
    </format>
    <format dxfId="989">
      <pivotArea field="1" grandRow="1" outline="0" collapsedLevelsAreSubtotals="1" axis="axisRow" fieldPosition="0">
        <references count="1">
          <reference field="4294967294" count="1" selected="0">
            <x v="2"/>
          </reference>
        </references>
      </pivotArea>
    </format>
    <format dxfId="988">
      <pivotArea field="0" type="button" dataOnly="0" labelOnly="1" outline="0" axis="axisPage" fieldPosition="0"/>
    </format>
    <format dxfId="987">
      <pivotArea dataOnly="0" labelOnly="1" outline="0" fieldPosition="0">
        <references count="1">
          <reference field="0" count="0"/>
        </references>
      </pivotArea>
    </format>
    <format dxfId="986">
      <pivotArea field="0" type="button" dataOnly="0" labelOnly="1" outline="0" axis="axisPage" fieldPosition="0"/>
    </format>
    <format dxfId="985">
      <pivotArea dataOnly="0" labelOnly="1" outline="0" fieldPosition="0">
        <references count="1">
          <reference field="0" count="0"/>
        </references>
      </pivotArea>
    </format>
    <format dxfId="984">
      <pivotArea collapsedLevelsAreSubtotals="1" fieldPosition="0">
        <references count="1">
          <reference field="1" count="1">
            <x v="0"/>
          </reference>
        </references>
      </pivotArea>
    </format>
    <format dxfId="983">
      <pivotArea field="1" type="button" dataOnly="0" labelOnly="1" outline="0" axis="axisRow" fieldPosition="0"/>
    </format>
    <format dxfId="982">
      <pivotArea dataOnly="0" labelOnly="1" fieldPosition="0">
        <references count="1">
          <reference field="1" count="1">
            <x v="0"/>
          </reference>
        </references>
      </pivotArea>
    </format>
    <format dxfId="981">
      <pivotArea dataOnly="0" labelOnly="1" outline="0" fieldPosition="0">
        <references count="1">
          <reference field="4294967294" count="3">
            <x v="0"/>
            <x v="1"/>
            <x v="2"/>
          </reference>
        </references>
      </pivotArea>
    </format>
    <format dxfId="98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6" cacheId="2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A68:D73" firstHeaderRow="1" firstDataRow="2" firstDataCol="1" rowPageCount="2" colPageCount="1"/>
  <pivotFields count="42">
    <pivotField axis="axisPage" multipleItemSelectionAllowed="1" showAll="0">
      <items count="3">
        <item x="1"/>
        <item h="1" x="0"/>
        <item t="default"/>
      </items>
    </pivotField>
    <pivotField showAll="0"/>
    <pivotField showAll="0" defaultSubtotal="0"/>
    <pivotField showAll="0"/>
    <pivotField showAll="0" defaultSubtotal="0"/>
    <pivotField showAll="0" defaultSubtotal="0">
      <items count="21">
        <item x="1"/>
        <item x="4"/>
        <item x="0"/>
        <item x="18"/>
        <item x="14"/>
        <item x="13"/>
        <item x="7"/>
        <item x="15"/>
        <item x="2"/>
        <item x="16"/>
        <item x="12"/>
        <item x="8"/>
        <item x="5"/>
        <item x="10"/>
        <item x="6"/>
        <item x="17"/>
        <item x="19"/>
        <item x="11"/>
        <item x="9"/>
        <item x="20"/>
        <item x="3"/>
      </items>
    </pivotField>
    <pivotField showAll="0" defaultSubtotal="0"/>
    <pivotField showAll="0" defaultSubtotal="0"/>
    <pivotField showAll="0" defaultSubtotal="0"/>
    <pivotField showAll="0"/>
    <pivotField showAll="0" defaultSubtotal="0"/>
    <pivotField showAll="0" defaultSubtotal="0"/>
    <pivotField dataField="1" showAll="0" defaultSubtotal="0"/>
    <pivotField showAll="0"/>
    <pivotField showAll="0" defaultSubtotal="0"/>
    <pivotField showAll="0" defaultSubtotal="0"/>
    <pivotField showAll="0"/>
    <pivotField showAll="0"/>
    <pivotField showAll="0"/>
    <pivotField axis="axisCol" showAll="0">
      <items count="3">
        <item x="0"/>
        <item x="1"/>
        <item t="default"/>
      </items>
    </pivotField>
    <pivotField axis="axisPage" multipleItemSelectionAllowed="1" showAll="0" defaultSubtotal="0">
      <items count="2">
        <item h="1" x="1"/>
        <item x="0"/>
      </items>
    </pivotField>
    <pivotField axis="axisRow" showAll="0">
      <items count="6">
        <item x="0"/>
        <item x="1"/>
        <item x="2"/>
        <item x="4"/>
        <item x="3"/>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1">
    <field x="21"/>
  </rowFields>
  <rowItems count="4">
    <i>
      <x/>
    </i>
    <i>
      <x v="1"/>
    </i>
    <i>
      <x v="2"/>
    </i>
    <i t="grand">
      <x/>
    </i>
  </rowItems>
  <colFields count="1">
    <field x="19"/>
  </colFields>
  <colItems count="3">
    <i>
      <x/>
    </i>
    <i>
      <x v="1"/>
    </i>
    <i t="grand">
      <x/>
    </i>
  </colItems>
  <pageFields count="2">
    <pageField fld="0" hier="-1"/>
    <pageField fld="20" hier="-1"/>
  </pageFields>
  <dataFields count="1">
    <dataField name="Count of CP_Pcode" fld="12" subtotal="count" baseField="0" baseItem="0"/>
  </dataFields>
  <formats count="2">
    <format dxfId="1002">
      <pivotArea outline="0" collapsedLevelsAreSubtotals="1" fieldPosition="0"/>
    </format>
    <format dxfId="100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2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A56:D61" firstHeaderRow="1" firstDataRow="2" firstDataCol="1" rowPageCount="2" colPageCount="1"/>
  <pivotFields count="42">
    <pivotField axis="axisPage" multipleItemSelectionAllowed="1" showAll="0">
      <items count="3">
        <item x="1"/>
        <item h="1" x="0"/>
        <item t="default"/>
      </items>
    </pivotField>
    <pivotField showAll="0"/>
    <pivotField showAll="0" defaultSubtotal="0"/>
    <pivotField showAll="0"/>
    <pivotField showAll="0" defaultSubtotal="0"/>
    <pivotField showAll="0" defaultSubtotal="0">
      <items count="21">
        <item x="1"/>
        <item x="4"/>
        <item x="0"/>
        <item x="18"/>
        <item x="14"/>
        <item x="13"/>
        <item x="7"/>
        <item x="15"/>
        <item x="2"/>
        <item x="16"/>
        <item x="12"/>
        <item x="8"/>
        <item x="5"/>
        <item x="10"/>
        <item x="6"/>
        <item x="17"/>
        <item x="19"/>
        <item x="11"/>
        <item x="9"/>
        <item x="20"/>
        <item x="3"/>
      </items>
    </pivotField>
    <pivotField showAll="0" defaultSubtotal="0"/>
    <pivotField showAll="0" defaultSubtotal="0"/>
    <pivotField showAll="0" defaultSubtotal="0"/>
    <pivotField showAll="0"/>
    <pivotField showAll="0" defaultSubtotal="0"/>
    <pivotField showAll="0" defaultSubtotal="0"/>
    <pivotField showAll="0" defaultSubtotal="0"/>
    <pivotField showAll="0"/>
    <pivotField showAll="0" defaultSubtotal="0"/>
    <pivotField showAll="0" defaultSubtotal="0"/>
    <pivotField showAll="0"/>
    <pivotField dataField="1" showAll="0"/>
    <pivotField showAll="0"/>
    <pivotField axis="axisCol" showAll="0">
      <items count="3">
        <item x="0"/>
        <item x="1"/>
        <item t="default"/>
      </items>
    </pivotField>
    <pivotField axis="axisPage" multipleItemSelectionAllowed="1" showAll="0" defaultSubtotal="0">
      <items count="2">
        <item h="1" x="1"/>
        <item x="0"/>
      </items>
    </pivotField>
    <pivotField axis="axisRow" showAll="0">
      <items count="6">
        <item x="0"/>
        <item x="1"/>
        <item x="2"/>
        <item x="4"/>
        <item x="3"/>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1">
    <field x="21"/>
  </rowFields>
  <rowItems count="4">
    <i>
      <x/>
    </i>
    <i>
      <x v="1"/>
    </i>
    <i>
      <x v="2"/>
    </i>
    <i t="grand">
      <x/>
    </i>
  </rowItems>
  <colFields count="1">
    <field x="19"/>
  </colFields>
  <colItems count="3">
    <i>
      <x/>
    </i>
    <i>
      <x v="1"/>
    </i>
    <i t="grand">
      <x/>
    </i>
  </colItems>
  <pageFields count="2">
    <pageField fld="0" hier="-1"/>
    <pageField fld="20" hier="-1"/>
  </pageFields>
  <dataFields count="1">
    <dataField name="Sum of Total" fld="17" baseField="20" baseItem="0" numFmtId="3"/>
  </dataFields>
  <formats count="6">
    <format dxfId="1008">
      <pivotArea field="0" type="button" dataOnly="0" labelOnly="1" outline="0" axis="axisPage" fieldPosition="0"/>
    </format>
    <format dxfId="1007">
      <pivotArea dataOnly="0" labelOnly="1" outline="0" fieldPosition="0">
        <references count="1">
          <reference field="0" count="0"/>
        </references>
      </pivotArea>
    </format>
    <format dxfId="1006">
      <pivotArea type="all" dataOnly="0" outline="0" fieldPosition="0"/>
    </format>
    <format dxfId="1005">
      <pivotArea type="all" dataOnly="0" outline="0" fieldPosition="0"/>
    </format>
    <format dxfId="1004">
      <pivotArea collapsedLevelsAreSubtotals="1" fieldPosition="0">
        <references count="1">
          <reference field="21" count="4">
            <x v="0"/>
            <x v="1"/>
            <x v="2"/>
            <x v="3"/>
          </reference>
        </references>
      </pivotArea>
    </format>
    <format dxfId="1003">
      <pivotArea dataOnly="0" labelOnly="1" fieldPosition="0">
        <references count="1">
          <reference field="21"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4" cacheId="23"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46:D50" firstHeaderRow="1" firstDataRow="2" firstDataCol="1" rowPageCount="2" colPageCount="1"/>
  <pivotFields count="42">
    <pivotField axis="axisRow" multipleItemSelectionAllowed="1" showAll="0">
      <items count="3">
        <item x="1"/>
        <item x="0"/>
        <item t="default"/>
      </items>
    </pivotField>
    <pivotField axis="axisPage" subtotalTop="0" multipleItemSelectionAllowed="1" showAll="0">
      <items count="3">
        <item x="0"/>
        <item x="1"/>
        <item t="default"/>
      </items>
    </pivotField>
    <pivotField showAll="0" defaultSubtotal="0"/>
    <pivotField showAll="0" defaultSubtotal="0"/>
    <pivotField showAll="0" defaultSubtotal="0"/>
    <pivotField showAll="0" defaultSubtotal="0">
      <items count="21">
        <item x="1"/>
        <item x="4"/>
        <item x="0"/>
        <item x="18"/>
        <item x="14"/>
        <item x="13"/>
        <item x="7"/>
        <item x="15"/>
        <item x="2"/>
        <item x="16"/>
        <item x="12"/>
        <item x="8"/>
        <item x="5"/>
        <item x="10"/>
        <item x="6"/>
        <item x="17"/>
        <item x="19"/>
        <item x="11"/>
        <item x="9"/>
        <item x="20"/>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axis="axisCol" showAll="0" defaultSubtotal="0">
      <items count="2">
        <item x="0"/>
        <item x="1"/>
      </items>
    </pivotField>
    <pivotField axis="axisPage" showAll="0" defaultSubtotal="0">
      <items count="2">
        <item x="1"/>
        <item x="0"/>
      </items>
    </pivotField>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1">
    <field x="0"/>
  </rowFields>
  <rowItems count="3">
    <i>
      <x/>
    </i>
    <i>
      <x v="1"/>
    </i>
    <i t="grand">
      <x/>
    </i>
  </rowItems>
  <colFields count="1">
    <field x="19"/>
  </colFields>
  <colItems count="3">
    <i>
      <x/>
    </i>
    <i>
      <x v="1"/>
    </i>
    <i t="grand">
      <x/>
    </i>
  </colItems>
  <pageFields count="2">
    <pageField fld="1" hier="-1"/>
    <pageField fld="20" item="1" hier="-1"/>
  </pageFields>
  <dataFields count="1">
    <dataField name="Sum of Total" fld="17" baseField="2" baseItem="0"/>
  </dataFields>
  <formats count="13">
    <format dxfId="1021">
      <pivotArea type="all" dataOnly="0" outline="0" fieldPosition="0"/>
    </format>
    <format dxfId="1020">
      <pivotArea field="1" type="button" dataOnly="0" labelOnly="1" outline="0" axis="axisPage" fieldPosition="0"/>
    </format>
    <format dxfId="1019">
      <pivotArea grandRow="1" outline="0" collapsedLevelsAreSubtotals="1" fieldPosition="0"/>
    </format>
    <format dxfId="1018">
      <pivotArea dataOnly="0" labelOnly="1" grandRow="1" outline="0" fieldPosition="0"/>
    </format>
    <format dxfId="1017">
      <pivotArea outline="0" collapsedLevelsAreSubtotals="1" fieldPosition="0"/>
    </format>
    <format dxfId="1016">
      <pivotArea dataOnly="0" labelOnly="1" fieldPosition="0">
        <references count="1">
          <reference field="0" count="0"/>
        </references>
      </pivotArea>
    </format>
    <format dxfId="1015">
      <pivotArea dataOnly="0" labelOnly="1" grandRow="1" outline="0" fieldPosition="0"/>
    </format>
    <format dxfId="1014">
      <pivotArea type="topRight" dataOnly="0" labelOnly="1" outline="0" fieldPosition="0"/>
    </format>
    <format dxfId="1013">
      <pivotArea type="all" dataOnly="0" outline="0" fieldPosition="0"/>
    </format>
    <format dxfId="1012">
      <pivotArea dataOnly="0" labelOnly="1" outline="0" fieldPosition="0">
        <references count="1">
          <reference field="1" count="0"/>
        </references>
      </pivotArea>
    </format>
    <format dxfId="1011">
      <pivotArea type="all" dataOnly="0" outline="0" fieldPosition="0"/>
    </format>
    <format dxfId="1010">
      <pivotArea collapsedLevelsAreSubtotals="1" fieldPosition="0">
        <references count="1">
          <reference field="0" count="0"/>
        </references>
      </pivotArea>
    </format>
    <format dxfId="1009">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 cacheId="23"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P11:Q45" firstHeaderRow="1" firstDataRow="1" firstDataCol="1" rowPageCount="1" colPageCount="1"/>
  <pivotFields count="42">
    <pivotField multipleItemSelectionAllowed="1" showAll="0"/>
    <pivotField axis="axisPage" subtotalTop="0" multipleItemSelectionAllowed="1" showAll="0">
      <items count="3">
        <item x="0"/>
        <item x="1"/>
        <item t="default"/>
      </items>
    </pivotField>
    <pivotField showAll="0" defaultSubtotal="0"/>
    <pivotField showAll="0" defaultSubtotal="0"/>
    <pivotField showAll="0" defaultSubtotal="0"/>
    <pivotField axis="axisRow" showAll="0" defaultSubtotal="0">
      <items count="21">
        <item x="1"/>
        <item x="4"/>
        <item x="0"/>
        <item x="18"/>
        <item x="14"/>
        <item x="13"/>
        <item x="7"/>
        <item x="15"/>
        <item x="2"/>
        <item x="16"/>
        <item x="12"/>
        <item x="8"/>
        <item x="5"/>
        <item x="10"/>
        <item x="6"/>
        <item x="17"/>
        <item x="19"/>
        <item x="11"/>
        <item x="9"/>
        <item x="20"/>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axis="axisRow"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2">
    <field x="38"/>
    <field x="5"/>
  </rowFields>
  <rowItems count="34">
    <i>
      <x/>
    </i>
    <i r="1">
      <x/>
    </i>
    <i>
      <x v="1"/>
    </i>
    <i r="1">
      <x v="1"/>
    </i>
    <i>
      <x v="2"/>
    </i>
    <i r="1">
      <x v="2"/>
    </i>
    <i>
      <x v="3"/>
    </i>
    <i r="1">
      <x v="3"/>
    </i>
    <i>
      <x v="4"/>
    </i>
    <i r="1">
      <x v="4"/>
    </i>
    <i>
      <x v="5"/>
    </i>
    <i r="1">
      <x v="5"/>
    </i>
    <i r="1">
      <x v="7"/>
    </i>
    <i r="1">
      <x v="9"/>
    </i>
    <i r="1">
      <x v="10"/>
    </i>
    <i r="1">
      <x v="11"/>
    </i>
    <i r="1">
      <x v="13"/>
    </i>
    <i r="1">
      <x v="16"/>
    </i>
    <i r="1">
      <x v="17"/>
    </i>
    <i r="1">
      <x v="18"/>
    </i>
    <i r="1">
      <x v="19"/>
    </i>
    <i>
      <x v="6"/>
    </i>
    <i r="1">
      <x v="6"/>
    </i>
    <i>
      <x v="7"/>
    </i>
    <i r="1">
      <x v="8"/>
    </i>
    <i>
      <x v="8"/>
    </i>
    <i r="1">
      <x v="12"/>
    </i>
    <i>
      <x v="9"/>
    </i>
    <i r="1">
      <x v="14"/>
    </i>
    <i>
      <x v="10"/>
    </i>
    <i r="1">
      <x v="15"/>
    </i>
    <i>
      <x v="11"/>
    </i>
    <i r="1">
      <x v="20"/>
    </i>
    <i t="grand">
      <x/>
    </i>
  </rowItems>
  <colItems count="1">
    <i/>
  </colItems>
  <pageFields count="1">
    <pageField fld="1" hier="-1"/>
  </pageFields>
  <dataFields count="1">
    <dataField name="Population" fld="17" baseField="5" baseItem="22"/>
  </dataFields>
  <formats count="5">
    <format dxfId="1026">
      <pivotArea type="all" dataOnly="0" outline="0" fieldPosition="0"/>
    </format>
    <format dxfId="1025">
      <pivotArea field="1" type="button" dataOnly="0" labelOnly="1" outline="0" axis="axisPage" fieldPosition="0"/>
    </format>
    <format dxfId="1024">
      <pivotArea dataOnly="0" labelOnly="1" outline="0" fieldPosition="0">
        <references count="1">
          <reference field="4294967294" count="1">
            <x v="0"/>
          </reference>
        </references>
      </pivotArea>
    </format>
    <format dxfId="1023">
      <pivotArea grandRow="1" outline="0" collapsedLevelsAreSubtotals="1" fieldPosition="0"/>
    </format>
    <format dxfId="1022">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7" cacheId="23" applyNumberFormats="0" applyBorderFormats="0" applyFontFormats="0" applyPatternFormats="0" applyAlignmentFormats="0" applyWidthHeightFormats="1" dataCaption="Values" updatedVersion="5" minRefreshableVersion="3" showDrill="0" showDataTips="0" itemPrintTitles="1" createdVersion="4" indent="0" compact="0" compactData="0" multipleFieldFilters="0">
  <location ref="A7:J194" firstHeaderRow="0" firstDataRow="1" firstDataCol="7" rowPageCount="2" colPageCount="1"/>
  <pivotFields count="42">
    <pivotField axis="axisPage" compact="0" outline="0" multipleItemSelectionAllowed="1" showAll="0">
      <items count="3">
        <item x="1"/>
        <item h="1" x="0"/>
        <item t="default"/>
      </items>
    </pivotField>
    <pivotField axis="axisRow" dataField="1" compact="0" outline="0" showAll="0">
      <items count="3">
        <item x="0"/>
        <item x="1"/>
        <item t="default"/>
      </items>
    </pivotField>
    <pivotField compact="0" outline="0" showAll="0" defaultSubtotal="0"/>
    <pivotField compact="0" outline="0" showAll="0"/>
    <pivotField compact="0" outline="0" showAll="0" defaultSubtotal="0"/>
    <pivotField axis="axisRow" compact="0" outline="0" showAll="0">
      <items count="22">
        <item x="1"/>
        <item x="4"/>
        <item x="0"/>
        <item x="18"/>
        <item x="14"/>
        <item x="13"/>
        <item x="7"/>
        <item x="15"/>
        <item x="2"/>
        <item x="16"/>
        <item x="12"/>
        <item x="8"/>
        <item x="5"/>
        <item x="10"/>
        <item x="6"/>
        <item x="17"/>
        <item x="19"/>
        <item x="11"/>
        <item x="9"/>
        <item x="20"/>
        <item x="3"/>
        <item t="default"/>
      </items>
    </pivotField>
    <pivotField compact="0" outline="0" showAll="0" defaultSubtotal="0"/>
    <pivotField compact="0" outline="0" showAll="0" defaultSubtotal="0"/>
    <pivotField compact="0" outline="0" showAll="0" defaultSubtotal="0"/>
    <pivotField compact="0" outline="0" showAll="0"/>
    <pivotField compact="0" outline="0" showAll="0" defaultSubtotal="0"/>
    <pivotField axis="axisRow" compact="0" outline="0" showAll="0" defaultSubtotal="0">
      <items count="240">
        <item x="0"/>
        <item x="1"/>
        <item x="2"/>
        <item x="3"/>
        <item x="4"/>
        <item x="5"/>
        <item x="6"/>
        <item x="7"/>
        <item x="8"/>
        <item x="9"/>
        <item x="10"/>
        <item x="11"/>
        <item x="12"/>
        <item x="13"/>
        <item x="14"/>
        <item x="15"/>
        <item x="16"/>
        <item x="17"/>
        <item x="18"/>
        <item x="20"/>
        <item x="21"/>
        <item x="22"/>
        <item x="23"/>
        <item x="25"/>
        <item x="26"/>
        <item x="27"/>
        <item x="28"/>
        <item x="29"/>
        <item x="30"/>
        <item x="31"/>
        <item x="32"/>
        <item x="33"/>
        <item x="34"/>
        <item x="35"/>
        <item x="36"/>
        <item x="37"/>
        <item x="38"/>
        <item x="39"/>
        <item x="41"/>
        <item x="42"/>
        <item x="43"/>
        <item x="45"/>
        <item x="46"/>
        <item x="47"/>
        <item x="48"/>
        <item x="49"/>
        <item x="51"/>
        <item x="52"/>
        <item x="53"/>
        <item x="54"/>
        <item x="55"/>
        <item x="56"/>
        <item x="58"/>
        <item x="59"/>
        <item x="60"/>
        <item x="61"/>
        <item x="62"/>
        <item x="63"/>
        <item x="65"/>
        <item x="66"/>
        <item x="67"/>
        <item x="68"/>
        <item x="69"/>
        <item x="70"/>
        <item x="71"/>
        <item x="72"/>
        <item x="73"/>
        <item x="74"/>
        <item x="75"/>
        <item x="76"/>
        <item x="77"/>
        <item x="78"/>
        <item x="79"/>
        <item x="82"/>
        <item x="83"/>
        <item x="84"/>
        <item x="85"/>
        <item x="86"/>
        <item x="87"/>
        <item x="88"/>
        <item x="89"/>
        <item x="90"/>
        <item x="91"/>
        <item x="93"/>
        <item x="94"/>
        <item x="95"/>
        <item x="96"/>
        <item x="97"/>
        <item x="98"/>
        <item x="99"/>
        <item x="100"/>
        <item x="102"/>
        <item x="104"/>
        <item x="105"/>
        <item x="106"/>
        <item x="107"/>
        <item x="108"/>
        <item x="109"/>
        <item x="110"/>
        <item x="111"/>
        <item x="112"/>
        <item x="113"/>
        <item x="114"/>
        <item x="115"/>
        <item x="116"/>
        <item x="117"/>
        <item x="118"/>
        <item x="119"/>
        <item x="120"/>
        <item x="121"/>
        <item x="122"/>
        <item x="123"/>
        <item x="124"/>
        <item x="125"/>
        <item x="126"/>
        <item x="127"/>
        <item x="128"/>
        <item x="131"/>
        <item x="132"/>
        <item x="133"/>
        <item x="134"/>
        <item x="135"/>
        <item x="136"/>
        <item x="137"/>
        <item x="139"/>
        <item x="140"/>
        <item x="143"/>
        <item x="144"/>
        <item x="145"/>
        <item x="146"/>
        <item x="147"/>
        <item x="148"/>
        <item x="150"/>
        <item x="151"/>
        <item x="152"/>
        <item x="153"/>
        <item x="154"/>
        <item x="155"/>
        <item x="156"/>
        <item x="157"/>
        <item x="158"/>
        <item x="159"/>
        <item x="161"/>
        <item x="162"/>
        <item x="164"/>
        <item x="165"/>
        <item x="166"/>
        <item x="167"/>
        <item x="168"/>
        <item x="169"/>
        <item x="170"/>
        <item x="171"/>
        <item x="172"/>
        <item x="176"/>
        <item x="177"/>
        <item x="178"/>
        <item x="179"/>
        <item x="180"/>
        <item x="181"/>
        <item x="182"/>
        <item x="183"/>
        <item x="185"/>
        <item x="186"/>
        <item x="187"/>
        <item x="188"/>
        <item x="189"/>
        <item x="190"/>
        <item x="191"/>
        <item x="192"/>
        <item x="193"/>
        <item x="194"/>
        <item x="195"/>
        <item x="196"/>
        <item x="197"/>
        <item x="199"/>
        <item x="203"/>
        <item x="204"/>
        <item x="205"/>
        <item x="206"/>
        <item x="207"/>
        <item x="208"/>
        <item x="209"/>
        <item x="210"/>
        <item x="211"/>
        <item x="212"/>
        <item x="213"/>
        <item x="214"/>
        <item x="215"/>
        <item x="216"/>
        <item x="217"/>
        <item x="219"/>
        <item x="220"/>
        <item x="221"/>
        <item x="222"/>
        <item x="224"/>
        <item x="225"/>
        <item x="226"/>
        <item x="227"/>
        <item x="228"/>
        <item x="229"/>
        <item x="230"/>
        <item x="231"/>
        <item x="232"/>
        <item x="233"/>
        <item x="234"/>
        <item x="235"/>
        <item x="236"/>
        <item x="238"/>
        <item x="239"/>
        <item x="92"/>
        <item x="202"/>
        <item x="223"/>
        <item x="19"/>
        <item x="50"/>
        <item x="141"/>
        <item x="149"/>
        <item x="103"/>
        <item x="142"/>
        <item x="44"/>
        <item x="163"/>
        <item x="101"/>
        <item x="138"/>
        <item x="57"/>
        <item x="40"/>
        <item x="129"/>
        <item x="130"/>
        <item x="173"/>
        <item x="64"/>
        <item x="184"/>
        <item x="218"/>
        <item x="237"/>
        <item x="80"/>
        <item x="160"/>
        <item x="200"/>
        <item x="201"/>
        <item x="81"/>
        <item x="174"/>
        <item x="198"/>
        <item x="24"/>
        <item x="175"/>
      </items>
    </pivotField>
    <pivotField axis="axisRow" compact="0" outline="0" showAll="0" defaultSubtotal="0">
      <items count="243">
        <item x="220"/>
        <item x="183"/>
        <item x="223"/>
        <item x="222"/>
        <item x="224"/>
        <item x="207"/>
        <item x="208"/>
        <item x="98"/>
        <item x="212"/>
        <item x="27"/>
        <item x="28"/>
        <item x="26"/>
        <item x="63"/>
        <item x="74"/>
        <item x="73"/>
        <item x="96"/>
        <item x="147"/>
        <item x="54"/>
        <item x="55"/>
        <item x="122"/>
        <item x="123"/>
        <item x="237"/>
        <item x="221"/>
        <item x="167"/>
        <item x="194"/>
        <item x="196"/>
        <item x="87"/>
        <item x="35"/>
        <item x="91"/>
        <item x="195"/>
        <item x="90"/>
        <item x="193"/>
        <item x="174"/>
        <item x="176"/>
        <item x="133"/>
        <item x="231"/>
        <item x="225"/>
        <item x="230"/>
        <item x="93"/>
        <item x="92"/>
        <item x="209"/>
        <item x="22"/>
        <item x="48"/>
        <item x="235"/>
        <item x="69"/>
        <item x="34"/>
        <item x="198"/>
        <item x="57"/>
        <item x="78"/>
        <item x="3"/>
        <item x="146"/>
        <item x="50"/>
        <item x="238"/>
        <item x="168"/>
        <item x="217"/>
        <item x="134"/>
        <item x="135"/>
        <item x="109"/>
        <item x="182"/>
        <item x="219"/>
        <item x="148"/>
        <item x="97"/>
        <item x="101"/>
        <item x="89"/>
        <item x="191"/>
        <item x="113"/>
        <item x="210"/>
        <item x="211"/>
        <item x="80"/>
        <item x="81"/>
        <item x="79"/>
        <item x="184"/>
        <item x="206"/>
        <item x="65"/>
        <item x="229"/>
        <item x="112"/>
        <item x="64"/>
        <item x="172"/>
        <item x="214"/>
        <item x="170"/>
        <item x="179"/>
        <item x="180"/>
        <item x="127"/>
        <item x="126"/>
        <item x="21"/>
        <item x="129"/>
        <item x="125"/>
        <item x="128"/>
        <item x="9"/>
        <item x="115"/>
        <item x="114"/>
        <item x="119"/>
        <item x="116"/>
        <item x="121"/>
        <item x="117"/>
        <item x="118"/>
        <item x="120"/>
        <item x="227"/>
        <item x="189"/>
        <item x="169"/>
        <item x="202"/>
        <item x="239"/>
        <item x="124"/>
        <item x="85"/>
        <item x="199"/>
        <item x="20"/>
        <item x="218"/>
        <item x="240"/>
        <item x="17"/>
        <item x="16"/>
        <item x="36"/>
        <item x="234"/>
        <item x="67"/>
        <item x="108"/>
        <item x="88"/>
        <item x="187"/>
        <item x="56"/>
        <item x="49"/>
        <item x="29"/>
        <item x="186"/>
        <item x="70"/>
        <item x="18"/>
        <item x="181"/>
        <item x="105"/>
        <item x="103"/>
        <item x="107"/>
        <item x="82"/>
        <item x="149"/>
        <item x="161"/>
        <item x="72"/>
        <item x="71"/>
        <item x="37"/>
        <item x="68"/>
        <item x="175"/>
        <item x="23"/>
        <item x="192"/>
        <item x="185"/>
        <item x="41"/>
        <item x="77"/>
        <item x="2"/>
        <item x="13"/>
        <item x="8"/>
        <item x="0"/>
        <item x="15"/>
        <item x="6"/>
        <item x="25"/>
        <item x="236"/>
        <item x="4"/>
        <item x="143"/>
        <item x="130"/>
        <item x="1"/>
        <item x="30"/>
        <item x="76"/>
        <item x="197"/>
        <item x="200"/>
        <item x="233"/>
        <item x="232"/>
        <item x="31"/>
        <item x="14"/>
        <item x="39"/>
        <item x="5"/>
        <item x="38"/>
        <item x="162"/>
        <item x="190"/>
        <item x="7"/>
        <item x="75"/>
        <item x="42"/>
        <item x="43"/>
        <item x="102"/>
        <item x="44"/>
        <item x="58"/>
        <item x="241"/>
        <item x="66"/>
        <item x="139"/>
        <item x="159"/>
        <item x="216"/>
        <item x="51"/>
        <item x="160"/>
        <item x="188"/>
        <item x="228"/>
        <item x="99"/>
        <item x="100"/>
        <item x="12"/>
        <item x="10"/>
        <item x="11"/>
        <item x="52"/>
        <item x="94"/>
        <item x="213"/>
        <item x="173"/>
        <item x="86"/>
        <item x="215"/>
        <item x="151"/>
        <item x="155"/>
        <item x="153"/>
        <item x="150"/>
        <item x="137"/>
        <item x="140"/>
        <item x="158"/>
        <item x="110"/>
        <item x="45"/>
        <item x="157"/>
        <item x="136"/>
        <item x="164"/>
        <item x="59"/>
        <item x="61"/>
        <item x="62"/>
        <item x="131"/>
        <item x="142"/>
        <item x="242"/>
        <item x="46"/>
        <item x="138"/>
        <item x="154"/>
        <item x="156"/>
        <item x="171"/>
        <item x="111"/>
        <item x="165"/>
        <item x="32"/>
        <item x="33"/>
        <item x="95"/>
        <item x="226"/>
        <item x="205"/>
        <item x="19"/>
        <item x="53"/>
        <item x="144"/>
        <item x="152"/>
        <item x="166"/>
        <item x="106"/>
        <item x="145"/>
        <item x="47"/>
        <item x="104"/>
        <item x="141"/>
        <item x="60"/>
        <item x="40"/>
        <item x="132"/>
        <item x="163"/>
        <item x="83"/>
        <item x="203"/>
        <item x="204"/>
        <item x="84"/>
        <item x="177"/>
        <item x="201"/>
        <item x="24"/>
        <item x="178"/>
      </items>
    </pivotField>
    <pivotField compact="0" outline="0" showAll="0"/>
    <pivotField compact="0" outline="0" showAll="0" defaultSubtotal="0"/>
    <pivotField compact="0" outline="0" showAll="0" defaultSubtotal="0"/>
    <pivotField dataField="1" compact="0" outline="0" showAll="0"/>
    <pivotField dataField="1" compact="0" outline="0" showAll="0" defaultSubtotal="0"/>
    <pivotField compact="0" outline="0" showAll="0"/>
    <pivotField axis="axisRow" compact="0" outline="0" showAll="0" defaultSubtotal="0">
      <items count="2">
        <item x="0"/>
        <item x="1"/>
      </items>
    </pivotField>
    <pivotField axis="axisPage" compact="0" outline="0" multipleItemSelectionAllowed="1" showAll="0" defaultSubtotal="0">
      <items count="2">
        <item h="1" x="1"/>
        <item x="0"/>
      </items>
    </pivotField>
    <pivotField name="Camps/Host Families" axis="axisRow" compact="0" outline="0" showAll="0" defaultSubtotal="0">
      <items count="5">
        <item x="0"/>
        <item x="1"/>
        <item x="2"/>
        <item x="4"/>
        <item x="3"/>
      </items>
    </pivotField>
    <pivotField compact="0" outline="0" showAll="0" defaultSubtotal="0">
      <items count="4">
        <item x="3"/>
        <item x="1"/>
        <item x="2"/>
        <item x="0"/>
      </items>
    </pivotField>
    <pivotField compact="0" outline="0" showAll="0" defaultSubtotal="0"/>
    <pivotField compact="0" outline="0" showAll="0" defaultSubtotal="0"/>
    <pivotField axis="axisRow" compact="0" outline="0" showAll="0" defaultSubtotal="0">
      <items count="6">
        <item x="1"/>
        <item x="3"/>
        <item x="2"/>
        <item x="4"/>
        <item n=" " x="0"/>
        <item x="5"/>
      </items>
    </pivotField>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dragToRow="0" dragToCol="0" dragToPage="0" showAll="0" defaultSubtotal="0"/>
    <pivotField compact="0" outline="0" showAll="0" defaultSubtotal="0">
      <items count="12">
        <item x="3"/>
        <item x="8"/>
        <item x="0"/>
        <item x="10"/>
        <item x="5"/>
        <item x="11"/>
        <item x="4"/>
        <item x="1"/>
        <item x="6"/>
        <item x="9"/>
        <item x="7"/>
        <item x="2"/>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7">
    <field x="1"/>
    <field x="5"/>
    <field x="11"/>
    <field x="12"/>
    <field x="21"/>
    <field x="25"/>
    <field x="19"/>
  </rowFields>
  <rowItems count="187">
    <i>
      <x/>
      <x/>
      <x v="3"/>
      <x v="49"/>
      <x/>
      <x v="1"/>
      <x/>
    </i>
    <i r="2">
      <x v="7"/>
      <x v="164"/>
      <x/>
      <x/>
      <x/>
    </i>
    <i r="2">
      <x v="38"/>
      <x v="137"/>
      <x v="1"/>
      <x v="4"/>
      <x/>
    </i>
    <i r="2">
      <x v="43"/>
      <x v="51"/>
      <x/>
      <x/>
      <x/>
    </i>
    <i r="2">
      <x v="68"/>
      <x v="48"/>
      <x/>
      <x v="3"/>
      <x/>
    </i>
    <i r="2">
      <x v="126"/>
      <x v="50"/>
      <x/>
      <x v="3"/>
      <x/>
    </i>
    <i r="2">
      <x v="145"/>
      <x v="53"/>
      <x/>
      <x v="1"/>
      <x/>
    </i>
    <i r="2">
      <x v="163"/>
      <x v="163"/>
      <x/>
      <x/>
      <x/>
    </i>
    <i r="2">
      <x v="171"/>
      <x v="46"/>
      <x/>
      <x/>
      <x/>
    </i>
    <i r="2">
      <x v="186"/>
      <x v="54"/>
      <x/>
      <x v="3"/>
      <x/>
    </i>
    <i r="2">
      <x v="205"/>
      <x v="52"/>
      <x/>
      <x v="3"/>
      <x/>
    </i>
    <i t="default" r="1">
      <x/>
    </i>
    <i r="1">
      <x v="1"/>
      <x v="21"/>
      <x v="41"/>
      <x/>
      <x v="3"/>
      <x/>
    </i>
    <i r="2">
      <x v="41"/>
      <x v="42"/>
      <x/>
      <x/>
      <x v="1"/>
    </i>
    <i r="2">
      <x v="59"/>
      <x v="44"/>
      <x v="1"/>
      <x v="4"/>
      <x/>
    </i>
    <i r="2">
      <x v="65"/>
      <x v="165"/>
      <x/>
      <x v="3"/>
      <x/>
    </i>
    <i r="2">
      <x v="161"/>
      <x v="178"/>
      <x/>
      <x v="2"/>
      <x/>
    </i>
    <i r="2">
      <x v="210"/>
      <x v="220"/>
      <x/>
      <x v="2"/>
      <x/>
    </i>
    <i t="default" r="1">
      <x v="1"/>
    </i>
    <i r="1">
      <x v="2"/>
      <x v="1"/>
      <x v="150"/>
      <x/>
      <x/>
      <x/>
    </i>
    <i r="2">
      <x v="2"/>
      <x v="139"/>
      <x/>
      <x v="2"/>
      <x/>
    </i>
    <i r="2">
      <x v="4"/>
      <x v="147"/>
      <x/>
      <x v="3"/>
      <x/>
    </i>
    <i r="2">
      <x v="5"/>
      <x v="160"/>
      <x/>
      <x v="3"/>
      <x/>
    </i>
    <i r="2">
      <x v="13"/>
      <x v="140"/>
      <x/>
      <x/>
      <x/>
    </i>
    <i r="2">
      <x v="19"/>
      <x v="105"/>
      <x/>
      <x v="3"/>
      <x/>
    </i>
    <i r="2">
      <x v="23"/>
      <x v="145"/>
      <x/>
      <x v="3"/>
      <x/>
    </i>
    <i r="2">
      <x v="35"/>
      <x v="131"/>
      <x/>
      <x/>
      <x/>
    </i>
    <i r="2">
      <x v="36"/>
      <x v="161"/>
      <x/>
      <x v="3"/>
      <x/>
    </i>
    <i r="2">
      <x v="66"/>
      <x v="152"/>
      <x/>
      <x v="3"/>
      <x/>
    </i>
    <i r="2">
      <x v="67"/>
      <x v="138"/>
      <x/>
      <x v="3"/>
      <x/>
    </i>
    <i r="2">
      <x v="113"/>
      <x v="87"/>
      <x/>
      <x v="3"/>
      <x/>
    </i>
    <i r="2">
      <x v="141"/>
      <x v="162"/>
      <x/>
      <x v="3"/>
      <x/>
    </i>
    <i r="2">
      <x v="146"/>
      <x v="99"/>
      <x/>
      <x v="2"/>
      <x/>
    </i>
    <i r="2">
      <x v="170"/>
      <x v="153"/>
      <x/>
      <x v="3"/>
      <x/>
    </i>
    <i r="2">
      <x v="173"/>
      <x v="154"/>
      <x/>
      <x/>
      <x/>
    </i>
    <i r="2">
      <x v="200"/>
      <x v="155"/>
      <x/>
      <x/>
      <x/>
    </i>
    <i r="2">
      <x v="206"/>
      <x v="101"/>
      <x/>
      <x/>
      <x/>
    </i>
    <i r="2">
      <x v="218"/>
      <x v="228"/>
      <x/>
      <x/>
      <x/>
    </i>
    <i r="2">
      <x v="222"/>
      <x v="231"/>
      <x/>
      <x/>
      <x/>
    </i>
    <i t="default" r="1">
      <x v="2"/>
    </i>
    <i r="1">
      <x v="5"/>
      <x v="56"/>
      <x v="73"/>
      <x/>
      <x v="4"/>
      <x/>
    </i>
    <i t="default" r="1">
      <x v="5"/>
    </i>
    <i r="1">
      <x v="8"/>
      <x v="18"/>
      <x v="121"/>
      <x/>
      <x v="1"/>
      <x v="1"/>
    </i>
    <i r="2">
      <x v="38"/>
      <x v="166"/>
      <x v="1"/>
      <x v="4"/>
      <x/>
    </i>
    <i r="2">
      <x v="60"/>
      <x v="120"/>
      <x/>
      <x v="1"/>
      <x v="1"/>
    </i>
    <i r="2">
      <x v="82"/>
      <x v="186"/>
      <x/>
      <x/>
      <x/>
    </i>
    <i r="2">
      <x v="90"/>
      <x v="124"/>
      <x/>
      <x/>
      <x/>
    </i>
    <i r="2">
      <x v="91"/>
      <x v="123"/>
      <x/>
      <x v="1"/>
      <x/>
    </i>
    <i r="2">
      <x v="92"/>
      <x v="125"/>
      <x v="1"/>
      <x v="4"/>
      <x/>
    </i>
    <i r="2">
      <x v="98"/>
      <x v="65"/>
      <x/>
      <x/>
      <x/>
    </i>
    <i r="2">
      <x v="209"/>
      <x v="218"/>
      <x/>
      <x v="1"/>
      <x/>
    </i>
    <i r="2">
      <x v="212"/>
      <x v="221"/>
      <x/>
      <x v="1"/>
      <x v="1"/>
    </i>
    <i r="2">
      <x v="216"/>
      <x v="226"/>
      <x/>
      <x v="1"/>
      <x/>
    </i>
    <i r="2">
      <x v="220"/>
      <x v="229"/>
      <x/>
      <x/>
      <x/>
    </i>
    <i t="default" r="1">
      <x v="8"/>
    </i>
    <i r="1">
      <x v="10"/>
      <x v="55"/>
      <x v="76"/>
      <x/>
      <x/>
      <x/>
    </i>
    <i r="2">
      <x v="97"/>
      <x v="75"/>
      <x/>
      <x/>
      <x/>
    </i>
    <i r="2">
      <x v="149"/>
      <x v="77"/>
      <x/>
      <x/>
      <x/>
    </i>
    <i r="2">
      <x v="233"/>
      <x v="236"/>
      <x v="1"/>
      <x v="4"/>
      <x/>
    </i>
    <i r="2">
      <x v="234"/>
      <x v="237"/>
      <x v="1"/>
      <x v="4"/>
      <x/>
    </i>
    <i r="2">
      <x v="235"/>
      <x v="238"/>
      <x/>
      <x v="2"/>
      <x/>
    </i>
    <i t="default" r="1">
      <x v="10"/>
    </i>
    <i r="1">
      <x v="11"/>
      <x v="152"/>
      <x v="133"/>
      <x/>
      <x/>
      <x/>
    </i>
    <i r="2">
      <x v="183"/>
      <x v="78"/>
      <x/>
      <x v="2"/>
      <x/>
    </i>
    <i r="2">
      <x v="223"/>
      <x v="232"/>
      <x v="1"/>
      <x v="4"/>
      <x/>
    </i>
    <i r="2">
      <x v="224"/>
      <x v="233"/>
      <x v="1"/>
      <x v="4"/>
      <x/>
    </i>
    <i t="default" r="1">
      <x v="11"/>
    </i>
    <i r="1">
      <x v="12"/>
      <x v="27"/>
      <x v="118"/>
      <x/>
      <x v="2"/>
      <x v="1"/>
    </i>
    <i r="2">
      <x v="38"/>
      <x v="167"/>
      <x v="1"/>
      <x v="4"/>
      <x/>
    </i>
    <i r="2">
      <x v="42"/>
      <x v="117"/>
      <x/>
      <x v="2"/>
      <x v="1"/>
    </i>
    <i r="2">
      <x v="48"/>
      <x v="116"/>
      <x/>
      <x v="2"/>
      <x v="1"/>
    </i>
    <i r="2">
      <x v="50"/>
      <x v="170"/>
      <x v="1"/>
      <x v="4"/>
      <x/>
    </i>
    <i r="2">
      <x v="69"/>
      <x v="70"/>
      <x/>
      <x/>
      <x/>
    </i>
    <i r="2">
      <x v="70"/>
      <x v="68"/>
      <x/>
      <x v="1"/>
      <x/>
    </i>
    <i r="2">
      <x v="71"/>
      <x v="69"/>
      <x/>
      <x/>
      <x/>
    </i>
    <i r="2">
      <x v="77"/>
      <x v="63"/>
      <x v="1"/>
      <x v="4"/>
      <x/>
    </i>
    <i r="2">
      <x v="84"/>
      <x v="61"/>
      <x/>
      <x v="1"/>
      <x/>
    </i>
    <i r="2">
      <x v="88"/>
      <x v="62"/>
      <x v="1"/>
      <x v="4"/>
      <x/>
    </i>
    <i r="2">
      <x v="89"/>
      <x v="168"/>
      <x v="1"/>
      <x v="4"/>
      <x/>
    </i>
    <i r="2">
      <x v="117"/>
      <x v="55"/>
      <x/>
      <x/>
      <x/>
    </i>
    <i r="2">
      <x v="128"/>
      <x v="60"/>
      <x v="1"/>
      <x v="4"/>
      <x/>
    </i>
    <i r="2">
      <x v="155"/>
      <x v="122"/>
      <x/>
      <x v="1"/>
      <x v="1"/>
    </i>
    <i r="2">
      <x v="156"/>
      <x v="58"/>
      <x/>
      <x v="3"/>
      <x/>
    </i>
    <i r="2">
      <x v="158"/>
      <x v="71"/>
      <x/>
      <x/>
      <x/>
    </i>
    <i r="2">
      <x v="160"/>
      <x v="119"/>
      <x/>
      <x v="1"/>
      <x v="1"/>
    </i>
    <i r="2">
      <x v="164"/>
      <x v="64"/>
      <x v="1"/>
      <x v="4"/>
      <x/>
    </i>
    <i r="2">
      <x v="175"/>
      <x v="72"/>
      <x/>
      <x/>
      <x/>
    </i>
    <i r="2">
      <x v="188"/>
      <x v="59"/>
      <x v="1"/>
      <x v="4"/>
      <x/>
    </i>
    <i r="2">
      <x v="238"/>
      <x v="241"/>
      <x v="2"/>
      <x v="4"/>
      <x/>
    </i>
    <i t="default" r="1">
      <x v="12"/>
    </i>
    <i r="1">
      <x v="14"/>
      <x v="24"/>
      <x v="11"/>
      <x/>
      <x/>
      <x/>
    </i>
    <i r="2">
      <x v="25"/>
      <x v="9"/>
      <x/>
      <x/>
      <x/>
    </i>
    <i r="2">
      <x v="26"/>
      <x v="10"/>
      <x/>
      <x/>
      <x/>
    </i>
    <i r="2">
      <x v="46"/>
      <x v="17"/>
      <x/>
      <x/>
      <x/>
    </i>
    <i r="2">
      <x v="47"/>
      <x v="18"/>
      <x/>
      <x v="2"/>
      <x/>
    </i>
    <i r="2">
      <x v="54"/>
      <x v="12"/>
      <x/>
      <x/>
      <x/>
    </i>
    <i r="2">
      <x v="63"/>
      <x v="14"/>
      <x/>
      <x/>
      <x/>
    </i>
    <i r="2">
      <x v="64"/>
      <x v="13"/>
      <x/>
      <x/>
      <x/>
    </i>
    <i r="2">
      <x v="83"/>
      <x v="15"/>
      <x/>
      <x/>
      <x/>
    </i>
    <i r="2">
      <x v="85"/>
      <x v="7"/>
      <x/>
      <x/>
      <x/>
    </i>
    <i r="2">
      <x v="107"/>
      <x v="19"/>
      <x/>
      <x v="3"/>
      <x/>
    </i>
    <i r="2">
      <x v="108"/>
      <x v="20"/>
      <x/>
      <x v="3"/>
      <x/>
    </i>
    <i r="2">
      <x v="144"/>
      <x v="23"/>
      <x/>
      <x v="2"/>
      <x/>
    </i>
    <i r="2">
      <x v="157"/>
      <x v="1"/>
      <x/>
      <x/>
      <x/>
    </i>
    <i r="2">
      <x v="159"/>
      <x v="136"/>
      <x/>
      <x v="2"/>
      <x/>
    </i>
    <i r="2">
      <x v="176"/>
      <x v="5"/>
      <x/>
      <x/>
      <x/>
    </i>
    <i r="2">
      <x v="177"/>
      <x v="6"/>
      <x/>
      <x v="3"/>
      <x/>
    </i>
    <i r="2">
      <x v="181"/>
      <x v="8"/>
      <x/>
      <x/>
      <x/>
    </i>
    <i r="2">
      <x v="189"/>
      <x/>
      <x/>
      <x/>
      <x/>
    </i>
    <i r="2">
      <x v="190"/>
      <x v="3"/>
      <x/>
      <x v="3"/>
      <x/>
    </i>
    <i r="2">
      <x v="191"/>
      <x v="2"/>
      <x/>
      <x/>
      <x/>
    </i>
    <i r="2">
      <x v="192"/>
      <x v="4"/>
      <x/>
      <x/>
      <x/>
    </i>
    <i r="2">
      <x v="204"/>
      <x v="21"/>
      <x/>
      <x v="3"/>
      <x/>
    </i>
    <i r="2">
      <x v="229"/>
      <x v="22"/>
      <x/>
      <x v="3"/>
      <x/>
    </i>
    <i t="default" r="1">
      <x v="14"/>
    </i>
    <i r="1">
      <x v="17"/>
      <x v="196"/>
      <x v="74"/>
      <x v="1"/>
      <x v="4"/>
      <x/>
    </i>
    <i r="2">
      <x v="213"/>
      <x v="222"/>
      <x v="1"/>
      <x v="4"/>
      <x/>
    </i>
    <i r="2">
      <x v="231"/>
      <x v="235"/>
      <x/>
      <x/>
      <x/>
    </i>
    <i t="default" r="1">
      <x v="17"/>
    </i>
    <i r="1">
      <x v="18"/>
      <x v="38"/>
      <x v="169"/>
      <x v="1"/>
      <x v="4"/>
      <x/>
    </i>
    <i r="2">
      <x v="61"/>
      <x v="130"/>
      <x v="1"/>
      <x v="4"/>
      <x v="1"/>
    </i>
    <i r="2">
      <x v="179"/>
      <x v="66"/>
      <x/>
      <x/>
      <x/>
    </i>
    <i r="2">
      <x v="180"/>
      <x v="67"/>
      <x/>
      <x v="1"/>
      <x/>
    </i>
    <i t="default" r="1">
      <x v="18"/>
    </i>
    <i r="1">
      <x v="19"/>
      <x v="185"/>
      <x v="175"/>
      <x/>
      <x v="4"/>
      <x/>
    </i>
    <i r="2">
      <x v="236"/>
      <x v="239"/>
      <x/>
      <x v="4"/>
      <x/>
    </i>
    <i r="2">
      <x v="237"/>
      <x v="240"/>
      <x/>
      <x v="4"/>
      <x/>
    </i>
    <i t="default" r="1">
      <x v="19"/>
    </i>
    <i r="1">
      <x v="20"/>
      <x v="17"/>
      <x v="108"/>
      <x/>
      <x v="2"/>
      <x v="1"/>
    </i>
    <i r="2">
      <x v="33"/>
      <x v="27"/>
      <x/>
      <x v="3"/>
      <x/>
    </i>
    <i r="2">
      <x v="34"/>
      <x v="110"/>
      <x/>
      <x/>
      <x v="1"/>
    </i>
    <i r="2">
      <x v="44"/>
      <x v="176"/>
      <x v="2"/>
      <x v="4"/>
      <x v="1"/>
    </i>
    <i r="2">
      <x v="75"/>
      <x v="26"/>
      <x/>
      <x/>
      <x/>
    </i>
    <i r="2">
      <x v="76"/>
      <x v="114"/>
      <x/>
      <x v="2"/>
      <x v="1"/>
    </i>
    <i r="2">
      <x v="78"/>
      <x v="30"/>
      <x/>
      <x v="3"/>
      <x/>
    </i>
    <i r="2">
      <x v="79"/>
      <x v="28"/>
      <x/>
      <x v="2"/>
      <x/>
    </i>
    <i r="2">
      <x v="80"/>
      <x v="39"/>
      <x/>
      <x/>
      <x/>
    </i>
    <i r="2">
      <x v="81"/>
      <x v="38"/>
      <x/>
      <x/>
      <x/>
    </i>
    <i r="2">
      <x v="151"/>
      <x v="32"/>
      <x/>
      <x v="3"/>
      <x/>
    </i>
    <i r="2">
      <x v="165"/>
      <x v="135"/>
      <x/>
      <x v="2"/>
      <x v="1"/>
    </i>
    <i r="2">
      <x v="166"/>
      <x v="31"/>
      <x/>
      <x v="3"/>
      <x/>
    </i>
    <i r="2">
      <x v="167"/>
      <x v="24"/>
      <x/>
      <x/>
      <x/>
    </i>
    <i r="2">
      <x v="168"/>
      <x v="29"/>
      <x/>
      <x v="3"/>
      <x/>
    </i>
    <i r="2">
      <x v="169"/>
      <x v="25"/>
      <x/>
      <x v="3"/>
      <x/>
    </i>
    <i r="2">
      <x v="178"/>
      <x v="40"/>
      <x/>
      <x/>
      <x/>
    </i>
    <i r="2">
      <x v="193"/>
      <x v="36"/>
      <x/>
      <x v="3"/>
      <x/>
    </i>
    <i r="2">
      <x v="197"/>
      <x v="37"/>
      <x/>
      <x v="3"/>
      <x/>
    </i>
    <i r="2">
      <x v="201"/>
      <x v="111"/>
      <x/>
      <x v="2"/>
      <x v="1"/>
    </i>
    <i r="2">
      <x v="228"/>
      <x v="115"/>
      <x/>
      <x/>
      <x v="1"/>
    </i>
    <i r="2">
      <x v="230"/>
      <x v="107"/>
      <x/>
      <x/>
      <x v="1"/>
    </i>
    <i t="default" r="1">
      <x v="20"/>
    </i>
    <i t="default">
      <x/>
    </i>
    <i>
      <x v="1"/>
      <x v="3"/>
      <x v="148"/>
      <x v="213"/>
      <x v="1"/>
      <x v="4"/>
      <x v="1"/>
    </i>
    <i r="2">
      <x v="232"/>
      <x v="234"/>
      <x/>
      <x/>
      <x/>
    </i>
    <i t="default" r="1">
      <x v="3"/>
    </i>
    <i r="1">
      <x v="6"/>
      <x v="51"/>
      <x v="203"/>
      <x/>
      <x/>
      <x/>
    </i>
    <i r="2">
      <x v="52"/>
      <x v="204"/>
      <x/>
      <x/>
      <x/>
    </i>
    <i r="2">
      <x v="53"/>
      <x v="205"/>
      <x/>
      <x v="5"/>
      <x/>
    </i>
    <i r="2">
      <x v="116"/>
      <x v="206"/>
      <x/>
      <x/>
      <x/>
    </i>
    <i r="2">
      <x v="123"/>
      <x v="196"/>
      <x/>
      <x/>
      <x/>
    </i>
    <i r="2">
      <x v="137"/>
      <x v="197"/>
      <x/>
      <x/>
      <x/>
    </i>
    <i r="2">
      <x v="208"/>
      <x v="208"/>
      <x/>
      <x/>
      <x/>
    </i>
    <i r="2">
      <x v="221"/>
      <x v="230"/>
      <x/>
      <x v="5"/>
      <x/>
    </i>
    <i r="2">
      <x v="239"/>
      <x v="242"/>
      <x/>
      <x v="4"/>
      <x/>
    </i>
    <i t="default" r="1">
      <x v="6"/>
    </i>
    <i r="1">
      <x v="9"/>
      <x v="95"/>
      <x v="198"/>
      <x/>
      <x/>
      <x/>
    </i>
    <i r="2">
      <x v="96"/>
      <x v="214"/>
      <x/>
      <x v="5"/>
      <x/>
    </i>
    <i t="default" r="1">
      <x v="9"/>
    </i>
    <i r="1">
      <x v="13"/>
      <x v="39"/>
      <x v="199"/>
      <x v="1"/>
      <x v="4"/>
      <x/>
    </i>
    <i r="2">
      <x v="40"/>
      <x v="209"/>
      <x v="1"/>
      <x v="4"/>
      <x v="1"/>
    </i>
    <i r="2">
      <x v="119"/>
      <x v="201"/>
      <x/>
      <x/>
      <x v="1"/>
    </i>
    <i r="2">
      <x v="120"/>
      <x v="195"/>
      <x v="1"/>
      <x v="4"/>
      <x v="1"/>
    </i>
    <i r="2">
      <x v="136"/>
      <x v="200"/>
      <x v="1"/>
      <x v="4"/>
      <x/>
    </i>
    <i r="2">
      <x v="214"/>
      <x v="223"/>
      <x/>
      <x/>
      <x/>
    </i>
    <i r="2">
      <x v="217"/>
      <x v="227"/>
      <x/>
      <x v="5"/>
      <x/>
    </i>
    <i t="default" r="1">
      <x v="13"/>
    </i>
    <i r="1">
      <x v="15"/>
      <x v="130"/>
      <x v="194"/>
      <x/>
      <x/>
      <x/>
    </i>
    <i r="2">
      <x v="131"/>
      <x v="191"/>
      <x/>
      <x/>
      <x/>
    </i>
    <i r="2">
      <x v="132"/>
      <x v="193"/>
      <x/>
      <x v="5"/>
      <x/>
    </i>
    <i r="2">
      <x v="215"/>
      <x v="224"/>
      <x/>
      <x/>
      <x/>
    </i>
    <i r="2">
      <x v="219"/>
      <x v="225"/>
      <x/>
      <x/>
      <x/>
    </i>
    <i t="default" r="1">
      <x v="15"/>
    </i>
    <i r="1">
      <x v="16"/>
      <x v="142"/>
      <x v="202"/>
      <x/>
      <x/>
      <x/>
    </i>
    <i r="2">
      <x v="143"/>
      <x v="215"/>
      <x v="1"/>
      <x v="4"/>
      <x/>
    </i>
    <i t="default" r="1">
      <x v="16"/>
    </i>
    <i t="default">
      <x v="1"/>
    </i>
    <i t="grand">
      <x/>
    </i>
  </rowItems>
  <colFields count="1">
    <field x="-2"/>
  </colFields>
  <colItems count="3">
    <i>
      <x/>
    </i>
    <i i="1">
      <x v="1"/>
    </i>
    <i i="2">
      <x v="2"/>
    </i>
  </colItems>
  <pageFields count="2">
    <pageField fld="0" hier="-1"/>
    <pageField fld="20" hier="-1"/>
  </pageFields>
  <dataFields count="3">
    <dataField name="HoH" fld="16" baseField="19" baseItem="0"/>
    <dataField name="Individual" fld="17" baseField="19" baseItem="0"/>
    <dataField name="Location" fld="1" subtotal="count" baseField="0" baseItem="0"/>
  </dataFields>
  <formats count="33">
    <format dxfId="959">
      <pivotArea outline="0" collapsedLevelsAreSubtotals="1" fieldPosition="0"/>
    </format>
    <format dxfId="958">
      <pivotArea dataOnly="0" labelOnly="1" outline="0" fieldPosition="0">
        <references count="1">
          <reference field="4294967294" count="2">
            <x v="0"/>
            <x v="1"/>
          </reference>
        </references>
      </pivotArea>
    </format>
    <format dxfId="957">
      <pivotArea grandRow="1" outline="0" collapsedLevelsAreSubtotals="1" fieldPosition="0"/>
    </format>
    <format dxfId="956">
      <pivotArea dataOnly="0" labelOnly="1" grandRow="1" outline="0" fieldPosition="0"/>
    </format>
    <format dxfId="955">
      <pivotArea grandRow="1" outline="0" collapsedLevelsAreSubtotals="1" fieldPosition="0"/>
    </format>
    <format dxfId="954">
      <pivotArea dataOnly="0" labelOnly="1" grandRow="1" outline="0" fieldPosition="0"/>
    </format>
    <format dxfId="953">
      <pivotArea field="21" type="button" dataOnly="0" labelOnly="1" outline="0" axis="axisRow" fieldPosition="4"/>
    </format>
    <format dxfId="952">
      <pivotArea field="25" type="button" dataOnly="0" labelOnly="1" outline="0" axis="axisRow" fieldPosition="5"/>
    </format>
    <format dxfId="951">
      <pivotArea field="25" type="button" dataOnly="0" labelOnly="1" outline="0" axis="axisRow" fieldPosition="5"/>
    </format>
    <format dxfId="950">
      <pivotArea field="1" type="button" dataOnly="0" labelOnly="1" outline="0" axis="axisRow" fieldPosition="0"/>
    </format>
    <format dxfId="949">
      <pivotArea field="5" type="button" dataOnly="0" labelOnly="1" outline="0" axis="axisRow" fieldPosition="1"/>
    </format>
    <format dxfId="948">
      <pivotArea field="11" type="button" dataOnly="0" labelOnly="1" outline="0" axis="axisRow" fieldPosition="2"/>
    </format>
    <format dxfId="947">
      <pivotArea field="12" type="button" dataOnly="0" labelOnly="1" outline="0" axis="axisRow" fieldPosition="3"/>
    </format>
    <format dxfId="946">
      <pivotArea field="21" type="button" dataOnly="0" labelOnly="1" outline="0" axis="axisRow" fieldPosition="4"/>
    </format>
    <format dxfId="945">
      <pivotArea field="22" type="button" dataOnly="0" labelOnly="1" outline="0"/>
    </format>
    <format dxfId="944">
      <pivotArea dataOnly="0" labelOnly="1" outline="0" fieldPosition="0">
        <references count="1">
          <reference field="4294967294" count="2">
            <x v="0"/>
            <x v="1"/>
          </reference>
        </references>
      </pivotArea>
    </format>
    <format dxfId="943">
      <pivotArea field="1" type="button" dataOnly="0" labelOnly="1" outline="0" axis="axisRow" fieldPosition="0"/>
    </format>
    <format dxfId="942">
      <pivotArea field="5" type="button" dataOnly="0" labelOnly="1" outline="0" axis="axisRow" fieldPosition="1"/>
    </format>
    <format dxfId="941">
      <pivotArea field="11" type="button" dataOnly="0" labelOnly="1" outline="0" axis="axisRow" fieldPosition="2"/>
    </format>
    <format dxfId="940">
      <pivotArea field="12" type="button" dataOnly="0" labelOnly="1" outline="0" axis="axisRow" fieldPosition="3"/>
    </format>
    <format dxfId="939">
      <pivotArea field="21" type="button" dataOnly="0" labelOnly="1" outline="0" axis="axisRow" fieldPosition="4"/>
    </format>
    <format dxfId="938">
      <pivotArea field="22" type="button" dataOnly="0" labelOnly="1" outline="0"/>
    </format>
    <format dxfId="937">
      <pivotArea dataOnly="0" labelOnly="1" outline="0" fieldPosition="0">
        <references count="1">
          <reference field="4294967294" count="2">
            <x v="0"/>
            <x v="1"/>
          </reference>
        </references>
      </pivotArea>
    </format>
    <format dxfId="936">
      <pivotArea dataOnly="0" labelOnly="1" outline="0" fieldPosition="0">
        <references count="3">
          <reference field="1" count="1" selected="0">
            <x v="0"/>
          </reference>
          <reference field="5" count="1" selected="0">
            <x v="0"/>
          </reference>
          <reference field="11" count="6">
            <x v="68"/>
            <x v="126"/>
            <x v="145"/>
            <x v="163"/>
            <x v="171"/>
            <x v="186"/>
          </reference>
        </references>
      </pivotArea>
    </format>
    <format dxfId="935">
      <pivotArea dataOnly="0" labelOnly="1" outline="0" fieldPosition="0">
        <references count="3">
          <reference field="1" count="1" selected="0">
            <x v="0"/>
          </reference>
          <reference field="5" count="1" selected="0">
            <x v="14"/>
          </reference>
          <reference field="11" count="7">
            <x v="25"/>
            <x v="26"/>
            <x v="46"/>
            <x v="47"/>
            <x v="54"/>
            <x v="63"/>
            <x v="64"/>
          </reference>
        </references>
      </pivotArea>
    </format>
    <format dxfId="934">
      <pivotArea dataOnly="0" labelOnly="1" outline="0" fieldPosition="0">
        <references count="3">
          <reference field="1" count="1" selected="0">
            <x v="0"/>
          </reference>
          <reference field="5" count="1" selected="0">
            <x v="20"/>
          </reference>
          <reference field="11" count="15">
            <x v="75"/>
            <x v="76"/>
            <x v="78"/>
            <x v="79"/>
            <x v="80"/>
            <x v="81"/>
            <x v="151"/>
            <x v="165"/>
            <x v="166"/>
            <x v="167"/>
            <x v="168"/>
            <x v="169"/>
            <x v="178"/>
            <x v="193"/>
            <x v="197"/>
          </reference>
        </references>
      </pivotArea>
    </format>
    <format dxfId="933">
      <pivotArea field="1" type="button" dataOnly="0" labelOnly="1" outline="0" axis="axisRow" fieldPosition="0"/>
    </format>
    <format dxfId="932">
      <pivotArea field="5" type="button" dataOnly="0" labelOnly="1" outline="0" axis="axisRow" fieldPosition="1"/>
    </format>
    <format dxfId="931">
      <pivotArea field="11" type="button" dataOnly="0" labelOnly="1" outline="0" axis="axisRow" fieldPosition="2"/>
    </format>
    <format dxfId="930">
      <pivotArea field="12" type="button" dataOnly="0" labelOnly="1" outline="0" axis="axisRow" fieldPosition="3"/>
    </format>
    <format dxfId="929">
      <pivotArea field="19" type="button" dataOnly="0" labelOnly="1" outline="0" axis="axisRow" fieldPosition="6"/>
    </format>
    <format dxfId="928">
      <pivotArea dataOnly="0" labelOnly="1" outline="0" fieldPosition="0">
        <references count="1">
          <reference field="4294967294" count="2">
            <x v="0"/>
            <x v="1"/>
          </reference>
        </references>
      </pivotArea>
    </format>
    <format dxfId="927">
      <pivotArea type="all" dataOnly="0" outline="0" fieldPosition="0"/>
    </format>
  </formats>
  <pivotTableStyleInfo name="PivotStyleMedium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 cacheId="23"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H142" firstHeaderRow="0" firstDataRow="1" firstDataCol="6" rowPageCount="1" colPageCount="1"/>
  <pivotFields count="42">
    <pivotField axis="axisPage" compact="0" outline="0" multipleItemSelectionAllowed="1" showAll="0" defaultSubtotal="0">
      <items count="2">
        <item h="1"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1">
        <item x="1"/>
        <item x="4"/>
        <item x="0"/>
        <item x="18"/>
        <item x="14"/>
        <item x="13"/>
        <item x="7"/>
        <item x="15"/>
        <item x="2"/>
        <item x="16"/>
        <item x="12"/>
        <item x="8"/>
        <item x="5"/>
        <item x="10"/>
        <item x="6"/>
        <item x="17"/>
        <item x="19"/>
        <item x="11"/>
        <item x="9"/>
        <item x="2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0">
        <item x="0"/>
        <item x="1"/>
        <item x="2"/>
        <item x="3"/>
        <item x="4"/>
        <item x="5"/>
        <item x="6"/>
        <item x="7"/>
        <item x="8"/>
        <item x="9"/>
        <item x="10"/>
        <item x="11"/>
        <item x="12"/>
        <item x="13"/>
        <item x="14"/>
        <item x="15"/>
        <item x="16"/>
        <item x="17"/>
        <item x="18"/>
        <item x="19"/>
        <item x="20"/>
        <item x="21"/>
        <item x="22"/>
        <item x="23"/>
        <item x="25"/>
        <item x="26"/>
        <item x="27"/>
        <item x="28"/>
        <item x="29"/>
        <item x="30"/>
        <item x="31"/>
        <item x="32"/>
        <item x="33"/>
        <item x="34"/>
        <item x="35"/>
        <item x="36"/>
        <item x="37"/>
        <item x="38"/>
        <item x="39"/>
        <item x="41"/>
        <item x="42"/>
        <item x="43"/>
        <item x="44"/>
        <item x="45"/>
        <item x="46"/>
        <item x="47"/>
        <item x="48"/>
        <item x="49"/>
        <item x="50"/>
        <item x="51"/>
        <item x="52"/>
        <item x="53"/>
        <item x="54"/>
        <item x="55"/>
        <item x="56"/>
        <item x="58"/>
        <item x="59"/>
        <item x="60"/>
        <item x="61"/>
        <item x="62"/>
        <item x="63"/>
        <item x="65"/>
        <item x="66"/>
        <item x="67"/>
        <item x="68"/>
        <item x="69"/>
        <item x="70"/>
        <item x="71"/>
        <item x="72"/>
        <item x="73"/>
        <item x="74"/>
        <item x="75"/>
        <item x="76"/>
        <item x="77"/>
        <item x="78"/>
        <item x="79"/>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1"/>
        <item x="162"/>
        <item x="163"/>
        <item x="164"/>
        <item x="165"/>
        <item x="166"/>
        <item x="167"/>
        <item x="168"/>
        <item x="169"/>
        <item x="170"/>
        <item x="171"/>
        <item x="172"/>
        <item x="176"/>
        <item x="177"/>
        <item x="178"/>
        <item x="179"/>
        <item x="180"/>
        <item x="181"/>
        <item x="182"/>
        <item x="183"/>
        <item x="185"/>
        <item x="186"/>
        <item x="187"/>
        <item x="188"/>
        <item x="189"/>
        <item x="190"/>
        <item x="191"/>
        <item x="192"/>
        <item x="193"/>
        <item x="194"/>
        <item x="195"/>
        <item x="196"/>
        <item x="197"/>
        <item x="199"/>
        <item x="202"/>
        <item x="203"/>
        <item x="204"/>
        <item x="205"/>
        <item x="206"/>
        <item x="207"/>
        <item x="208"/>
        <item x="209"/>
        <item x="210"/>
        <item x="211"/>
        <item x="212"/>
        <item x="213"/>
        <item x="214"/>
        <item x="215"/>
        <item x="216"/>
        <item x="217"/>
        <item x="219"/>
        <item x="220"/>
        <item x="221"/>
        <item x="222"/>
        <item x="223"/>
        <item x="224"/>
        <item x="225"/>
        <item x="226"/>
        <item x="227"/>
        <item x="228"/>
        <item x="229"/>
        <item x="230"/>
        <item x="231"/>
        <item x="232"/>
        <item x="233"/>
        <item x="234"/>
        <item x="235"/>
        <item x="236"/>
        <item x="238"/>
        <item x="239"/>
        <item x="57"/>
        <item x="40"/>
        <item x="129"/>
        <item x="130"/>
        <item x="173"/>
        <item x="64"/>
        <item x="184"/>
        <item x="218"/>
        <item x="237"/>
        <item x="80"/>
        <item x="160"/>
        <item x="200"/>
        <item x="201"/>
        <item x="81"/>
        <item x="174"/>
        <item x="198"/>
        <item x="24"/>
        <item x="175"/>
      </items>
      <extLst>
        <ext xmlns:x14="http://schemas.microsoft.com/office/spreadsheetml/2009/9/main" uri="{2946ED86-A175-432a-8AC1-64E0C546D7DE}">
          <x14:pivotField fillDownLabels="1"/>
        </ext>
      </extLst>
    </pivotField>
    <pivotField name="CpPcode" axis="axisRow" compact="0" outline="0" showAll="0" defaultSubtotal="0">
      <items count="243">
        <item x="220"/>
        <item x="183"/>
        <item x="223"/>
        <item x="222"/>
        <item x="224"/>
        <item x="207"/>
        <item x="208"/>
        <item x="98"/>
        <item x="212"/>
        <item x="27"/>
        <item x="28"/>
        <item x="26"/>
        <item x="63"/>
        <item x="74"/>
        <item x="73"/>
        <item x="96"/>
        <item x="147"/>
        <item x="54"/>
        <item x="55"/>
        <item x="122"/>
        <item x="123"/>
        <item x="237"/>
        <item x="221"/>
        <item x="167"/>
        <item x="194"/>
        <item x="196"/>
        <item x="87"/>
        <item x="35"/>
        <item x="91"/>
        <item x="195"/>
        <item x="90"/>
        <item x="193"/>
        <item x="174"/>
        <item x="176"/>
        <item x="133"/>
        <item x="231"/>
        <item x="225"/>
        <item x="230"/>
        <item x="93"/>
        <item x="92"/>
        <item x="209"/>
        <item x="22"/>
        <item x="48"/>
        <item x="235"/>
        <item x="69"/>
        <item x="34"/>
        <item x="198"/>
        <item x="57"/>
        <item x="78"/>
        <item x="3"/>
        <item x="146"/>
        <item x="50"/>
        <item x="238"/>
        <item x="168"/>
        <item x="217"/>
        <item x="134"/>
        <item x="135"/>
        <item x="109"/>
        <item x="182"/>
        <item x="219"/>
        <item x="148"/>
        <item x="97"/>
        <item x="101"/>
        <item x="89"/>
        <item x="191"/>
        <item x="113"/>
        <item x="210"/>
        <item x="211"/>
        <item x="80"/>
        <item x="81"/>
        <item x="79"/>
        <item x="184"/>
        <item x="206"/>
        <item x="65"/>
        <item x="229"/>
        <item x="112"/>
        <item x="64"/>
        <item x="172"/>
        <item x="214"/>
        <item x="170"/>
        <item x="179"/>
        <item x="180"/>
        <item x="127"/>
        <item x="126"/>
        <item x="21"/>
        <item x="129"/>
        <item x="125"/>
        <item x="128"/>
        <item x="9"/>
        <item x="115"/>
        <item x="114"/>
        <item x="119"/>
        <item x="116"/>
        <item x="121"/>
        <item x="117"/>
        <item x="118"/>
        <item x="120"/>
        <item x="227"/>
        <item x="189"/>
        <item x="169"/>
        <item x="202"/>
        <item x="239"/>
        <item x="124"/>
        <item x="85"/>
        <item x="199"/>
        <item x="20"/>
        <item x="218"/>
        <item x="240"/>
        <item x="17"/>
        <item x="16"/>
        <item x="36"/>
        <item x="234"/>
        <item x="67"/>
        <item x="108"/>
        <item x="88"/>
        <item x="187"/>
        <item x="56"/>
        <item x="49"/>
        <item x="29"/>
        <item x="186"/>
        <item x="70"/>
        <item x="18"/>
        <item x="181"/>
        <item x="105"/>
        <item x="103"/>
        <item x="107"/>
        <item x="82"/>
        <item x="149"/>
        <item x="161"/>
        <item x="72"/>
        <item x="71"/>
        <item x="37"/>
        <item x="68"/>
        <item x="175"/>
        <item x="23"/>
        <item x="192"/>
        <item x="185"/>
        <item x="41"/>
        <item x="77"/>
        <item x="2"/>
        <item x="13"/>
        <item x="8"/>
        <item x="0"/>
        <item x="15"/>
        <item x="6"/>
        <item x="25"/>
        <item x="236"/>
        <item x="4"/>
        <item x="143"/>
        <item x="130"/>
        <item x="1"/>
        <item x="30"/>
        <item x="76"/>
        <item x="197"/>
        <item x="200"/>
        <item x="233"/>
        <item x="232"/>
        <item x="31"/>
        <item x="14"/>
        <item x="39"/>
        <item x="5"/>
        <item x="38"/>
        <item x="162"/>
        <item x="190"/>
        <item x="7"/>
        <item x="75"/>
        <item x="42"/>
        <item x="43"/>
        <item x="102"/>
        <item x="44"/>
        <item x="58"/>
        <item x="241"/>
        <item x="66"/>
        <item x="139"/>
        <item x="159"/>
        <item x="216"/>
        <item x="51"/>
        <item x="160"/>
        <item x="188"/>
        <item x="228"/>
        <item x="99"/>
        <item x="100"/>
        <item x="12"/>
        <item x="10"/>
        <item x="11"/>
        <item x="52"/>
        <item x="94"/>
        <item x="213"/>
        <item x="173"/>
        <item x="86"/>
        <item x="215"/>
        <item x="95"/>
        <item x="226"/>
        <item x="205"/>
        <item x="19"/>
        <item x="53"/>
        <item x="106"/>
        <item x="47"/>
        <item x="104"/>
        <item x="151"/>
        <item x="155"/>
        <item x="153"/>
        <item x="150"/>
        <item x="137"/>
        <item x="140"/>
        <item x="158"/>
        <item x="110"/>
        <item x="45"/>
        <item x="157"/>
        <item x="136"/>
        <item x="164"/>
        <item x="59"/>
        <item x="61"/>
        <item x="62"/>
        <item x="131"/>
        <item x="142"/>
        <item x="242"/>
        <item x="46"/>
        <item x="138"/>
        <item x="154"/>
        <item x="156"/>
        <item x="171"/>
        <item x="111"/>
        <item x="165"/>
        <item x="32"/>
        <item x="33"/>
        <item x="144"/>
        <item x="152"/>
        <item x="166"/>
        <item x="145"/>
        <item x="141"/>
        <item x="60"/>
        <item x="40"/>
        <item x="132"/>
        <item x="163"/>
        <item x="83"/>
        <item x="203"/>
        <item x="204"/>
        <item x="84"/>
        <item x="177"/>
        <item x="201"/>
        <item x="24"/>
        <item x="178"/>
      </items>
      <extLst>
        <ext xmlns:x14="http://schemas.microsoft.com/office/spreadsheetml/2009/9/main" uri="{2946ED86-A175-432a-8AC1-64E0C546D7DE}">
          <x14:pivotField fillDownLabels="1"/>
        </ext>
      </extLst>
    </pivotField>
    <pivotField axis="axisRow" compact="0" outline="0" showAll="0" defaultSubtotal="0">
      <items count="190">
        <item x="59"/>
        <item x="156"/>
        <item x="15"/>
        <item x="182"/>
        <item x="181"/>
        <item x="186"/>
        <item x="94"/>
        <item x="34"/>
        <item x="141"/>
        <item x="188"/>
        <item x="98"/>
        <item x="60"/>
        <item x="26"/>
        <item x="5"/>
        <item x="99"/>
        <item x="126"/>
        <item x="8"/>
        <item x="133"/>
        <item x="97"/>
        <item x="4"/>
        <item x="9"/>
        <item x="18"/>
        <item x="158"/>
        <item x="2"/>
        <item x="112"/>
        <item x="1"/>
        <item x="100"/>
        <item x="0"/>
        <item x="134"/>
        <item x="167"/>
        <item x="10"/>
        <item x="25"/>
        <item x="31"/>
        <item x="165"/>
        <item x="109"/>
        <item x="49"/>
        <item x="92"/>
        <item x="136"/>
        <item x="91"/>
        <item x="90"/>
        <item x="125"/>
        <item x="108"/>
        <item x="43"/>
        <item x="75"/>
        <item x="169"/>
        <item x="28"/>
        <item x="157"/>
        <item x="115"/>
        <item x="37"/>
        <item x="3"/>
        <item x="177"/>
        <item x="61"/>
        <item x="185"/>
        <item x="7"/>
        <item x="82"/>
        <item x="95"/>
        <item x="96"/>
        <item x="93"/>
        <item x="29"/>
        <item x="132"/>
        <item x="81"/>
        <item x="78"/>
        <item x="44"/>
        <item x="104"/>
        <item x="138"/>
        <item x="89"/>
        <item x="105"/>
        <item x="143"/>
        <item x="30"/>
        <item x="40"/>
        <item x="116"/>
        <item x="174"/>
        <item x="41"/>
        <item x="21"/>
        <item x="175"/>
        <item x="20"/>
        <item x="19"/>
        <item x="171"/>
        <item x="172"/>
        <item x="173"/>
        <item x="144"/>
        <item x="129"/>
        <item x="162"/>
        <item x="57"/>
        <item x="184"/>
        <item x="128"/>
        <item x="23"/>
        <item x="48"/>
        <item x="117"/>
        <item x="56"/>
        <item x="70"/>
        <item x="77"/>
        <item x="178"/>
        <item x="170"/>
        <item x="163"/>
        <item x="79"/>
        <item x="166"/>
        <item x="103"/>
        <item x="74"/>
        <item x="176"/>
        <item x="150"/>
        <item x="155"/>
        <item x="71"/>
        <item x="146"/>
        <item x="73"/>
        <item x="154"/>
        <item x="72"/>
        <item x="180"/>
        <item x="153"/>
        <item x="152"/>
        <item x="179"/>
        <item x="68"/>
        <item x="22"/>
        <item x="38"/>
        <item x="183"/>
        <item x="88"/>
        <item x="52"/>
        <item x="39"/>
        <item x="42"/>
        <item x="168"/>
        <item x="36"/>
        <item x="86"/>
        <item x="85"/>
        <item x="137"/>
        <item x="65"/>
        <item x="67"/>
        <item x="87"/>
        <item x="83"/>
        <item x="84"/>
        <item x="51"/>
        <item x="14"/>
        <item x="13"/>
        <item x="55"/>
        <item x="142"/>
        <item x="119"/>
        <item x="121"/>
        <item x="122"/>
        <item x="118"/>
        <item x="120"/>
        <item x="130"/>
        <item x="161"/>
        <item x="80"/>
        <item x="69"/>
        <item x="64"/>
        <item x="53"/>
        <item x="62"/>
        <item x="145"/>
        <item x="63"/>
        <item x="148"/>
        <item x="147"/>
        <item x="187"/>
        <item x="101"/>
        <item x="24"/>
        <item x="124"/>
        <item x="189"/>
        <item x="11"/>
        <item x="45"/>
        <item x="113"/>
        <item x="114"/>
        <item x="12"/>
        <item x="46"/>
        <item x="47"/>
        <item x="151"/>
        <item x="164"/>
        <item x="107"/>
        <item x="33"/>
        <item x="32"/>
        <item x="123"/>
        <item x="50"/>
        <item x="111"/>
        <item x="110"/>
        <item x="106"/>
        <item x="135"/>
        <item x="54"/>
        <item x="35"/>
        <item x="6"/>
        <item x="27"/>
        <item x="102"/>
        <item x="76"/>
        <item x="16"/>
        <item x="58"/>
        <item x="149"/>
        <item x="160"/>
        <item x="131"/>
        <item x="66"/>
        <item x="127"/>
        <item x="139"/>
        <item x="159"/>
        <item x="17"/>
        <item x="14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Accomodation" axis="axisRow" compact="0" outline="0" showAll="0" defaultSubtotal="0">
      <items count="5">
        <item x="2"/>
        <item x="0"/>
        <item h="1" x="1"/>
        <item h="1" x="4"/>
        <item h="1"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ResponsibleAgency" axis="axisRow" compact="0" outline="0" showAll="0" defaultSubtotal="0">
      <items count="6">
        <item x="1"/>
        <item x="3"/>
        <item x="2"/>
        <item x="4"/>
        <item x="0"/>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6">
    <field x="11"/>
    <field x="12"/>
    <field x="13"/>
    <field x="19"/>
    <field x="21"/>
    <field x="25"/>
  </rowFields>
  <rowItems count="139">
    <i>
      <x v="1"/>
      <x v="150"/>
      <x v="25"/>
      <x/>
      <x v="1"/>
      <x/>
    </i>
    <i>
      <x v="2"/>
      <x v="139"/>
      <x v="23"/>
      <x/>
      <x v="1"/>
      <x v="2"/>
    </i>
    <i>
      <x v="3"/>
      <x v="49"/>
      <x v="49"/>
      <x/>
      <x v="1"/>
      <x v="1"/>
    </i>
    <i>
      <x v="4"/>
      <x v="147"/>
      <x v="19"/>
      <x/>
      <x v="1"/>
      <x v="3"/>
    </i>
    <i>
      <x v="5"/>
      <x v="160"/>
      <x v="13"/>
      <x/>
      <x v="1"/>
      <x v="3"/>
    </i>
    <i>
      <x v="7"/>
      <x v="164"/>
      <x v="53"/>
      <x/>
      <x v="1"/>
      <x/>
    </i>
    <i>
      <x v="13"/>
      <x v="140"/>
      <x v="20"/>
      <x/>
      <x v="1"/>
      <x/>
    </i>
    <i>
      <x v="17"/>
      <x v="108"/>
      <x v="159"/>
      <x v="1"/>
      <x v="1"/>
      <x v="2"/>
    </i>
    <i>
      <x v="18"/>
      <x v="121"/>
      <x v="131"/>
      <x v="1"/>
      <x v="1"/>
      <x v="1"/>
    </i>
    <i>
      <x v="19"/>
      <x v="194"/>
      <x v="130"/>
      <x v="1"/>
      <x v="1"/>
      <x v="1"/>
    </i>
    <i>
      <x v="20"/>
      <x v="105"/>
      <x v="2"/>
      <x/>
      <x v="1"/>
      <x v="3"/>
    </i>
    <i>
      <x v="22"/>
      <x v="41"/>
      <x v="179"/>
      <x/>
      <x v="1"/>
      <x v="3"/>
    </i>
    <i>
      <x v="24"/>
      <x v="145"/>
      <x v="21"/>
      <x/>
      <x v="1"/>
      <x v="3"/>
    </i>
    <i>
      <x v="25"/>
      <x v="11"/>
      <x v="76"/>
      <x/>
      <x v="1"/>
      <x/>
    </i>
    <i>
      <x v="26"/>
      <x v="9"/>
      <x v="75"/>
      <x/>
      <x v="1"/>
      <x/>
    </i>
    <i>
      <x v="27"/>
      <x v="10"/>
      <x v="73"/>
      <x/>
      <x v="1"/>
      <x/>
    </i>
    <i>
      <x v="28"/>
      <x v="118"/>
      <x v="112"/>
      <x v="1"/>
      <x v="1"/>
      <x v="2"/>
    </i>
    <i>
      <x v="34"/>
      <x v="27"/>
      <x v="86"/>
      <x/>
      <x v="1"/>
      <x v="3"/>
    </i>
    <i>
      <x v="35"/>
      <x v="110"/>
      <x v="152"/>
      <x v="1"/>
      <x v="1"/>
      <x/>
    </i>
    <i>
      <x v="36"/>
      <x v="131"/>
      <x v="31"/>
      <x/>
      <x v="1"/>
      <x/>
    </i>
    <i>
      <x v="37"/>
      <x v="161"/>
      <x v="12"/>
      <x/>
      <x v="1"/>
      <x v="3"/>
    </i>
    <i>
      <x v="42"/>
      <x v="197"/>
      <x v="7"/>
      <x/>
      <x v="1"/>
      <x/>
    </i>
    <i>
      <x v="43"/>
      <x v="42"/>
      <x v="174"/>
      <x v="1"/>
      <x v="1"/>
      <x/>
    </i>
    <i>
      <x v="44"/>
      <x v="117"/>
      <x v="120"/>
      <x v="1"/>
      <x v="1"/>
      <x v="2"/>
    </i>
    <i>
      <x v="45"/>
      <x v="51"/>
      <x v="48"/>
      <x/>
      <x v="1"/>
      <x/>
    </i>
    <i>
      <x v="46"/>
      <x v="176"/>
      <x v="113"/>
      <x v="1"/>
      <x/>
      <x v="4"/>
    </i>
    <i>
      <x v="49"/>
      <x v="17"/>
      <x v="69"/>
      <x/>
      <x v="1"/>
      <x/>
    </i>
    <i>
      <x v="50"/>
      <x v="18"/>
      <x v="72"/>
      <x/>
      <x v="1"/>
      <x v="2"/>
    </i>
    <i>
      <x v="51"/>
      <x v="116"/>
      <x v="118"/>
      <x v="1"/>
      <x v="1"/>
      <x v="2"/>
    </i>
    <i>
      <x v="54"/>
      <x v="211"/>
      <x v="156"/>
      <x/>
      <x v="1"/>
      <x/>
    </i>
    <i>
      <x v="55"/>
      <x v="212"/>
      <x v="160"/>
      <x/>
      <x v="1"/>
      <x/>
    </i>
    <i>
      <x v="56"/>
      <x v="213"/>
      <x v="161"/>
      <x/>
      <x v="1"/>
      <x v="5"/>
    </i>
    <i>
      <x v="57"/>
      <x v="12"/>
      <x v="87"/>
      <x/>
      <x v="1"/>
      <x/>
    </i>
    <i>
      <x v="58"/>
      <x v="76"/>
      <x v="35"/>
      <x/>
      <x v="1"/>
      <x/>
    </i>
    <i>
      <x v="59"/>
      <x v="73"/>
      <x v="168"/>
      <x/>
      <x v="1"/>
      <x v="4"/>
    </i>
    <i>
      <x v="63"/>
      <x v="120"/>
      <x v="132"/>
      <x v="1"/>
      <x v="1"/>
      <x v="1"/>
    </i>
    <i>
      <x v="66"/>
      <x v="14"/>
      <x v="89"/>
      <x/>
      <x v="1"/>
      <x/>
    </i>
    <i>
      <x v="67"/>
      <x v="13"/>
      <x v="83"/>
      <x/>
      <x v="1"/>
      <x/>
    </i>
    <i>
      <x v="68"/>
      <x v="165"/>
      <x v="180"/>
      <x/>
      <x v="1"/>
      <x v="3"/>
    </i>
    <i>
      <x v="69"/>
      <x v="152"/>
      <x/>
      <x/>
      <x v="1"/>
      <x v="3"/>
    </i>
    <i>
      <x v="70"/>
      <x v="138"/>
      <x v="11"/>
      <x/>
      <x v="1"/>
      <x v="3"/>
    </i>
    <i>
      <x v="71"/>
      <x v="48"/>
      <x v="51"/>
      <x/>
      <x v="1"/>
      <x v="3"/>
    </i>
    <i>
      <x v="72"/>
      <x v="70"/>
      <x v="145"/>
      <x/>
      <x v="1"/>
      <x/>
    </i>
    <i>
      <x v="73"/>
      <x v="68"/>
      <x v="147"/>
      <x/>
      <x v="1"/>
      <x v="1"/>
    </i>
    <i>
      <x v="74"/>
      <x v="69"/>
      <x v="143"/>
      <x/>
      <x v="1"/>
      <x/>
    </i>
    <i>
      <x v="78"/>
      <x v="26"/>
      <x v="111"/>
      <x/>
      <x v="1"/>
      <x/>
    </i>
    <i>
      <x v="79"/>
      <x v="114"/>
      <x v="142"/>
      <x v="1"/>
      <x v="1"/>
      <x v="2"/>
    </i>
    <i>
      <x v="81"/>
      <x v="30"/>
      <x v="102"/>
      <x/>
      <x v="1"/>
      <x v="3"/>
    </i>
    <i>
      <x v="82"/>
      <x v="28"/>
      <x v="106"/>
      <x/>
      <x v="1"/>
      <x v="2"/>
    </i>
    <i>
      <x v="83"/>
      <x v="39"/>
      <x v="104"/>
      <x/>
      <x v="1"/>
      <x/>
    </i>
    <i>
      <x v="84"/>
      <x v="38"/>
      <x v="98"/>
      <x/>
      <x v="1"/>
      <x/>
    </i>
    <i>
      <x v="85"/>
      <x v="186"/>
      <x v="43"/>
      <x/>
      <x v="1"/>
      <x/>
    </i>
    <i>
      <x v="86"/>
      <x v="191"/>
      <x v="178"/>
      <x/>
      <x v="1"/>
      <x v="1"/>
    </i>
    <i>
      <x v="87"/>
      <x v="15"/>
      <x v="91"/>
      <x/>
      <x v="1"/>
      <x/>
    </i>
    <i>
      <x v="88"/>
      <x v="61"/>
      <x v="61"/>
      <x/>
      <x v="1"/>
      <x v="1"/>
    </i>
    <i>
      <x v="89"/>
      <x v="7"/>
      <x v="95"/>
      <x/>
      <x v="1"/>
      <x/>
    </i>
    <i>
      <x v="94"/>
      <x v="124"/>
      <x v="127"/>
      <x/>
      <x v="1"/>
      <x/>
    </i>
    <i>
      <x v="95"/>
      <x v="198"/>
      <x v="128"/>
      <x/>
      <x v="1"/>
      <x/>
    </i>
    <i>
      <x v="96"/>
      <x v="123"/>
      <x v="122"/>
      <x/>
      <x v="1"/>
      <x v="1"/>
    </i>
    <i>
      <x v="97"/>
      <x v="196"/>
      <x v="121"/>
      <x/>
      <x v="1"/>
      <x v="1"/>
    </i>
    <i>
      <x v="101"/>
      <x v="206"/>
      <x v="39"/>
      <x/>
      <x v="1"/>
      <x/>
    </i>
    <i>
      <x v="102"/>
      <x v="222"/>
      <x v="38"/>
      <x/>
      <x v="1"/>
      <x v="5"/>
    </i>
    <i>
      <x v="103"/>
      <x v="75"/>
      <x v="36"/>
      <x/>
      <x v="1"/>
      <x/>
    </i>
    <i>
      <x v="104"/>
      <x v="65"/>
      <x v="57"/>
      <x/>
      <x v="1"/>
      <x/>
    </i>
    <i>
      <x v="113"/>
      <x v="19"/>
      <x v="55"/>
      <x/>
      <x v="1"/>
      <x v="3"/>
    </i>
    <i>
      <x v="114"/>
      <x v="20"/>
      <x v="56"/>
      <x/>
      <x v="1"/>
      <x v="3"/>
    </i>
    <i>
      <x v="119"/>
      <x v="87"/>
      <x v="14"/>
      <x/>
      <x v="1"/>
      <x v="3"/>
    </i>
    <i>
      <x v="122"/>
      <x v="214"/>
      <x v="151"/>
      <x/>
      <x v="1"/>
      <x/>
    </i>
    <i>
      <x v="123"/>
      <x v="55"/>
      <x v="63"/>
      <x/>
      <x v="1"/>
      <x/>
    </i>
    <i>
      <x v="125"/>
      <x v="209"/>
      <x v="171"/>
      <x v="1"/>
      <x v="1"/>
      <x/>
    </i>
    <i>
      <x v="129"/>
      <x v="204"/>
      <x v="170"/>
      <x/>
      <x v="1"/>
      <x/>
    </i>
    <i>
      <x v="130"/>
      <x v="230"/>
      <x v="175"/>
      <x/>
      <x v="1"/>
      <x v="5"/>
    </i>
    <i>
      <x v="133"/>
      <x v="226"/>
      <x v="157"/>
      <x/>
      <x v="1"/>
      <x/>
    </i>
    <i>
      <x v="134"/>
      <x v="229"/>
      <x v="158"/>
      <x/>
      <x v="1"/>
      <x v="5"/>
    </i>
    <i>
      <x v="135"/>
      <x v="50"/>
      <x v="47"/>
      <x/>
      <x v="1"/>
      <x v="3"/>
    </i>
    <i>
      <x v="139"/>
      <x v="202"/>
      <x v="137"/>
      <x/>
      <x v="1"/>
      <x/>
    </i>
    <i>
      <x v="140"/>
      <x v="199"/>
      <x v="134"/>
      <x/>
      <x v="1"/>
      <x/>
    </i>
    <i>
      <x v="141"/>
      <x v="227"/>
      <x v="138"/>
      <x/>
      <x v="1"/>
      <x/>
    </i>
    <i>
      <x v="142"/>
      <x v="201"/>
      <x v="135"/>
      <x/>
      <x v="1"/>
      <x v="5"/>
    </i>
    <i>
      <x v="147"/>
      <x v="205"/>
      <x v="153"/>
      <x/>
      <x v="1"/>
      <x/>
    </i>
    <i>
      <x v="151"/>
      <x v="162"/>
      <x v="15"/>
      <x/>
      <x v="1"/>
      <x v="3"/>
    </i>
    <i>
      <x v="152"/>
      <x v="210"/>
      <x v="85"/>
      <x/>
      <x v="1"/>
      <x/>
    </i>
    <i>
      <x v="154"/>
      <x v="228"/>
      <x v="139"/>
      <x/>
      <x v="1"/>
      <x/>
    </i>
    <i>
      <x v="155"/>
      <x v="23"/>
      <x v="183"/>
      <x/>
      <x v="1"/>
      <x v="2"/>
    </i>
    <i>
      <x v="156"/>
      <x v="53"/>
      <x v="59"/>
      <x/>
      <x v="1"/>
      <x v="1"/>
    </i>
    <i>
      <x v="157"/>
      <x v="99"/>
      <x v="17"/>
      <x/>
      <x v="1"/>
      <x v="2"/>
    </i>
    <i>
      <x v="160"/>
      <x v="77"/>
      <x v="37"/>
      <x/>
      <x v="1"/>
      <x/>
    </i>
    <i>
      <x v="162"/>
      <x v="32"/>
      <x v="64"/>
      <x/>
      <x v="1"/>
      <x v="3"/>
    </i>
    <i>
      <x v="163"/>
      <x v="133"/>
      <x v="28"/>
      <x/>
      <x v="1"/>
      <x/>
    </i>
    <i>
      <x v="166"/>
      <x v="122"/>
      <x v="133"/>
      <x v="1"/>
      <x v="1"/>
      <x v="1"/>
    </i>
    <i>
      <x v="167"/>
      <x v="58"/>
      <x v="67"/>
      <x/>
      <x v="1"/>
      <x v="3"/>
    </i>
    <i>
      <x v="168"/>
      <x v="1"/>
      <x v="80"/>
      <x/>
      <x v="1"/>
      <x/>
    </i>
    <i>
      <x v="169"/>
      <x v="71"/>
      <x v="146"/>
      <x/>
      <x v="1"/>
      <x/>
    </i>
    <i>
      <x v="170"/>
      <x v="136"/>
      <x v="103"/>
      <x/>
      <x v="1"/>
      <x v="2"/>
    </i>
    <i>
      <x v="171"/>
      <x v="119"/>
      <x v="149"/>
      <x v="1"/>
      <x v="1"/>
      <x v="1"/>
    </i>
    <i>
      <x v="172"/>
      <x v="178"/>
      <x v="181"/>
      <x/>
      <x v="1"/>
      <x v="2"/>
    </i>
    <i>
      <x v="174"/>
      <x v="163"/>
      <x v="53"/>
      <x/>
      <x v="1"/>
      <x/>
    </i>
    <i>
      <x v="176"/>
      <x v="135"/>
      <x v="162"/>
      <x v="1"/>
      <x v="1"/>
      <x v="2"/>
    </i>
    <i>
      <x v="177"/>
      <x v="31"/>
      <x v="109"/>
      <x/>
      <x v="1"/>
      <x v="3"/>
    </i>
    <i>
      <x v="178"/>
      <x v="24"/>
      <x v="108"/>
      <x/>
      <x v="1"/>
      <x/>
    </i>
    <i>
      <x v="179"/>
      <x v="29"/>
      <x v="105"/>
      <x/>
      <x v="1"/>
      <x v="3"/>
    </i>
    <i>
      <x v="180"/>
      <x v="25"/>
      <x v="101"/>
      <x/>
      <x v="1"/>
      <x v="3"/>
    </i>
    <i>
      <x v="181"/>
      <x v="153"/>
      <x v="1"/>
      <x/>
      <x v="1"/>
      <x v="3"/>
    </i>
    <i>
      <x v="182"/>
      <x v="46"/>
      <x v="46"/>
      <x/>
      <x v="1"/>
      <x/>
    </i>
    <i>
      <x v="184"/>
      <x v="154"/>
      <x v="22"/>
      <x/>
      <x v="1"/>
      <x/>
    </i>
    <i>
      <x v="186"/>
      <x v="193"/>
      <x v="182"/>
      <x/>
      <x v="1"/>
      <x v="2"/>
    </i>
    <i>
      <x v="187"/>
      <x v="72"/>
      <x v="140"/>
      <x/>
      <x v="1"/>
      <x/>
    </i>
    <i>
      <x v="188"/>
      <x v="5"/>
      <x v="82"/>
      <x/>
      <x v="1"/>
      <x/>
    </i>
    <i>
      <x v="189"/>
      <x v="6"/>
      <x v="94"/>
      <x/>
      <x v="1"/>
      <x v="3"/>
    </i>
    <i>
      <x v="190"/>
      <x v="40"/>
      <x v="163"/>
      <x/>
      <x v="1"/>
      <x/>
    </i>
    <i>
      <x v="191"/>
      <x v="66"/>
      <x v="33"/>
      <x/>
      <x v="1"/>
      <x/>
    </i>
    <i>
      <x v="192"/>
      <x v="67"/>
      <x v="33"/>
      <x/>
      <x v="1"/>
      <x v="1"/>
    </i>
    <i>
      <x v="193"/>
      <x v="8"/>
      <x v="96"/>
      <x/>
      <x v="1"/>
      <x/>
    </i>
    <i>
      <x v="195"/>
      <x v="78"/>
      <x v="29"/>
      <x/>
      <x v="1"/>
      <x v="2"/>
    </i>
    <i>
      <x v="197"/>
      <x v="175"/>
      <x v="119"/>
      <x/>
      <x v="1"/>
      <x v="4"/>
    </i>
    <i>
      <x v="198"/>
      <x v="54"/>
      <x v="44"/>
      <x/>
      <x v="1"/>
      <x v="3"/>
    </i>
    <i>
      <x v="201"/>
      <x/>
      <x v="77"/>
      <x/>
      <x v="1"/>
      <x/>
    </i>
    <i>
      <x v="202"/>
      <x v="3"/>
      <x v="79"/>
      <x/>
      <x v="1"/>
      <x v="3"/>
    </i>
    <i>
      <x v="203"/>
      <x v="2"/>
      <x v="71"/>
      <x/>
      <x v="1"/>
      <x/>
    </i>
    <i>
      <x v="204"/>
      <x v="4"/>
      <x v="74"/>
      <x/>
      <x v="1"/>
      <x/>
    </i>
    <i>
      <x v="205"/>
      <x v="36"/>
      <x v="99"/>
      <x/>
      <x v="1"/>
      <x v="3"/>
    </i>
    <i>
      <x v="210"/>
      <x v="37"/>
      <x v="110"/>
      <x/>
      <x v="1"/>
      <x v="3"/>
    </i>
    <i>
      <x v="213"/>
      <x v="155"/>
      <x v="3"/>
      <x/>
      <x v="1"/>
      <x/>
    </i>
    <i>
      <x v="214"/>
      <x v="111"/>
      <x v="114"/>
      <x v="1"/>
      <x v="1"/>
      <x v="2"/>
    </i>
    <i>
      <x v="217"/>
      <x v="21"/>
      <x v="84"/>
      <x/>
      <x v="1"/>
      <x v="3"/>
    </i>
    <i>
      <x v="218"/>
      <x v="52"/>
      <x v="52"/>
      <x/>
      <x v="1"/>
      <x v="3"/>
    </i>
    <i>
      <x v="219"/>
      <x v="101"/>
      <x v="5"/>
      <x/>
      <x v="1"/>
      <x/>
    </i>
    <i>
      <x v="221"/>
      <x v="216"/>
      <x v="154"/>
      <x/>
      <x v="1"/>
      <x/>
    </i>
    <i>
      <x v="222"/>
      <x v="231"/>
      <x v="175"/>
      <x/>
      <x v="1"/>
      <x/>
    </i>
    <i>
      <x v="228"/>
      <x v="115"/>
      <x v="148"/>
      <x v="1"/>
      <x v="1"/>
      <x/>
    </i>
    <i>
      <x v="229"/>
      <x v="22"/>
      <x v="78"/>
      <x/>
      <x v="1"/>
      <x v="3"/>
    </i>
    <i>
      <x v="230"/>
      <x v="107"/>
      <x v="150"/>
      <x v="1"/>
      <x v="1"/>
      <x/>
    </i>
    <i>
      <x v="231"/>
      <x v="235"/>
      <x v="184"/>
      <x/>
      <x v="1"/>
      <x/>
    </i>
    <i>
      <x v="232"/>
      <x v="234"/>
      <x v="185"/>
      <x/>
      <x v="1"/>
      <x/>
    </i>
    <i>
      <x v="235"/>
      <x v="238"/>
      <x v="175"/>
      <x/>
      <x v="1"/>
      <x v="2"/>
    </i>
    <i>
      <x v="236"/>
      <x v="239"/>
      <x v="186"/>
      <x/>
      <x v="1"/>
      <x v="4"/>
    </i>
    <i>
      <x v="237"/>
      <x v="240"/>
      <x v="187"/>
      <x/>
      <x v="1"/>
      <x v="4"/>
    </i>
    <i>
      <x v="238"/>
      <x v="241"/>
      <x v="188"/>
      <x/>
      <x/>
      <x v="4"/>
    </i>
    <i>
      <x v="239"/>
      <x v="242"/>
      <x v="189"/>
      <x/>
      <x v="1"/>
      <x v="4"/>
    </i>
  </rowItems>
  <colFields count="1">
    <field x="-2"/>
  </colFields>
  <colItems count="2">
    <i>
      <x/>
    </i>
    <i i="1">
      <x v="1"/>
    </i>
  </colItems>
  <pageFields count="1">
    <pageField fld="0" hier="-1"/>
  </pageFields>
  <dataFields count="2">
    <dataField name="HouseHold" fld="16" baseField="11" baseItem="0"/>
    <dataField name="Individual" fld="17"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9.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D23" firstHeaderRow="1" firstDataRow="1" firstDataCol="4" rowPageCount="1" colPageCount="1"/>
  <pivotFields count="23">
    <pivotField compact="0" outline="0" showAll="0" defaultSubtotal="0"/>
    <pivotField axis="axisRow" compact="0" outline="0" showAll="0" defaultSubtotal="0">
      <items count="16">
        <item h="1" x="1"/>
        <item h="1" x="8"/>
        <item h="1" x="6"/>
        <item h="1" x="13"/>
        <item h="1" x="4"/>
        <item h="1" x="9"/>
        <item h="1" x="2"/>
        <item h="1" x="10"/>
        <item x="5"/>
        <item h="1" x="15"/>
        <item h="1" x="7"/>
        <item h="1" x="0"/>
        <item h="1" x="11"/>
        <item h="1" x="12"/>
        <item h="1" x="3"/>
        <item h="1" x="14"/>
      </items>
    </pivotField>
    <pivotField compact="0" outline="0" showAll="0" defaultSubtotal="0"/>
    <pivotField compact="0" outline="0" showAll="0" defaultSubtotal="0"/>
    <pivotField axis="axisRow" compact="0" outline="0" showAll="0" defaultSubtotal="0">
      <items count="17">
        <item x="1"/>
        <item x="4"/>
        <item x="0"/>
        <item x="8"/>
        <item x="3"/>
        <item x="7"/>
        <item x="9"/>
        <item x="15"/>
        <item x="6"/>
        <item x="11"/>
        <item x="5"/>
        <item x="12"/>
        <item x="14"/>
        <item x="16"/>
        <item x="2"/>
        <item x="10"/>
        <item x="13"/>
      </items>
    </pivotField>
    <pivotField axis="axisRow" compact="0" outline="0" showAll="0" defaultSubtotal="0">
      <items count="142">
        <item x="0"/>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39"/>
        <item x="40"/>
        <item x="41"/>
        <item x="42"/>
        <item x="43"/>
        <item x="44"/>
        <item x="46"/>
        <item x="47"/>
        <item x="48"/>
        <item x="49"/>
        <item x="50"/>
        <item x="51"/>
        <item x="52"/>
        <item x="53"/>
        <item x="54"/>
        <item x="55"/>
        <item x="56"/>
        <item x="57"/>
        <item x="59"/>
        <item x="60"/>
        <item x="61"/>
        <item x="62"/>
        <item x="64"/>
        <item x="65"/>
        <item x="66"/>
        <item x="67"/>
        <item x="68"/>
        <item x="69"/>
        <item x="71"/>
        <item x="72"/>
        <item x="73"/>
        <item x="74"/>
        <item x="78"/>
        <item x="79"/>
        <item x="80"/>
        <item x="83"/>
        <item x="84"/>
        <item x="85"/>
        <item x="87"/>
        <item x="89"/>
        <item x="90"/>
        <item x="91"/>
        <item x="92"/>
        <item x="93"/>
        <item x="94"/>
        <item x="95"/>
        <item x="96"/>
        <item x="97"/>
        <item x="98"/>
        <item x="99"/>
        <item x="100"/>
        <item x="101"/>
        <item x="103"/>
        <item x="104"/>
        <item x="105"/>
        <item x="106"/>
        <item x="107"/>
        <item x="108"/>
        <item x="109"/>
        <item x="110"/>
        <item x="111"/>
        <item x="112"/>
        <item x="113"/>
        <item x="115"/>
        <item x="116"/>
        <item x="117"/>
        <item x="118"/>
        <item x="119"/>
        <item x="120"/>
        <item x="121"/>
        <item x="122"/>
        <item x="123"/>
        <item x="125"/>
        <item x="126"/>
        <item x="127"/>
        <item x="128"/>
        <item x="129"/>
        <item x="130"/>
        <item x="131"/>
        <item x="132"/>
        <item x="133"/>
        <item x="134"/>
        <item x="135"/>
        <item x="136"/>
        <item x="137"/>
        <item x="138"/>
        <item x="141"/>
        <item x="58"/>
        <item x="70"/>
        <item x="76"/>
        <item x="77"/>
        <item x="81"/>
        <item x="88"/>
        <item x="140"/>
        <item x="102"/>
        <item x="124"/>
        <item x="139"/>
        <item x="75"/>
        <item x="63"/>
        <item x="86"/>
        <item x="28"/>
        <item x="1"/>
        <item x="45"/>
        <item x="82"/>
        <item x="11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0">
        <item x="112"/>
        <item x="123"/>
        <item x="98"/>
        <item x="126"/>
        <item x="125"/>
        <item x="127"/>
        <item x="116"/>
        <item x="57"/>
        <item x="120"/>
        <item x="15"/>
        <item x="16"/>
        <item x="14"/>
        <item x="31"/>
        <item x="36"/>
        <item x="35"/>
        <item x="55"/>
        <item x="24"/>
        <item x="25"/>
        <item x="67"/>
        <item x="68"/>
        <item x="135"/>
        <item x="89"/>
        <item x="107"/>
        <item x="109"/>
        <item x="46"/>
        <item x="18"/>
        <item x="50"/>
        <item x="108"/>
        <item x="49"/>
        <item x="106"/>
        <item x="93"/>
        <item x="131"/>
        <item x="128"/>
        <item x="130"/>
        <item x="52"/>
        <item x="51"/>
        <item x="117"/>
        <item x="12"/>
        <item x="111"/>
        <item x="40"/>
        <item x="2"/>
        <item x="78"/>
        <item x="23"/>
        <item x="136"/>
        <item x="90"/>
        <item x="122"/>
        <item x="71"/>
        <item x="72"/>
        <item x="61"/>
        <item x="97"/>
        <item x="56"/>
        <item x="48"/>
        <item x="65"/>
        <item x="118"/>
        <item x="119"/>
        <item x="42"/>
        <item x="43"/>
        <item x="41"/>
        <item x="99"/>
        <item x="115"/>
        <item x="64"/>
        <item x="32"/>
        <item x="92"/>
        <item x="121"/>
        <item x="95"/>
        <item x="69"/>
        <item x="66"/>
        <item x="91"/>
        <item x="137"/>
        <item x="11"/>
        <item x="8"/>
        <item x="19"/>
        <item x="134"/>
        <item x="47"/>
        <item x="26"/>
        <item x="22"/>
        <item x="17"/>
        <item x="101"/>
        <item x="34"/>
        <item x="9"/>
        <item x="96"/>
        <item x="60"/>
        <item x="59"/>
        <item x="44"/>
        <item x="94"/>
        <item x="105"/>
        <item x="100"/>
        <item x="39"/>
        <item x="6"/>
        <item x="13"/>
        <item x="3"/>
        <item x="0"/>
        <item x="38"/>
        <item x="110"/>
        <item x="113"/>
        <item x="133"/>
        <item x="132"/>
        <item x="7"/>
        <item x="4"/>
        <item x="20"/>
        <item x="85"/>
        <item x="104"/>
        <item x="5"/>
        <item x="37"/>
        <item x="33"/>
        <item x="74"/>
        <item x="84"/>
        <item x="103"/>
        <item x="53"/>
        <item x="54"/>
        <item x="129"/>
        <item x="10"/>
        <item x="80"/>
        <item x="79"/>
        <item x="73"/>
        <item x="83"/>
        <item x="62"/>
        <item x="21"/>
        <item x="87"/>
        <item x="27"/>
        <item x="29"/>
        <item x="30"/>
        <item x="58"/>
        <item x="70"/>
        <item x="76"/>
        <item x="77"/>
        <item x="81"/>
        <item x="88"/>
        <item x="139"/>
        <item x="75"/>
        <item x="102"/>
        <item x="124"/>
        <item x="138"/>
        <item x="63"/>
        <item x="86"/>
        <item x="28"/>
        <item x="1"/>
        <item x="45"/>
        <item x="82"/>
        <item x="114"/>
      </items>
    </pivotField>
    <pivotField axis="axisPage" compact="0" outline="0" multipleItemSelectionAllowed="1" showAll="0" defaultSubtotal="0">
      <items count="3">
        <item h="1" x="2"/>
        <item h="1" x="1"/>
        <item x="0"/>
      </items>
    </pivotField>
    <pivotField compact="0" outline="0" showAll="0" defaultSubtotal="0"/>
    <pivotField compact="0" outline="0" showAll="0" defaultSubtotal="0"/>
    <pivotField compact="0" outline="0" showAll="0" defaultSubtotal="0"/>
  </pivotFields>
  <rowFields count="4">
    <field x="1"/>
    <field x="4"/>
    <field x="5"/>
    <field x="18"/>
  </rowFields>
  <rowItems count="20">
    <i>
      <x v="8"/>
      <x/>
      <x v="22"/>
      <x v="42"/>
    </i>
    <i r="2">
      <x v="38"/>
      <x v="39"/>
    </i>
    <i r="2">
      <x v="90"/>
      <x v="101"/>
    </i>
    <i r="2">
      <x v="97"/>
      <x v="38"/>
    </i>
    <i r="2">
      <x v="121"/>
      <x v="43"/>
    </i>
    <i r="1">
      <x v="3"/>
      <x v="27"/>
      <x v="120"/>
    </i>
    <i r="2">
      <x v="28"/>
      <x v="121"/>
    </i>
    <i r="2">
      <x v="130"/>
      <x v="128"/>
    </i>
    <i r="1">
      <x v="4"/>
      <x v="55"/>
      <x v="82"/>
    </i>
    <i r="2">
      <x v="60"/>
      <x v="52"/>
    </i>
    <i r="1">
      <x v="8"/>
      <x v="53"/>
      <x v="50"/>
    </i>
    <i r="2">
      <x v="65"/>
      <x v="46"/>
    </i>
    <i r="2">
      <x v="84"/>
      <x v="49"/>
    </i>
    <i r="1">
      <x v="9"/>
      <x v="126"/>
      <x v="124"/>
    </i>
    <i r="2">
      <x v="127"/>
      <x v="125"/>
    </i>
    <i r="1">
      <x v="11"/>
      <x v="128"/>
      <x v="126"/>
    </i>
    <i r="2">
      <x v="129"/>
      <x v="127"/>
    </i>
    <i r="1">
      <x v="13"/>
      <x v="103"/>
      <x v="53"/>
    </i>
    <i r="1">
      <x v="14"/>
      <x v="119"/>
      <x v="72"/>
    </i>
    <i r="1">
      <x v="16"/>
      <x v="136"/>
      <x v="134"/>
    </i>
  </rowItems>
  <colItems count="1">
    <i/>
  </colItems>
  <pageFields count="1">
    <pageField fld="19" hier="-1"/>
  </page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A83:B100" firstHeaderRow="1" firstDataRow="1" firstDataCol="1" rowPageCount="1" colPageCount="1"/>
  <pivotFields count="23">
    <pivotField showAll="0" defaultSubtotal="0"/>
    <pivotField axis="axisRow" showAll="0">
      <items count="17">
        <item x="4"/>
        <item x="0"/>
        <item x="11"/>
        <item x="7"/>
        <item x="2"/>
        <item x="8"/>
        <item x="5"/>
        <item x="6"/>
        <item x="10"/>
        <item x="15"/>
        <item x="12"/>
        <item x="1"/>
        <item x="3"/>
        <item x="13"/>
        <item x="9"/>
        <item x="14"/>
        <item t="default"/>
      </items>
    </pivotField>
    <pivotField showAll="0" defaultSubtotal="0"/>
    <pivotField axis="axisPage" multipleItemSelectionAllowed="1" showAll="0">
      <items count="3">
        <item x="0"/>
        <item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7">
    <i>
      <x/>
    </i>
    <i>
      <x v="1"/>
    </i>
    <i>
      <x v="2"/>
    </i>
    <i>
      <x v="3"/>
    </i>
    <i>
      <x v="4"/>
    </i>
    <i>
      <x v="5"/>
    </i>
    <i>
      <x v="6"/>
    </i>
    <i>
      <x v="7"/>
    </i>
    <i>
      <x v="8"/>
    </i>
    <i>
      <x v="9"/>
    </i>
    <i>
      <x v="10"/>
    </i>
    <i>
      <x v="11"/>
    </i>
    <i>
      <x v="12"/>
    </i>
    <i>
      <x v="13"/>
    </i>
    <i>
      <x v="14"/>
    </i>
    <i>
      <x v="15"/>
    </i>
    <i t="grand">
      <x/>
    </i>
  </rowItems>
  <colItems count="1">
    <i/>
  </colItems>
  <pageFields count="1">
    <pageField fld="3" hier="-1"/>
  </pageFields>
  <dataFields count="1">
    <dataField name="Sum of HH Covered" fld="15" baseField="0" baseItem="0"/>
  </dataFields>
  <formats count="1">
    <format dxfId="823">
      <pivotArea type="all" dataOnly="0" outline="0" fieldPosition="0"/>
    </format>
  </formats>
  <chartFormats count="1">
    <chartFormat chart="6" format="1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5" minRefreshableVersion="3" useAutoFormatting="1" itemPrintTitles="1" createdVersion="4" indent="0" showHeaders="0" outline="1" outlineData="1" multipleFieldFilters="0" chartFormat="8">
  <location ref="H83:I100" firstHeaderRow="1" firstDataRow="1" firstDataCol="1" rowPageCount="1" colPageCount="1"/>
  <pivotFields count="23">
    <pivotField showAll="0" defaultSubtotal="0"/>
    <pivotField axis="axisRow" showAll="0">
      <items count="17">
        <item x="4"/>
        <item x="0"/>
        <item x="11"/>
        <item x="7"/>
        <item x="2"/>
        <item x="8"/>
        <item x="5"/>
        <item x="6"/>
        <item x="10"/>
        <item x="15"/>
        <item x="12"/>
        <item x="1"/>
        <item x="3"/>
        <item x="13"/>
        <item x="9"/>
        <item x="14"/>
        <item t="default"/>
      </items>
    </pivotField>
    <pivotField showAll="0" defaultSubtotal="0"/>
    <pivotField axis="axisPage" multipleItemSelectionAllowed="1" showAll="0">
      <items count="3">
        <item x="0"/>
        <item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7">
    <i>
      <x/>
    </i>
    <i>
      <x v="1"/>
    </i>
    <i>
      <x v="2"/>
    </i>
    <i>
      <x v="3"/>
    </i>
    <i>
      <x v="4"/>
    </i>
    <i>
      <x v="5"/>
    </i>
    <i>
      <x v="6"/>
    </i>
    <i>
      <x v="7"/>
    </i>
    <i>
      <x v="8"/>
    </i>
    <i>
      <x v="9"/>
    </i>
    <i>
      <x v="10"/>
    </i>
    <i>
      <x v="11"/>
    </i>
    <i>
      <x v="12"/>
    </i>
    <i>
      <x v="13"/>
    </i>
    <i>
      <x v="14"/>
    </i>
    <i>
      <x v="15"/>
    </i>
    <i t="grand">
      <x/>
    </i>
  </rowItems>
  <colItems count="1">
    <i/>
  </colItems>
  <pageFields count="1">
    <pageField fld="3" hier="-1"/>
  </pageFields>
  <dataFields count="1">
    <dataField name="Sum of HH Covered" fld="15" baseField="0" baseItem="0"/>
  </dataFields>
  <formats count="1">
    <format dxfId="82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7">
  <location ref="A63:B74" firstHeaderRow="1" firstDataRow="1" firstDataCol="1" rowPageCount="3" colPageCount="1"/>
  <pivotFields count="23">
    <pivotField showAll="0" defaultSubtotal="0"/>
    <pivotField showAll="0" sortType="ascending"/>
    <pivotField showAll="0" defaultSubtotal="0"/>
    <pivotField axis="axisPage" multipleItemSelectionAllowed="1" showAll="0">
      <items count="3">
        <item x="0"/>
        <item x="1"/>
        <item t="default"/>
      </items>
    </pivotField>
    <pivotField axis="axisPage" multipleItemSelectionAllowed="1" showAll="0" sortType="ascending">
      <items count="18">
        <item x="1"/>
        <item h="1" x="4"/>
        <item h="1" x="0"/>
        <item h="1" x="13"/>
        <item h="1" x="8"/>
        <item h="1" x="3"/>
        <item h="1" x="7"/>
        <item h="1" x="9"/>
        <item h="1" x="15"/>
        <item h="1" x="6"/>
        <item h="1" x="11"/>
        <item h="1" x="5"/>
        <item h="1" x="12"/>
        <item h="1" x="14"/>
        <item h="1" x="10"/>
        <item h="1" x="16"/>
        <item h="1" x="2"/>
        <item t="default"/>
      </items>
    </pivotField>
    <pivotField axis="axisRow" showAll="0" defaultSubtotal="0">
      <items count="142">
        <item x="0"/>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39"/>
        <item x="40"/>
        <item x="41"/>
        <item x="42"/>
        <item x="43"/>
        <item x="44"/>
        <item x="46"/>
        <item x="47"/>
        <item x="48"/>
        <item x="49"/>
        <item x="50"/>
        <item x="51"/>
        <item x="52"/>
        <item x="53"/>
        <item x="54"/>
        <item x="55"/>
        <item x="56"/>
        <item x="57"/>
        <item x="58"/>
        <item x="59"/>
        <item x="60"/>
        <item x="61"/>
        <item x="62"/>
        <item x="64"/>
        <item x="65"/>
        <item x="66"/>
        <item x="67"/>
        <item x="68"/>
        <item x="69"/>
        <item x="70"/>
        <item x="71"/>
        <item x="72"/>
        <item x="73"/>
        <item x="74"/>
        <item x="76"/>
        <item x="77"/>
        <item x="78"/>
        <item x="79"/>
        <item x="80"/>
        <item x="81"/>
        <item x="83"/>
        <item x="84"/>
        <item x="85"/>
        <item x="87"/>
        <item x="88"/>
        <item x="89"/>
        <item x="90"/>
        <item x="91"/>
        <item x="92"/>
        <item x="93"/>
        <item x="94"/>
        <item x="95"/>
        <item x="96"/>
        <item x="97"/>
        <item x="98"/>
        <item x="99"/>
        <item x="100"/>
        <item x="101"/>
        <item x="103"/>
        <item x="104"/>
        <item x="105"/>
        <item x="106"/>
        <item x="107"/>
        <item x="108"/>
        <item x="109"/>
        <item x="110"/>
        <item x="111"/>
        <item x="112"/>
        <item x="113"/>
        <item x="115"/>
        <item x="116"/>
        <item x="117"/>
        <item x="118"/>
        <item x="119"/>
        <item x="120"/>
        <item x="121"/>
        <item x="122"/>
        <item x="123"/>
        <item x="125"/>
        <item x="126"/>
        <item x="127"/>
        <item x="128"/>
        <item x="129"/>
        <item x="130"/>
        <item x="131"/>
        <item x="132"/>
        <item x="133"/>
        <item x="134"/>
        <item x="135"/>
        <item x="136"/>
        <item x="137"/>
        <item x="138"/>
        <item x="140"/>
        <item x="141"/>
        <item x="102"/>
        <item x="124"/>
        <item x="139"/>
        <item x="75"/>
        <item x="63"/>
        <item x="86"/>
        <item x="28"/>
        <item x="1"/>
        <item x="45"/>
        <item x="82"/>
        <item x="11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3">
        <item x="2"/>
        <item h="1" x="1"/>
        <item x="0"/>
      </items>
    </pivotField>
    <pivotField dataField="1" showAll="0" defaultSubtotal="0"/>
    <pivotField showAll="0" defaultSubtotal="0"/>
    <pivotField showAll="0" defaultSubtotal="0"/>
  </pivotFields>
  <rowFields count="1">
    <field x="5"/>
  </rowFields>
  <rowItems count="11">
    <i>
      <x v="1"/>
    </i>
    <i>
      <x v="4"/>
    </i>
    <i>
      <x v="22"/>
    </i>
    <i>
      <x v="38"/>
    </i>
    <i>
      <x v="73"/>
    </i>
    <i>
      <x v="83"/>
    </i>
    <i>
      <x v="96"/>
    </i>
    <i>
      <x v="103"/>
    </i>
    <i>
      <x v="113"/>
    </i>
    <i>
      <x v="127"/>
    </i>
    <i t="grand">
      <x/>
    </i>
  </rowItems>
  <colItems count="1">
    <i/>
  </colItems>
  <pageFields count="3">
    <pageField fld="3" hier="-1"/>
    <pageField fld="4" hier="-1"/>
    <pageField fld="19" hier="-1"/>
  </pageFields>
  <dataFields count="1">
    <dataField name="Average of Coverage" fld="20" subtotal="average" baseField="5" baseItem="16" numFmtId="9"/>
  </dataFields>
  <formats count="18">
    <format dxfId="801">
      <pivotArea field="4" type="button" dataOnly="0" labelOnly="1" outline="0" axis="axisPage" fieldPosition="1"/>
    </format>
    <format dxfId="800">
      <pivotArea field="4" type="button" dataOnly="0" labelOnly="1" outline="0" axis="axisPage" fieldPosition="1"/>
    </format>
    <format dxfId="799">
      <pivotArea collapsedLevelsAreSubtotals="1" fieldPosition="0">
        <references count="2">
          <reference field="4294967294" count="1" selected="0">
            <x v="0"/>
          </reference>
          <reference field="5" count="11">
            <x v="1"/>
            <x v="4"/>
            <x v="22"/>
            <x v="38"/>
            <x v="73"/>
            <x v="83"/>
            <x v="96"/>
            <x v="103"/>
            <x v="113"/>
            <x v="119"/>
            <x v="127"/>
          </reference>
        </references>
      </pivotArea>
    </format>
    <format dxfId="798">
      <pivotArea outline="0" fieldPosition="0">
        <references count="1">
          <reference field="4294967294" count="1">
            <x v="0"/>
          </reference>
        </references>
      </pivotArea>
    </format>
    <format dxfId="797">
      <pivotArea field="3" type="button" dataOnly="0" labelOnly="1" outline="0" axis="axisPage" fieldPosition="0"/>
    </format>
    <format dxfId="796">
      <pivotArea dataOnly="0" labelOnly="1" outline="0" fieldPosition="0">
        <references count="1">
          <reference field="3" count="0"/>
        </references>
      </pivotArea>
    </format>
    <format dxfId="795">
      <pivotArea field="4" type="button" dataOnly="0" labelOnly="1" outline="0" axis="axisPage" fieldPosition="1"/>
    </format>
    <format dxfId="794">
      <pivotArea dataOnly="0" labelOnly="1" outline="0" fieldPosition="0">
        <references count="1">
          <reference field="4" count="0"/>
        </references>
      </pivotArea>
    </format>
    <format dxfId="793">
      <pivotArea field="19" type="button" dataOnly="0" labelOnly="1" outline="0" axis="axisPage" fieldPosition="2"/>
    </format>
    <format dxfId="792">
      <pivotArea dataOnly="0" labelOnly="1" outline="0" fieldPosition="0">
        <references count="1">
          <reference field="19" count="0"/>
        </references>
      </pivotArea>
    </format>
    <format dxfId="791">
      <pivotArea field="3" type="button" dataOnly="0" labelOnly="1" outline="0" axis="axisPage" fieldPosition="0"/>
    </format>
    <format dxfId="790">
      <pivotArea dataOnly="0" labelOnly="1" outline="0" fieldPosition="0">
        <references count="1">
          <reference field="3" count="0"/>
        </references>
      </pivotArea>
    </format>
    <format dxfId="789">
      <pivotArea field="4" type="button" dataOnly="0" labelOnly="1" outline="0" axis="axisPage" fieldPosition="1"/>
    </format>
    <format dxfId="788">
      <pivotArea dataOnly="0" labelOnly="1" outline="0" fieldPosition="0">
        <references count="1">
          <reference field="4" count="0"/>
        </references>
      </pivotArea>
    </format>
    <format dxfId="787">
      <pivotArea field="19" type="button" dataOnly="0" labelOnly="1" outline="0" axis="axisPage" fieldPosition="2"/>
    </format>
    <format dxfId="786">
      <pivotArea dataOnly="0" labelOnly="1" outline="0" fieldPosition="0">
        <references count="1">
          <reference field="19" count="0"/>
        </references>
      </pivotArea>
    </format>
    <format dxfId="785">
      <pivotArea type="all" dataOnly="0" outline="0" fieldPosition="0"/>
    </format>
    <format dxfId="78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6">
  <location ref="E7:F22" firstHeaderRow="1" firstDataRow="1" firstDataCol="1" rowPageCount="1" colPageCount="1"/>
  <pivotFields count="23">
    <pivotField showAll="0" defaultSubtotal="0"/>
    <pivotField axis="axisRow" showAll="0" sortType="ascending">
      <items count="17">
        <item h="1" x="1"/>
        <item x="8"/>
        <item x="6"/>
        <item x="13"/>
        <item x="14"/>
        <item x="4"/>
        <item x="9"/>
        <item x="2"/>
        <item x="10"/>
        <item x="5"/>
        <item x="15"/>
        <item x="7"/>
        <item x="0"/>
        <item x="11"/>
        <item x="12"/>
        <item h="1" x="3"/>
        <item t="default"/>
      </items>
    </pivotField>
    <pivotField showAll="0" defaultSubtotal="0"/>
    <pivotField axis="axisPage" multipleItemSelectionAllowed="1" showAll="0">
      <items count="3">
        <item x="0"/>
        <item x="1"/>
        <item t="default"/>
      </items>
    </pivotField>
    <pivotField showAll="0" sortType="ascending">
      <items count="18">
        <item x="1"/>
        <item h="1" x="4"/>
        <item h="1" x="0"/>
        <item h="1" x="13"/>
        <item h="1" x="8"/>
        <item x="3"/>
        <item x="7"/>
        <item x="9"/>
        <item x="15"/>
        <item x="6"/>
        <item h="1" x="11"/>
        <item x="5"/>
        <item x="12"/>
        <item x="14"/>
        <item h="1" x="10"/>
        <item x="16"/>
        <item x="2"/>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5">
    <i>
      <x v="1"/>
    </i>
    <i>
      <x v="2"/>
    </i>
    <i>
      <x v="3"/>
    </i>
    <i>
      <x v="4"/>
    </i>
    <i>
      <x v="5"/>
    </i>
    <i>
      <x v="6"/>
    </i>
    <i>
      <x v="7"/>
    </i>
    <i>
      <x v="8"/>
    </i>
    <i>
      <x v="9"/>
    </i>
    <i>
      <x v="10"/>
    </i>
    <i>
      <x v="11"/>
    </i>
    <i>
      <x v="12"/>
    </i>
    <i>
      <x v="13"/>
    </i>
    <i>
      <x v="14"/>
    </i>
    <i t="grand">
      <x/>
    </i>
  </rowItems>
  <colItems count="1">
    <i/>
  </colItems>
  <pageFields count="1">
    <pageField fld="3" hier="-1"/>
  </pageFields>
  <dataFields count="1">
    <dataField name="Sum of HH Covered" fld="15" baseField="0" baseItem="0"/>
  </dataFields>
  <formats count="8">
    <format dxfId="809">
      <pivotArea field="4" type="button" dataOnly="0" labelOnly="1" outline="0"/>
    </format>
    <format dxfId="808">
      <pivotArea field="4" type="button" dataOnly="0" labelOnly="1" outline="0"/>
    </format>
    <format dxfId="807">
      <pivotArea outline="0" collapsedLevelsAreSubtotals="1" fieldPosition="0"/>
    </format>
    <format dxfId="806">
      <pivotArea type="all" dataOnly="0" outline="0" fieldPosition="0"/>
    </format>
    <format dxfId="805">
      <pivotArea field="1" type="button" dataOnly="0" labelOnly="1" outline="0" axis="axisRow" fieldPosition="0"/>
    </format>
    <format dxfId="804">
      <pivotArea dataOnly="0" labelOnly="1" outline="0" axis="axisValues" fieldPosition="0"/>
    </format>
    <format dxfId="803">
      <pivotArea collapsedLevelsAreSubtotals="1" fieldPosition="0">
        <references count="1">
          <reference field="1" count="0"/>
        </references>
      </pivotArea>
    </format>
    <format dxfId="802">
      <pivotArea dataOnly="0" labelOnly="1" fieldPosition="0">
        <references count="1">
          <reference field="1" count="0"/>
        </references>
      </pivotArea>
    </format>
  </formats>
  <chartFormats count="2">
    <chartFormat chart="4" format="47" series="1">
      <pivotArea type="data" outline="0" fieldPosition="0">
        <references count="1">
          <reference field="4294967294" count="1" selected="0">
            <x v="0"/>
          </reference>
        </references>
      </pivotArea>
    </chartFormat>
    <chartFormat chart="5"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7">
  <location ref="A7:C22" firstHeaderRow="0" firstDataRow="1" firstDataCol="1" rowPageCount="1" colPageCount="1"/>
  <pivotFields count="23">
    <pivotField showAll="0" defaultSubtotal="0"/>
    <pivotField axis="axisRow" showAll="0" sortType="ascending">
      <items count="17">
        <item h="1" x="1"/>
        <item x="8"/>
        <item x="6"/>
        <item x="13"/>
        <item x="14"/>
        <item x="4"/>
        <item x="9"/>
        <item x="2"/>
        <item x="10"/>
        <item x="5"/>
        <item x="15"/>
        <item x="7"/>
        <item x="0"/>
        <item x="11"/>
        <item x="12"/>
        <item h="1" x="3"/>
        <item t="default"/>
      </items>
    </pivotField>
    <pivotField showAll="0" defaultSubtotal="0"/>
    <pivotField axis="axisPage" multipleItemSelectionAllowed="1" showAll="0">
      <items count="3">
        <item x="0"/>
        <item x="1"/>
        <item t="default"/>
      </items>
    </pivotField>
    <pivotField showAll="0" sortType="ascending">
      <items count="18">
        <item x="1"/>
        <item x="4"/>
        <item x="0"/>
        <item x="13"/>
        <item x="8"/>
        <item x="3"/>
        <item x="7"/>
        <item x="9"/>
        <item x="15"/>
        <item x="6"/>
        <item x="11"/>
        <item x="5"/>
        <item x="12"/>
        <item x="14"/>
        <item x="10"/>
        <item x="16"/>
        <item x="2"/>
        <item t="default"/>
      </items>
    </pivotField>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5">
    <i>
      <x v="1"/>
    </i>
    <i>
      <x v="2"/>
    </i>
    <i>
      <x v="3"/>
    </i>
    <i>
      <x v="4"/>
    </i>
    <i>
      <x v="5"/>
    </i>
    <i>
      <x v="6"/>
    </i>
    <i>
      <x v="7"/>
    </i>
    <i>
      <x v="8"/>
    </i>
    <i>
      <x v="9"/>
    </i>
    <i>
      <x v="10"/>
    </i>
    <i>
      <x v="11"/>
    </i>
    <i>
      <x v="12"/>
    </i>
    <i>
      <x v="13"/>
    </i>
    <i>
      <x v="14"/>
    </i>
    <i t="grand">
      <x/>
    </i>
  </rowItems>
  <colFields count="1">
    <field x="-2"/>
  </colFields>
  <colItems count="2">
    <i>
      <x/>
    </i>
    <i i="1">
      <x v="1"/>
    </i>
  </colItems>
  <pageFields count="1">
    <pageField fld="3" hier="-1"/>
  </pageFields>
  <dataFields count="2">
    <dataField name="Sum of # of Temporary Shelter Units Built" fld="10" baseField="1" baseItem="1"/>
    <dataField name="Sum of # of Temporary Shelter Under  Construction" fld="11" baseField="1" baseItem="1"/>
  </dataFields>
  <formats count="13">
    <format dxfId="822">
      <pivotArea field="4" type="button" dataOnly="0" labelOnly="1" outline="0"/>
    </format>
    <format dxfId="821">
      <pivotArea field="4" type="button" dataOnly="0" labelOnly="1" outline="0"/>
    </format>
    <format dxfId="820">
      <pivotArea outline="0" collapsedLevelsAreSubtotals="1" fieldPosition="0"/>
    </format>
    <format dxfId="819">
      <pivotArea field="3" type="button" dataOnly="0" labelOnly="1" outline="0" axis="axisPage" fieldPosition="0"/>
    </format>
    <format dxfId="818">
      <pivotArea dataOnly="0" labelOnly="1" outline="0" fieldPosition="0">
        <references count="1">
          <reference field="3" count="0"/>
        </references>
      </pivotArea>
    </format>
    <format dxfId="817">
      <pivotArea field="3" type="button" dataOnly="0" labelOnly="1" outline="0" axis="axisPage" fieldPosition="0"/>
    </format>
    <format dxfId="816">
      <pivotArea dataOnly="0" labelOnly="1" outline="0" fieldPosition="0">
        <references count="1">
          <reference field="3" count="0"/>
        </references>
      </pivotArea>
    </format>
    <format dxfId="815">
      <pivotArea type="all" dataOnly="0" outline="0" fieldPosition="0"/>
    </format>
    <format dxfId="814">
      <pivotArea field="1" type="button" dataOnly="0" labelOnly="1" outline="0" axis="axisRow" fieldPosition="0"/>
    </format>
    <format dxfId="813">
      <pivotArea collapsedLevelsAreSubtotals="1" fieldPosition="0">
        <references count="1">
          <reference field="1" count="0"/>
        </references>
      </pivotArea>
    </format>
    <format dxfId="812">
      <pivotArea dataOnly="0" labelOnly="1" fieldPosition="0">
        <references count="1">
          <reference field="1" count="0"/>
        </references>
      </pivotArea>
    </format>
    <format dxfId="811">
      <pivotArea grandRow="1" outline="0" collapsedLevelsAreSubtotals="1" fieldPosition="0"/>
    </format>
    <format dxfId="81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useAutoFormatting="1" itemPrintTitles="1" createdVersion="4" indent="0" compact="0" compactData="0" multipleFieldFilters="0">
  <location ref="A3:D134" firstHeaderRow="1" firstDataRow="1" firstDataCol="3" rowPageCount="1" colPageCount="1"/>
  <pivotFields count="23">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7">
        <item x="1"/>
        <item x="4"/>
        <item x="0"/>
        <item x="8"/>
        <item x="3"/>
        <item x="7"/>
        <item x="9"/>
        <item x="15"/>
        <item x="6"/>
        <item x="11"/>
        <item x="5"/>
        <item x="12"/>
        <item x="14"/>
        <item x="16"/>
        <item x="2"/>
        <item x="10"/>
        <item x="13"/>
      </items>
    </pivotField>
    <pivotField axis="axisRow" compact="0" outline="0" showAll="0" defaultSubtotal="0">
      <items count="142">
        <item x="0"/>
        <item x="2"/>
        <item x="3"/>
        <item x="6"/>
        <item x="8"/>
        <item x="11"/>
        <item x="12"/>
        <item x="13"/>
        <item x="14"/>
        <item x="15"/>
        <item x="16"/>
        <item x="17"/>
        <item x="18"/>
        <item x="19"/>
        <item x="20"/>
        <item x="21"/>
        <item x="22"/>
        <item x="23"/>
        <item x="24"/>
        <item x="25"/>
        <item x="26"/>
        <item x="29"/>
        <item x="30"/>
        <item x="31"/>
        <item x="32"/>
        <item x="33"/>
        <item x="34"/>
        <item x="35"/>
        <item x="36"/>
        <item x="37"/>
        <item x="38"/>
        <item x="40"/>
        <item x="41"/>
        <item x="42"/>
        <item x="43"/>
        <item x="44"/>
        <item x="46"/>
        <item x="47"/>
        <item x="49"/>
        <item x="50"/>
        <item x="51"/>
        <item x="52"/>
        <item x="55"/>
        <item x="56"/>
        <item x="57"/>
        <item x="59"/>
        <item x="60"/>
        <item x="61"/>
        <item x="62"/>
        <item x="64"/>
        <item x="65"/>
        <item x="66"/>
        <item x="67"/>
        <item x="68"/>
        <item x="69"/>
        <item x="71"/>
        <item x="72"/>
        <item x="73"/>
        <item x="74"/>
        <item x="79"/>
        <item x="80"/>
        <item x="83"/>
        <item x="84"/>
        <item x="85"/>
        <item x="87"/>
        <item x="89"/>
        <item x="90"/>
        <item x="91"/>
        <item x="92"/>
        <item x="94"/>
        <item x="95"/>
        <item x="96"/>
        <item x="97"/>
        <item x="98"/>
        <item x="99"/>
        <item x="100"/>
        <item x="101"/>
        <item x="104"/>
        <item x="105"/>
        <item x="106"/>
        <item x="107"/>
        <item x="108"/>
        <item x="109"/>
        <item x="110"/>
        <item x="111"/>
        <item x="112"/>
        <item x="113"/>
        <item x="115"/>
        <item x="116"/>
        <item x="117"/>
        <item x="118"/>
        <item x="119"/>
        <item x="120"/>
        <item x="121"/>
        <item x="122"/>
        <item x="123"/>
        <item x="125"/>
        <item x="126"/>
        <item x="127"/>
        <item x="128"/>
        <item x="130"/>
        <item x="131"/>
        <item x="133"/>
        <item x="134"/>
        <item x="135"/>
        <item x="136"/>
        <item x="137"/>
        <item x="138"/>
        <item x="53"/>
        <item x="129"/>
        <item x="9"/>
        <item x="93"/>
        <item x="78"/>
        <item x="48"/>
        <item x="7"/>
        <item x="5"/>
        <item x="132"/>
        <item x="141"/>
        <item x="103"/>
        <item x="54"/>
        <item x="27"/>
        <item x="10"/>
        <item x="4"/>
        <item x="39"/>
        <item x="58"/>
        <item x="70"/>
        <item x="76"/>
        <item x="77"/>
        <item x="81"/>
        <item x="88"/>
        <item x="140"/>
        <item x="102"/>
        <item x="124"/>
        <item x="139"/>
        <item x="75"/>
        <item x="63"/>
        <item x="86"/>
        <item x="28"/>
        <item x="1"/>
        <item x="45"/>
        <item x="82"/>
        <item x="11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0">
        <item x="112"/>
        <item x="123"/>
        <item x="98"/>
        <item x="126"/>
        <item x="125"/>
        <item x="127"/>
        <item x="116"/>
        <item x="57"/>
        <item x="120"/>
        <item x="15"/>
        <item x="16"/>
        <item x="14"/>
        <item x="31"/>
        <item x="36"/>
        <item x="35"/>
        <item x="55"/>
        <item x="24"/>
        <item x="25"/>
        <item x="67"/>
        <item x="68"/>
        <item x="135"/>
        <item x="89"/>
        <item x="107"/>
        <item x="109"/>
        <item x="46"/>
        <item x="18"/>
        <item x="50"/>
        <item x="108"/>
        <item x="49"/>
        <item x="106"/>
        <item x="131"/>
        <item x="128"/>
        <item x="130"/>
        <item x="52"/>
        <item x="51"/>
        <item x="117"/>
        <item x="12"/>
        <item x="111"/>
        <item x="40"/>
        <item x="2"/>
        <item x="23"/>
        <item x="136"/>
        <item x="90"/>
        <item x="122"/>
        <item x="71"/>
        <item x="72"/>
        <item x="61"/>
        <item x="97"/>
        <item x="56"/>
        <item x="65"/>
        <item x="118"/>
        <item x="119"/>
        <item x="42"/>
        <item x="43"/>
        <item x="41"/>
        <item x="99"/>
        <item x="115"/>
        <item x="64"/>
        <item x="32"/>
        <item x="92"/>
        <item x="121"/>
        <item x="95"/>
        <item x="69"/>
        <item x="66"/>
        <item x="91"/>
        <item x="137"/>
        <item x="11"/>
        <item x="8"/>
        <item x="19"/>
        <item x="134"/>
        <item x="47"/>
        <item x="26"/>
        <item x="22"/>
        <item x="17"/>
        <item x="101"/>
        <item x="34"/>
        <item x="96"/>
        <item x="60"/>
        <item x="59"/>
        <item x="44"/>
        <item x="94"/>
        <item x="105"/>
        <item x="100"/>
        <item x="6"/>
        <item x="13"/>
        <item x="3"/>
        <item x="0"/>
        <item x="38"/>
        <item x="110"/>
        <item x="113"/>
        <item x="133"/>
        <item x="20"/>
        <item x="85"/>
        <item x="104"/>
        <item x="37"/>
        <item x="33"/>
        <item x="74"/>
        <item x="84"/>
        <item x="80"/>
        <item x="79"/>
        <item x="73"/>
        <item x="83"/>
        <item x="62"/>
        <item x="21"/>
        <item x="87"/>
        <item x="29"/>
        <item x="30"/>
        <item x="53"/>
        <item x="129"/>
        <item x="9"/>
        <item x="93"/>
        <item x="78"/>
        <item x="48"/>
        <item x="7"/>
        <item x="5"/>
        <item x="132"/>
        <item x="103"/>
        <item x="54"/>
        <item x="27"/>
        <item x="10"/>
        <item x="4"/>
        <item x="39"/>
        <item x="58"/>
        <item x="70"/>
        <item x="76"/>
        <item x="77"/>
        <item x="81"/>
        <item x="88"/>
        <item x="139"/>
        <item x="75"/>
        <item x="102"/>
        <item x="124"/>
        <item x="138"/>
        <item x="63"/>
        <item x="86"/>
        <item x="28"/>
        <item x="1"/>
        <item x="45"/>
        <item x="82"/>
        <item x="114"/>
      </items>
    </pivotField>
    <pivotField axis="axisPage" compact="0" outline="0" multipleItemSelectionAllowed="1" showAll="0" defaultSubtotal="0">
      <items count="3">
        <item x="2"/>
        <item h="1" x="1"/>
        <item x="0"/>
      </items>
    </pivotField>
    <pivotField dataField="1" compact="0" outline="0" showAll="0" defaultSubtotal="0"/>
    <pivotField compact="0" outline="0" showAll="0" defaultSubtotal="0"/>
    <pivotField compact="0" outline="0" showAll="0" defaultSubtotal="0"/>
  </pivotFields>
  <rowFields count="3">
    <field x="4"/>
    <field x="18"/>
    <field x="5"/>
  </rowFields>
  <rowItems count="131">
    <i>
      <x/>
      <x v="37"/>
      <x v="84"/>
    </i>
    <i r="1">
      <x v="38"/>
      <x v="31"/>
    </i>
    <i r="1">
      <x v="39"/>
      <x v="1"/>
    </i>
    <i r="1">
      <x v="40"/>
      <x v="17"/>
    </i>
    <i r="1">
      <x v="41"/>
      <x v="106"/>
    </i>
    <i r="1">
      <x v="42"/>
      <x v="66"/>
    </i>
    <i r="1">
      <x v="43"/>
      <x v="94"/>
    </i>
    <i r="1">
      <x v="93"/>
      <x v="77"/>
    </i>
    <i r="1">
      <x v="111"/>
      <x v="112"/>
    </i>
    <i r="1">
      <x v="114"/>
      <x v="115"/>
    </i>
    <i>
      <x v="1"/>
      <x v="36"/>
      <x v="6"/>
    </i>
    <i r="1">
      <x v="94"/>
      <x v="29"/>
    </i>
    <i r="1">
      <x v="116"/>
      <x v="118"/>
    </i>
    <i>
      <x v="2"/>
      <x/>
      <x v="103"/>
    </i>
    <i r="2">
      <x v="117"/>
    </i>
    <i r="1">
      <x v="62"/>
      <x v="54"/>
    </i>
    <i r="1">
      <x v="64"/>
      <x v="67"/>
    </i>
    <i r="1">
      <x v="65"/>
      <x v="107"/>
    </i>
    <i r="1">
      <x v="66"/>
      <x v="5"/>
    </i>
    <i r="1">
      <x v="83"/>
      <x v="3"/>
    </i>
    <i r="1">
      <x v="84"/>
      <x v="7"/>
    </i>
    <i r="1">
      <x v="85"/>
      <x v="2"/>
    </i>
    <i r="1">
      <x v="86"/>
      <x/>
    </i>
    <i r="1">
      <x v="87"/>
      <x v="30"/>
    </i>
    <i r="1">
      <x v="88"/>
      <x v="83"/>
    </i>
    <i r="1">
      <x v="89"/>
      <x v="86"/>
    </i>
    <i r="1">
      <x v="90"/>
      <x v="102"/>
    </i>
    <i r="1">
      <x v="91"/>
      <x v="14"/>
    </i>
    <i r="1">
      <x v="92"/>
      <x v="63"/>
    </i>
    <i r="1">
      <x v="120"/>
      <x v="122"/>
    </i>
    <i r="1">
      <x v="121"/>
      <x v="123"/>
    </i>
    <i r="1">
      <x v="135"/>
      <x v="137"/>
    </i>
    <i r="1">
      <x v="136"/>
      <x v="138"/>
    </i>
    <i>
      <x v="3"/>
      <x v="101"/>
      <x v="61"/>
    </i>
    <i r="1">
      <x v="105"/>
      <x v="21"/>
    </i>
    <i r="1">
      <x v="106"/>
      <x v="22"/>
    </i>
    <i r="1">
      <x v="118"/>
      <x v="120"/>
    </i>
    <i r="1">
      <x v="123"/>
      <x v="125"/>
    </i>
    <i r="1">
      <x v="128"/>
      <x v="130"/>
    </i>
    <i r="1">
      <x v="129"/>
      <x v="134"/>
    </i>
    <i>
      <x v="4"/>
      <x v="49"/>
      <x v="50"/>
    </i>
    <i r="1">
      <x v="75"/>
      <x v="26"/>
    </i>
    <i r="1">
      <x v="77"/>
      <x v="46"/>
    </i>
    <i r="1">
      <x v="78"/>
      <x v="45"/>
    </i>
    <i r="1">
      <x v="107"/>
      <x v="108"/>
    </i>
    <i r="1">
      <x v="109"/>
      <x v="110"/>
    </i>
    <i r="1">
      <x v="117"/>
      <x v="119"/>
    </i>
    <i r="1">
      <x v="119"/>
      <x v="121"/>
    </i>
    <i>
      <x v="5"/>
      <x v="102"/>
      <x v="48"/>
    </i>
    <i r="1">
      <x v="103"/>
      <x v="15"/>
    </i>
    <i r="1">
      <x v="133"/>
      <x v="135"/>
    </i>
    <i>
      <x v="6"/>
      <x v="57"/>
      <x v="49"/>
    </i>
    <i r="1">
      <x v="58"/>
      <x v="24"/>
    </i>
    <i r="1">
      <x v="59"/>
      <x v="68"/>
    </i>
    <i r="1">
      <x v="139"/>
      <x v="141"/>
    </i>
    <i>
      <x v="7"/>
      <x v="60"/>
      <x v="93"/>
    </i>
    <i r="1">
      <x v="80"/>
      <x v="69"/>
    </i>
    <i>
      <x v="8"/>
      <x v="44"/>
      <x v="55"/>
    </i>
    <i r="1">
      <x v="47"/>
      <x v="72"/>
    </i>
    <i r="1">
      <x v="48"/>
      <x v="43"/>
    </i>
    <i r="1">
      <x v="52"/>
      <x v="33"/>
    </i>
    <i r="1">
      <x v="53"/>
      <x v="34"/>
    </i>
    <i r="1">
      <x v="54"/>
      <x v="32"/>
    </i>
    <i r="1">
      <x v="55"/>
      <x v="74"/>
    </i>
    <i r="1">
      <x v="56"/>
      <x v="87"/>
    </i>
    <i r="1">
      <x v="71"/>
      <x v="20"/>
    </i>
    <i r="1">
      <x v="72"/>
      <x v="16"/>
    </i>
    <i r="1">
      <x v="73"/>
      <x v="11"/>
    </i>
    <i r="1">
      <x v="74"/>
      <x v="76"/>
    </i>
    <i r="1">
      <x v="76"/>
      <x v="71"/>
    </i>
    <i r="1">
      <x v="112"/>
      <x v="113"/>
    </i>
    <i>
      <x v="9"/>
      <x v="100"/>
      <x v="57"/>
    </i>
    <i r="1">
      <x v="124"/>
      <x v="126"/>
    </i>
    <i r="1">
      <x v="125"/>
      <x v="127"/>
    </i>
    <i>
      <x v="10"/>
      <x/>
      <x v="85"/>
    </i>
    <i r="2">
      <x v="117"/>
    </i>
    <i r="1">
      <x v="1"/>
      <x v="95"/>
    </i>
    <i r="1">
      <x v="2"/>
      <x v="73"/>
    </i>
    <i r="1">
      <x v="3"/>
      <x v="97"/>
    </i>
    <i r="1">
      <x v="4"/>
      <x v="96"/>
    </i>
    <i r="1">
      <x v="5"/>
      <x v="98"/>
    </i>
    <i r="1">
      <x v="6"/>
      <x v="88"/>
    </i>
    <i r="1">
      <x v="7"/>
      <x v="44"/>
    </i>
    <i r="1">
      <x v="8"/>
      <x v="92"/>
    </i>
    <i r="1">
      <x v="9"/>
      <x v="9"/>
    </i>
    <i r="1">
      <x v="10"/>
      <x v="10"/>
    </i>
    <i r="1">
      <x v="11"/>
      <x v="8"/>
    </i>
    <i r="1">
      <x v="12"/>
      <x v="23"/>
    </i>
    <i r="1">
      <x v="13"/>
      <x v="28"/>
    </i>
    <i r="1">
      <x v="14"/>
      <x v="27"/>
    </i>
    <i r="1">
      <x v="15"/>
      <x v="42"/>
    </i>
    <i r="1">
      <x v="16"/>
      <x v="18"/>
    </i>
    <i r="1">
      <x v="17"/>
      <x v="19"/>
    </i>
    <i r="1">
      <x v="18"/>
      <x v="52"/>
    </i>
    <i r="1">
      <x v="19"/>
      <x v="53"/>
    </i>
    <i r="1">
      <x v="20"/>
      <x v="105"/>
    </i>
    <i r="1">
      <x v="21"/>
      <x v="65"/>
    </i>
    <i r="1">
      <x v="82"/>
      <x v="75"/>
    </i>
    <i r="1">
      <x v="131"/>
      <x v="132"/>
    </i>
    <i>
      <x v="11"/>
      <x v="98"/>
      <x v="60"/>
    </i>
    <i r="1">
      <x v="99"/>
      <x v="59"/>
    </i>
    <i r="1">
      <x v="126"/>
      <x v="128"/>
    </i>
    <i r="1">
      <x v="127"/>
      <x v="129"/>
    </i>
    <i>
      <x v="12"/>
      <x v="104"/>
      <x v="64"/>
    </i>
    <i>
      <x v="13"/>
      <x v="50"/>
      <x v="90"/>
    </i>
    <i r="1">
      <x v="51"/>
      <x v="91"/>
    </i>
    <i>
      <x v="14"/>
      <x v="22"/>
      <x v="80"/>
    </i>
    <i r="1">
      <x v="23"/>
      <x v="82"/>
    </i>
    <i r="1">
      <x v="24"/>
      <x v="36"/>
    </i>
    <i r="1">
      <x v="25"/>
      <x v="12"/>
    </i>
    <i r="1">
      <x v="26"/>
      <x v="39"/>
    </i>
    <i r="1">
      <x v="27"/>
      <x v="81"/>
    </i>
    <i r="1">
      <x v="28"/>
      <x v="38"/>
    </i>
    <i r="1">
      <x v="29"/>
      <x v="79"/>
    </i>
    <i r="1">
      <x v="31"/>
      <x v="99"/>
    </i>
    <i r="1">
      <x v="32"/>
      <x v="100"/>
    </i>
    <i r="1">
      <x v="33"/>
      <x v="41"/>
    </i>
    <i r="1">
      <x v="34"/>
      <x v="40"/>
    </i>
    <i r="1">
      <x v="35"/>
      <x v="89"/>
    </i>
    <i r="1">
      <x v="67"/>
      <x v="4"/>
    </i>
    <i r="1">
      <x v="68"/>
      <x v="13"/>
    </i>
    <i r="1">
      <x v="69"/>
      <x v="104"/>
    </i>
    <i r="1">
      <x v="70"/>
      <x v="37"/>
    </i>
    <i r="1">
      <x v="81"/>
      <x v="78"/>
    </i>
    <i r="1">
      <x v="110"/>
      <x v="111"/>
    </i>
    <i r="1">
      <x v="130"/>
      <x v="131"/>
    </i>
    <i r="1">
      <x v="132"/>
      <x v="133"/>
    </i>
    <i>
      <x v="15"/>
      <x/>
      <x v="117"/>
    </i>
    <i r="1">
      <x v="137"/>
      <x v="139"/>
    </i>
    <i>
      <x v="16"/>
      <x v="134"/>
      <x v="136"/>
    </i>
    <i t="grand">
      <x/>
    </i>
  </rowItems>
  <colItems count="1">
    <i/>
  </colItems>
  <pageFields count="1">
    <pageField fld="19" hier="-1"/>
  </pageFields>
  <dataFields count="1">
    <dataField name="Sum of Coverage" fld="20" baseField="0" baseItem="2420248" numFmtId="9"/>
  </dataFields>
  <formats count="313">
    <format dxfId="687">
      <pivotArea outline="0" collapsedLevelsAreSubtotals="1" fieldPosition="0"/>
    </format>
    <format dxfId="686">
      <pivotArea dataOnly="0" labelOnly="1" outline="0" axis="axisValues" fieldPosition="0"/>
    </format>
    <format dxfId="685">
      <pivotArea field="19" type="button" dataOnly="0" labelOnly="1" outline="0" axis="axisPage" fieldPosition="0"/>
    </format>
    <format dxfId="684">
      <pivotArea dataOnly="0" labelOnly="1" outline="0" fieldPosition="0">
        <references count="1">
          <reference field="19" count="0"/>
        </references>
      </pivotArea>
    </format>
    <format dxfId="683">
      <pivotArea outline="0" collapsedLevelsAreSubtotals="1" fieldPosition="0">
        <references count="3">
          <reference field="4" count="1" selected="0">
            <x v="0"/>
          </reference>
          <reference field="5" count="10" selected="0">
            <x v="1"/>
            <x v="17"/>
            <x v="31"/>
            <x v="66"/>
            <x v="77"/>
            <x v="84"/>
            <x v="94"/>
            <x v="106"/>
            <x v="112"/>
            <x v="115"/>
          </reference>
          <reference field="18" count="10" selected="0">
            <x v="37"/>
            <x v="38"/>
            <x v="39"/>
            <x v="40"/>
            <x v="41"/>
            <x v="42"/>
            <x v="43"/>
            <x v="93"/>
            <x v="111"/>
            <x v="114"/>
          </reference>
        </references>
      </pivotArea>
    </format>
    <format dxfId="682">
      <pivotArea dataOnly="0" labelOnly="1" outline="0" fieldPosition="0">
        <references count="1">
          <reference field="4" count="1">
            <x v="0"/>
          </reference>
        </references>
      </pivotArea>
    </format>
    <format dxfId="681">
      <pivotArea dataOnly="0" labelOnly="1" outline="0" fieldPosition="0">
        <references count="2">
          <reference field="4" count="1" selected="0">
            <x v="0"/>
          </reference>
          <reference field="18" count="10">
            <x v="37"/>
            <x v="38"/>
            <x v="39"/>
            <x v="40"/>
            <x v="41"/>
            <x v="42"/>
            <x v="43"/>
            <x v="93"/>
            <x v="111"/>
            <x v="114"/>
          </reference>
        </references>
      </pivotArea>
    </format>
    <format dxfId="680">
      <pivotArea dataOnly="0" labelOnly="1" outline="0" fieldPosition="0">
        <references count="3">
          <reference field="4" count="1" selected="0">
            <x v="0"/>
          </reference>
          <reference field="5" count="1">
            <x v="84"/>
          </reference>
          <reference field="18" count="1" selected="0">
            <x v="37"/>
          </reference>
        </references>
      </pivotArea>
    </format>
    <format dxfId="679">
      <pivotArea dataOnly="0" labelOnly="1" outline="0" fieldPosition="0">
        <references count="3">
          <reference field="4" count="1" selected="0">
            <x v="0"/>
          </reference>
          <reference field="5" count="1">
            <x v="31"/>
          </reference>
          <reference field="18" count="1" selected="0">
            <x v="38"/>
          </reference>
        </references>
      </pivotArea>
    </format>
    <format dxfId="678">
      <pivotArea dataOnly="0" labelOnly="1" outline="0" fieldPosition="0">
        <references count="3">
          <reference field="4" count="1" selected="0">
            <x v="0"/>
          </reference>
          <reference field="5" count="1">
            <x v="1"/>
          </reference>
          <reference field="18" count="1" selected="0">
            <x v="39"/>
          </reference>
        </references>
      </pivotArea>
    </format>
    <format dxfId="677">
      <pivotArea dataOnly="0" labelOnly="1" outline="0" fieldPosition="0">
        <references count="3">
          <reference field="4" count="1" selected="0">
            <x v="0"/>
          </reference>
          <reference field="5" count="1">
            <x v="17"/>
          </reference>
          <reference field="18" count="1" selected="0">
            <x v="40"/>
          </reference>
        </references>
      </pivotArea>
    </format>
    <format dxfId="676">
      <pivotArea dataOnly="0" labelOnly="1" outline="0" fieldPosition="0">
        <references count="3">
          <reference field="4" count="1" selected="0">
            <x v="0"/>
          </reference>
          <reference field="5" count="1">
            <x v="106"/>
          </reference>
          <reference field="18" count="1" selected="0">
            <x v="41"/>
          </reference>
        </references>
      </pivotArea>
    </format>
    <format dxfId="675">
      <pivotArea dataOnly="0" labelOnly="1" outline="0" fieldPosition="0">
        <references count="3">
          <reference field="4" count="1" selected="0">
            <x v="0"/>
          </reference>
          <reference field="5" count="1">
            <x v="66"/>
          </reference>
          <reference field="18" count="1" selected="0">
            <x v="42"/>
          </reference>
        </references>
      </pivotArea>
    </format>
    <format dxfId="674">
      <pivotArea dataOnly="0" labelOnly="1" outline="0" fieldPosition="0">
        <references count="3">
          <reference field="4" count="1" selected="0">
            <x v="0"/>
          </reference>
          <reference field="5" count="1">
            <x v="94"/>
          </reference>
          <reference field="18" count="1" selected="0">
            <x v="43"/>
          </reference>
        </references>
      </pivotArea>
    </format>
    <format dxfId="673">
      <pivotArea dataOnly="0" labelOnly="1" outline="0" fieldPosition="0">
        <references count="3">
          <reference field="4" count="1" selected="0">
            <x v="0"/>
          </reference>
          <reference field="5" count="1">
            <x v="77"/>
          </reference>
          <reference field="18" count="1" selected="0">
            <x v="93"/>
          </reference>
        </references>
      </pivotArea>
    </format>
    <format dxfId="672">
      <pivotArea dataOnly="0" labelOnly="1" outline="0" fieldPosition="0">
        <references count="3">
          <reference field="4" count="1" selected="0">
            <x v="0"/>
          </reference>
          <reference field="5" count="1">
            <x v="112"/>
          </reference>
          <reference field="18" count="1" selected="0">
            <x v="111"/>
          </reference>
        </references>
      </pivotArea>
    </format>
    <format dxfId="671">
      <pivotArea dataOnly="0" labelOnly="1" outline="0" fieldPosition="0">
        <references count="3">
          <reference field="4" count="1" selected="0">
            <x v="0"/>
          </reference>
          <reference field="5" count="1">
            <x v="115"/>
          </reference>
          <reference field="18" count="1" selected="0">
            <x v="114"/>
          </reference>
        </references>
      </pivotArea>
    </format>
    <format dxfId="670">
      <pivotArea outline="0" collapsedLevelsAreSubtotals="1" fieldPosition="0">
        <references count="3">
          <reference field="4" count="1" selected="0">
            <x v="1"/>
          </reference>
          <reference field="5" count="3" selected="0">
            <x v="6"/>
            <x v="29"/>
            <x v="118"/>
          </reference>
          <reference field="18" count="3" selected="0">
            <x v="36"/>
            <x v="94"/>
            <x v="116"/>
          </reference>
        </references>
      </pivotArea>
    </format>
    <format dxfId="669">
      <pivotArea dataOnly="0" labelOnly="1" outline="0" fieldPosition="0">
        <references count="1">
          <reference field="4" count="1">
            <x v="1"/>
          </reference>
        </references>
      </pivotArea>
    </format>
    <format dxfId="668">
      <pivotArea dataOnly="0" labelOnly="1" outline="0" fieldPosition="0">
        <references count="2">
          <reference field="4" count="1" selected="0">
            <x v="1"/>
          </reference>
          <reference field="18" count="3">
            <x v="36"/>
            <x v="94"/>
            <x v="116"/>
          </reference>
        </references>
      </pivotArea>
    </format>
    <format dxfId="667">
      <pivotArea dataOnly="0" labelOnly="1" outline="0" fieldPosition="0">
        <references count="3">
          <reference field="4" count="1" selected="0">
            <x v="1"/>
          </reference>
          <reference field="5" count="1">
            <x v="6"/>
          </reference>
          <reference field="18" count="1" selected="0">
            <x v="36"/>
          </reference>
        </references>
      </pivotArea>
    </format>
    <format dxfId="666">
      <pivotArea dataOnly="0" labelOnly="1" outline="0" fieldPosition="0">
        <references count="3">
          <reference field="4" count="1" selected="0">
            <x v="1"/>
          </reference>
          <reference field="5" count="1">
            <x v="29"/>
          </reference>
          <reference field="18" count="1" selected="0">
            <x v="94"/>
          </reference>
        </references>
      </pivotArea>
    </format>
    <format dxfId="665">
      <pivotArea dataOnly="0" labelOnly="1" outline="0" fieldPosition="0">
        <references count="3">
          <reference field="4" count="1" selected="0">
            <x v="1"/>
          </reference>
          <reference field="5" count="1">
            <x v="118"/>
          </reference>
          <reference field="18" count="1" selected="0">
            <x v="116"/>
          </reference>
        </references>
      </pivotArea>
    </format>
    <format dxfId="664">
      <pivotArea outline="0" collapsedLevelsAreSubtotals="1" fieldPosition="0">
        <references count="3">
          <reference field="4" count="1" selected="0">
            <x v="2"/>
          </reference>
          <reference field="5" count="19" selected="0">
            <x v="0"/>
            <x v="2"/>
            <x v="3"/>
            <x v="5"/>
            <x v="7"/>
            <x v="14"/>
            <x v="30"/>
            <x v="54"/>
            <x v="63"/>
            <x v="67"/>
            <x v="83"/>
            <x v="86"/>
            <x v="102"/>
            <x v="103"/>
            <x v="107"/>
            <x v="114"/>
            <x v="117"/>
            <x v="122"/>
            <x v="123"/>
          </reference>
          <reference field="18" count="18" selected="0">
            <x v="0"/>
            <x v="62"/>
            <x v="64"/>
            <x v="65"/>
            <x v="66"/>
            <x v="83"/>
            <x v="84"/>
            <x v="85"/>
            <x v="86"/>
            <x v="87"/>
            <x v="88"/>
            <x v="89"/>
            <x v="90"/>
            <x v="91"/>
            <x v="92"/>
            <x v="113"/>
            <x v="120"/>
            <x v="121"/>
          </reference>
        </references>
      </pivotArea>
    </format>
    <format dxfId="663">
      <pivotArea dataOnly="0" labelOnly="1" outline="0" fieldPosition="0">
        <references count="1">
          <reference field="4" count="1">
            <x v="2"/>
          </reference>
        </references>
      </pivotArea>
    </format>
    <format dxfId="662">
      <pivotArea dataOnly="0" labelOnly="1" outline="0" fieldPosition="0">
        <references count="2">
          <reference field="4" count="1" selected="0">
            <x v="2"/>
          </reference>
          <reference field="18" count="18">
            <x v="0"/>
            <x v="62"/>
            <x v="64"/>
            <x v="65"/>
            <x v="66"/>
            <x v="83"/>
            <x v="84"/>
            <x v="85"/>
            <x v="86"/>
            <x v="87"/>
            <x v="88"/>
            <x v="89"/>
            <x v="90"/>
            <x v="91"/>
            <x v="92"/>
            <x v="113"/>
            <x v="120"/>
            <x v="121"/>
          </reference>
        </references>
      </pivotArea>
    </format>
    <format dxfId="661">
      <pivotArea dataOnly="0" labelOnly="1" outline="0" fieldPosition="0">
        <references count="3">
          <reference field="4" count="1" selected="0">
            <x v="2"/>
          </reference>
          <reference field="5" count="2">
            <x v="103"/>
            <x v="117"/>
          </reference>
          <reference field="18" count="1" selected="0">
            <x v="0"/>
          </reference>
        </references>
      </pivotArea>
    </format>
    <format dxfId="660">
      <pivotArea dataOnly="0" labelOnly="1" outline="0" fieldPosition="0">
        <references count="3">
          <reference field="4" count="1" selected="0">
            <x v="2"/>
          </reference>
          <reference field="5" count="1">
            <x v="54"/>
          </reference>
          <reference field="18" count="1" selected="0">
            <x v="62"/>
          </reference>
        </references>
      </pivotArea>
    </format>
    <format dxfId="659">
      <pivotArea dataOnly="0" labelOnly="1" outline="0" fieldPosition="0">
        <references count="3">
          <reference field="4" count="1" selected="0">
            <x v="2"/>
          </reference>
          <reference field="5" count="1">
            <x v="67"/>
          </reference>
          <reference field="18" count="1" selected="0">
            <x v="64"/>
          </reference>
        </references>
      </pivotArea>
    </format>
    <format dxfId="658">
      <pivotArea dataOnly="0" labelOnly="1" outline="0" fieldPosition="0">
        <references count="3">
          <reference field="4" count="1" selected="0">
            <x v="2"/>
          </reference>
          <reference field="5" count="1">
            <x v="107"/>
          </reference>
          <reference field="18" count="1" selected="0">
            <x v="65"/>
          </reference>
        </references>
      </pivotArea>
    </format>
    <format dxfId="657">
      <pivotArea dataOnly="0" labelOnly="1" outline="0" fieldPosition="0">
        <references count="3">
          <reference field="4" count="1" selected="0">
            <x v="2"/>
          </reference>
          <reference field="5" count="1">
            <x v="5"/>
          </reference>
          <reference field="18" count="1" selected="0">
            <x v="66"/>
          </reference>
        </references>
      </pivotArea>
    </format>
    <format dxfId="656">
      <pivotArea dataOnly="0" labelOnly="1" outline="0" fieldPosition="0">
        <references count="3">
          <reference field="4" count="1" selected="0">
            <x v="2"/>
          </reference>
          <reference field="5" count="1">
            <x v="3"/>
          </reference>
          <reference field="18" count="1" selected="0">
            <x v="83"/>
          </reference>
        </references>
      </pivotArea>
    </format>
    <format dxfId="655">
      <pivotArea dataOnly="0" labelOnly="1" outline="0" fieldPosition="0">
        <references count="3">
          <reference field="4" count="1" selected="0">
            <x v="2"/>
          </reference>
          <reference field="5" count="1">
            <x v="7"/>
          </reference>
          <reference field="18" count="1" selected="0">
            <x v="84"/>
          </reference>
        </references>
      </pivotArea>
    </format>
    <format dxfId="654">
      <pivotArea dataOnly="0" labelOnly="1" outline="0" fieldPosition="0">
        <references count="3">
          <reference field="4" count="1" selected="0">
            <x v="2"/>
          </reference>
          <reference field="5" count="1">
            <x v="2"/>
          </reference>
          <reference field="18" count="1" selected="0">
            <x v="85"/>
          </reference>
        </references>
      </pivotArea>
    </format>
    <format dxfId="653">
      <pivotArea dataOnly="0" labelOnly="1" outline="0" fieldPosition="0">
        <references count="3">
          <reference field="4" count="1" selected="0">
            <x v="2"/>
          </reference>
          <reference field="5" count="1">
            <x v="0"/>
          </reference>
          <reference field="18" count="1" selected="0">
            <x v="86"/>
          </reference>
        </references>
      </pivotArea>
    </format>
    <format dxfId="652">
      <pivotArea dataOnly="0" labelOnly="1" outline="0" fieldPosition="0">
        <references count="3">
          <reference field="4" count="1" selected="0">
            <x v="2"/>
          </reference>
          <reference field="5" count="1">
            <x v="30"/>
          </reference>
          <reference field="18" count="1" selected="0">
            <x v="87"/>
          </reference>
        </references>
      </pivotArea>
    </format>
    <format dxfId="651">
      <pivotArea dataOnly="0" labelOnly="1" outline="0" fieldPosition="0">
        <references count="3">
          <reference field="4" count="1" selected="0">
            <x v="2"/>
          </reference>
          <reference field="5" count="1">
            <x v="83"/>
          </reference>
          <reference field="18" count="1" selected="0">
            <x v="88"/>
          </reference>
        </references>
      </pivotArea>
    </format>
    <format dxfId="650">
      <pivotArea dataOnly="0" labelOnly="1" outline="0" fieldPosition="0">
        <references count="3">
          <reference field="4" count="1" selected="0">
            <x v="2"/>
          </reference>
          <reference field="5" count="1">
            <x v="86"/>
          </reference>
          <reference field="18" count="1" selected="0">
            <x v="89"/>
          </reference>
        </references>
      </pivotArea>
    </format>
    <format dxfId="649">
      <pivotArea dataOnly="0" labelOnly="1" outline="0" fieldPosition="0">
        <references count="3">
          <reference field="4" count="1" selected="0">
            <x v="2"/>
          </reference>
          <reference field="5" count="1">
            <x v="102"/>
          </reference>
          <reference field="18" count="1" selected="0">
            <x v="90"/>
          </reference>
        </references>
      </pivotArea>
    </format>
    <format dxfId="648">
      <pivotArea dataOnly="0" labelOnly="1" outline="0" fieldPosition="0">
        <references count="3">
          <reference field="4" count="1" selected="0">
            <x v="2"/>
          </reference>
          <reference field="5" count="1">
            <x v="14"/>
          </reference>
          <reference field="18" count="1" selected="0">
            <x v="91"/>
          </reference>
        </references>
      </pivotArea>
    </format>
    <format dxfId="647">
      <pivotArea dataOnly="0" labelOnly="1" outline="0" fieldPosition="0">
        <references count="3">
          <reference field="4" count="1" selected="0">
            <x v="2"/>
          </reference>
          <reference field="5" count="1">
            <x v="63"/>
          </reference>
          <reference field="18" count="1" selected="0">
            <x v="92"/>
          </reference>
        </references>
      </pivotArea>
    </format>
    <format dxfId="646">
      <pivotArea dataOnly="0" labelOnly="1" outline="0" fieldPosition="0">
        <references count="3">
          <reference field="4" count="1" selected="0">
            <x v="2"/>
          </reference>
          <reference field="5" count="1">
            <x v="114"/>
          </reference>
          <reference field="18" count="1" selected="0">
            <x v="113"/>
          </reference>
        </references>
      </pivotArea>
    </format>
    <format dxfId="645">
      <pivotArea dataOnly="0" labelOnly="1" outline="0" fieldPosition="0">
        <references count="3">
          <reference field="4" count="1" selected="0">
            <x v="2"/>
          </reference>
          <reference field="5" count="1">
            <x v="122"/>
          </reference>
          <reference field="18" count="1" selected="0">
            <x v="120"/>
          </reference>
        </references>
      </pivotArea>
    </format>
    <format dxfId="644">
      <pivotArea dataOnly="0" labelOnly="1" outline="0" fieldPosition="0">
        <references count="3">
          <reference field="4" count="1" selected="0">
            <x v="2"/>
          </reference>
          <reference field="5" count="1">
            <x v="123"/>
          </reference>
          <reference field="18" count="1" selected="0">
            <x v="121"/>
          </reference>
        </references>
      </pivotArea>
    </format>
    <format dxfId="643">
      <pivotArea outline="0" collapsedLevelsAreSubtotals="1" fieldPosition="0">
        <references count="3">
          <reference field="4" count="1" selected="0">
            <x v="3"/>
          </reference>
          <reference field="5" count="7" selected="0">
            <x v="21"/>
            <x v="22"/>
            <x v="61"/>
            <x v="120"/>
            <x v="125"/>
            <x v="130"/>
            <x v="134"/>
          </reference>
          <reference field="18" count="7" selected="0">
            <x v="101"/>
            <x v="105"/>
            <x v="106"/>
            <x v="118"/>
            <x v="123"/>
            <x v="128"/>
            <x v="129"/>
          </reference>
        </references>
      </pivotArea>
    </format>
    <format dxfId="642">
      <pivotArea dataOnly="0" labelOnly="1" outline="0" fieldPosition="0">
        <references count="1">
          <reference field="4" count="1">
            <x v="3"/>
          </reference>
        </references>
      </pivotArea>
    </format>
    <format dxfId="641">
      <pivotArea dataOnly="0" labelOnly="1" outline="0" fieldPosition="0">
        <references count="2">
          <reference field="4" count="1" selected="0">
            <x v="3"/>
          </reference>
          <reference field="18" count="7">
            <x v="101"/>
            <x v="105"/>
            <x v="106"/>
            <x v="118"/>
            <x v="123"/>
            <x v="128"/>
            <x v="129"/>
          </reference>
        </references>
      </pivotArea>
    </format>
    <format dxfId="640">
      <pivotArea dataOnly="0" labelOnly="1" outline="0" fieldPosition="0">
        <references count="3">
          <reference field="4" count="1" selected="0">
            <x v="3"/>
          </reference>
          <reference field="5" count="1">
            <x v="61"/>
          </reference>
          <reference field="18" count="1" selected="0">
            <x v="101"/>
          </reference>
        </references>
      </pivotArea>
    </format>
    <format dxfId="639">
      <pivotArea dataOnly="0" labelOnly="1" outline="0" fieldPosition="0">
        <references count="3">
          <reference field="4" count="1" selected="0">
            <x v="3"/>
          </reference>
          <reference field="5" count="1">
            <x v="21"/>
          </reference>
          <reference field="18" count="1" selected="0">
            <x v="105"/>
          </reference>
        </references>
      </pivotArea>
    </format>
    <format dxfId="638">
      <pivotArea dataOnly="0" labelOnly="1" outline="0" fieldPosition="0">
        <references count="3">
          <reference field="4" count="1" selected="0">
            <x v="3"/>
          </reference>
          <reference field="5" count="1">
            <x v="22"/>
          </reference>
          <reference field="18" count="1" selected="0">
            <x v="106"/>
          </reference>
        </references>
      </pivotArea>
    </format>
    <format dxfId="637">
      <pivotArea dataOnly="0" labelOnly="1" outline="0" fieldPosition="0">
        <references count="3">
          <reference field="4" count="1" selected="0">
            <x v="3"/>
          </reference>
          <reference field="5" count="1">
            <x v="120"/>
          </reference>
          <reference field="18" count="1" selected="0">
            <x v="118"/>
          </reference>
        </references>
      </pivotArea>
    </format>
    <format dxfId="636">
      <pivotArea dataOnly="0" labelOnly="1" outline="0" fieldPosition="0">
        <references count="3">
          <reference field="4" count="1" selected="0">
            <x v="3"/>
          </reference>
          <reference field="5" count="1">
            <x v="125"/>
          </reference>
          <reference field="18" count="1" selected="0">
            <x v="123"/>
          </reference>
        </references>
      </pivotArea>
    </format>
    <format dxfId="635">
      <pivotArea dataOnly="0" labelOnly="1" outline="0" fieldPosition="0">
        <references count="3">
          <reference field="4" count="1" selected="0">
            <x v="3"/>
          </reference>
          <reference field="5" count="1">
            <x v="130"/>
          </reference>
          <reference field="18" count="1" selected="0">
            <x v="128"/>
          </reference>
        </references>
      </pivotArea>
    </format>
    <format dxfId="634">
      <pivotArea dataOnly="0" labelOnly="1" outline="0" fieldPosition="0">
        <references count="3">
          <reference field="4" count="1" selected="0">
            <x v="3"/>
          </reference>
          <reference field="5" count="1">
            <x v="134"/>
          </reference>
          <reference field="18" count="1" selected="0">
            <x v="129"/>
          </reference>
        </references>
      </pivotArea>
    </format>
    <format dxfId="633">
      <pivotArea outline="0" collapsedLevelsAreSubtotals="1" fieldPosition="0">
        <references count="3">
          <reference field="4" count="1" selected="0">
            <x v="4"/>
          </reference>
          <reference field="5" count="9" selected="0">
            <x v="26"/>
            <x v="35"/>
            <x v="45"/>
            <x v="46"/>
            <x v="50"/>
            <x v="108"/>
            <x v="110"/>
            <x v="119"/>
            <x v="121"/>
          </reference>
          <reference field="18" count="9" selected="0">
            <x v="49"/>
            <x v="75"/>
            <x v="77"/>
            <x v="78"/>
            <x v="79"/>
            <x v="107"/>
            <x v="109"/>
            <x v="117"/>
            <x v="119"/>
          </reference>
        </references>
      </pivotArea>
    </format>
    <format dxfId="632">
      <pivotArea dataOnly="0" labelOnly="1" outline="0" fieldPosition="0">
        <references count="1">
          <reference field="4" count="1">
            <x v="4"/>
          </reference>
        </references>
      </pivotArea>
    </format>
    <format dxfId="631">
      <pivotArea dataOnly="0" labelOnly="1" outline="0" fieldPosition="0">
        <references count="2">
          <reference field="4" count="1" selected="0">
            <x v="4"/>
          </reference>
          <reference field="18" count="9">
            <x v="49"/>
            <x v="75"/>
            <x v="77"/>
            <x v="78"/>
            <x v="79"/>
            <x v="107"/>
            <x v="109"/>
            <x v="117"/>
            <x v="119"/>
          </reference>
        </references>
      </pivotArea>
    </format>
    <format dxfId="630">
      <pivotArea dataOnly="0" labelOnly="1" outline="0" fieldPosition="0">
        <references count="3">
          <reference field="4" count="1" selected="0">
            <x v="4"/>
          </reference>
          <reference field="5" count="1">
            <x v="50"/>
          </reference>
          <reference field="18" count="1" selected="0">
            <x v="49"/>
          </reference>
        </references>
      </pivotArea>
    </format>
    <format dxfId="629">
      <pivotArea dataOnly="0" labelOnly="1" outline="0" fieldPosition="0">
        <references count="3">
          <reference field="4" count="1" selected="0">
            <x v="4"/>
          </reference>
          <reference field="5" count="1">
            <x v="26"/>
          </reference>
          <reference field="18" count="1" selected="0">
            <x v="75"/>
          </reference>
        </references>
      </pivotArea>
    </format>
    <format dxfId="628">
      <pivotArea dataOnly="0" labelOnly="1" outline="0" fieldPosition="0">
        <references count="3">
          <reference field="4" count="1" selected="0">
            <x v="4"/>
          </reference>
          <reference field="5" count="1">
            <x v="46"/>
          </reference>
          <reference field="18" count="1" selected="0">
            <x v="77"/>
          </reference>
        </references>
      </pivotArea>
    </format>
    <format dxfId="627">
      <pivotArea dataOnly="0" labelOnly="1" outline="0" fieldPosition="0">
        <references count="3">
          <reference field="4" count="1" selected="0">
            <x v="4"/>
          </reference>
          <reference field="5" count="1">
            <x v="45"/>
          </reference>
          <reference field="18" count="1" selected="0">
            <x v="78"/>
          </reference>
        </references>
      </pivotArea>
    </format>
    <format dxfId="626">
      <pivotArea dataOnly="0" labelOnly="1" outline="0" fieldPosition="0">
        <references count="3">
          <reference field="4" count="1" selected="0">
            <x v="4"/>
          </reference>
          <reference field="5" count="1">
            <x v="35"/>
          </reference>
          <reference field="18" count="1" selected="0">
            <x v="79"/>
          </reference>
        </references>
      </pivotArea>
    </format>
    <format dxfId="625">
      <pivotArea dataOnly="0" labelOnly="1" outline="0" fieldPosition="0">
        <references count="3">
          <reference field="4" count="1" selected="0">
            <x v="4"/>
          </reference>
          <reference field="5" count="1">
            <x v="108"/>
          </reference>
          <reference field="18" count="1" selected="0">
            <x v="107"/>
          </reference>
        </references>
      </pivotArea>
    </format>
    <format dxfId="624">
      <pivotArea dataOnly="0" labelOnly="1" outline="0" fieldPosition="0">
        <references count="3">
          <reference field="4" count="1" selected="0">
            <x v="4"/>
          </reference>
          <reference field="5" count="1">
            <x v="110"/>
          </reference>
          <reference field="18" count="1" selected="0">
            <x v="109"/>
          </reference>
        </references>
      </pivotArea>
    </format>
    <format dxfId="623">
      <pivotArea dataOnly="0" labelOnly="1" outline="0" fieldPosition="0">
        <references count="3">
          <reference field="4" count="1" selected="0">
            <x v="4"/>
          </reference>
          <reference field="5" count="1">
            <x v="119"/>
          </reference>
          <reference field="18" count="1" selected="0">
            <x v="117"/>
          </reference>
        </references>
      </pivotArea>
    </format>
    <format dxfId="622">
      <pivotArea dataOnly="0" labelOnly="1" outline="0" fieldPosition="0">
        <references count="3">
          <reference field="4" count="1" selected="0">
            <x v="4"/>
          </reference>
          <reference field="5" count="1">
            <x v="121"/>
          </reference>
          <reference field="18" count="1" selected="0">
            <x v="119"/>
          </reference>
        </references>
      </pivotArea>
    </format>
    <format dxfId="621">
      <pivotArea outline="0" collapsedLevelsAreSubtotals="1" fieldPosition="0">
        <references count="3">
          <reference field="4" count="1" selected="0">
            <x v="5"/>
          </reference>
          <reference field="5" count="3" selected="0">
            <x v="15"/>
            <x v="48"/>
            <x v="135"/>
          </reference>
          <reference field="18" count="3" selected="0">
            <x v="102"/>
            <x v="103"/>
            <x v="133"/>
          </reference>
        </references>
      </pivotArea>
    </format>
    <format dxfId="620">
      <pivotArea dataOnly="0" labelOnly="1" outline="0" fieldPosition="0">
        <references count="1">
          <reference field="4" count="1">
            <x v="5"/>
          </reference>
        </references>
      </pivotArea>
    </format>
    <format dxfId="619">
      <pivotArea dataOnly="0" labelOnly="1" outline="0" fieldPosition="0">
        <references count="2">
          <reference field="4" count="1" selected="0">
            <x v="5"/>
          </reference>
          <reference field="18" count="3">
            <x v="102"/>
            <x v="103"/>
            <x v="133"/>
          </reference>
        </references>
      </pivotArea>
    </format>
    <format dxfId="618">
      <pivotArea dataOnly="0" labelOnly="1" outline="0" fieldPosition="0">
        <references count="3">
          <reference field="4" count="1" selected="0">
            <x v="5"/>
          </reference>
          <reference field="5" count="1">
            <x v="48"/>
          </reference>
          <reference field="18" count="1" selected="0">
            <x v="102"/>
          </reference>
        </references>
      </pivotArea>
    </format>
    <format dxfId="617">
      <pivotArea dataOnly="0" labelOnly="1" outline="0" fieldPosition="0">
        <references count="3">
          <reference field="4" count="1" selected="0">
            <x v="5"/>
          </reference>
          <reference field="5" count="1">
            <x v="15"/>
          </reference>
          <reference field="18" count="1" selected="0">
            <x v="103"/>
          </reference>
        </references>
      </pivotArea>
    </format>
    <format dxfId="616">
      <pivotArea dataOnly="0" labelOnly="1" outline="0" fieldPosition="0">
        <references count="3">
          <reference field="4" count="1" selected="0">
            <x v="5"/>
          </reference>
          <reference field="5" count="1">
            <x v="135"/>
          </reference>
          <reference field="18" count="1" selected="0">
            <x v="133"/>
          </reference>
        </references>
      </pivotArea>
    </format>
    <format dxfId="615">
      <pivotArea outline="0" collapsedLevelsAreSubtotals="1" fieldPosition="0">
        <references count="3">
          <reference field="4" count="1" selected="0">
            <x v="6"/>
          </reference>
          <reference field="5" count="3" selected="0">
            <x v="24"/>
            <x v="49"/>
            <x v="68"/>
          </reference>
          <reference field="18" count="3" selected="0">
            <x v="57"/>
            <x v="58"/>
            <x v="59"/>
          </reference>
        </references>
      </pivotArea>
    </format>
    <format dxfId="614">
      <pivotArea dataOnly="0" labelOnly="1" outline="0" fieldPosition="0">
        <references count="1">
          <reference field="4" count="1">
            <x v="6"/>
          </reference>
        </references>
      </pivotArea>
    </format>
    <format dxfId="613">
      <pivotArea dataOnly="0" labelOnly="1" outline="0" fieldPosition="0">
        <references count="2">
          <reference field="4" count="1" selected="0">
            <x v="6"/>
          </reference>
          <reference field="18" count="3">
            <x v="57"/>
            <x v="58"/>
            <x v="59"/>
          </reference>
        </references>
      </pivotArea>
    </format>
    <format dxfId="612">
      <pivotArea dataOnly="0" labelOnly="1" outline="0" fieldPosition="0">
        <references count="3">
          <reference field="4" count="1" selected="0">
            <x v="6"/>
          </reference>
          <reference field="5" count="1">
            <x v="49"/>
          </reference>
          <reference field="18" count="1" selected="0">
            <x v="57"/>
          </reference>
        </references>
      </pivotArea>
    </format>
    <format dxfId="611">
      <pivotArea dataOnly="0" labelOnly="1" outline="0" fieldPosition="0">
        <references count="3">
          <reference field="4" count="1" selected="0">
            <x v="6"/>
          </reference>
          <reference field="5" count="1">
            <x v="24"/>
          </reference>
          <reference field="18" count="1" selected="0">
            <x v="58"/>
          </reference>
        </references>
      </pivotArea>
    </format>
    <format dxfId="610">
      <pivotArea dataOnly="0" labelOnly="1" outline="0" fieldPosition="0">
        <references count="3">
          <reference field="4" count="1" selected="0">
            <x v="6"/>
          </reference>
          <reference field="5" count="1">
            <x v="68"/>
          </reference>
          <reference field="18" count="1" selected="0">
            <x v="59"/>
          </reference>
        </references>
      </pivotArea>
    </format>
    <format dxfId="609">
      <pivotArea outline="0" collapsedLevelsAreSubtotals="1" fieldPosition="0">
        <references count="3">
          <reference field="4" count="1" selected="0">
            <x v="7"/>
          </reference>
          <reference field="5" count="2" selected="0">
            <x v="69"/>
            <x v="93"/>
          </reference>
          <reference field="18" count="2" selected="0">
            <x v="60"/>
            <x v="80"/>
          </reference>
        </references>
      </pivotArea>
    </format>
    <format dxfId="608">
      <pivotArea dataOnly="0" labelOnly="1" outline="0" fieldPosition="0">
        <references count="1">
          <reference field="4" count="1">
            <x v="7"/>
          </reference>
        </references>
      </pivotArea>
    </format>
    <format dxfId="607">
      <pivotArea dataOnly="0" labelOnly="1" outline="0" fieldPosition="0">
        <references count="2">
          <reference field="4" count="1" selected="0">
            <x v="7"/>
          </reference>
          <reference field="18" count="2">
            <x v="60"/>
            <x v="80"/>
          </reference>
        </references>
      </pivotArea>
    </format>
    <format dxfId="606">
      <pivotArea dataOnly="0" labelOnly="1" outline="0" fieldPosition="0">
        <references count="3">
          <reference field="4" count="1" selected="0">
            <x v="7"/>
          </reference>
          <reference field="5" count="1">
            <x v="93"/>
          </reference>
          <reference field="18" count="1" selected="0">
            <x v="60"/>
          </reference>
        </references>
      </pivotArea>
    </format>
    <format dxfId="605">
      <pivotArea dataOnly="0" labelOnly="1" outline="0" fieldPosition="0">
        <references count="3">
          <reference field="4" count="1" selected="0">
            <x v="7"/>
          </reference>
          <reference field="5" count="1">
            <x v="69"/>
          </reference>
          <reference field="18" count="1" selected="0">
            <x v="80"/>
          </reference>
        </references>
      </pivotArea>
    </format>
    <format dxfId="604">
      <pivotArea outline="0" collapsedLevelsAreSubtotals="1" fieldPosition="0">
        <references count="3">
          <reference field="4" count="1" selected="0">
            <x v="8"/>
          </reference>
          <reference field="5" count="15" selected="0">
            <x v="11"/>
            <x v="16"/>
            <x v="20"/>
            <x v="32"/>
            <x v="33"/>
            <x v="34"/>
            <x v="43"/>
            <x v="47"/>
            <x v="55"/>
            <x v="71"/>
            <x v="72"/>
            <x v="74"/>
            <x v="76"/>
            <x v="87"/>
            <x v="113"/>
          </reference>
          <reference field="18" count="15" selected="0">
            <x v="44"/>
            <x v="46"/>
            <x v="47"/>
            <x v="48"/>
            <x v="52"/>
            <x v="53"/>
            <x v="54"/>
            <x v="55"/>
            <x v="56"/>
            <x v="71"/>
            <x v="72"/>
            <x v="73"/>
            <x v="74"/>
            <x v="76"/>
            <x v="112"/>
          </reference>
        </references>
      </pivotArea>
    </format>
    <format dxfId="603">
      <pivotArea dataOnly="0" labelOnly="1" outline="0" fieldPosition="0">
        <references count="1">
          <reference field="4" count="1">
            <x v="8"/>
          </reference>
        </references>
      </pivotArea>
    </format>
    <format dxfId="602">
      <pivotArea dataOnly="0" labelOnly="1" outline="0" fieldPosition="0">
        <references count="2">
          <reference field="4" count="1" selected="0">
            <x v="8"/>
          </reference>
          <reference field="18" count="15">
            <x v="44"/>
            <x v="46"/>
            <x v="47"/>
            <x v="48"/>
            <x v="52"/>
            <x v="53"/>
            <x v="54"/>
            <x v="55"/>
            <x v="56"/>
            <x v="71"/>
            <x v="72"/>
            <x v="73"/>
            <x v="74"/>
            <x v="76"/>
            <x v="112"/>
          </reference>
        </references>
      </pivotArea>
    </format>
    <format dxfId="601">
      <pivotArea dataOnly="0" labelOnly="1" outline="0" fieldPosition="0">
        <references count="3">
          <reference field="4" count="1" selected="0">
            <x v="8"/>
          </reference>
          <reference field="5" count="1">
            <x v="55"/>
          </reference>
          <reference field="18" count="1" selected="0">
            <x v="44"/>
          </reference>
        </references>
      </pivotArea>
    </format>
    <format dxfId="600">
      <pivotArea dataOnly="0" labelOnly="1" outline="0" fieldPosition="0">
        <references count="3">
          <reference field="4" count="1" selected="0">
            <x v="8"/>
          </reference>
          <reference field="5" count="1">
            <x v="47"/>
          </reference>
          <reference field="18" count="1" selected="0">
            <x v="46"/>
          </reference>
        </references>
      </pivotArea>
    </format>
    <format dxfId="599">
      <pivotArea dataOnly="0" labelOnly="1" outline="0" fieldPosition="0">
        <references count="3">
          <reference field="4" count="1" selected="0">
            <x v="8"/>
          </reference>
          <reference field="5" count="1">
            <x v="72"/>
          </reference>
          <reference field="18" count="1" selected="0">
            <x v="47"/>
          </reference>
        </references>
      </pivotArea>
    </format>
    <format dxfId="598">
      <pivotArea dataOnly="0" labelOnly="1" outline="0" fieldPosition="0">
        <references count="3">
          <reference field="4" count="1" selected="0">
            <x v="8"/>
          </reference>
          <reference field="5" count="1">
            <x v="43"/>
          </reference>
          <reference field="18" count="1" selected="0">
            <x v="48"/>
          </reference>
        </references>
      </pivotArea>
    </format>
    <format dxfId="597">
      <pivotArea dataOnly="0" labelOnly="1" outline="0" fieldPosition="0">
        <references count="3">
          <reference field="4" count="1" selected="0">
            <x v="8"/>
          </reference>
          <reference field="5" count="1">
            <x v="33"/>
          </reference>
          <reference field="18" count="1" selected="0">
            <x v="52"/>
          </reference>
        </references>
      </pivotArea>
    </format>
    <format dxfId="596">
      <pivotArea dataOnly="0" labelOnly="1" outline="0" fieldPosition="0">
        <references count="3">
          <reference field="4" count="1" selected="0">
            <x v="8"/>
          </reference>
          <reference field="5" count="1">
            <x v="34"/>
          </reference>
          <reference field="18" count="1" selected="0">
            <x v="53"/>
          </reference>
        </references>
      </pivotArea>
    </format>
    <format dxfId="595">
      <pivotArea dataOnly="0" labelOnly="1" outline="0" fieldPosition="0">
        <references count="3">
          <reference field="4" count="1" selected="0">
            <x v="8"/>
          </reference>
          <reference field="5" count="1">
            <x v="32"/>
          </reference>
          <reference field="18" count="1" selected="0">
            <x v="54"/>
          </reference>
        </references>
      </pivotArea>
    </format>
    <format dxfId="594">
      <pivotArea dataOnly="0" labelOnly="1" outline="0" fieldPosition="0">
        <references count="3">
          <reference field="4" count="1" selected="0">
            <x v="8"/>
          </reference>
          <reference field="5" count="1">
            <x v="74"/>
          </reference>
          <reference field="18" count="1" selected="0">
            <x v="55"/>
          </reference>
        </references>
      </pivotArea>
    </format>
    <format dxfId="593">
      <pivotArea dataOnly="0" labelOnly="1" outline="0" fieldPosition="0">
        <references count="3">
          <reference field="4" count="1" selected="0">
            <x v="8"/>
          </reference>
          <reference field="5" count="1">
            <x v="87"/>
          </reference>
          <reference field="18" count="1" selected="0">
            <x v="56"/>
          </reference>
        </references>
      </pivotArea>
    </format>
    <format dxfId="592">
      <pivotArea dataOnly="0" labelOnly="1" outline="0" fieldPosition="0">
        <references count="3">
          <reference field="4" count="1" selected="0">
            <x v="8"/>
          </reference>
          <reference field="5" count="1">
            <x v="20"/>
          </reference>
          <reference field="18" count="1" selected="0">
            <x v="71"/>
          </reference>
        </references>
      </pivotArea>
    </format>
    <format dxfId="591">
      <pivotArea dataOnly="0" labelOnly="1" outline="0" fieldPosition="0">
        <references count="3">
          <reference field="4" count="1" selected="0">
            <x v="8"/>
          </reference>
          <reference field="5" count="1">
            <x v="16"/>
          </reference>
          <reference field="18" count="1" selected="0">
            <x v="72"/>
          </reference>
        </references>
      </pivotArea>
    </format>
    <format dxfId="590">
      <pivotArea dataOnly="0" labelOnly="1" outline="0" fieldPosition="0">
        <references count="3">
          <reference field="4" count="1" selected="0">
            <x v="8"/>
          </reference>
          <reference field="5" count="1">
            <x v="11"/>
          </reference>
          <reference field="18" count="1" selected="0">
            <x v="73"/>
          </reference>
        </references>
      </pivotArea>
    </format>
    <format dxfId="589">
      <pivotArea dataOnly="0" labelOnly="1" outline="0" fieldPosition="0">
        <references count="3">
          <reference field="4" count="1" selected="0">
            <x v="8"/>
          </reference>
          <reference field="5" count="1">
            <x v="76"/>
          </reference>
          <reference field="18" count="1" selected="0">
            <x v="74"/>
          </reference>
        </references>
      </pivotArea>
    </format>
    <format dxfId="588">
      <pivotArea dataOnly="0" labelOnly="1" outline="0" fieldPosition="0">
        <references count="3">
          <reference field="4" count="1" selected="0">
            <x v="8"/>
          </reference>
          <reference field="5" count="1">
            <x v="71"/>
          </reference>
          <reference field="18" count="1" selected="0">
            <x v="76"/>
          </reference>
        </references>
      </pivotArea>
    </format>
    <format dxfId="587">
      <pivotArea dataOnly="0" labelOnly="1" outline="0" fieldPosition="0">
        <references count="3">
          <reference field="4" count="1" selected="0">
            <x v="8"/>
          </reference>
          <reference field="5" count="1">
            <x v="113"/>
          </reference>
          <reference field="18" count="1" selected="0">
            <x v="112"/>
          </reference>
        </references>
      </pivotArea>
    </format>
    <format dxfId="586">
      <pivotArea outline="0" collapsedLevelsAreSubtotals="1" fieldPosition="0">
        <references count="3">
          <reference field="4" count="1" selected="0">
            <x v="9"/>
          </reference>
          <reference field="5" count="3" selected="0">
            <x v="57"/>
            <x v="126"/>
            <x v="127"/>
          </reference>
          <reference field="18" count="3" selected="0">
            <x v="100"/>
            <x v="124"/>
            <x v="125"/>
          </reference>
        </references>
      </pivotArea>
    </format>
    <format dxfId="585">
      <pivotArea dataOnly="0" labelOnly="1" outline="0" fieldPosition="0">
        <references count="1">
          <reference field="4" count="1">
            <x v="9"/>
          </reference>
        </references>
      </pivotArea>
    </format>
    <format dxfId="584">
      <pivotArea dataOnly="0" labelOnly="1" outline="0" fieldPosition="0">
        <references count="2">
          <reference field="4" count="1" selected="0">
            <x v="9"/>
          </reference>
          <reference field="18" count="3">
            <x v="100"/>
            <x v="124"/>
            <x v="125"/>
          </reference>
        </references>
      </pivotArea>
    </format>
    <format dxfId="583">
      <pivotArea dataOnly="0" labelOnly="1" outline="0" fieldPosition="0">
        <references count="3">
          <reference field="4" count="1" selected="0">
            <x v="9"/>
          </reference>
          <reference field="5" count="1">
            <x v="57"/>
          </reference>
          <reference field="18" count="1" selected="0">
            <x v="100"/>
          </reference>
        </references>
      </pivotArea>
    </format>
    <format dxfId="582">
      <pivotArea dataOnly="0" labelOnly="1" outline="0" fieldPosition="0">
        <references count="3">
          <reference field="4" count="1" selected="0">
            <x v="9"/>
          </reference>
          <reference field="5" count="1">
            <x v="126"/>
          </reference>
          <reference field="18" count="1" selected="0">
            <x v="124"/>
          </reference>
        </references>
      </pivotArea>
    </format>
    <format dxfId="581">
      <pivotArea dataOnly="0" labelOnly="1" outline="0" fieldPosition="0">
        <references count="3">
          <reference field="4" count="1" selected="0">
            <x v="9"/>
          </reference>
          <reference field="5" count="1">
            <x v="127"/>
          </reference>
          <reference field="18" count="1" selected="0">
            <x v="125"/>
          </reference>
        </references>
      </pivotArea>
    </format>
    <format dxfId="580">
      <pivotArea outline="0" collapsedLevelsAreSubtotals="1" fieldPosition="0">
        <references count="3">
          <reference field="4" count="1" selected="0">
            <x v="10"/>
          </reference>
          <reference field="5" count="25" selected="0">
            <x v="8"/>
            <x v="9"/>
            <x v="10"/>
            <x v="18"/>
            <x v="19"/>
            <x v="23"/>
            <x v="27"/>
            <x v="28"/>
            <x v="42"/>
            <x v="44"/>
            <x v="52"/>
            <x v="53"/>
            <x v="65"/>
            <x v="73"/>
            <x v="75"/>
            <x v="85"/>
            <x v="88"/>
            <x v="92"/>
            <x v="95"/>
            <x v="96"/>
            <x v="97"/>
            <x v="98"/>
            <x v="105"/>
            <x v="117"/>
            <x v="132"/>
          </reference>
          <reference field="18" count="24" selected="0">
            <x v="0"/>
            <x v="1"/>
            <x v="2"/>
            <x v="3"/>
            <x v="4"/>
            <x v="5"/>
            <x v="6"/>
            <x v="7"/>
            <x v="8"/>
            <x v="9"/>
            <x v="10"/>
            <x v="11"/>
            <x v="12"/>
            <x v="13"/>
            <x v="14"/>
            <x v="15"/>
            <x v="16"/>
            <x v="17"/>
            <x v="18"/>
            <x v="19"/>
            <x v="20"/>
            <x v="21"/>
            <x v="82"/>
            <x v="131"/>
          </reference>
        </references>
      </pivotArea>
    </format>
    <format dxfId="579">
      <pivotArea dataOnly="0" labelOnly="1" outline="0" fieldPosition="0">
        <references count="1">
          <reference field="4" count="1">
            <x v="10"/>
          </reference>
        </references>
      </pivotArea>
    </format>
    <format dxfId="578">
      <pivotArea dataOnly="0" labelOnly="1" outline="0" fieldPosition="0">
        <references count="2">
          <reference field="4" count="1" selected="0">
            <x v="10"/>
          </reference>
          <reference field="18" count="24">
            <x v="0"/>
            <x v="1"/>
            <x v="2"/>
            <x v="3"/>
            <x v="4"/>
            <x v="5"/>
            <x v="6"/>
            <x v="7"/>
            <x v="8"/>
            <x v="9"/>
            <x v="10"/>
            <x v="11"/>
            <x v="12"/>
            <x v="13"/>
            <x v="14"/>
            <x v="15"/>
            <x v="16"/>
            <x v="17"/>
            <x v="18"/>
            <x v="19"/>
            <x v="20"/>
            <x v="21"/>
            <x v="82"/>
            <x v="131"/>
          </reference>
        </references>
      </pivotArea>
    </format>
    <format dxfId="577">
      <pivotArea dataOnly="0" labelOnly="1" outline="0" fieldPosition="0">
        <references count="3">
          <reference field="4" count="1" selected="0">
            <x v="10"/>
          </reference>
          <reference field="5" count="2">
            <x v="85"/>
            <x v="117"/>
          </reference>
          <reference field="18" count="1" selected="0">
            <x v="0"/>
          </reference>
        </references>
      </pivotArea>
    </format>
    <format dxfId="576">
      <pivotArea dataOnly="0" labelOnly="1" outline="0" fieldPosition="0">
        <references count="3">
          <reference field="4" count="1" selected="0">
            <x v="10"/>
          </reference>
          <reference field="5" count="1">
            <x v="95"/>
          </reference>
          <reference field="18" count="1" selected="0">
            <x v="1"/>
          </reference>
        </references>
      </pivotArea>
    </format>
    <format dxfId="575">
      <pivotArea dataOnly="0" labelOnly="1" outline="0" fieldPosition="0">
        <references count="3">
          <reference field="4" count="1" selected="0">
            <x v="10"/>
          </reference>
          <reference field="5" count="1">
            <x v="73"/>
          </reference>
          <reference field="18" count="1" selected="0">
            <x v="2"/>
          </reference>
        </references>
      </pivotArea>
    </format>
    <format dxfId="574">
      <pivotArea dataOnly="0" labelOnly="1" outline="0" fieldPosition="0">
        <references count="3">
          <reference field="4" count="1" selected="0">
            <x v="10"/>
          </reference>
          <reference field="5" count="1">
            <x v="97"/>
          </reference>
          <reference field="18" count="1" selected="0">
            <x v="3"/>
          </reference>
        </references>
      </pivotArea>
    </format>
    <format dxfId="573">
      <pivotArea dataOnly="0" labelOnly="1" outline="0" fieldPosition="0">
        <references count="3">
          <reference field="4" count="1" selected="0">
            <x v="10"/>
          </reference>
          <reference field="5" count="1">
            <x v="96"/>
          </reference>
          <reference field="18" count="1" selected="0">
            <x v="4"/>
          </reference>
        </references>
      </pivotArea>
    </format>
    <format dxfId="572">
      <pivotArea dataOnly="0" labelOnly="1" outline="0" fieldPosition="0">
        <references count="3">
          <reference field="4" count="1" selected="0">
            <x v="10"/>
          </reference>
          <reference field="5" count="1">
            <x v="98"/>
          </reference>
          <reference field="18" count="1" selected="0">
            <x v="5"/>
          </reference>
        </references>
      </pivotArea>
    </format>
    <format dxfId="571">
      <pivotArea dataOnly="0" labelOnly="1" outline="0" fieldPosition="0">
        <references count="3">
          <reference field="4" count="1" selected="0">
            <x v="10"/>
          </reference>
          <reference field="5" count="1">
            <x v="88"/>
          </reference>
          <reference field="18" count="1" selected="0">
            <x v="6"/>
          </reference>
        </references>
      </pivotArea>
    </format>
    <format dxfId="570">
      <pivotArea dataOnly="0" labelOnly="1" outline="0" fieldPosition="0">
        <references count="3">
          <reference field="4" count="1" selected="0">
            <x v="10"/>
          </reference>
          <reference field="5" count="1">
            <x v="44"/>
          </reference>
          <reference field="18" count="1" selected="0">
            <x v="7"/>
          </reference>
        </references>
      </pivotArea>
    </format>
    <format dxfId="569">
      <pivotArea dataOnly="0" labelOnly="1" outline="0" fieldPosition="0">
        <references count="3">
          <reference field="4" count="1" selected="0">
            <x v="10"/>
          </reference>
          <reference field="5" count="1">
            <x v="92"/>
          </reference>
          <reference field="18" count="1" selected="0">
            <x v="8"/>
          </reference>
        </references>
      </pivotArea>
    </format>
    <format dxfId="568">
      <pivotArea dataOnly="0" labelOnly="1" outline="0" fieldPosition="0">
        <references count="3">
          <reference field="4" count="1" selected="0">
            <x v="10"/>
          </reference>
          <reference field="5" count="1">
            <x v="9"/>
          </reference>
          <reference field="18" count="1" selected="0">
            <x v="9"/>
          </reference>
        </references>
      </pivotArea>
    </format>
    <format dxfId="567">
      <pivotArea dataOnly="0" labelOnly="1" outline="0" fieldPosition="0">
        <references count="3">
          <reference field="4" count="1" selected="0">
            <x v="10"/>
          </reference>
          <reference field="5" count="1">
            <x v="10"/>
          </reference>
          <reference field="18" count="1" selected="0">
            <x v="10"/>
          </reference>
        </references>
      </pivotArea>
    </format>
    <format dxfId="566">
      <pivotArea dataOnly="0" labelOnly="1" outline="0" fieldPosition="0">
        <references count="3">
          <reference field="4" count="1" selected="0">
            <x v="10"/>
          </reference>
          <reference field="5" count="1">
            <x v="8"/>
          </reference>
          <reference field="18" count="1" selected="0">
            <x v="11"/>
          </reference>
        </references>
      </pivotArea>
    </format>
    <format dxfId="565">
      <pivotArea dataOnly="0" labelOnly="1" outline="0" fieldPosition="0">
        <references count="3">
          <reference field="4" count="1" selected="0">
            <x v="10"/>
          </reference>
          <reference field="5" count="1">
            <x v="23"/>
          </reference>
          <reference field="18" count="1" selected="0">
            <x v="12"/>
          </reference>
        </references>
      </pivotArea>
    </format>
    <format dxfId="564">
      <pivotArea dataOnly="0" labelOnly="1" outline="0" fieldPosition="0">
        <references count="3">
          <reference field="4" count="1" selected="0">
            <x v="10"/>
          </reference>
          <reference field="5" count="1">
            <x v="28"/>
          </reference>
          <reference field="18" count="1" selected="0">
            <x v="13"/>
          </reference>
        </references>
      </pivotArea>
    </format>
    <format dxfId="563">
      <pivotArea dataOnly="0" labelOnly="1" outline="0" fieldPosition="0">
        <references count="3">
          <reference field="4" count="1" selected="0">
            <x v="10"/>
          </reference>
          <reference field="5" count="1">
            <x v="27"/>
          </reference>
          <reference field="18" count="1" selected="0">
            <x v="14"/>
          </reference>
        </references>
      </pivotArea>
    </format>
    <format dxfId="562">
      <pivotArea dataOnly="0" labelOnly="1" outline="0" fieldPosition="0">
        <references count="3">
          <reference field="4" count="1" selected="0">
            <x v="10"/>
          </reference>
          <reference field="5" count="1">
            <x v="42"/>
          </reference>
          <reference field="18" count="1" selected="0">
            <x v="15"/>
          </reference>
        </references>
      </pivotArea>
    </format>
    <format dxfId="561">
      <pivotArea dataOnly="0" labelOnly="1" outline="0" fieldPosition="0">
        <references count="3">
          <reference field="4" count="1" selected="0">
            <x v="10"/>
          </reference>
          <reference field="5" count="1">
            <x v="18"/>
          </reference>
          <reference field="18" count="1" selected="0">
            <x v="16"/>
          </reference>
        </references>
      </pivotArea>
    </format>
    <format dxfId="560">
      <pivotArea dataOnly="0" labelOnly="1" outline="0" fieldPosition="0">
        <references count="3">
          <reference field="4" count="1" selected="0">
            <x v="10"/>
          </reference>
          <reference field="5" count="1">
            <x v="19"/>
          </reference>
          <reference field="18" count="1" selected="0">
            <x v="17"/>
          </reference>
        </references>
      </pivotArea>
    </format>
    <format dxfId="559">
      <pivotArea dataOnly="0" labelOnly="1" outline="0" fieldPosition="0">
        <references count="3">
          <reference field="4" count="1" selected="0">
            <x v="10"/>
          </reference>
          <reference field="5" count="1">
            <x v="52"/>
          </reference>
          <reference field="18" count="1" selected="0">
            <x v="18"/>
          </reference>
        </references>
      </pivotArea>
    </format>
    <format dxfId="558">
      <pivotArea dataOnly="0" labelOnly="1" outline="0" fieldPosition="0">
        <references count="3">
          <reference field="4" count="1" selected="0">
            <x v="10"/>
          </reference>
          <reference field="5" count="1">
            <x v="53"/>
          </reference>
          <reference field="18" count="1" selected="0">
            <x v="19"/>
          </reference>
        </references>
      </pivotArea>
    </format>
    <format dxfId="557">
      <pivotArea dataOnly="0" labelOnly="1" outline="0" fieldPosition="0">
        <references count="3">
          <reference field="4" count="1" selected="0">
            <x v="10"/>
          </reference>
          <reference field="5" count="1">
            <x v="105"/>
          </reference>
          <reference field="18" count="1" selected="0">
            <x v="20"/>
          </reference>
        </references>
      </pivotArea>
    </format>
    <format dxfId="556">
      <pivotArea dataOnly="0" labelOnly="1" outline="0" fieldPosition="0">
        <references count="3">
          <reference field="4" count="1" selected="0">
            <x v="10"/>
          </reference>
          <reference field="5" count="1">
            <x v="65"/>
          </reference>
          <reference field="18" count="1" selected="0">
            <x v="21"/>
          </reference>
        </references>
      </pivotArea>
    </format>
    <format dxfId="555">
      <pivotArea dataOnly="0" labelOnly="1" outline="0" fieldPosition="0">
        <references count="3">
          <reference field="4" count="1" selected="0">
            <x v="10"/>
          </reference>
          <reference field="5" count="1">
            <x v="75"/>
          </reference>
          <reference field="18" count="1" selected="0">
            <x v="82"/>
          </reference>
        </references>
      </pivotArea>
    </format>
    <format dxfId="554">
      <pivotArea dataOnly="0" labelOnly="1" outline="0" fieldPosition="0">
        <references count="3">
          <reference field="4" count="1" selected="0">
            <x v="10"/>
          </reference>
          <reference field="5" count="1">
            <x v="132"/>
          </reference>
          <reference field="18" count="1" selected="0">
            <x v="131"/>
          </reference>
        </references>
      </pivotArea>
    </format>
    <format dxfId="553">
      <pivotArea outline="0" collapsedLevelsAreSubtotals="1" fieldPosition="0">
        <references count="3">
          <reference field="4" count="1" selected="0">
            <x v="11"/>
          </reference>
          <reference field="5" count="4" selected="0">
            <x v="59"/>
            <x v="60"/>
            <x v="128"/>
            <x v="129"/>
          </reference>
          <reference field="18" count="4" selected="0">
            <x v="98"/>
            <x v="99"/>
            <x v="126"/>
            <x v="127"/>
          </reference>
        </references>
      </pivotArea>
    </format>
    <format dxfId="552">
      <pivotArea dataOnly="0" labelOnly="1" outline="0" fieldPosition="0">
        <references count="1">
          <reference field="4" count="1">
            <x v="11"/>
          </reference>
        </references>
      </pivotArea>
    </format>
    <format dxfId="551">
      <pivotArea dataOnly="0" labelOnly="1" outline="0" fieldPosition="0">
        <references count="2">
          <reference field="4" count="1" selected="0">
            <x v="11"/>
          </reference>
          <reference field="18" count="4">
            <x v="98"/>
            <x v="99"/>
            <x v="126"/>
            <x v="127"/>
          </reference>
        </references>
      </pivotArea>
    </format>
    <format dxfId="550">
      <pivotArea dataOnly="0" labelOnly="1" outline="0" fieldPosition="0">
        <references count="3">
          <reference field="4" count="1" selected="0">
            <x v="11"/>
          </reference>
          <reference field="5" count="1">
            <x v="60"/>
          </reference>
          <reference field="18" count="1" selected="0">
            <x v="98"/>
          </reference>
        </references>
      </pivotArea>
    </format>
    <format dxfId="549">
      <pivotArea dataOnly="0" labelOnly="1" outline="0" fieldPosition="0">
        <references count="3">
          <reference field="4" count="1" selected="0">
            <x v="11"/>
          </reference>
          <reference field="5" count="1">
            <x v="59"/>
          </reference>
          <reference field="18" count="1" selected="0">
            <x v="99"/>
          </reference>
        </references>
      </pivotArea>
    </format>
    <format dxfId="548">
      <pivotArea dataOnly="0" labelOnly="1" outline="0" fieldPosition="0">
        <references count="3">
          <reference field="4" count="1" selected="0">
            <x v="11"/>
          </reference>
          <reference field="5" count="1">
            <x v="128"/>
          </reference>
          <reference field="18" count="1" selected="0">
            <x v="126"/>
          </reference>
        </references>
      </pivotArea>
    </format>
    <format dxfId="547">
      <pivotArea dataOnly="0" labelOnly="1" outline="0" fieldPosition="0">
        <references count="3">
          <reference field="4" count="1" selected="0">
            <x v="11"/>
          </reference>
          <reference field="5" count="1">
            <x v="129"/>
          </reference>
          <reference field="18" count="1" selected="0">
            <x v="127"/>
          </reference>
        </references>
      </pivotArea>
    </format>
    <format dxfId="546">
      <pivotArea outline="0" collapsedLevelsAreSubtotals="1" fieldPosition="0">
        <references count="3">
          <reference field="4" count="1" selected="0">
            <x v="12"/>
          </reference>
          <reference field="5" count="1" selected="0">
            <x v="64"/>
          </reference>
          <reference field="18" count="1" selected="0">
            <x v="104"/>
          </reference>
        </references>
      </pivotArea>
    </format>
    <format dxfId="545">
      <pivotArea dataOnly="0" labelOnly="1" outline="0" fieldPosition="0">
        <references count="1">
          <reference field="4" count="1">
            <x v="12"/>
          </reference>
        </references>
      </pivotArea>
    </format>
    <format dxfId="544">
      <pivotArea dataOnly="0" labelOnly="1" outline="0" fieldPosition="0">
        <references count="2">
          <reference field="4" count="1" selected="0">
            <x v="12"/>
          </reference>
          <reference field="18" count="1">
            <x v="104"/>
          </reference>
        </references>
      </pivotArea>
    </format>
    <format dxfId="543">
      <pivotArea dataOnly="0" labelOnly="1" outline="0" fieldPosition="0">
        <references count="3">
          <reference field="4" count="1" selected="0">
            <x v="12"/>
          </reference>
          <reference field="5" count="1">
            <x v="64"/>
          </reference>
          <reference field="18" count="1" selected="0">
            <x v="104"/>
          </reference>
        </references>
      </pivotArea>
    </format>
    <format dxfId="542">
      <pivotArea outline="0" collapsedLevelsAreSubtotals="1" fieldPosition="0">
        <references count="3">
          <reference field="4" count="1" selected="0">
            <x v="13"/>
          </reference>
          <reference field="5" count="2" selected="0">
            <x v="90"/>
            <x v="91"/>
          </reference>
          <reference field="18" count="2" selected="0">
            <x v="50"/>
            <x v="51"/>
          </reference>
        </references>
      </pivotArea>
    </format>
    <format dxfId="541">
      <pivotArea dataOnly="0" labelOnly="1" outline="0" fieldPosition="0">
        <references count="1">
          <reference field="4" count="1">
            <x v="13"/>
          </reference>
        </references>
      </pivotArea>
    </format>
    <format dxfId="540">
      <pivotArea dataOnly="0" labelOnly="1" outline="0" fieldPosition="0">
        <references count="2">
          <reference field="4" count="1" selected="0">
            <x v="13"/>
          </reference>
          <reference field="18" count="2">
            <x v="50"/>
            <x v="51"/>
          </reference>
        </references>
      </pivotArea>
    </format>
    <format dxfId="539">
      <pivotArea dataOnly="0" labelOnly="1" outline="0" fieldPosition="0">
        <references count="3">
          <reference field="4" count="1" selected="0">
            <x v="13"/>
          </reference>
          <reference field="5" count="1">
            <x v="90"/>
          </reference>
          <reference field="18" count="1" selected="0">
            <x v="50"/>
          </reference>
        </references>
      </pivotArea>
    </format>
    <format dxfId="538">
      <pivotArea dataOnly="0" labelOnly="1" outline="0" fieldPosition="0">
        <references count="3">
          <reference field="4" count="1" selected="0">
            <x v="13"/>
          </reference>
          <reference field="5" count="1">
            <x v="91"/>
          </reference>
          <reference field="18" count="1" selected="0">
            <x v="51"/>
          </reference>
        </references>
      </pivotArea>
    </format>
    <format dxfId="537">
      <pivotArea outline="0" collapsedLevelsAreSubtotals="1" fieldPosition="0">
        <references count="3">
          <reference field="4" count="1" selected="0">
            <x v="14"/>
          </reference>
          <reference field="5" count="22" selected="0">
            <x v="4"/>
            <x v="12"/>
            <x v="13"/>
            <x v="36"/>
            <x v="37"/>
            <x v="38"/>
            <x v="39"/>
            <x v="40"/>
            <x v="41"/>
            <x v="78"/>
            <x v="79"/>
            <x v="80"/>
            <x v="81"/>
            <x v="82"/>
            <x v="89"/>
            <x v="99"/>
            <x v="100"/>
            <x v="101"/>
            <x v="104"/>
            <x v="111"/>
            <x v="131"/>
            <x v="133"/>
          </reference>
          <reference field="18" count="22" selected="0">
            <x v="22"/>
            <x v="23"/>
            <x v="24"/>
            <x v="25"/>
            <x v="26"/>
            <x v="27"/>
            <x v="28"/>
            <x v="29"/>
            <x v="30"/>
            <x v="31"/>
            <x v="32"/>
            <x v="33"/>
            <x v="34"/>
            <x v="35"/>
            <x v="67"/>
            <x v="68"/>
            <x v="69"/>
            <x v="70"/>
            <x v="81"/>
            <x v="110"/>
            <x v="130"/>
            <x v="132"/>
          </reference>
        </references>
      </pivotArea>
    </format>
    <format dxfId="536">
      <pivotArea dataOnly="0" labelOnly="1" outline="0" fieldPosition="0">
        <references count="1">
          <reference field="4" count="1">
            <x v="14"/>
          </reference>
        </references>
      </pivotArea>
    </format>
    <format dxfId="535">
      <pivotArea dataOnly="0" labelOnly="1" outline="0" fieldPosition="0">
        <references count="2">
          <reference field="4" count="1" selected="0">
            <x v="14"/>
          </reference>
          <reference field="18" count="22">
            <x v="22"/>
            <x v="23"/>
            <x v="24"/>
            <x v="25"/>
            <x v="26"/>
            <x v="27"/>
            <x v="28"/>
            <x v="29"/>
            <x v="30"/>
            <x v="31"/>
            <x v="32"/>
            <x v="33"/>
            <x v="34"/>
            <x v="35"/>
            <x v="67"/>
            <x v="68"/>
            <x v="69"/>
            <x v="70"/>
            <x v="81"/>
            <x v="110"/>
            <x v="130"/>
            <x v="132"/>
          </reference>
        </references>
      </pivotArea>
    </format>
    <format dxfId="534">
      <pivotArea dataOnly="0" labelOnly="1" outline="0" fieldPosition="0">
        <references count="3">
          <reference field="4" count="1" selected="0">
            <x v="14"/>
          </reference>
          <reference field="5" count="1">
            <x v="80"/>
          </reference>
          <reference field="18" count="1" selected="0">
            <x v="22"/>
          </reference>
        </references>
      </pivotArea>
    </format>
    <format dxfId="533">
      <pivotArea dataOnly="0" labelOnly="1" outline="0" fieldPosition="0">
        <references count="3">
          <reference field="4" count="1" selected="0">
            <x v="14"/>
          </reference>
          <reference field="5" count="1">
            <x v="82"/>
          </reference>
          <reference field="18" count="1" selected="0">
            <x v="23"/>
          </reference>
        </references>
      </pivotArea>
    </format>
    <format dxfId="532">
      <pivotArea dataOnly="0" labelOnly="1" outline="0" fieldPosition="0">
        <references count="3">
          <reference field="4" count="1" selected="0">
            <x v="14"/>
          </reference>
          <reference field="5" count="1">
            <x v="36"/>
          </reference>
          <reference field="18" count="1" selected="0">
            <x v="24"/>
          </reference>
        </references>
      </pivotArea>
    </format>
    <format dxfId="531">
      <pivotArea dataOnly="0" labelOnly="1" outline="0" fieldPosition="0">
        <references count="3">
          <reference field="4" count="1" selected="0">
            <x v="14"/>
          </reference>
          <reference field="5" count="1">
            <x v="12"/>
          </reference>
          <reference field="18" count="1" selected="0">
            <x v="25"/>
          </reference>
        </references>
      </pivotArea>
    </format>
    <format dxfId="530">
      <pivotArea dataOnly="0" labelOnly="1" outline="0" fieldPosition="0">
        <references count="3">
          <reference field="4" count="1" selected="0">
            <x v="14"/>
          </reference>
          <reference field="5" count="1">
            <x v="39"/>
          </reference>
          <reference field="18" count="1" selected="0">
            <x v="26"/>
          </reference>
        </references>
      </pivotArea>
    </format>
    <format dxfId="529">
      <pivotArea dataOnly="0" labelOnly="1" outline="0" fieldPosition="0">
        <references count="3">
          <reference field="4" count="1" selected="0">
            <x v="14"/>
          </reference>
          <reference field="5" count="1">
            <x v="81"/>
          </reference>
          <reference field="18" count="1" selected="0">
            <x v="27"/>
          </reference>
        </references>
      </pivotArea>
    </format>
    <format dxfId="528">
      <pivotArea dataOnly="0" labelOnly="1" outline="0" fieldPosition="0">
        <references count="3">
          <reference field="4" count="1" selected="0">
            <x v="14"/>
          </reference>
          <reference field="5" count="1">
            <x v="38"/>
          </reference>
          <reference field="18" count="1" selected="0">
            <x v="28"/>
          </reference>
        </references>
      </pivotArea>
    </format>
    <format dxfId="527">
      <pivotArea dataOnly="0" labelOnly="1" outline="0" fieldPosition="0">
        <references count="3">
          <reference field="4" count="1" selected="0">
            <x v="14"/>
          </reference>
          <reference field="5" count="1">
            <x v="79"/>
          </reference>
          <reference field="18" count="1" selected="0">
            <x v="29"/>
          </reference>
        </references>
      </pivotArea>
    </format>
    <format dxfId="526">
      <pivotArea dataOnly="0" labelOnly="1" outline="0" fieldPosition="0">
        <references count="3">
          <reference field="4" count="1" selected="0">
            <x v="14"/>
          </reference>
          <reference field="5" count="1">
            <x v="101"/>
          </reference>
          <reference field="18" count="1" selected="0">
            <x v="30"/>
          </reference>
        </references>
      </pivotArea>
    </format>
    <format dxfId="525">
      <pivotArea dataOnly="0" labelOnly="1" outline="0" fieldPosition="0">
        <references count="3">
          <reference field="4" count="1" selected="0">
            <x v="14"/>
          </reference>
          <reference field="5" count="1">
            <x v="99"/>
          </reference>
          <reference field="18" count="1" selected="0">
            <x v="31"/>
          </reference>
        </references>
      </pivotArea>
    </format>
    <format dxfId="524">
      <pivotArea dataOnly="0" labelOnly="1" outline="0" fieldPosition="0">
        <references count="3">
          <reference field="4" count="1" selected="0">
            <x v="14"/>
          </reference>
          <reference field="5" count="1">
            <x v="100"/>
          </reference>
          <reference field="18" count="1" selected="0">
            <x v="32"/>
          </reference>
        </references>
      </pivotArea>
    </format>
    <format dxfId="523">
      <pivotArea dataOnly="0" labelOnly="1" outline="0" fieldPosition="0">
        <references count="3">
          <reference field="4" count="1" selected="0">
            <x v="14"/>
          </reference>
          <reference field="5" count="1">
            <x v="41"/>
          </reference>
          <reference field="18" count="1" selected="0">
            <x v="33"/>
          </reference>
        </references>
      </pivotArea>
    </format>
    <format dxfId="522">
      <pivotArea dataOnly="0" labelOnly="1" outline="0" fieldPosition="0">
        <references count="3">
          <reference field="4" count="1" selected="0">
            <x v="14"/>
          </reference>
          <reference field="5" count="1">
            <x v="40"/>
          </reference>
          <reference field="18" count="1" selected="0">
            <x v="34"/>
          </reference>
        </references>
      </pivotArea>
    </format>
    <format dxfId="521">
      <pivotArea dataOnly="0" labelOnly="1" outline="0" fieldPosition="0">
        <references count="3">
          <reference field="4" count="1" selected="0">
            <x v="14"/>
          </reference>
          <reference field="5" count="1">
            <x v="89"/>
          </reference>
          <reference field="18" count="1" selected="0">
            <x v="35"/>
          </reference>
        </references>
      </pivotArea>
    </format>
    <format dxfId="520">
      <pivotArea dataOnly="0" labelOnly="1" outline="0" fieldPosition="0">
        <references count="3">
          <reference field="4" count="1" selected="0">
            <x v="14"/>
          </reference>
          <reference field="5" count="1">
            <x v="4"/>
          </reference>
          <reference field="18" count="1" selected="0">
            <x v="67"/>
          </reference>
        </references>
      </pivotArea>
    </format>
    <format dxfId="519">
      <pivotArea dataOnly="0" labelOnly="1" outline="0" fieldPosition="0">
        <references count="3">
          <reference field="4" count="1" selected="0">
            <x v="14"/>
          </reference>
          <reference field="5" count="1">
            <x v="13"/>
          </reference>
          <reference field="18" count="1" selected="0">
            <x v="68"/>
          </reference>
        </references>
      </pivotArea>
    </format>
    <format dxfId="518">
      <pivotArea dataOnly="0" labelOnly="1" outline="0" fieldPosition="0">
        <references count="3">
          <reference field="4" count="1" selected="0">
            <x v="14"/>
          </reference>
          <reference field="5" count="1">
            <x v="104"/>
          </reference>
          <reference field="18" count="1" selected="0">
            <x v="69"/>
          </reference>
        </references>
      </pivotArea>
    </format>
    <format dxfId="517">
      <pivotArea dataOnly="0" labelOnly="1" outline="0" fieldPosition="0">
        <references count="3">
          <reference field="4" count="1" selected="0">
            <x v="14"/>
          </reference>
          <reference field="5" count="1">
            <x v="37"/>
          </reference>
          <reference field="18" count="1" selected="0">
            <x v="70"/>
          </reference>
        </references>
      </pivotArea>
    </format>
    <format dxfId="516">
      <pivotArea dataOnly="0" labelOnly="1" outline="0" fieldPosition="0">
        <references count="3">
          <reference field="4" count="1" selected="0">
            <x v="14"/>
          </reference>
          <reference field="5" count="1">
            <x v="78"/>
          </reference>
          <reference field="18" count="1" selected="0">
            <x v="81"/>
          </reference>
        </references>
      </pivotArea>
    </format>
    <format dxfId="515">
      <pivotArea dataOnly="0" labelOnly="1" outline="0" fieldPosition="0">
        <references count="3">
          <reference field="4" count="1" selected="0">
            <x v="14"/>
          </reference>
          <reference field="5" count="1">
            <x v="111"/>
          </reference>
          <reference field="18" count="1" selected="0">
            <x v="110"/>
          </reference>
        </references>
      </pivotArea>
    </format>
    <format dxfId="514">
      <pivotArea dataOnly="0" labelOnly="1" outline="0" fieldPosition="0">
        <references count="3">
          <reference field="4" count="1" selected="0">
            <x v="14"/>
          </reference>
          <reference field="5" count="1">
            <x v="131"/>
          </reference>
          <reference field="18" count="1" selected="0">
            <x v="130"/>
          </reference>
        </references>
      </pivotArea>
    </format>
    <format dxfId="513">
      <pivotArea dataOnly="0" labelOnly="1" outline="0" fieldPosition="0">
        <references count="3">
          <reference field="4" count="1" selected="0">
            <x v="14"/>
          </reference>
          <reference field="5" count="1">
            <x v="133"/>
          </reference>
          <reference field="18" count="1" selected="0">
            <x v="132"/>
          </reference>
        </references>
      </pivotArea>
    </format>
    <format dxfId="512">
      <pivotArea outline="0" collapsedLevelsAreSubtotals="1" fieldPosition="0">
        <references count="3">
          <reference field="4" count="1" selected="0">
            <x v="15"/>
          </reference>
          <reference field="5" count="1" selected="0">
            <x v="117"/>
          </reference>
          <reference field="18" count="1" selected="0">
            <x v="0"/>
          </reference>
        </references>
      </pivotArea>
    </format>
    <format dxfId="511">
      <pivotArea dataOnly="0" labelOnly="1" outline="0" fieldPosition="0">
        <references count="1">
          <reference field="4" count="1">
            <x v="15"/>
          </reference>
        </references>
      </pivotArea>
    </format>
    <format dxfId="510">
      <pivotArea dataOnly="0" labelOnly="1" outline="0" fieldPosition="0">
        <references count="2">
          <reference field="4" count="1" selected="0">
            <x v="15"/>
          </reference>
          <reference field="18" count="1">
            <x v="0"/>
          </reference>
        </references>
      </pivotArea>
    </format>
    <format dxfId="509">
      <pivotArea dataOnly="0" labelOnly="1" outline="0" fieldPosition="0">
        <references count="3">
          <reference field="4" count="1" selected="0">
            <x v="15"/>
          </reference>
          <reference field="5" count="1">
            <x v="117"/>
          </reference>
          <reference field="18" count="1" selected="0">
            <x v="0"/>
          </reference>
        </references>
      </pivotArea>
    </format>
    <format dxfId="508">
      <pivotArea grandRow="1" outline="0" collapsedLevelsAreSubtotals="1" fieldPosition="0"/>
    </format>
    <format dxfId="507">
      <pivotArea dataOnly="0" labelOnly="1" grandRow="1" outline="0" fieldPosition="0"/>
    </format>
    <format dxfId="506">
      <pivotArea type="all" dataOnly="0" outline="0" fieldPosition="0"/>
    </format>
    <format dxfId="505">
      <pivotArea dataOnly="0" labelOnly="1" outline="0" fieldPosition="0">
        <references count="1">
          <reference field="4" count="0"/>
        </references>
      </pivotArea>
    </format>
    <format dxfId="504">
      <pivotArea dataOnly="0" labelOnly="1" grandRow="1" outline="0" offset="A256" fieldPosition="0"/>
    </format>
    <format dxfId="503">
      <pivotArea field="5" type="button" dataOnly="0" labelOnly="1" outline="0" axis="axisRow" fieldPosition="2"/>
    </format>
    <format dxfId="502">
      <pivotArea dataOnly="0" labelOnly="1" grandRow="1" outline="0" offset="IV256" fieldPosition="0"/>
    </format>
    <format dxfId="501">
      <pivotArea dataOnly="0" labelOnly="1" outline="0" fieldPosition="0">
        <references count="3">
          <reference field="4" count="1" selected="0">
            <x v="0"/>
          </reference>
          <reference field="5" count="1">
            <x v="84"/>
          </reference>
          <reference field="18" count="1" selected="0">
            <x v="37"/>
          </reference>
        </references>
      </pivotArea>
    </format>
    <format dxfId="500">
      <pivotArea dataOnly="0" labelOnly="1" outline="0" fieldPosition="0">
        <references count="3">
          <reference field="4" count="1" selected="0">
            <x v="0"/>
          </reference>
          <reference field="5" count="1">
            <x v="31"/>
          </reference>
          <reference field="18" count="1" selected="0">
            <x v="38"/>
          </reference>
        </references>
      </pivotArea>
    </format>
    <format dxfId="499">
      <pivotArea dataOnly="0" labelOnly="1" outline="0" fieldPosition="0">
        <references count="3">
          <reference field="4" count="1" selected="0">
            <x v="0"/>
          </reference>
          <reference field="5" count="1">
            <x v="1"/>
          </reference>
          <reference field="18" count="1" selected="0">
            <x v="39"/>
          </reference>
        </references>
      </pivotArea>
    </format>
    <format dxfId="498">
      <pivotArea dataOnly="0" labelOnly="1" outline="0" fieldPosition="0">
        <references count="3">
          <reference field="4" count="1" selected="0">
            <x v="0"/>
          </reference>
          <reference field="5" count="1">
            <x v="17"/>
          </reference>
          <reference field="18" count="1" selected="0">
            <x v="40"/>
          </reference>
        </references>
      </pivotArea>
    </format>
    <format dxfId="497">
      <pivotArea dataOnly="0" labelOnly="1" outline="0" fieldPosition="0">
        <references count="3">
          <reference field="4" count="1" selected="0">
            <x v="0"/>
          </reference>
          <reference field="5" count="1">
            <x v="106"/>
          </reference>
          <reference field="18" count="1" selected="0">
            <x v="41"/>
          </reference>
        </references>
      </pivotArea>
    </format>
    <format dxfId="496">
      <pivotArea dataOnly="0" labelOnly="1" outline="0" fieldPosition="0">
        <references count="3">
          <reference field="4" count="1" selected="0">
            <x v="0"/>
          </reference>
          <reference field="5" count="1">
            <x v="66"/>
          </reference>
          <reference field="18" count="1" selected="0">
            <x v="42"/>
          </reference>
        </references>
      </pivotArea>
    </format>
    <format dxfId="495">
      <pivotArea dataOnly="0" labelOnly="1" outline="0" fieldPosition="0">
        <references count="3">
          <reference field="4" count="1" selected="0">
            <x v="0"/>
          </reference>
          <reference field="5" count="1">
            <x v="94"/>
          </reference>
          <reference field="18" count="1" selected="0">
            <x v="43"/>
          </reference>
        </references>
      </pivotArea>
    </format>
    <format dxfId="494">
      <pivotArea dataOnly="0" labelOnly="1" outline="0" fieldPosition="0">
        <references count="3">
          <reference field="4" count="1" selected="0">
            <x v="0"/>
          </reference>
          <reference field="5" count="1">
            <x v="77"/>
          </reference>
          <reference field="18" count="1" selected="0">
            <x v="93"/>
          </reference>
        </references>
      </pivotArea>
    </format>
    <format dxfId="493">
      <pivotArea dataOnly="0" labelOnly="1" outline="0" fieldPosition="0">
        <references count="3">
          <reference field="4" count="1" selected="0">
            <x v="0"/>
          </reference>
          <reference field="5" count="1">
            <x v="112"/>
          </reference>
          <reference field="18" count="1" selected="0">
            <x v="111"/>
          </reference>
        </references>
      </pivotArea>
    </format>
    <format dxfId="492">
      <pivotArea dataOnly="0" labelOnly="1" outline="0" fieldPosition="0">
        <references count="3">
          <reference field="4" count="1" selected="0">
            <x v="0"/>
          </reference>
          <reference field="5" count="1">
            <x v="115"/>
          </reference>
          <reference field="18" count="1" selected="0">
            <x v="114"/>
          </reference>
        </references>
      </pivotArea>
    </format>
    <format dxfId="491">
      <pivotArea dataOnly="0" labelOnly="1" outline="0" fieldPosition="0">
        <references count="3">
          <reference field="4" count="1" selected="0">
            <x v="1"/>
          </reference>
          <reference field="5" count="1">
            <x v="6"/>
          </reference>
          <reference field="18" count="1" selected="0">
            <x v="36"/>
          </reference>
        </references>
      </pivotArea>
    </format>
    <format dxfId="490">
      <pivotArea dataOnly="0" labelOnly="1" outline="0" fieldPosition="0">
        <references count="3">
          <reference field="4" count="1" selected="0">
            <x v="1"/>
          </reference>
          <reference field="5" count="1">
            <x v="29"/>
          </reference>
          <reference field="18" count="1" selected="0">
            <x v="94"/>
          </reference>
        </references>
      </pivotArea>
    </format>
    <format dxfId="489">
      <pivotArea dataOnly="0" labelOnly="1" outline="0" fieldPosition="0">
        <references count="3">
          <reference field="4" count="1" selected="0">
            <x v="1"/>
          </reference>
          <reference field="5" count="1">
            <x v="118"/>
          </reference>
          <reference field="18" count="1" selected="0">
            <x v="116"/>
          </reference>
        </references>
      </pivotArea>
    </format>
    <format dxfId="488">
      <pivotArea dataOnly="0" labelOnly="1" outline="0" fieldPosition="0">
        <references count="3">
          <reference field="4" count="1" selected="0">
            <x v="2"/>
          </reference>
          <reference field="5" count="2">
            <x v="103"/>
            <x v="117"/>
          </reference>
          <reference field="18" count="1" selected="0">
            <x v="0"/>
          </reference>
        </references>
      </pivotArea>
    </format>
    <format dxfId="487">
      <pivotArea dataOnly="0" labelOnly="1" outline="0" fieldPosition="0">
        <references count="3">
          <reference field="4" count="1" selected="0">
            <x v="2"/>
          </reference>
          <reference field="5" count="1">
            <x v="54"/>
          </reference>
          <reference field="18" count="1" selected="0">
            <x v="62"/>
          </reference>
        </references>
      </pivotArea>
    </format>
    <format dxfId="486">
      <pivotArea dataOnly="0" labelOnly="1" outline="0" fieldPosition="0">
        <references count="3">
          <reference field="4" count="1" selected="0">
            <x v="2"/>
          </reference>
          <reference field="5" count="1">
            <x v="67"/>
          </reference>
          <reference field="18" count="1" selected="0">
            <x v="64"/>
          </reference>
        </references>
      </pivotArea>
    </format>
    <format dxfId="485">
      <pivotArea dataOnly="0" labelOnly="1" outline="0" fieldPosition="0">
        <references count="3">
          <reference field="4" count="1" selected="0">
            <x v="2"/>
          </reference>
          <reference field="5" count="1">
            <x v="107"/>
          </reference>
          <reference field="18" count="1" selected="0">
            <x v="65"/>
          </reference>
        </references>
      </pivotArea>
    </format>
    <format dxfId="484">
      <pivotArea dataOnly="0" labelOnly="1" outline="0" fieldPosition="0">
        <references count="3">
          <reference field="4" count="1" selected="0">
            <x v="2"/>
          </reference>
          <reference field="5" count="1">
            <x v="5"/>
          </reference>
          <reference field="18" count="1" selected="0">
            <x v="66"/>
          </reference>
        </references>
      </pivotArea>
    </format>
    <format dxfId="483">
      <pivotArea dataOnly="0" labelOnly="1" outline="0" fieldPosition="0">
        <references count="3">
          <reference field="4" count="1" selected="0">
            <x v="2"/>
          </reference>
          <reference field="5" count="1">
            <x v="3"/>
          </reference>
          <reference field="18" count="1" selected="0">
            <x v="83"/>
          </reference>
        </references>
      </pivotArea>
    </format>
    <format dxfId="482">
      <pivotArea dataOnly="0" labelOnly="1" outline="0" fieldPosition="0">
        <references count="3">
          <reference field="4" count="1" selected="0">
            <x v="2"/>
          </reference>
          <reference field="5" count="1">
            <x v="7"/>
          </reference>
          <reference field="18" count="1" selected="0">
            <x v="84"/>
          </reference>
        </references>
      </pivotArea>
    </format>
    <format dxfId="481">
      <pivotArea dataOnly="0" labelOnly="1" outline="0" fieldPosition="0">
        <references count="3">
          <reference field="4" count="1" selected="0">
            <x v="2"/>
          </reference>
          <reference field="5" count="1">
            <x v="2"/>
          </reference>
          <reference field="18" count="1" selected="0">
            <x v="85"/>
          </reference>
        </references>
      </pivotArea>
    </format>
    <format dxfId="480">
      <pivotArea dataOnly="0" labelOnly="1" outline="0" fieldPosition="0">
        <references count="3">
          <reference field="4" count="1" selected="0">
            <x v="2"/>
          </reference>
          <reference field="5" count="1">
            <x v="0"/>
          </reference>
          <reference field="18" count="1" selected="0">
            <x v="86"/>
          </reference>
        </references>
      </pivotArea>
    </format>
    <format dxfId="479">
      <pivotArea dataOnly="0" labelOnly="1" outline="0" fieldPosition="0">
        <references count="3">
          <reference field="4" count="1" selected="0">
            <x v="2"/>
          </reference>
          <reference field="5" count="1">
            <x v="30"/>
          </reference>
          <reference field="18" count="1" selected="0">
            <x v="87"/>
          </reference>
        </references>
      </pivotArea>
    </format>
    <format dxfId="478">
      <pivotArea dataOnly="0" labelOnly="1" outline="0" fieldPosition="0">
        <references count="3">
          <reference field="4" count="1" selected="0">
            <x v="2"/>
          </reference>
          <reference field="5" count="1">
            <x v="83"/>
          </reference>
          <reference field="18" count="1" selected="0">
            <x v="88"/>
          </reference>
        </references>
      </pivotArea>
    </format>
    <format dxfId="477">
      <pivotArea dataOnly="0" labelOnly="1" outline="0" fieldPosition="0">
        <references count="3">
          <reference field="4" count="1" selected="0">
            <x v="2"/>
          </reference>
          <reference field="5" count="1">
            <x v="86"/>
          </reference>
          <reference field="18" count="1" selected="0">
            <x v="89"/>
          </reference>
        </references>
      </pivotArea>
    </format>
    <format dxfId="476">
      <pivotArea dataOnly="0" labelOnly="1" outline="0" fieldPosition="0">
        <references count="3">
          <reference field="4" count="1" selected="0">
            <x v="2"/>
          </reference>
          <reference field="5" count="1">
            <x v="102"/>
          </reference>
          <reference field="18" count="1" selected="0">
            <x v="90"/>
          </reference>
        </references>
      </pivotArea>
    </format>
    <format dxfId="475">
      <pivotArea dataOnly="0" labelOnly="1" outline="0" fieldPosition="0">
        <references count="3">
          <reference field="4" count="1" selected="0">
            <x v="2"/>
          </reference>
          <reference field="5" count="1">
            <x v="14"/>
          </reference>
          <reference field="18" count="1" selected="0">
            <x v="91"/>
          </reference>
        </references>
      </pivotArea>
    </format>
    <format dxfId="474">
      <pivotArea dataOnly="0" labelOnly="1" outline="0" fieldPosition="0">
        <references count="3">
          <reference field="4" count="1" selected="0">
            <x v="2"/>
          </reference>
          <reference field="5" count="1">
            <x v="63"/>
          </reference>
          <reference field="18" count="1" selected="0">
            <x v="92"/>
          </reference>
        </references>
      </pivotArea>
    </format>
    <format dxfId="473">
      <pivotArea dataOnly="0" labelOnly="1" outline="0" fieldPosition="0">
        <references count="3">
          <reference field="4" count="1" selected="0">
            <x v="2"/>
          </reference>
          <reference field="5" count="1">
            <x v="114"/>
          </reference>
          <reference field="18" count="1" selected="0">
            <x v="113"/>
          </reference>
        </references>
      </pivotArea>
    </format>
    <format dxfId="472">
      <pivotArea dataOnly="0" labelOnly="1" outline="0" fieldPosition="0">
        <references count="3">
          <reference field="4" count="1" selected="0">
            <x v="2"/>
          </reference>
          <reference field="5" count="1">
            <x v="122"/>
          </reference>
          <reference field="18" count="1" selected="0">
            <x v="120"/>
          </reference>
        </references>
      </pivotArea>
    </format>
    <format dxfId="471">
      <pivotArea dataOnly="0" labelOnly="1" outline="0" fieldPosition="0">
        <references count="3">
          <reference field="4" count="1" selected="0">
            <x v="2"/>
          </reference>
          <reference field="5" count="1">
            <x v="123"/>
          </reference>
          <reference field="18" count="1" selected="0">
            <x v="121"/>
          </reference>
        </references>
      </pivotArea>
    </format>
    <format dxfId="470">
      <pivotArea dataOnly="0" labelOnly="1" outline="0" fieldPosition="0">
        <references count="3">
          <reference field="4" count="1" selected="0">
            <x v="3"/>
          </reference>
          <reference field="5" count="1">
            <x v="61"/>
          </reference>
          <reference field="18" count="1" selected="0">
            <x v="101"/>
          </reference>
        </references>
      </pivotArea>
    </format>
    <format dxfId="469">
      <pivotArea dataOnly="0" labelOnly="1" outline="0" fieldPosition="0">
        <references count="3">
          <reference field="4" count="1" selected="0">
            <x v="3"/>
          </reference>
          <reference field="5" count="1">
            <x v="21"/>
          </reference>
          <reference field="18" count="1" selected="0">
            <x v="105"/>
          </reference>
        </references>
      </pivotArea>
    </format>
    <format dxfId="468">
      <pivotArea dataOnly="0" labelOnly="1" outline="0" fieldPosition="0">
        <references count="3">
          <reference field="4" count="1" selected="0">
            <x v="3"/>
          </reference>
          <reference field="5" count="1">
            <x v="22"/>
          </reference>
          <reference field="18" count="1" selected="0">
            <x v="106"/>
          </reference>
        </references>
      </pivotArea>
    </format>
    <format dxfId="467">
      <pivotArea dataOnly="0" labelOnly="1" outline="0" fieldPosition="0">
        <references count="3">
          <reference field="4" count="1" selected="0">
            <x v="3"/>
          </reference>
          <reference field="5" count="1">
            <x v="120"/>
          </reference>
          <reference field="18" count="1" selected="0">
            <x v="118"/>
          </reference>
        </references>
      </pivotArea>
    </format>
    <format dxfId="466">
      <pivotArea dataOnly="0" labelOnly="1" outline="0" fieldPosition="0">
        <references count="3">
          <reference field="4" count="1" selected="0">
            <x v="3"/>
          </reference>
          <reference field="5" count="1">
            <x v="125"/>
          </reference>
          <reference field="18" count="1" selected="0">
            <x v="123"/>
          </reference>
        </references>
      </pivotArea>
    </format>
    <format dxfId="465">
      <pivotArea dataOnly="0" labelOnly="1" outline="0" fieldPosition="0">
        <references count="3">
          <reference field="4" count="1" selected="0">
            <x v="3"/>
          </reference>
          <reference field="5" count="1">
            <x v="130"/>
          </reference>
          <reference field="18" count="1" selected="0">
            <x v="128"/>
          </reference>
        </references>
      </pivotArea>
    </format>
    <format dxfId="464">
      <pivotArea dataOnly="0" labelOnly="1" outline="0" fieldPosition="0">
        <references count="3">
          <reference field="4" count="1" selected="0">
            <x v="3"/>
          </reference>
          <reference field="5" count="1">
            <x v="134"/>
          </reference>
          <reference field="18" count="1" selected="0">
            <x v="129"/>
          </reference>
        </references>
      </pivotArea>
    </format>
    <format dxfId="463">
      <pivotArea dataOnly="0" labelOnly="1" outline="0" fieldPosition="0">
        <references count="3">
          <reference field="4" count="1" selected="0">
            <x v="4"/>
          </reference>
          <reference field="5" count="1">
            <x v="50"/>
          </reference>
          <reference field="18" count="1" selected="0">
            <x v="49"/>
          </reference>
        </references>
      </pivotArea>
    </format>
    <format dxfId="462">
      <pivotArea dataOnly="0" labelOnly="1" outline="0" fieldPosition="0">
        <references count="3">
          <reference field="4" count="1" selected="0">
            <x v="4"/>
          </reference>
          <reference field="5" count="1">
            <x v="26"/>
          </reference>
          <reference field="18" count="1" selected="0">
            <x v="75"/>
          </reference>
        </references>
      </pivotArea>
    </format>
    <format dxfId="461">
      <pivotArea dataOnly="0" labelOnly="1" outline="0" fieldPosition="0">
        <references count="3">
          <reference field="4" count="1" selected="0">
            <x v="4"/>
          </reference>
          <reference field="5" count="1">
            <x v="46"/>
          </reference>
          <reference field="18" count="1" selected="0">
            <x v="77"/>
          </reference>
        </references>
      </pivotArea>
    </format>
    <format dxfId="460">
      <pivotArea dataOnly="0" labelOnly="1" outline="0" fieldPosition="0">
        <references count="3">
          <reference field="4" count="1" selected="0">
            <x v="4"/>
          </reference>
          <reference field="5" count="1">
            <x v="45"/>
          </reference>
          <reference field="18" count="1" selected="0">
            <x v="78"/>
          </reference>
        </references>
      </pivotArea>
    </format>
    <format dxfId="459">
      <pivotArea dataOnly="0" labelOnly="1" outline="0" fieldPosition="0">
        <references count="3">
          <reference field="4" count="1" selected="0">
            <x v="4"/>
          </reference>
          <reference field="5" count="1">
            <x v="35"/>
          </reference>
          <reference field="18" count="1" selected="0">
            <x v="79"/>
          </reference>
        </references>
      </pivotArea>
    </format>
    <format dxfId="458">
      <pivotArea dataOnly="0" labelOnly="1" outline="0" fieldPosition="0">
        <references count="3">
          <reference field="4" count="1" selected="0">
            <x v="4"/>
          </reference>
          <reference field="5" count="1">
            <x v="108"/>
          </reference>
          <reference field="18" count="1" selected="0">
            <x v="107"/>
          </reference>
        </references>
      </pivotArea>
    </format>
    <format dxfId="457">
      <pivotArea dataOnly="0" labelOnly="1" outline="0" fieldPosition="0">
        <references count="3">
          <reference field="4" count="1" selected="0">
            <x v="4"/>
          </reference>
          <reference field="5" count="1">
            <x v="110"/>
          </reference>
          <reference field="18" count="1" selected="0">
            <x v="109"/>
          </reference>
        </references>
      </pivotArea>
    </format>
    <format dxfId="456">
      <pivotArea dataOnly="0" labelOnly="1" outline="0" fieldPosition="0">
        <references count="3">
          <reference field="4" count="1" selected="0">
            <x v="4"/>
          </reference>
          <reference field="5" count="1">
            <x v="119"/>
          </reference>
          <reference field="18" count="1" selected="0">
            <x v="117"/>
          </reference>
        </references>
      </pivotArea>
    </format>
    <format dxfId="455">
      <pivotArea dataOnly="0" labelOnly="1" outline="0" fieldPosition="0">
        <references count="3">
          <reference field="4" count="1" selected="0">
            <x v="4"/>
          </reference>
          <reference field="5" count="1">
            <x v="121"/>
          </reference>
          <reference field="18" count="1" selected="0">
            <x v="119"/>
          </reference>
        </references>
      </pivotArea>
    </format>
    <format dxfId="454">
      <pivotArea dataOnly="0" labelOnly="1" outline="0" fieldPosition="0">
        <references count="3">
          <reference field="4" count="1" selected="0">
            <x v="5"/>
          </reference>
          <reference field="5" count="1">
            <x v="48"/>
          </reference>
          <reference field="18" count="1" selected="0">
            <x v="102"/>
          </reference>
        </references>
      </pivotArea>
    </format>
    <format dxfId="453">
      <pivotArea dataOnly="0" labelOnly="1" outline="0" fieldPosition="0">
        <references count="3">
          <reference field="4" count="1" selected="0">
            <x v="5"/>
          </reference>
          <reference field="5" count="1">
            <x v="15"/>
          </reference>
          <reference field="18" count="1" selected="0">
            <x v="103"/>
          </reference>
        </references>
      </pivotArea>
    </format>
    <format dxfId="452">
      <pivotArea dataOnly="0" labelOnly="1" outline="0" fieldPosition="0">
        <references count="3">
          <reference field="4" count="1" selected="0">
            <x v="5"/>
          </reference>
          <reference field="5" count="1">
            <x v="135"/>
          </reference>
          <reference field="18" count="1" selected="0">
            <x v="133"/>
          </reference>
        </references>
      </pivotArea>
    </format>
    <format dxfId="451">
      <pivotArea dataOnly="0" labelOnly="1" outline="0" fieldPosition="0">
        <references count="3">
          <reference field="4" count="1" selected="0">
            <x v="6"/>
          </reference>
          <reference field="5" count="1">
            <x v="49"/>
          </reference>
          <reference field="18" count="1" selected="0">
            <x v="57"/>
          </reference>
        </references>
      </pivotArea>
    </format>
    <format dxfId="450">
      <pivotArea dataOnly="0" labelOnly="1" outline="0" fieldPosition="0">
        <references count="3">
          <reference field="4" count="1" selected="0">
            <x v="6"/>
          </reference>
          <reference field="5" count="1">
            <x v="24"/>
          </reference>
          <reference field="18" count="1" selected="0">
            <x v="58"/>
          </reference>
        </references>
      </pivotArea>
    </format>
    <format dxfId="449">
      <pivotArea dataOnly="0" labelOnly="1" outline="0" fieldPosition="0">
        <references count="3">
          <reference field="4" count="1" selected="0">
            <x v="6"/>
          </reference>
          <reference field="5" count="1">
            <x v="68"/>
          </reference>
          <reference field="18" count="1" selected="0">
            <x v="59"/>
          </reference>
        </references>
      </pivotArea>
    </format>
    <format dxfId="448">
      <pivotArea dataOnly="0" labelOnly="1" outline="0" fieldPosition="0">
        <references count="3">
          <reference field="4" count="1" selected="0">
            <x v="7"/>
          </reference>
          <reference field="5" count="1">
            <x v="93"/>
          </reference>
          <reference field="18" count="1" selected="0">
            <x v="60"/>
          </reference>
        </references>
      </pivotArea>
    </format>
    <format dxfId="447">
      <pivotArea dataOnly="0" labelOnly="1" outline="0" fieldPosition="0">
        <references count="3">
          <reference field="4" count="1" selected="0">
            <x v="7"/>
          </reference>
          <reference field="5" count="1">
            <x v="69"/>
          </reference>
          <reference field="18" count="1" selected="0">
            <x v="80"/>
          </reference>
        </references>
      </pivotArea>
    </format>
    <format dxfId="446">
      <pivotArea dataOnly="0" labelOnly="1" outline="0" fieldPosition="0">
        <references count="3">
          <reference field="4" count="1" selected="0">
            <x v="8"/>
          </reference>
          <reference field="5" count="1">
            <x v="55"/>
          </reference>
          <reference field="18" count="1" selected="0">
            <x v="44"/>
          </reference>
        </references>
      </pivotArea>
    </format>
    <format dxfId="445">
      <pivotArea dataOnly="0" labelOnly="1" outline="0" fieldPosition="0">
        <references count="3">
          <reference field="4" count="1" selected="0">
            <x v="8"/>
          </reference>
          <reference field="5" count="1">
            <x v="47"/>
          </reference>
          <reference field="18" count="1" selected="0">
            <x v="46"/>
          </reference>
        </references>
      </pivotArea>
    </format>
    <format dxfId="444">
      <pivotArea dataOnly="0" labelOnly="1" outline="0" fieldPosition="0">
        <references count="3">
          <reference field="4" count="1" selected="0">
            <x v="8"/>
          </reference>
          <reference field="5" count="1">
            <x v="72"/>
          </reference>
          <reference field="18" count="1" selected="0">
            <x v="47"/>
          </reference>
        </references>
      </pivotArea>
    </format>
    <format dxfId="443">
      <pivotArea dataOnly="0" labelOnly="1" outline="0" fieldPosition="0">
        <references count="3">
          <reference field="4" count="1" selected="0">
            <x v="8"/>
          </reference>
          <reference field="5" count="1">
            <x v="43"/>
          </reference>
          <reference field="18" count="1" selected="0">
            <x v="48"/>
          </reference>
        </references>
      </pivotArea>
    </format>
    <format dxfId="442">
      <pivotArea dataOnly="0" labelOnly="1" outline="0" fieldPosition="0">
        <references count="3">
          <reference field="4" count="1" selected="0">
            <x v="8"/>
          </reference>
          <reference field="5" count="1">
            <x v="33"/>
          </reference>
          <reference field="18" count="1" selected="0">
            <x v="52"/>
          </reference>
        </references>
      </pivotArea>
    </format>
    <format dxfId="441">
      <pivotArea dataOnly="0" labelOnly="1" outline="0" fieldPosition="0">
        <references count="3">
          <reference field="4" count="1" selected="0">
            <x v="8"/>
          </reference>
          <reference field="5" count="1">
            <x v="34"/>
          </reference>
          <reference field="18" count="1" selected="0">
            <x v="53"/>
          </reference>
        </references>
      </pivotArea>
    </format>
    <format dxfId="440">
      <pivotArea dataOnly="0" labelOnly="1" outline="0" fieldPosition="0">
        <references count="3">
          <reference field="4" count="1" selected="0">
            <x v="8"/>
          </reference>
          <reference field="5" count="1">
            <x v="32"/>
          </reference>
          <reference field="18" count="1" selected="0">
            <x v="54"/>
          </reference>
        </references>
      </pivotArea>
    </format>
    <format dxfId="439">
      <pivotArea dataOnly="0" labelOnly="1" outline="0" fieldPosition="0">
        <references count="3">
          <reference field="4" count="1" selected="0">
            <x v="8"/>
          </reference>
          <reference field="5" count="1">
            <x v="74"/>
          </reference>
          <reference field="18" count="1" selected="0">
            <x v="55"/>
          </reference>
        </references>
      </pivotArea>
    </format>
    <format dxfId="438">
      <pivotArea dataOnly="0" labelOnly="1" outline="0" fieldPosition="0">
        <references count="3">
          <reference field="4" count="1" selected="0">
            <x v="8"/>
          </reference>
          <reference field="5" count="1">
            <x v="87"/>
          </reference>
          <reference field="18" count="1" selected="0">
            <x v="56"/>
          </reference>
        </references>
      </pivotArea>
    </format>
    <format dxfId="437">
      <pivotArea dataOnly="0" labelOnly="1" outline="0" fieldPosition="0">
        <references count="3">
          <reference field="4" count="1" selected="0">
            <x v="8"/>
          </reference>
          <reference field="5" count="1">
            <x v="20"/>
          </reference>
          <reference field="18" count="1" selected="0">
            <x v="71"/>
          </reference>
        </references>
      </pivotArea>
    </format>
    <format dxfId="436">
      <pivotArea dataOnly="0" labelOnly="1" outline="0" fieldPosition="0">
        <references count="3">
          <reference field="4" count="1" selected="0">
            <x v="8"/>
          </reference>
          <reference field="5" count="1">
            <x v="16"/>
          </reference>
          <reference field="18" count="1" selected="0">
            <x v="72"/>
          </reference>
        </references>
      </pivotArea>
    </format>
    <format dxfId="435">
      <pivotArea dataOnly="0" labelOnly="1" outline="0" fieldPosition="0">
        <references count="3">
          <reference field="4" count="1" selected="0">
            <x v="8"/>
          </reference>
          <reference field="5" count="1">
            <x v="11"/>
          </reference>
          <reference field="18" count="1" selected="0">
            <x v="73"/>
          </reference>
        </references>
      </pivotArea>
    </format>
    <format dxfId="434">
      <pivotArea dataOnly="0" labelOnly="1" outline="0" fieldPosition="0">
        <references count="3">
          <reference field="4" count="1" selected="0">
            <x v="8"/>
          </reference>
          <reference field="5" count="1">
            <x v="76"/>
          </reference>
          <reference field="18" count="1" selected="0">
            <x v="74"/>
          </reference>
        </references>
      </pivotArea>
    </format>
    <format dxfId="433">
      <pivotArea dataOnly="0" labelOnly="1" outline="0" fieldPosition="0">
        <references count="3">
          <reference field="4" count="1" selected="0">
            <x v="8"/>
          </reference>
          <reference field="5" count="1">
            <x v="71"/>
          </reference>
          <reference field="18" count="1" selected="0">
            <x v="76"/>
          </reference>
        </references>
      </pivotArea>
    </format>
    <format dxfId="432">
      <pivotArea dataOnly="0" labelOnly="1" outline="0" fieldPosition="0">
        <references count="3">
          <reference field="4" count="1" selected="0">
            <x v="8"/>
          </reference>
          <reference field="5" count="1">
            <x v="113"/>
          </reference>
          <reference field="18" count="1" selected="0">
            <x v="112"/>
          </reference>
        </references>
      </pivotArea>
    </format>
    <format dxfId="431">
      <pivotArea dataOnly="0" labelOnly="1" outline="0" fieldPosition="0">
        <references count="3">
          <reference field="4" count="1" selected="0">
            <x v="9"/>
          </reference>
          <reference field="5" count="1">
            <x v="57"/>
          </reference>
          <reference field="18" count="1" selected="0">
            <x v="100"/>
          </reference>
        </references>
      </pivotArea>
    </format>
    <format dxfId="430">
      <pivotArea dataOnly="0" labelOnly="1" outline="0" fieldPosition="0">
        <references count="3">
          <reference field="4" count="1" selected="0">
            <x v="9"/>
          </reference>
          <reference field="5" count="1">
            <x v="126"/>
          </reference>
          <reference field="18" count="1" selected="0">
            <x v="124"/>
          </reference>
        </references>
      </pivotArea>
    </format>
    <format dxfId="429">
      <pivotArea dataOnly="0" labelOnly="1" outline="0" fieldPosition="0">
        <references count="3">
          <reference field="4" count="1" selected="0">
            <x v="9"/>
          </reference>
          <reference field="5" count="1">
            <x v="127"/>
          </reference>
          <reference field="18" count="1" selected="0">
            <x v="125"/>
          </reference>
        </references>
      </pivotArea>
    </format>
    <format dxfId="428">
      <pivotArea dataOnly="0" labelOnly="1" outline="0" fieldPosition="0">
        <references count="3">
          <reference field="4" count="1" selected="0">
            <x v="10"/>
          </reference>
          <reference field="5" count="2">
            <x v="85"/>
            <x v="117"/>
          </reference>
          <reference field="18" count="1" selected="0">
            <x v="0"/>
          </reference>
        </references>
      </pivotArea>
    </format>
    <format dxfId="427">
      <pivotArea dataOnly="0" labelOnly="1" outline="0" fieldPosition="0">
        <references count="3">
          <reference field="4" count="1" selected="0">
            <x v="10"/>
          </reference>
          <reference field="5" count="1">
            <x v="95"/>
          </reference>
          <reference field="18" count="1" selected="0">
            <x v="1"/>
          </reference>
        </references>
      </pivotArea>
    </format>
    <format dxfId="426">
      <pivotArea dataOnly="0" labelOnly="1" outline="0" fieldPosition="0">
        <references count="3">
          <reference field="4" count="1" selected="0">
            <x v="10"/>
          </reference>
          <reference field="5" count="1">
            <x v="73"/>
          </reference>
          <reference field="18" count="1" selected="0">
            <x v="2"/>
          </reference>
        </references>
      </pivotArea>
    </format>
    <format dxfId="425">
      <pivotArea dataOnly="0" labelOnly="1" outline="0" fieldPosition="0">
        <references count="3">
          <reference field="4" count="1" selected="0">
            <x v="10"/>
          </reference>
          <reference field="5" count="1">
            <x v="97"/>
          </reference>
          <reference field="18" count="1" selected="0">
            <x v="3"/>
          </reference>
        </references>
      </pivotArea>
    </format>
    <format dxfId="424">
      <pivotArea dataOnly="0" labelOnly="1" outline="0" fieldPosition="0">
        <references count="3">
          <reference field="4" count="1" selected="0">
            <x v="10"/>
          </reference>
          <reference field="5" count="1">
            <x v="96"/>
          </reference>
          <reference field="18" count="1" selected="0">
            <x v="4"/>
          </reference>
        </references>
      </pivotArea>
    </format>
    <format dxfId="423">
      <pivotArea dataOnly="0" labelOnly="1" outline="0" fieldPosition="0">
        <references count="3">
          <reference field="4" count="1" selected="0">
            <x v="10"/>
          </reference>
          <reference field="5" count="1">
            <x v="98"/>
          </reference>
          <reference field="18" count="1" selected="0">
            <x v="5"/>
          </reference>
        </references>
      </pivotArea>
    </format>
    <format dxfId="422">
      <pivotArea dataOnly="0" labelOnly="1" outline="0" fieldPosition="0">
        <references count="3">
          <reference field="4" count="1" selected="0">
            <x v="10"/>
          </reference>
          <reference field="5" count="1">
            <x v="88"/>
          </reference>
          <reference field="18" count="1" selected="0">
            <x v="6"/>
          </reference>
        </references>
      </pivotArea>
    </format>
    <format dxfId="421">
      <pivotArea dataOnly="0" labelOnly="1" outline="0" fieldPosition="0">
        <references count="3">
          <reference field="4" count="1" selected="0">
            <x v="10"/>
          </reference>
          <reference field="5" count="1">
            <x v="44"/>
          </reference>
          <reference field="18" count="1" selected="0">
            <x v="7"/>
          </reference>
        </references>
      </pivotArea>
    </format>
    <format dxfId="420">
      <pivotArea dataOnly="0" labelOnly="1" outline="0" fieldPosition="0">
        <references count="3">
          <reference field="4" count="1" selected="0">
            <x v="10"/>
          </reference>
          <reference field="5" count="1">
            <x v="92"/>
          </reference>
          <reference field="18" count="1" selected="0">
            <x v="8"/>
          </reference>
        </references>
      </pivotArea>
    </format>
    <format dxfId="419">
      <pivotArea dataOnly="0" labelOnly="1" outline="0" fieldPosition="0">
        <references count="3">
          <reference field="4" count="1" selected="0">
            <x v="10"/>
          </reference>
          <reference field="5" count="1">
            <x v="9"/>
          </reference>
          <reference field="18" count="1" selected="0">
            <x v="9"/>
          </reference>
        </references>
      </pivotArea>
    </format>
    <format dxfId="418">
      <pivotArea dataOnly="0" labelOnly="1" outline="0" fieldPosition="0">
        <references count="3">
          <reference field="4" count="1" selected="0">
            <x v="10"/>
          </reference>
          <reference field="5" count="1">
            <x v="10"/>
          </reference>
          <reference field="18" count="1" selected="0">
            <x v="10"/>
          </reference>
        </references>
      </pivotArea>
    </format>
    <format dxfId="417">
      <pivotArea dataOnly="0" labelOnly="1" outline="0" fieldPosition="0">
        <references count="3">
          <reference field="4" count="1" selected="0">
            <x v="10"/>
          </reference>
          <reference field="5" count="1">
            <x v="8"/>
          </reference>
          <reference field="18" count="1" selected="0">
            <x v="11"/>
          </reference>
        </references>
      </pivotArea>
    </format>
    <format dxfId="416">
      <pivotArea dataOnly="0" labelOnly="1" outline="0" fieldPosition="0">
        <references count="3">
          <reference field="4" count="1" selected="0">
            <x v="10"/>
          </reference>
          <reference field="5" count="1">
            <x v="23"/>
          </reference>
          <reference field="18" count="1" selected="0">
            <x v="12"/>
          </reference>
        </references>
      </pivotArea>
    </format>
    <format dxfId="415">
      <pivotArea dataOnly="0" labelOnly="1" outline="0" fieldPosition="0">
        <references count="3">
          <reference field="4" count="1" selected="0">
            <x v="10"/>
          </reference>
          <reference field="5" count="1">
            <x v="28"/>
          </reference>
          <reference field="18" count="1" selected="0">
            <x v="13"/>
          </reference>
        </references>
      </pivotArea>
    </format>
    <format dxfId="414">
      <pivotArea dataOnly="0" labelOnly="1" outline="0" fieldPosition="0">
        <references count="3">
          <reference field="4" count="1" selected="0">
            <x v="10"/>
          </reference>
          <reference field="5" count="1">
            <x v="27"/>
          </reference>
          <reference field="18" count="1" selected="0">
            <x v="14"/>
          </reference>
        </references>
      </pivotArea>
    </format>
    <format dxfId="413">
      <pivotArea dataOnly="0" labelOnly="1" outline="0" fieldPosition="0">
        <references count="3">
          <reference field="4" count="1" selected="0">
            <x v="10"/>
          </reference>
          <reference field="5" count="1">
            <x v="42"/>
          </reference>
          <reference field="18" count="1" selected="0">
            <x v="15"/>
          </reference>
        </references>
      </pivotArea>
    </format>
    <format dxfId="412">
      <pivotArea dataOnly="0" labelOnly="1" outline="0" fieldPosition="0">
        <references count="3">
          <reference field="4" count="1" selected="0">
            <x v="10"/>
          </reference>
          <reference field="5" count="1">
            <x v="18"/>
          </reference>
          <reference field="18" count="1" selected="0">
            <x v="16"/>
          </reference>
        </references>
      </pivotArea>
    </format>
    <format dxfId="411">
      <pivotArea dataOnly="0" labelOnly="1" outline="0" fieldPosition="0">
        <references count="3">
          <reference field="4" count="1" selected="0">
            <x v="10"/>
          </reference>
          <reference field="5" count="1">
            <x v="19"/>
          </reference>
          <reference field="18" count="1" selected="0">
            <x v="17"/>
          </reference>
        </references>
      </pivotArea>
    </format>
    <format dxfId="410">
      <pivotArea dataOnly="0" labelOnly="1" outline="0" fieldPosition="0">
        <references count="3">
          <reference field="4" count="1" selected="0">
            <x v="10"/>
          </reference>
          <reference field="5" count="1">
            <x v="52"/>
          </reference>
          <reference field="18" count="1" selected="0">
            <x v="18"/>
          </reference>
        </references>
      </pivotArea>
    </format>
    <format dxfId="409">
      <pivotArea dataOnly="0" labelOnly="1" outline="0" fieldPosition="0">
        <references count="3">
          <reference field="4" count="1" selected="0">
            <x v="10"/>
          </reference>
          <reference field="5" count="1">
            <x v="53"/>
          </reference>
          <reference field="18" count="1" selected="0">
            <x v="19"/>
          </reference>
        </references>
      </pivotArea>
    </format>
    <format dxfId="408">
      <pivotArea dataOnly="0" labelOnly="1" outline="0" fieldPosition="0">
        <references count="3">
          <reference field="4" count="1" selected="0">
            <x v="10"/>
          </reference>
          <reference field="5" count="1">
            <x v="105"/>
          </reference>
          <reference field="18" count="1" selected="0">
            <x v="20"/>
          </reference>
        </references>
      </pivotArea>
    </format>
    <format dxfId="407">
      <pivotArea dataOnly="0" labelOnly="1" outline="0" fieldPosition="0">
        <references count="3">
          <reference field="4" count="1" selected="0">
            <x v="10"/>
          </reference>
          <reference field="5" count="1">
            <x v="65"/>
          </reference>
          <reference field="18" count="1" selected="0">
            <x v="21"/>
          </reference>
        </references>
      </pivotArea>
    </format>
    <format dxfId="406">
      <pivotArea dataOnly="0" labelOnly="1" outline="0" fieldPosition="0">
        <references count="3">
          <reference field="4" count="1" selected="0">
            <x v="10"/>
          </reference>
          <reference field="5" count="1">
            <x v="75"/>
          </reference>
          <reference field="18" count="1" selected="0">
            <x v="82"/>
          </reference>
        </references>
      </pivotArea>
    </format>
    <format dxfId="405">
      <pivotArea dataOnly="0" labelOnly="1" outline="0" fieldPosition="0">
        <references count="3">
          <reference field="4" count="1" selected="0">
            <x v="10"/>
          </reference>
          <reference field="5" count="1">
            <x v="132"/>
          </reference>
          <reference field="18" count="1" selected="0">
            <x v="131"/>
          </reference>
        </references>
      </pivotArea>
    </format>
    <format dxfId="404">
      <pivotArea dataOnly="0" labelOnly="1" outline="0" fieldPosition="0">
        <references count="3">
          <reference field="4" count="1" selected="0">
            <x v="11"/>
          </reference>
          <reference field="5" count="1">
            <x v="60"/>
          </reference>
          <reference field="18" count="1" selected="0">
            <x v="98"/>
          </reference>
        </references>
      </pivotArea>
    </format>
    <format dxfId="403">
      <pivotArea dataOnly="0" labelOnly="1" outline="0" fieldPosition="0">
        <references count="3">
          <reference field="4" count="1" selected="0">
            <x v="11"/>
          </reference>
          <reference field="5" count="1">
            <x v="59"/>
          </reference>
          <reference field="18" count="1" selected="0">
            <x v="99"/>
          </reference>
        </references>
      </pivotArea>
    </format>
    <format dxfId="402">
      <pivotArea dataOnly="0" labelOnly="1" outline="0" fieldPosition="0">
        <references count="3">
          <reference field="4" count="1" selected="0">
            <x v="11"/>
          </reference>
          <reference field="5" count="1">
            <x v="128"/>
          </reference>
          <reference field="18" count="1" selected="0">
            <x v="126"/>
          </reference>
        </references>
      </pivotArea>
    </format>
    <format dxfId="401">
      <pivotArea dataOnly="0" labelOnly="1" outline="0" fieldPosition="0">
        <references count="3">
          <reference field="4" count="1" selected="0">
            <x v="11"/>
          </reference>
          <reference field="5" count="1">
            <x v="129"/>
          </reference>
          <reference field="18" count="1" selected="0">
            <x v="127"/>
          </reference>
        </references>
      </pivotArea>
    </format>
    <format dxfId="400">
      <pivotArea dataOnly="0" labelOnly="1" outline="0" fieldPosition="0">
        <references count="3">
          <reference field="4" count="1" selected="0">
            <x v="12"/>
          </reference>
          <reference field="5" count="1">
            <x v="64"/>
          </reference>
          <reference field="18" count="1" selected="0">
            <x v="104"/>
          </reference>
        </references>
      </pivotArea>
    </format>
    <format dxfId="399">
      <pivotArea dataOnly="0" labelOnly="1" outline="0" fieldPosition="0">
        <references count="3">
          <reference field="4" count="1" selected="0">
            <x v="13"/>
          </reference>
          <reference field="5" count="1">
            <x v="90"/>
          </reference>
          <reference field="18" count="1" selected="0">
            <x v="50"/>
          </reference>
        </references>
      </pivotArea>
    </format>
    <format dxfId="398">
      <pivotArea dataOnly="0" labelOnly="1" outline="0" fieldPosition="0">
        <references count="3">
          <reference field="4" count="1" selected="0">
            <x v="13"/>
          </reference>
          <reference field="5" count="1">
            <x v="91"/>
          </reference>
          <reference field="18" count="1" selected="0">
            <x v="51"/>
          </reference>
        </references>
      </pivotArea>
    </format>
    <format dxfId="397">
      <pivotArea dataOnly="0" labelOnly="1" outline="0" fieldPosition="0">
        <references count="3">
          <reference field="4" count="1" selected="0">
            <x v="14"/>
          </reference>
          <reference field="5" count="1">
            <x v="80"/>
          </reference>
          <reference field="18" count="1" selected="0">
            <x v="22"/>
          </reference>
        </references>
      </pivotArea>
    </format>
    <format dxfId="396">
      <pivotArea dataOnly="0" labelOnly="1" outline="0" fieldPosition="0">
        <references count="3">
          <reference field="4" count="1" selected="0">
            <x v="14"/>
          </reference>
          <reference field="5" count="1">
            <x v="82"/>
          </reference>
          <reference field="18" count="1" selected="0">
            <x v="23"/>
          </reference>
        </references>
      </pivotArea>
    </format>
    <format dxfId="395">
      <pivotArea dataOnly="0" labelOnly="1" outline="0" fieldPosition="0">
        <references count="3">
          <reference field="4" count="1" selected="0">
            <x v="14"/>
          </reference>
          <reference field="5" count="1">
            <x v="36"/>
          </reference>
          <reference field="18" count="1" selected="0">
            <x v="24"/>
          </reference>
        </references>
      </pivotArea>
    </format>
    <format dxfId="394">
      <pivotArea dataOnly="0" labelOnly="1" outline="0" fieldPosition="0">
        <references count="3">
          <reference field="4" count="1" selected="0">
            <x v="14"/>
          </reference>
          <reference field="5" count="1">
            <x v="12"/>
          </reference>
          <reference field="18" count="1" selected="0">
            <x v="25"/>
          </reference>
        </references>
      </pivotArea>
    </format>
    <format dxfId="393">
      <pivotArea dataOnly="0" labelOnly="1" outline="0" fieldPosition="0">
        <references count="3">
          <reference field="4" count="1" selected="0">
            <x v="14"/>
          </reference>
          <reference field="5" count="1">
            <x v="39"/>
          </reference>
          <reference field="18" count="1" selected="0">
            <x v="26"/>
          </reference>
        </references>
      </pivotArea>
    </format>
    <format dxfId="392">
      <pivotArea dataOnly="0" labelOnly="1" outline="0" fieldPosition="0">
        <references count="3">
          <reference field="4" count="1" selected="0">
            <x v="14"/>
          </reference>
          <reference field="5" count="1">
            <x v="81"/>
          </reference>
          <reference field="18" count="1" selected="0">
            <x v="27"/>
          </reference>
        </references>
      </pivotArea>
    </format>
    <format dxfId="391">
      <pivotArea dataOnly="0" labelOnly="1" outline="0" fieldPosition="0">
        <references count="3">
          <reference field="4" count="1" selected="0">
            <x v="14"/>
          </reference>
          <reference field="5" count="1">
            <x v="38"/>
          </reference>
          <reference field="18" count="1" selected="0">
            <x v="28"/>
          </reference>
        </references>
      </pivotArea>
    </format>
    <format dxfId="390">
      <pivotArea dataOnly="0" labelOnly="1" outline="0" fieldPosition="0">
        <references count="3">
          <reference field="4" count="1" selected="0">
            <x v="14"/>
          </reference>
          <reference field="5" count="1">
            <x v="79"/>
          </reference>
          <reference field="18" count="1" selected="0">
            <x v="29"/>
          </reference>
        </references>
      </pivotArea>
    </format>
    <format dxfId="389">
      <pivotArea dataOnly="0" labelOnly="1" outline="0" fieldPosition="0">
        <references count="3">
          <reference field="4" count="1" selected="0">
            <x v="14"/>
          </reference>
          <reference field="5" count="1">
            <x v="101"/>
          </reference>
          <reference field="18" count="1" selected="0">
            <x v="30"/>
          </reference>
        </references>
      </pivotArea>
    </format>
    <format dxfId="388">
      <pivotArea dataOnly="0" labelOnly="1" outline="0" fieldPosition="0">
        <references count="3">
          <reference field="4" count="1" selected="0">
            <x v="14"/>
          </reference>
          <reference field="5" count="1">
            <x v="99"/>
          </reference>
          <reference field="18" count="1" selected="0">
            <x v="31"/>
          </reference>
        </references>
      </pivotArea>
    </format>
    <format dxfId="387">
      <pivotArea dataOnly="0" labelOnly="1" outline="0" fieldPosition="0">
        <references count="3">
          <reference field="4" count="1" selected="0">
            <x v="14"/>
          </reference>
          <reference field="5" count="1">
            <x v="100"/>
          </reference>
          <reference field="18" count="1" selected="0">
            <x v="32"/>
          </reference>
        </references>
      </pivotArea>
    </format>
    <format dxfId="386">
      <pivotArea dataOnly="0" labelOnly="1" outline="0" fieldPosition="0">
        <references count="3">
          <reference field="4" count="1" selected="0">
            <x v="14"/>
          </reference>
          <reference field="5" count="1">
            <x v="41"/>
          </reference>
          <reference field="18" count="1" selected="0">
            <x v="33"/>
          </reference>
        </references>
      </pivotArea>
    </format>
    <format dxfId="385">
      <pivotArea dataOnly="0" labelOnly="1" outline="0" fieldPosition="0">
        <references count="3">
          <reference field="4" count="1" selected="0">
            <x v="14"/>
          </reference>
          <reference field="5" count="1">
            <x v="40"/>
          </reference>
          <reference field="18" count="1" selected="0">
            <x v="34"/>
          </reference>
        </references>
      </pivotArea>
    </format>
    <format dxfId="384">
      <pivotArea dataOnly="0" labelOnly="1" outline="0" fieldPosition="0">
        <references count="3">
          <reference field="4" count="1" selected="0">
            <x v="14"/>
          </reference>
          <reference field="5" count="1">
            <x v="89"/>
          </reference>
          <reference field="18" count="1" selected="0">
            <x v="35"/>
          </reference>
        </references>
      </pivotArea>
    </format>
    <format dxfId="383">
      <pivotArea dataOnly="0" labelOnly="1" outline="0" fieldPosition="0">
        <references count="3">
          <reference field="4" count="1" selected="0">
            <x v="14"/>
          </reference>
          <reference field="5" count="1">
            <x v="4"/>
          </reference>
          <reference field="18" count="1" selected="0">
            <x v="67"/>
          </reference>
        </references>
      </pivotArea>
    </format>
    <format dxfId="382">
      <pivotArea dataOnly="0" labelOnly="1" outline="0" fieldPosition="0">
        <references count="3">
          <reference field="4" count="1" selected="0">
            <x v="14"/>
          </reference>
          <reference field="5" count="1">
            <x v="13"/>
          </reference>
          <reference field="18" count="1" selected="0">
            <x v="68"/>
          </reference>
        </references>
      </pivotArea>
    </format>
    <format dxfId="381">
      <pivotArea dataOnly="0" labelOnly="1" outline="0" fieldPosition="0">
        <references count="3">
          <reference field="4" count="1" selected="0">
            <x v="14"/>
          </reference>
          <reference field="5" count="1">
            <x v="104"/>
          </reference>
          <reference field="18" count="1" selected="0">
            <x v="69"/>
          </reference>
        </references>
      </pivotArea>
    </format>
    <format dxfId="380">
      <pivotArea dataOnly="0" labelOnly="1" outline="0" fieldPosition="0">
        <references count="3">
          <reference field="4" count="1" selected="0">
            <x v="14"/>
          </reference>
          <reference field="5" count="1">
            <x v="37"/>
          </reference>
          <reference field="18" count="1" selected="0">
            <x v="70"/>
          </reference>
        </references>
      </pivotArea>
    </format>
    <format dxfId="379">
      <pivotArea dataOnly="0" labelOnly="1" outline="0" fieldPosition="0">
        <references count="3">
          <reference field="4" count="1" selected="0">
            <x v="14"/>
          </reference>
          <reference field="5" count="1">
            <x v="78"/>
          </reference>
          <reference field="18" count="1" selected="0">
            <x v="81"/>
          </reference>
        </references>
      </pivotArea>
    </format>
    <format dxfId="378">
      <pivotArea dataOnly="0" labelOnly="1" outline="0" fieldPosition="0">
        <references count="3">
          <reference field="4" count="1" selected="0">
            <x v="14"/>
          </reference>
          <reference field="5" count="1">
            <x v="111"/>
          </reference>
          <reference field="18" count="1" selected="0">
            <x v="110"/>
          </reference>
        </references>
      </pivotArea>
    </format>
    <format dxfId="377">
      <pivotArea dataOnly="0" labelOnly="1" outline="0" fieldPosition="0">
        <references count="3">
          <reference field="4" count="1" selected="0">
            <x v="14"/>
          </reference>
          <reference field="5" count="1">
            <x v="131"/>
          </reference>
          <reference field="18" count="1" selected="0">
            <x v="130"/>
          </reference>
        </references>
      </pivotArea>
    </format>
    <format dxfId="376">
      <pivotArea dataOnly="0" labelOnly="1" outline="0" fieldPosition="0">
        <references count="3">
          <reference field="4" count="1" selected="0">
            <x v="14"/>
          </reference>
          <reference field="5" count="1">
            <x v="133"/>
          </reference>
          <reference field="18" count="1" selected="0">
            <x v="132"/>
          </reference>
        </references>
      </pivotArea>
    </format>
    <format dxfId="375">
      <pivotArea dataOnly="0" labelOnly="1" outline="0" fieldPosition="0">
        <references count="3">
          <reference field="4" count="1" selected="0">
            <x v="15"/>
          </reference>
          <reference field="5" count="1">
            <x v="117"/>
          </reference>
          <reference field="18"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4" cacheId="2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H4:M172" firstHeaderRow="0" firstDataRow="1" firstDataCol="1" rowPageCount="2" colPageCount="1"/>
  <pivotFields count="42">
    <pivotField axis="axisPage" multipleItemSelectionAllowed="1" showAll="0">
      <items count="3">
        <item h="1" x="0"/>
        <item x="1"/>
        <item t="default"/>
      </items>
    </pivotField>
    <pivotField showAll="0"/>
    <pivotField showAll="0"/>
    <pivotField showAll="0"/>
    <pivotField showAll="0"/>
    <pivotField axis="axisRow" showAll="0" sortType="descending">
      <items count="22">
        <item x="1"/>
        <item x="4"/>
        <item x="0"/>
        <item x="18"/>
        <item x="14"/>
        <item x="13"/>
        <item x="7"/>
        <item x="15"/>
        <item x="2"/>
        <item x="16"/>
        <item x="12"/>
        <item x="8"/>
        <item x="5"/>
        <item x="10"/>
        <item x="6"/>
        <item x="17"/>
        <item x="19"/>
        <item x="11"/>
        <item x="9"/>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axis="axisRow" showAll="0" sortType="descending">
      <items count="241">
        <item x="0"/>
        <item x="1"/>
        <item x="2"/>
        <item x="3"/>
        <item x="4"/>
        <item x="5"/>
        <item x="6"/>
        <item x="7"/>
        <item x="8"/>
        <item x="9"/>
        <item x="10"/>
        <item x="11"/>
        <item x="12"/>
        <item x="13"/>
        <item x="14"/>
        <item x="15"/>
        <item x="16"/>
        <item x="17"/>
        <item x="18"/>
        <item x="19"/>
        <item x="20"/>
        <item x="21"/>
        <item x="22"/>
        <item x="23"/>
        <item x="25"/>
        <item x="26"/>
        <item x="27"/>
        <item x="28"/>
        <item x="29"/>
        <item x="30"/>
        <item x="31"/>
        <item x="32"/>
        <item x="33"/>
        <item x="34"/>
        <item x="35"/>
        <item x="36"/>
        <item x="37"/>
        <item x="38"/>
        <item x="39"/>
        <item x="41"/>
        <item x="42"/>
        <item x="43"/>
        <item x="44"/>
        <item x="45"/>
        <item x="46"/>
        <item x="47"/>
        <item x="48"/>
        <item x="49"/>
        <item x="50"/>
        <item x="51"/>
        <item x="52"/>
        <item x="53"/>
        <item x="54"/>
        <item x="55"/>
        <item x="56"/>
        <item x="57"/>
        <item x="58"/>
        <item x="59"/>
        <item x="60"/>
        <item x="61"/>
        <item x="62"/>
        <item x="63"/>
        <item x="65"/>
        <item x="66"/>
        <item x="67"/>
        <item x="68"/>
        <item x="69"/>
        <item x="70"/>
        <item x="71"/>
        <item x="72"/>
        <item x="73"/>
        <item x="74"/>
        <item x="75"/>
        <item x="76"/>
        <item x="77"/>
        <item x="78"/>
        <item x="79"/>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1"/>
        <item x="162"/>
        <item x="163"/>
        <item x="164"/>
        <item x="165"/>
        <item x="166"/>
        <item x="167"/>
        <item x="168"/>
        <item x="169"/>
        <item x="170"/>
        <item x="171"/>
        <item x="172"/>
        <item x="176"/>
        <item x="177"/>
        <item x="178"/>
        <item x="179"/>
        <item x="180"/>
        <item x="181"/>
        <item x="182"/>
        <item x="183"/>
        <item x="185"/>
        <item x="186"/>
        <item x="187"/>
        <item x="188"/>
        <item x="189"/>
        <item x="190"/>
        <item x="191"/>
        <item x="192"/>
        <item x="193"/>
        <item x="194"/>
        <item x="195"/>
        <item x="196"/>
        <item x="197"/>
        <item x="199"/>
        <item x="202"/>
        <item x="203"/>
        <item x="204"/>
        <item x="205"/>
        <item x="206"/>
        <item x="207"/>
        <item x="208"/>
        <item x="209"/>
        <item x="210"/>
        <item x="211"/>
        <item x="212"/>
        <item x="213"/>
        <item x="214"/>
        <item x="215"/>
        <item x="216"/>
        <item x="217"/>
        <item x="219"/>
        <item x="220"/>
        <item x="221"/>
        <item x="222"/>
        <item x="223"/>
        <item x="224"/>
        <item x="225"/>
        <item x="226"/>
        <item x="227"/>
        <item x="228"/>
        <item x="229"/>
        <item x="230"/>
        <item x="231"/>
        <item x="232"/>
        <item x="233"/>
        <item x="234"/>
        <item x="235"/>
        <item x="236"/>
        <item x="238"/>
        <item x="239"/>
        <item x="40"/>
        <item x="129"/>
        <item x="130"/>
        <item x="173"/>
        <item x="64"/>
        <item x="184"/>
        <item x="218"/>
        <item x="237"/>
        <item x="80"/>
        <item x="160"/>
        <item x="200"/>
        <item x="201"/>
        <item x="81"/>
        <item x="174"/>
        <item x="198"/>
        <item x="24"/>
        <item x="175"/>
        <item t="default"/>
      </items>
      <autoSortScope>
        <pivotArea dataOnly="0" outline="0" fieldPosition="0">
          <references count="1">
            <reference field="4294967294" count="1" selected="0">
              <x v="1"/>
            </reference>
          </references>
        </pivotArea>
      </autoSortScope>
    </pivotField>
    <pivotField showAll="0"/>
    <pivotField showAll="0"/>
    <pivotField showAll="0" defaultSubtotal="0"/>
    <pivotField showAll="0"/>
    <pivotField dataField="1" showAll="0"/>
    <pivotField showAll="0"/>
    <pivotField showAll="0"/>
    <pivotField showAll="0"/>
    <pivotField showAll="0" defaultSubtotal="0"/>
    <pivotField axis="axisPage" multipleItemSelectionAllowed="1" showAll="0">
      <items count="6">
        <item h="1" x="2"/>
        <item x="0"/>
        <item h="1" x="1"/>
        <item h="1" x="4"/>
        <item h="1" x="3"/>
        <item t="default"/>
      </items>
    </pivotField>
    <pivotField showAll="0"/>
    <pivotField showAll="0"/>
    <pivotField showAll="0"/>
    <pivotField showAll="0"/>
    <pivotField showAll="0"/>
    <pivotField showAll="0"/>
    <pivotField showAll="0"/>
    <pivotField showAll="0"/>
    <pivotField showAll="0"/>
    <pivotField dataField="1" showAll="0" defaultSubtotal="0"/>
    <pivotField showAll="0" defaultSubtotal="0"/>
    <pivotField dataField="1" showAll="0" defaultSubtotal="0"/>
    <pivotField showAll="0" defaultSubtotal="0"/>
    <pivotField showAll="0" defaultSubtotal="0"/>
    <pivotField showAll="0" defaultSubtotal="0"/>
    <pivotField dataField="1" dragToRow="0" dragToCol="0" dragToPage="0" showAll="0" defaultSubtotal="0"/>
    <pivotField axis="axisRow" showAll="0" defaultSubtotal="0">
      <items count="12">
        <item x="3"/>
        <item x="8"/>
        <item x="0"/>
        <item x="10"/>
        <item x="5"/>
        <item x="11"/>
        <item x="4"/>
        <item x="1"/>
        <item x="6"/>
        <item x="9"/>
        <item x="7"/>
        <item x="2"/>
      </items>
    </pivotField>
    <pivotField dataField="1" dragToRow="0" dragToCol="0" dragToPage="0" showAll="0" defaultSubtotal="0"/>
    <pivotField dragToRow="0" dragToCol="0" dragToPage="0" showAll="0" defaultSubtotal="0"/>
    <pivotField dragToRow="0" dragToCol="0" dragToPage="0" showAll="0" defaultSubtotal="0"/>
  </pivotFields>
  <rowFields count="3">
    <field x="38"/>
    <field x="5"/>
    <field x="11"/>
  </rowFields>
  <rowItems count="168">
    <i>
      <x/>
    </i>
    <i r="1">
      <x/>
    </i>
    <i r="2">
      <x v="183"/>
    </i>
    <i r="2">
      <x v="3"/>
    </i>
    <i r="2">
      <x v="175"/>
    </i>
    <i r="2">
      <x v="72"/>
    </i>
    <i r="2">
      <x v="157"/>
    </i>
    <i r="2">
      <x v="45"/>
    </i>
    <i r="2">
      <x v="136"/>
    </i>
    <i r="2">
      <x v="7"/>
    </i>
    <i r="2">
      <x v="219"/>
    </i>
    <i r="2">
      <x v="199"/>
    </i>
    <i>
      <x v="1"/>
    </i>
    <i r="1">
      <x v="1"/>
    </i>
    <i r="2">
      <x v="43"/>
    </i>
    <i r="2">
      <x v="69"/>
    </i>
    <i r="2">
      <x v="173"/>
    </i>
    <i r="2">
      <x v="187"/>
    </i>
    <i r="2">
      <x v="22"/>
    </i>
    <i>
      <x v="2"/>
    </i>
    <i r="1">
      <x v="2"/>
    </i>
    <i r="2">
      <x v="42"/>
    </i>
    <i r="2">
      <x v="2"/>
    </i>
    <i r="2">
      <x v="1"/>
    </i>
    <i r="2">
      <x v="214"/>
    </i>
    <i r="2">
      <x v="13"/>
    </i>
    <i r="2">
      <x v="36"/>
    </i>
    <i r="2">
      <x v="220"/>
    </i>
    <i r="2">
      <x v="4"/>
    </i>
    <i r="2">
      <x v="5"/>
    </i>
    <i r="2">
      <x v="185"/>
    </i>
    <i r="2">
      <x v="152"/>
    </i>
    <i r="2">
      <x v="37"/>
    </i>
    <i r="2">
      <x v="24"/>
    </i>
    <i r="2">
      <x v="158"/>
    </i>
    <i r="2">
      <x v="182"/>
    </i>
    <i r="2">
      <x v="70"/>
    </i>
    <i r="2">
      <x v="20"/>
    </i>
    <i r="2">
      <x v="71"/>
    </i>
    <i r="2">
      <x v="120"/>
    </i>
    <i r="2">
      <x v="55"/>
    </i>
    <i>
      <x v="3"/>
    </i>
    <i r="1">
      <x v="3"/>
    </i>
    <i r="2">
      <x v="232"/>
    </i>
    <i>
      <x v="5"/>
    </i>
    <i r="1">
      <x v="19"/>
    </i>
    <i r="2">
      <x v="236"/>
    </i>
    <i r="2">
      <x v="198"/>
    </i>
    <i r="2">
      <x v="237"/>
    </i>
    <i r="1">
      <x v="18"/>
    </i>
    <i r="2">
      <x v="192"/>
    </i>
    <i r="2">
      <x v="193"/>
    </i>
    <i r="1">
      <x v="13"/>
    </i>
    <i r="2">
      <x v="134"/>
    </i>
    <i r="2">
      <x v="126"/>
    </i>
    <i r="2">
      <x v="135"/>
    </i>
    <i r="1">
      <x v="9"/>
    </i>
    <i r="2">
      <x v="103"/>
    </i>
    <i r="2">
      <x v="102"/>
    </i>
    <i r="1">
      <x v="17"/>
    </i>
    <i r="2">
      <x v="231"/>
    </i>
    <i r="1">
      <x v="10"/>
    </i>
    <i r="2">
      <x v="235"/>
    </i>
    <i r="2">
      <x v="104"/>
    </i>
    <i r="2">
      <x v="59"/>
    </i>
    <i r="2">
      <x v="161"/>
    </i>
    <i r="1">
      <x v="11"/>
    </i>
    <i r="2">
      <x v="196"/>
    </i>
    <i r="2">
      <x v="164"/>
    </i>
    <i r="1">
      <x v="5"/>
    </i>
    <i r="2">
      <x v="60"/>
    </i>
    <i r="1">
      <x v="16"/>
    </i>
    <i r="2">
      <x v="153"/>
    </i>
    <i>
      <x v="6"/>
    </i>
    <i r="1">
      <x v="6"/>
    </i>
    <i r="2">
      <x v="239"/>
    </i>
    <i r="2">
      <x v="222"/>
    </i>
    <i r="2">
      <x v="130"/>
    </i>
    <i r="2">
      <x v="148"/>
    </i>
    <i r="2">
      <x v="131"/>
    </i>
    <i r="2">
      <x v="123"/>
    </i>
    <i r="2">
      <x v="56"/>
    </i>
    <i r="2">
      <x v="57"/>
    </i>
    <i r="2">
      <x v="54"/>
    </i>
    <i>
      <x v="7"/>
    </i>
    <i r="1">
      <x v="8"/>
    </i>
    <i r="2">
      <x v="97"/>
    </i>
    <i r="2">
      <x v="86"/>
    </i>
    <i r="2">
      <x v="98"/>
    </i>
    <i r="2">
      <x v="105"/>
    </i>
    <i r="2">
      <x v="96"/>
    </i>
    <i r="2">
      <x v="19"/>
    </i>
    <i r="2">
      <x v="87"/>
    </i>
    <i r="2">
      <x v="18"/>
    </i>
    <i r="2">
      <x v="64"/>
    </i>
    <i r="2">
      <x v="95"/>
    </i>
    <i>
      <x v="8"/>
    </i>
    <i r="1">
      <x v="12"/>
    </i>
    <i r="2">
      <x v="51"/>
    </i>
    <i r="2">
      <x v="89"/>
    </i>
    <i r="2">
      <x v="75"/>
    </i>
    <i r="2">
      <x v="74"/>
    </i>
    <i r="2">
      <x v="170"/>
    </i>
    <i r="2">
      <x v="188"/>
    </i>
    <i r="2">
      <x v="168"/>
    </i>
    <i r="2">
      <x v="172"/>
    </i>
    <i r="2">
      <x v="73"/>
    </i>
    <i r="2">
      <x v="44"/>
    </i>
    <i r="2">
      <x v="167"/>
    </i>
    <i r="2">
      <x v="28"/>
    </i>
    <i r="2">
      <x v="124"/>
    </i>
    <i>
      <x v="9"/>
    </i>
    <i r="1">
      <x v="14"/>
    </i>
    <i r="2">
      <x v="67"/>
    </i>
    <i r="2">
      <x v="88"/>
    </i>
    <i r="2">
      <x v="27"/>
    </i>
    <i r="2">
      <x v="49"/>
    </i>
    <i r="2">
      <x v="194"/>
    </i>
    <i r="2">
      <x v="58"/>
    </i>
    <i r="2">
      <x v="68"/>
    </i>
    <i r="2">
      <x v="189"/>
    </i>
    <i r="2">
      <x v="50"/>
    </i>
    <i r="2">
      <x v="190"/>
    </i>
    <i r="2">
      <x v="90"/>
    </i>
    <i r="2">
      <x v="204"/>
    </i>
    <i r="2">
      <x v="205"/>
    </i>
    <i r="2">
      <x v="202"/>
    </i>
    <i r="2">
      <x v="169"/>
    </i>
    <i r="2">
      <x v="25"/>
    </i>
    <i r="2">
      <x v="156"/>
    </i>
    <i r="2">
      <x v="171"/>
    </i>
    <i r="2">
      <x v="229"/>
    </i>
    <i r="2">
      <x v="114"/>
    </i>
    <i r="2">
      <x v="218"/>
    </i>
    <i r="2">
      <x v="26"/>
    </i>
    <i r="2">
      <x v="203"/>
    </i>
    <i r="2">
      <x v="115"/>
    </i>
    <i>
      <x v="10"/>
    </i>
    <i r="1">
      <x v="15"/>
    </i>
    <i r="2">
      <x v="155"/>
    </i>
    <i r="2">
      <x v="143"/>
    </i>
    <i r="2">
      <x v="141"/>
    </i>
    <i r="2">
      <x v="142"/>
    </i>
    <i r="2">
      <x v="140"/>
    </i>
    <i>
      <x v="11"/>
    </i>
    <i r="1">
      <x v="20"/>
    </i>
    <i r="2">
      <x v="215"/>
    </i>
    <i r="2">
      <x v="228"/>
    </i>
    <i r="2">
      <x v="177"/>
    </i>
    <i r="2">
      <x v="35"/>
    </i>
    <i r="2">
      <x v="211"/>
    </i>
    <i r="2">
      <x v="82"/>
    </i>
    <i r="2">
      <x v="179"/>
    </i>
    <i r="2">
      <x v="83"/>
    </i>
    <i r="2">
      <x v="85"/>
    </i>
    <i r="2">
      <x v="34"/>
    </i>
    <i r="2">
      <x v="80"/>
    </i>
    <i r="2">
      <x v="181"/>
    </i>
    <i r="2">
      <x v="206"/>
    </i>
    <i r="2">
      <x v="191"/>
    </i>
    <i r="2">
      <x v="84"/>
    </i>
    <i r="2">
      <x v="230"/>
    </i>
    <i r="2">
      <x v="163"/>
    </i>
    <i r="2">
      <x v="180"/>
    </i>
    <i r="2">
      <x v="17"/>
    </i>
    <i r="2">
      <x v="79"/>
    </i>
    <i r="2">
      <x v="178"/>
    </i>
    <i t="grand">
      <x/>
    </i>
  </rowItems>
  <colFields count="1">
    <field x="-2"/>
  </colFields>
  <colItems count="5">
    <i>
      <x/>
    </i>
    <i i="1">
      <x v="1"/>
    </i>
    <i i="2">
      <x v="2"/>
    </i>
    <i i="3">
      <x v="3"/>
    </i>
    <i i="4">
      <x v="4"/>
    </i>
  </colItems>
  <pageFields count="2">
    <pageField fld="0" hier="-1"/>
    <pageField fld="21" hier="-1"/>
  </pageFields>
  <dataFields count="5">
    <dataField name="Sum of HH" fld="16" baseField="5" baseItem="20" numFmtId="165"/>
    <dataField name="Sum of Shelter Gap" fld="31" baseField="0" baseItem="0" numFmtId="165"/>
    <dataField name="Sum of Shelter Possible" fld="33" baseField="0" baseItem="0" numFmtId="165"/>
    <dataField name="Gap " fld="39" baseField="5" baseItem="0" numFmtId="170"/>
    <dataField name="Possible Units" fld="37" baseField="5" baseItem="0" numFmtId="170"/>
  </dataFields>
  <formats count="96">
    <format dxfId="783">
      <pivotArea outline="0" collapsedLevelsAreSubtotals="1" fieldPosition="0">
        <references count="1">
          <reference field="4294967294" count="1" selected="0">
            <x v="3"/>
          </reference>
        </references>
      </pivotArea>
    </format>
    <format dxfId="782">
      <pivotArea outline="0" collapsedLevelsAreSubtotals="1" fieldPosition="0">
        <references count="1">
          <reference field="4294967294" count="1" selected="0">
            <x v="0"/>
          </reference>
        </references>
      </pivotArea>
    </format>
    <format dxfId="781">
      <pivotArea outline="0" fieldPosition="0">
        <references count="1">
          <reference field="4294967294" count="1">
            <x v="4"/>
          </reference>
        </references>
      </pivotArea>
    </format>
    <format dxfId="780">
      <pivotArea outline="0" fieldPosition="0">
        <references count="1">
          <reference field="4294967294" count="1">
            <x v="3"/>
          </reference>
        </references>
      </pivotArea>
    </format>
    <format dxfId="779">
      <pivotArea outline="0" collapsedLevelsAreSubtotals="1" fieldPosition="0">
        <references count="1">
          <reference field="4294967294" count="2" selected="0">
            <x v="1"/>
            <x v="2"/>
          </reference>
        </references>
      </pivotArea>
    </format>
    <format dxfId="778">
      <pivotArea collapsedLevelsAreSubtotals="1" fieldPosition="0">
        <references count="2">
          <reference field="4294967294" count="1" selected="0">
            <x v="1"/>
          </reference>
          <reference field="11" count="16">
            <x v="3"/>
            <x v="33"/>
            <x v="43"/>
            <x v="51"/>
            <x v="64"/>
            <x v="89"/>
            <x v="96"/>
            <x v="97"/>
            <x v="98"/>
            <x v="124"/>
            <x v="155"/>
            <x v="172"/>
            <x v="177"/>
            <x v="183"/>
            <x v="214"/>
            <x v="215"/>
          </reference>
        </references>
      </pivotArea>
    </format>
    <format dxfId="777">
      <pivotArea dataOnly="0" labelOnly="1" fieldPosition="0">
        <references count="1">
          <reference field="11" count="16">
            <x v="3"/>
            <x v="33"/>
            <x v="43"/>
            <x v="51"/>
            <x v="64"/>
            <x v="89"/>
            <x v="96"/>
            <x v="97"/>
            <x v="98"/>
            <x v="124"/>
            <x v="155"/>
            <x v="172"/>
            <x v="177"/>
            <x v="183"/>
            <x v="214"/>
            <x v="215"/>
          </reference>
        </references>
      </pivotArea>
    </format>
    <format dxfId="776">
      <pivotArea type="all" dataOnly="0" outline="0" fieldPosition="0"/>
    </format>
    <format dxfId="775">
      <pivotArea collapsedLevelsAreSubtotals="1" fieldPosition="0">
        <references count="1">
          <reference field="38" count="1">
            <x v="0"/>
          </reference>
        </references>
      </pivotArea>
    </format>
    <format dxfId="774">
      <pivotArea collapsedLevelsAreSubtotals="1" fieldPosition="0">
        <references count="2">
          <reference field="5" count="1">
            <x v="0"/>
          </reference>
          <reference field="38" count="1" selected="0">
            <x v="0"/>
          </reference>
        </references>
      </pivotArea>
    </format>
    <format dxfId="773">
      <pivotArea collapsedLevelsAreSubtotals="1" fieldPosition="0">
        <references count="3">
          <reference field="5" count="1" selected="0">
            <x v="0"/>
          </reference>
          <reference field="11" count="10">
            <x v="3"/>
            <x v="7"/>
            <x v="45"/>
            <x v="72"/>
            <x v="136"/>
            <x v="157"/>
            <x v="175"/>
            <x v="183"/>
            <x v="199"/>
            <x v="219"/>
          </reference>
          <reference field="38" count="1" selected="0">
            <x v="0"/>
          </reference>
        </references>
      </pivotArea>
    </format>
    <format dxfId="772">
      <pivotArea dataOnly="0" labelOnly="1" fieldPosition="0">
        <references count="1">
          <reference field="38" count="1">
            <x v="0"/>
          </reference>
        </references>
      </pivotArea>
    </format>
    <format dxfId="771">
      <pivotArea dataOnly="0" labelOnly="1" fieldPosition="0">
        <references count="2">
          <reference field="5" count="1">
            <x v="0"/>
          </reference>
          <reference field="38" count="1" selected="0">
            <x v="0"/>
          </reference>
        </references>
      </pivotArea>
    </format>
    <format dxfId="770">
      <pivotArea dataOnly="0" labelOnly="1" fieldPosition="0">
        <references count="3">
          <reference field="5" count="1" selected="0">
            <x v="0"/>
          </reference>
          <reference field="11" count="10">
            <x v="3"/>
            <x v="7"/>
            <x v="45"/>
            <x v="72"/>
            <x v="136"/>
            <x v="157"/>
            <x v="175"/>
            <x v="183"/>
            <x v="199"/>
            <x v="219"/>
          </reference>
          <reference field="38" count="1" selected="0">
            <x v="0"/>
          </reference>
        </references>
      </pivotArea>
    </format>
    <format dxfId="769">
      <pivotArea collapsedLevelsAreSubtotals="1" fieldPosition="0">
        <references count="1">
          <reference field="38" count="1">
            <x v="1"/>
          </reference>
        </references>
      </pivotArea>
    </format>
    <format dxfId="768">
      <pivotArea collapsedLevelsAreSubtotals="1" fieldPosition="0">
        <references count="2">
          <reference field="5" count="1">
            <x v="1"/>
          </reference>
          <reference field="38" count="1" selected="0">
            <x v="1"/>
          </reference>
        </references>
      </pivotArea>
    </format>
    <format dxfId="767">
      <pivotArea collapsedLevelsAreSubtotals="1" fieldPosition="0">
        <references count="3">
          <reference field="5" count="1" selected="0">
            <x v="1"/>
          </reference>
          <reference field="11" count="5">
            <x v="22"/>
            <x v="43"/>
            <x v="69"/>
            <x v="173"/>
            <x v="187"/>
          </reference>
          <reference field="38" count="1" selected="0">
            <x v="1"/>
          </reference>
        </references>
      </pivotArea>
    </format>
    <format dxfId="766">
      <pivotArea dataOnly="0" labelOnly="1" fieldPosition="0">
        <references count="1">
          <reference field="38" count="1">
            <x v="1"/>
          </reference>
        </references>
      </pivotArea>
    </format>
    <format dxfId="765">
      <pivotArea dataOnly="0" labelOnly="1" fieldPosition="0">
        <references count="2">
          <reference field="5" count="1">
            <x v="1"/>
          </reference>
          <reference field="38" count="1" selected="0">
            <x v="1"/>
          </reference>
        </references>
      </pivotArea>
    </format>
    <format dxfId="764">
      <pivotArea dataOnly="0" labelOnly="1" fieldPosition="0">
        <references count="3">
          <reference field="5" count="1" selected="0">
            <x v="1"/>
          </reference>
          <reference field="11" count="5">
            <x v="22"/>
            <x v="43"/>
            <x v="69"/>
            <x v="173"/>
            <x v="187"/>
          </reference>
          <reference field="38" count="1" selected="0">
            <x v="1"/>
          </reference>
        </references>
      </pivotArea>
    </format>
    <format dxfId="763">
      <pivotArea collapsedLevelsAreSubtotals="1" fieldPosition="0">
        <references count="1">
          <reference field="38" count="1">
            <x v="2"/>
          </reference>
        </references>
      </pivotArea>
    </format>
    <format dxfId="762">
      <pivotArea collapsedLevelsAreSubtotals="1" fieldPosition="0">
        <references count="2">
          <reference field="5" count="1">
            <x v="2"/>
          </reference>
          <reference field="38" count="1" selected="0">
            <x v="2"/>
          </reference>
        </references>
      </pivotArea>
    </format>
    <format dxfId="761">
      <pivotArea collapsedLevelsAreSubtotals="1" fieldPosition="0">
        <references count="3">
          <reference field="5" count="1" selected="0">
            <x v="2"/>
          </reference>
          <reference field="11" count="21">
            <x v="1"/>
            <x v="2"/>
            <x v="4"/>
            <x v="5"/>
            <x v="13"/>
            <x v="14"/>
            <x v="20"/>
            <x v="24"/>
            <x v="36"/>
            <x v="37"/>
            <x v="42"/>
            <x v="55"/>
            <x v="70"/>
            <x v="71"/>
            <x v="120"/>
            <x v="152"/>
            <x v="158"/>
            <x v="182"/>
            <x v="185"/>
            <x v="214"/>
            <x v="220"/>
          </reference>
          <reference field="38" count="1" selected="0">
            <x v="2"/>
          </reference>
        </references>
      </pivotArea>
    </format>
    <format dxfId="760">
      <pivotArea dataOnly="0" labelOnly="1" fieldPosition="0">
        <references count="1">
          <reference field="38" count="1">
            <x v="2"/>
          </reference>
        </references>
      </pivotArea>
    </format>
    <format dxfId="759">
      <pivotArea dataOnly="0" labelOnly="1" fieldPosition="0">
        <references count="2">
          <reference field="5" count="1">
            <x v="2"/>
          </reference>
          <reference field="38" count="1" selected="0">
            <x v="2"/>
          </reference>
        </references>
      </pivotArea>
    </format>
    <format dxfId="758">
      <pivotArea dataOnly="0" labelOnly="1" fieldPosition="0">
        <references count="3">
          <reference field="5" count="1" selected="0">
            <x v="2"/>
          </reference>
          <reference field="11" count="21">
            <x v="1"/>
            <x v="2"/>
            <x v="4"/>
            <x v="5"/>
            <x v="13"/>
            <x v="14"/>
            <x v="20"/>
            <x v="24"/>
            <x v="36"/>
            <x v="37"/>
            <x v="42"/>
            <x v="55"/>
            <x v="70"/>
            <x v="71"/>
            <x v="120"/>
            <x v="152"/>
            <x v="158"/>
            <x v="182"/>
            <x v="185"/>
            <x v="214"/>
            <x v="220"/>
          </reference>
          <reference field="38" count="1" selected="0">
            <x v="2"/>
          </reference>
        </references>
      </pivotArea>
    </format>
    <format dxfId="757">
      <pivotArea collapsedLevelsAreSubtotals="1" fieldPosition="0">
        <references count="1">
          <reference field="38" count="1">
            <x v="3"/>
          </reference>
        </references>
      </pivotArea>
    </format>
    <format dxfId="756">
      <pivotArea collapsedLevelsAreSubtotals="1" fieldPosition="0">
        <references count="2">
          <reference field="5" count="1">
            <x v="3"/>
          </reference>
          <reference field="38" count="1" selected="0">
            <x v="3"/>
          </reference>
        </references>
      </pivotArea>
    </format>
    <format dxfId="755">
      <pivotArea collapsedLevelsAreSubtotals="1" fieldPosition="0">
        <references count="3">
          <reference field="5" count="1" selected="0">
            <x v="3"/>
          </reference>
          <reference field="11" count="1">
            <x v="232"/>
          </reference>
          <reference field="38" count="1" selected="0">
            <x v="3"/>
          </reference>
        </references>
      </pivotArea>
    </format>
    <format dxfId="754">
      <pivotArea dataOnly="0" labelOnly="1" fieldPosition="0">
        <references count="1">
          <reference field="38" count="1">
            <x v="3"/>
          </reference>
        </references>
      </pivotArea>
    </format>
    <format dxfId="753">
      <pivotArea dataOnly="0" labelOnly="1" fieldPosition="0">
        <references count="2">
          <reference field="5" count="1">
            <x v="3"/>
          </reference>
          <reference field="38" count="1" selected="0">
            <x v="3"/>
          </reference>
        </references>
      </pivotArea>
    </format>
    <format dxfId="752">
      <pivotArea dataOnly="0" labelOnly="1" fieldPosition="0">
        <references count="3">
          <reference field="5" count="1" selected="0">
            <x v="3"/>
          </reference>
          <reference field="11" count="1">
            <x v="232"/>
          </reference>
          <reference field="38" count="1" selected="0">
            <x v="3"/>
          </reference>
        </references>
      </pivotArea>
    </format>
    <format dxfId="751">
      <pivotArea collapsedLevelsAreSubtotals="1" fieldPosition="0">
        <references count="1">
          <reference field="38" count="1">
            <x v="5"/>
          </reference>
        </references>
      </pivotArea>
    </format>
    <format dxfId="750">
      <pivotArea collapsedLevelsAreSubtotals="1" fieldPosition="0">
        <references count="2">
          <reference field="5" count="1">
            <x v="13"/>
          </reference>
          <reference field="38" count="1" selected="0">
            <x v="5"/>
          </reference>
        </references>
      </pivotArea>
    </format>
    <format dxfId="749">
      <pivotArea collapsedLevelsAreSubtotals="1" fieldPosition="0">
        <references count="3">
          <reference field="5" count="1" selected="0">
            <x v="13"/>
          </reference>
          <reference field="11" count="4">
            <x v="126"/>
            <x v="134"/>
            <x v="135"/>
            <x v="146"/>
          </reference>
          <reference field="38" count="1" selected="0">
            <x v="5"/>
          </reference>
        </references>
      </pivotArea>
    </format>
    <format dxfId="748">
      <pivotArea collapsedLevelsAreSubtotals="1" fieldPosition="0">
        <references count="2">
          <reference field="5" count="1">
            <x v="18"/>
          </reference>
          <reference field="38" count="1" selected="0">
            <x v="5"/>
          </reference>
        </references>
      </pivotArea>
    </format>
    <format dxfId="747">
      <pivotArea collapsedLevelsAreSubtotals="1" fieldPosition="0">
        <references count="3">
          <reference field="5" count="1" selected="0">
            <x v="18"/>
          </reference>
          <reference field="11" count="2">
            <x v="192"/>
            <x v="193"/>
          </reference>
          <reference field="38" count="1" selected="0">
            <x v="5"/>
          </reference>
        </references>
      </pivotArea>
    </format>
    <format dxfId="746">
      <pivotArea collapsedLevelsAreSubtotals="1" fieldPosition="0">
        <references count="2">
          <reference field="5" count="1">
            <x v="9"/>
          </reference>
          <reference field="38" count="1" selected="0">
            <x v="5"/>
          </reference>
        </references>
      </pivotArea>
    </format>
    <format dxfId="745">
      <pivotArea collapsedLevelsAreSubtotals="1" fieldPosition="0">
        <references count="3">
          <reference field="5" count="1" selected="0">
            <x v="9"/>
          </reference>
          <reference field="11" count="2">
            <x v="102"/>
            <x v="103"/>
          </reference>
          <reference field="38" count="1" selected="0">
            <x v="5"/>
          </reference>
        </references>
      </pivotArea>
    </format>
    <format dxfId="744">
      <pivotArea collapsedLevelsAreSubtotals="1" fieldPosition="0">
        <references count="2">
          <reference field="5" count="1">
            <x v="17"/>
          </reference>
          <reference field="38" count="1" selected="0">
            <x v="5"/>
          </reference>
        </references>
      </pivotArea>
    </format>
    <format dxfId="743">
      <pivotArea collapsedLevelsAreSubtotals="1" fieldPosition="0">
        <references count="3">
          <reference field="5" count="1" selected="0">
            <x v="17"/>
          </reference>
          <reference field="11" count="1">
            <x v="231"/>
          </reference>
          <reference field="38" count="1" selected="0">
            <x v="5"/>
          </reference>
        </references>
      </pivotArea>
    </format>
    <format dxfId="742">
      <pivotArea collapsedLevelsAreSubtotals="1" fieldPosition="0">
        <references count="2">
          <reference field="5" count="1">
            <x v="10"/>
          </reference>
          <reference field="38" count="1" selected="0">
            <x v="5"/>
          </reference>
        </references>
      </pivotArea>
    </format>
    <format dxfId="741">
      <pivotArea collapsedLevelsAreSubtotals="1" fieldPosition="0">
        <references count="3">
          <reference field="5" count="1" selected="0">
            <x v="10"/>
          </reference>
          <reference field="11" count="3">
            <x v="59"/>
            <x v="104"/>
            <x v="161"/>
          </reference>
          <reference field="38" count="1" selected="0">
            <x v="5"/>
          </reference>
        </references>
      </pivotArea>
    </format>
    <format dxfId="740">
      <pivotArea collapsedLevelsAreSubtotals="1" fieldPosition="0">
        <references count="2">
          <reference field="5" count="1">
            <x v="11"/>
          </reference>
          <reference field="38" count="1" selected="0">
            <x v="5"/>
          </reference>
        </references>
      </pivotArea>
    </format>
    <format dxfId="739">
      <pivotArea collapsedLevelsAreSubtotals="1" fieldPosition="0">
        <references count="3">
          <reference field="5" count="1" selected="0">
            <x v="11"/>
          </reference>
          <reference field="11" count="2">
            <x v="164"/>
            <x v="196"/>
          </reference>
          <reference field="38" count="1" selected="0">
            <x v="5"/>
          </reference>
        </references>
      </pivotArea>
    </format>
    <format dxfId="738">
      <pivotArea collapsedLevelsAreSubtotals="1" fieldPosition="0">
        <references count="2">
          <reference field="5" count="1">
            <x v="16"/>
          </reference>
          <reference field="38" count="1" selected="0">
            <x v="5"/>
          </reference>
        </references>
      </pivotArea>
    </format>
    <format dxfId="737">
      <pivotArea collapsedLevelsAreSubtotals="1" fieldPosition="0">
        <references count="3">
          <reference field="5" count="1" selected="0">
            <x v="16"/>
          </reference>
          <reference field="11" count="1">
            <x v="153"/>
          </reference>
          <reference field="38" count="1" selected="0">
            <x v="5"/>
          </reference>
        </references>
      </pivotArea>
    </format>
    <format dxfId="736">
      <pivotArea collapsedLevelsAreSubtotals="1" fieldPosition="0">
        <references count="2">
          <reference field="5" count="1">
            <x v="5"/>
          </reference>
          <reference field="38" count="1" selected="0">
            <x v="5"/>
          </reference>
        </references>
      </pivotArea>
    </format>
    <format dxfId="735">
      <pivotArea collapsedLevelsAreSubtotals="1" fieldPosition="0">
        <references count="3">
          <reference field="5" count="1" selected="0">
            <x v="5"/>
          </reference>
          <reference field="11" count="1">
            <x v="60"/>
          </reference>
          <reference field="38" count="1" selected="0">
            <x v="5"/>
          </reference>
        </references>
      </pivotArea>
    </format>
    <format dxfId="734">
      <pivotArea collapsedLevelsAreSubtotals="1" fieldPosition="0">
        <references count="2">
          <reference field="5" count="1">
            <x v="19"/>
          </reference>
          <reference field="38" count="1" selected="0">
            <x v="5"/>
          </reference>
        </references>
      </pivotArea>
    </format>
    <format dxfId="733">
      <pivotArea collapsedLevelsAreSubtotals="1" fieldPosition="0">
        <references count="3">
          <reference field="5" count="1" selected="0">
            <x v="19"/>
          </reference>
          <reference field="11" count="1">
            <x v="198"/>
          </reference>
          <reference field="38" count="1" selected="0">
            <x v="5"/>
          </reference>
        </references>
      </pivotArea>
    </format>
    <format dxfId="732">
      <pivotArea dataOnly="0" labelOnly="1" fieldPosition="0">
        <references count="1">
          <reference field="38" count="1">
            <x v="5"/>
          </reference>
        </references>
      </pivotArea>
    </format>
    <format dxfId="731">
      <pivotArea dataOnly="0" labelOnly="1" fieldPosition="0">
        <references count="2">
          <reference field="5" count="9">
            <x v="5"/>
            <x v="9"/>
            <x v="10"/>
            <x v="11"/>
            <x v="13"/>
            <x v="16"/>
            <x v="17"/>
            <x v="18"/>
            <x v="19"/>
          </reference>
          <reference field="38" count="1" selected="0">
            <x v="5"/>
          </reference>
        </references>
      </pivotArea>
    </format>
    <format dxfId="730">
      <pivotArea dataOnly="0" labelOnly="1" fieldPosition="0">
        <references count="3">
          <reference field="5" count="1" selected="0">
            <x v="13"/>
          </reference>
          <reference field="11" count="17">
            <x v="59"/>
            <x v="60"/>
            <x v="102"/>
            <x v="103"/>
            <x v="104"/>
            <x v="126"/>
            <x v="134"/>
            <x v="135"/>
            <x v="146"/>
            <x v="153"/>
            <x v="161"/>
            <x v="164"/>
            <x v="192"/>
            <x v="193"/>
            <x v="196"/>
            <x v="198"/>
            <x v="231"/>
          </reference>
          <reference field="38" count="1" selected="0">
            <x v="5"/>
          </reference>
        </references>
      </pivotArea>
    </format>
    <format dxfId="729">
      <pivotArea collapsedLevelsAreSubtotals="1" fieldPosition="0">
        <references count="1">
          <reference field="38" count="1">
            <x v="6"/>
          </reference>
        </references>
      </pivotArea>
    </format>
    <format dxfId="728">
      <pivotArea collapsedLevelsAreSubtotals="1" fieldPosition="0">
        <references count="2">
          <reference field="5" count="1">
            <x v="6"/>
          </reference>
          <reference field="38" count="1" selected="0">
            <x v="6"/>
          </reference>
        </references>
      </pivotArea>
    </format>
    <format dxfId="727">
      <pivotArea collapsedLevelsAreSubtotals="1" fieldPosition="0">
        <references count="3">
          <reference field="5" count="1" selected="0">
            <x v="6"/>
          </reference>
          <reference field="11" count="8">
            <x v="54"/>
            <x v="56"/>
            <x v="57"/>
            <x v="123"/>
            <x v="130"/>
            <x v="131"/>
            <x v="148"/>
            <x v="222"/>
          </reference>
          <reference field="38" count="1" selected="0">
            <x v="6"/>
          </reference>
        </references>
      </pivotArea>
    </format>
    <format dxfId="726">
      <pivotArea dataOnly="0" labelOnly="1" fieldPosition="0">
        <references count="1">
          <reference field="38" count="1">
            <x v="6"/>
          </reference>
        </references>
      </pivotArea>
    </format>
    <format dxfId="725">
      <pivotArea dataOnly="0" labelOnly="1" fieldPosition="0">
        <references count="2">
          <reference field="5" count="1">
            <x v="6"/>
          </reference>
          <reference field="38" count="1" selected="0">
            <x v="6"/>
          </reference>
        </references>
      </pivotArea>
    </format>
    <format dxfId="724">
      <pivotArea dataOnly="0" labelOnly="1" fieldPosition="0">
        <references count="3">
          <reference field="5" count="1" selected="0">
            <x v="6"/>
          </reference>
          <reference field="11" count="8">
            <x v="54"/>
            <x v="56"/>
            <x v="57"/>
            <x v="123"/>
            <x v="130"/>
            <x v="131"/>
            <x v="148"/>
            <x v="222"/>
          </reference>
          <reference field="38" count="1" selected="0">
            <x v="6"/>
          </reference>
        </references>
      </pivotArea>
    </format>
    <format dxfId="723">
      <pivotArea collapsedLevelsAreSubtotals="1" fieldPosition="0">
        <references count="1">
          <reference field="38" count="1">
            <x v="7"/>
          </reference>
        </references>
      </pivotArea>
    </format>
    <format dxfId="722">
      <pivotArea collapsedLevelsAreSubtotals="1" fieldPosition="0">
        <references count="2">
          <reference field="5" count="1">
            <x v="8"/>
          </reference>
          <reference field="38" count="1" selected="0">
            <x v="7"/>
          </reference>
        </references>
      </pivotArea>
    </format>
    <format dxfId="721">
      <pivotArea collapsedLevelsAreSubtotals="1" fieldPosition="0">
        <references count="3">
          <reference field="5" count="1" selected="0">
            <x v="8"/>
          </reference>
          <reference field="11" count="11">
            <x v="18"/>
            <x v="19"/>
            <x v="64"/>
            <x v="76"/>
            <x v="86"/>
            <x v="87"/>
            <x v="95"/>
            <x v="96"/>
            <x v="97"/>
            <x v="98"/>
            <x v="105"/>
          </reference>
          <reference field="38" count="1" selected="0">
            <x v="7"/>
          </reference>
        </references>
      </pivotArea>
    </format>
    <format dxfId="720">
      <pivotArea dataOnly="0" labelOnly="1" fieldPosition="0">
        <references count="1">
          <reference field="38" count="1">
            <x v="7"/>
          </reference>
        </references>
      </pivotArea>
    </format>
    <format dxfId="719">
      <pivotArea dataOnly="0" labelOnly="1" fieldPosition="0">
        <references count="2">
          <reference field="5" count="1">
            <x v="8"/>
          </reference>
          <reference field="38" count="1" selected="0">
            <x v="7"/>
          </reference>
        </references>
      </pivotArea>
    </format>
    <format dxfId="718">
      <pivotArea dataOnly="0" labelOnly="1" fieldPosition="0">
        <references count="3">
          <reference field="5" count="1" selected="0">
            <x v="8"/>
          </reference>
          <reference field="11" count="11">
            <x v="18"/>
            <x v="19"/>
            <x v="64"/>
            <x v="76"/>
            <x v="86"/>
            <x v="87"/>
            <x v="95"/>
            <x v="96"/>
            <x v="97"/>
            <x v="98"/>
            <x v="105"/>
          </reference>
          <reference field="38" count="1" selected="0">
            <x v="7"/>
          </reference>
        </references>
      </pivotArea>
    </format>
    <format dxfId="717">
      <pivotArea collapsedLevelsAreSubtotals="1" fieldPosition="0">
        <references count="1">
          <reference field="38" count="1">
            <x v="8"/>
          </reference>
        </references>
      </pivotArea>
    </format>
    <format dxfId="716">
      <pivotArea collapsedLevelsAreSubtotals="1" fieldPosition="0">
        <references count="2">
          <reference field="5" count="1">
            <x v="12"/>
          </reference>
          <reference field="38" count="1" selected="0">
            <x v="8"/>
          </reference>
        </references>
      </pivotArea>
    </format>
    <format dxfId="715">
      <pivotArea collapsedLevelsAreSubtotals="1" fieldPosition="0">
        <references count="3">
          <reference field="5" count="1" selected="0">
            <x v="12"/>
          </reference>
          <reference field="11" count="14">
            <x v="28"/>
            <x v="44"/>
            <x v="51"/>
            <x v="73"/>
            <x v="74"/>
            <x v="75"/>
            <x v="89"/>
            <x v="101"/>
            <x v="124"/>
            <x v="167"/>
            <x v="168"/>
            <x v="170"/>
            <x v="172"/>
            <x v="188"/>
          </reference>
          <reference field="38" count="1" selected="0">
            <x v="8"/>
          </reference>
        </references>
      </pivotArea>
    </format>
    <format dxfId="714">
      <pivotArea dataOnly="0" labelOnly="1" fieldPosition="0">
        <references count="1">
          <reference field="38" count="1">
            <x v="8"/>
          </reference>
        </references>
      </pivotArea>
    </format>
    <format dxfId="713">
      <pivotArea dataOnly="0" labelOnly="1" fieldPosition="0">
        <references count="2">
          <reference field="5" count="1">
            <x v="12"/>
          </reference>
          <reference field="38" count="1" selected="0">
            <x v="8"/>
          </reference>
        </references>
      </pivotArea>
    </format>
    <format dxfId="712">
      <pivotArea dataOnly="0" labelOnly="1" fieldPosition="0">
        <references count="3">
          <reference field="5" count="1" selected="0">
            <x v="12"/>
          </reference>
          <reference field="11" count="14">
            <x v="28"/>
            <x v="44"/>
            <x v="51"/>
            <x v="73"/>
            <x v="74"/>
            <x v="75"/>
            <x v="89"/>
            <x v="101"/>
            <x v="124"/>
            <x v="167"/>
            <x v="168"/>
            <x v="170"/>
            <x v="172"/>
            <x v="188"/>
          </reference>
          <reference field="38" count="1" selected="0">
            <x v="8"/>
          </reference>
        </references>
      </pivotArea>
    </format>
    <format dxfId="711">
      <pivotArea collapsedLevelsAreSubtotals="1" fieldPosition="0">
        <references count="1">
          <reference field="38" count="1">
            <x v="9"/>
          </reference>
        </references>
      </pivotArea>
    </format>
    <format dxfId="710">
      <pivotArea collapsedLevelsAreSubtotals="1" fieldPosition="0">
        <references count="2">
          <reference field="5" count="1">
            <x v="14"/>
          </reference>
          <reference field="38" count="1" selected="0">
            <x v="9"/>
          </reference>
        </references>
      </pivotArea>
    </format>
    <format dxfId="709">
      <pivotArea collapsedLevelsAreSubtotals="1" fieldPosition="0">
        <references count="3">
          <reference field="5" count="1" selected="0">
            <x v="14"/>
          </reference>
          <reference field="11" count="24">
            <x v="25"/>
            <x v="26"/>
            <x v="27"/>
            <x v="49"/>
            <x v="50"/>
            <x v="58"/>
            <x v="67"/>
            <x v="68"/>
            <x v="88"/>
            <x v="90"/>
            <x v="114"/>
            <x v="115"/>
            <x v="156"/>
            <x v="169"/>
            <x v="171"/>
            <x v="189"/>
            <x v="190"/>
            <x v="194"/>
            <x v="202"/>
            <x v="203"/>
            <x v="204"/>
            <x v="205"/>
            <x v="218"/>
            <x v="229"/>
          </reference>
          <reference field="38" count="1" selected="0">
            <x v="9"/>
          </reference>
        </references>
      </pivotArea>
    </format>
    <format dxfId="708">
      <pivotArea dataOnly="0" labelOnly="1" fieldPosition="0">
        <references count="1">
          <reference field="38" count="1">
            <x v="9"/>
          </reference>
        </references>
      </pivotArea>
    </format>
    <format dxfId="707">
      <pivotArea dataOnly="0" labelOnly="1" fieldPosition="0">
        <references count="2">
          <reference field="5" count="1">
            <x v="14"/>
          </reference>
          <reference field="38" count="1" selected="0">
            <x v="9"/>
          </reference>
        </references>
      </pivotArea>
    </format>
    <format dxfId="706">
      <pivotArea dataOnly="0" labelOnly="1" fieldPosition="0">
        <references count="3">
          <reference field="5" count="1" selected="0">
            <x v="14"/>
          </reference>
          <reference field="11" count="24">
            <x v="25"/>
            <x v="26"/>
            <x v="27"/>
            <x v="49"/>
            <x v="50"/>
            <x v="58"/>
            <x v="67"/>
            <x v="68"/>
            <x v="88"/>
            <x v="90"/>
            <x v="114"/>
            <x v="115"/>
            <x v="156"/>
            <x v="169"/>
            <x v="171"/>
            <x v="189"/>
            <x v="190"/>
            <x v="194"/>
            <x v="202"/>
            <x v="203"/>
            <x v="204"/>
            <x v="205"/>
            <x v="218"/>
            <x v="229"/>
          </reference>
          <reference field="38" count="1" selected="0">
            <x v="9"/>
          </reference>
        </references>
      </pivotArea>
    </format>
    <format dxfId="705">
      <pivotArea collapsedLevelsAreSubtotals="1" fieldPosition="0">
        <references count="1">
          <reference field="38" count="1">
            <x v="10"/>
          </reference>
        </references>
      </pivotArea>
    </format>
    <format dxfId="704">
      <pivotArea collapsedLevelsAreSubtotals="1" fieldPosition="0">
        <references count="2">
          <reference field="5" count="1">
            <x v="15"/>
          </reference>
          <reference field="38" count="1" selected="0">
            <x v="10"/>
          </reference>
        </references>
      </pivotArea>
    </format>
    <format dxfId="703">
      <pivotArea collapsedLevelsAreSubtotals="1" fieldPosition="0">
        <references count="3">
          <reference field="5" count="1" selected="0">
            <x v="15"/>
          </reference>
          <reference field="11" count="5">
            <x v="140"/>
            <x v="141"/>
            <x v="142"/>
            <x v="143"/>
            <x v="155"/>
          </reference>
          <reference field="38" count="1" selected="0">
            <x v="10"/>
          </reference>
        </references>
      </pivotArea>
    </format>
    <format dxfId="702">
      <pivotArea dataOnly="0" labelOnly="1" fieldPosition="0">
        <references count="1">
          <reference field="38" count="1">
            <x v="10"/>
          </reference>
        </references>
      </pivotArea>
    </format>
    <format dxfId="701">
      <pivotArea dataOnly="0" labelOnly="1" fieldPosition="0">
        <references count="2">
          <reference field="5" count="1">
            <x v="15"/>
          </reference>
          <reference field="38" count="1" selected="0">
            <x v="10"/>
          </reference>
        </references>
      </pivotArea>
    </format>
    <format dxfId="700">
      <pivotArea dataOnly="0" labelOnly="1" fieldPosition="0">
        <references count="3">
          <reference field="5" count="1" selected="0">
            <x v="15"/>
          </reference>
          <reference field="11" count="5">
            <x v="140"/>
            <x v="141"/>
            <x v="142"/>
            <x v="143"/>
            <x v="155"/>
          </reference>
          <reference field="38" count="1" selected="0">
            <x v="10"/>
          </reference>
        </references>
      </pivotArea>
    </format>
    <format dxfId="699">
      <pivotArea collapsedLevelsAreSubtotals="1" fieldPosition="0">
        <references count="1">
          <reference field="38" count="1">
            <x v="11"/>
          </reference>
        </references>
      </pivotArea>
    </format>
    <format dxfId="698">
      <pivotArea collapsedLevelsAreSubtotals="1" fieldPosition="0">
        <references count="2">
          <reference field="5" count="1">
            <x v="20"/>
          </reference>
          <reference field="38" count="1" selected="0">
            <x v="11"/>
          </reference>
        </references>
      </pivotArea>
    </format>
    <format dxfId="697">
      <pivotArea collapsedLevelsAreSubtotals="1" fieldPosition="0">
        <references count="3">
          <reference field="5" count="1" selected="0">
            <x v="20"/>
          </reference>
          <reference field="11" count="21">
            <x v="17"/>
            <x v="34"/>
            <x v="35"/>
            <x v="79"/>
            <x v="80"/>
            <x v="82"/>
            <x v="83"/>
            <x v="84"/>
            <x v="85"/>
            <x v="163"/>
            <x v="177"/>
            <x v="178"/>
            <x v="179"/>
            <x v="180"/>
            <x v="181"/>
            <x v="191"/>
            <x v="206"/>
            <x v="211"/>
            <x v="215"/>
            <x v="228"/>
            <x v="230"/>
          </reference>
          <reference field="38" count="1" selected="0">
            <x v="11"/>
          </reference>
        </references>
      </pivotArea>
    </format>
    <format dxfId="696">
      <pivotArea dataOnly="0" labelOnly="1" fieldPosition="0">
        <references count="1">
          <reference field="38" count="1">
            <x v="11"/>
          </reference>
        </references>
      </pivotArea>
    </format>
    <format dxfId="695">
      <pivotArea dataOnly="0" labelOnly="1" fieldPosition="0">
        <references count="2">
          <reference field="5" count="1">
            <x v="20"/>
          </reference>
          <reference field="38" count="1" selected="0">
            <x v="11"/>
          </reference>
        </references>
      </pivotArea>
    </format>
    <format dxfId="694">
      <pivotArea dataOnly="0" labelOnly="1" fieldPosition="0">
        <references count="3">
          <reference field="5" count="1" selected="0">
            <x v="20"/>
          </reference>
          <reference field="11" count="21">
            <x v="17"/>
            <x v="34"/>
            <x v="35"/>
            <x v="79"/>
            <x v="80"/>
            <x v="82"/>
            <x v="83"/>
            <x v="84"/>
            <x v="85"/>
            <x v="163"/>
            <x v="177"/>
            <x v="178"/>
            <x v="179"/>
            <x v="180"/>
            <x v="181"/>
            <x v="191"/>
            <x v="206"/>
            <x v="211"/>
            <x v="215"/>
            <x v="228"/>
            <x v="230"/>
          </reference>
          <reference field="38" count="1" selected="0">
            <x v="11"/>
          </reference>
        </references>
      </pivotArea>
    </format>
    <format dxfId="693">
      <pivotArea outline="0" collapsedLevelsAreSubtotals="1" fieldPosition="0">
        <references count="1">
          <reference field="4294967294" count="1" selected="0">
            <x v="0"/>
          </reference>
        </references>
      </pivotArea>
    </format>
    <format dxfId="692">
      <pivotArea dataOnly="0" labelOnly="1" outline="0" fieldPosition="0">
        <references count="1">
          <reference field="4294967294" count="1">
            <x v="0"/>
          </reference>
        </references>
      </pivotArea>
    </format>
    <format dxfId="691">
      <pivotArea outline="0" collapsedLevelsAreSubtotals="1" fieldPosition="0">
        <references count="1">
          <reference field="4294967294" count="1" selected="0">
            <x v="2"/>
          </reference>
        </references>
      </pivotArea>
    </format>
    <format dxfId="690">
      <pivotArea dataOnly="0" labelOnly="1" outline="0" fieldPosition="0">
        <references count="1">
          <reference field="4294967294" count="1">
            <x v="2"/>
          </reference>
        </references>
      </pivotArea>
    </format>
    <format dxfId="689">
      <pivotArea outline="0" collapsedLevelsAreSubtotals="1" fieldPosition="0">
        <references count="1">
          <reference field="4294967294" count="1" selected="0">
            <x v="4"/>
          </reference>
        </references>
      </pivotArea>
    </format>
    <format dxfId="688">
      <pivotArea dataOnly="0" labelOnly="1" outline="0" fieldPosition="0">
        <references count="1">
          <reference field="4294967294"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5" cacheId="23" applyNumberFormats="0" applyBorderFormats="0" applyFontFormats="0" applyPatternFormats="0" applyAlignmentFormats="0" applyWidthHeightFormats="1" dataCaption="Values" grandTotalCaption="Total" updatedVersion="5" minRefreshableVersion="3" useAutoFormatting="1" itemPrintTitles="1" createdVersion="4" indent="0" outline="1" outlineData="1" multipleFieldFilters="0" rowHeaderCaption="Township">
  <location ref="C21:H33" firstHeaderRow="0" firstDataRow="1" firstDataCol="1" rowPageCount="2" colPageCount="1"/>
  <pivotFields count="42">
    <pivotField axis="axisPage" multipleItemSelectionAllowed="1" showAll="0">
      <items count="3">
        <item h="1" x="0"/>
        <item x="1"/>
        <item t="default"/>
      </items>
    </pivotField>
    <pivotField showAll="0"/>
    <pivotField showAll="0"/>
    <pivotField showAll="0"/>
    <pivotField showAll="0"/>
    <pivotField showAll="0" sortType="descending">
      <items count="22">
        <item x="1"/>
        <item x="4"/>
        <item x="0"/>
        <item x="18"/>
        <item x="14"/>
        <item x="13"/>
        <item x="7"/>
        <item x="15"/>
        <item x="2"/>
        <item x="16"/>
        <item x="12"/>
        <item x="8"/>
        <item x="5"/>
        <item x="10"/>
        <item x="6"/>
        <item x="17"/>
        <item x="19"/>
        <item x="11"/>
        <item x="9"/>
        <item x="20"/>
        <item x="3"/>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pivotField showAll="0"/>
    <pivotField showAll="0" sortType="descending">
      <autoSortScope>
        <pivotArea dataOnly="0" outline="0" fieldPosition="0">
          <references count="1">
            <reference field="4294967294" count="1" selected="0">
              <x v="3"/>
            </reference>
          </references>
        </pivotArea>
      </autoSortScope>
    </pivotField>
    <pivotField dataField="1" showAll="0"/>
    <pivotField showAll="0"/>
    <pivotField showAll="0" defaultSubtotal="0"/>
    <pivotField showAll="0"/>
    <pivotField dataField="1" showAll="0"/>
    <pivotField dataField="1" showAll="0"/>
    <pivotField showAll="0"/>
    <pivotField showAll="0"/>
    <pivotField showAll="0" defaultSubtotal="0"/>
    <pivotField axis="axisPage" multipleItemSelectionAllowed="1" showAll="0">
      <items count="6">
        <item h="1" x="2"/>
        <item x="0"/>
        <item h="1" x="1"/>
        <item h="1" x="4"/>
        <item h="1" x="3"/>
        <item t="default"/>
      </items>
    </pivotField>
    <pivotField showAll="0"/>
    <pivotField showAll="0"/>
    <pivotField showAll="0"/>
    <pivotField showAll="0"/>
    <pivotField showAll="0"/>
    <pivotField showAll="0"/>
    <pivotField showAll="0"/>
    <pivotField showAll="0"/>
    <pivotField showAll="0"/>
    <pivotField dataField="1" showAll="0" defaultSubtotal="0"/>
    <pivotField showAll="0" defaultSubtotal="0"/>
    <pivotField dataField="1" showAll="0" defaultSubtotal="0"/>
    <pivotField showAll="0" defaultSubtotal="0"/>
    <pivotField showAll="0" defaultSubtotal="0"/>
    <pivotField showAll="0" defaultSubtotal="0"/>
    <pivotField dragToRow="0" dragToCol="0" dragToPage="0" showAll="0" defaultSubtotal="0"/>
    <pivotField axis="axisRow" showAll="0" defaultSubtotal="0">
      <items count="12">
        <item x="3"/>
        <item x="8"/>
        <item x="0"/>
        <item x="10"/>
        <item x="5"/>
        <item x="4"/>
        <item x="1"/>
        <item x="6"/>
        <item x="9"/>
        <item x="7"/>
        <item x="2"/>
        <item n="Other Townships" x="11"/>
      </items>
    </pivotField>
    <pivotField dragToRow="0" dragToCol="0" dragToPage="0" showAll="0" defaultSubtotal="0"/>
    <pivotField dragToRow="0" dragToCol="0" dragToPage="0" showAll="0" defaultSubtotal="0"/>
    <pivotField dragToRow="0" dragToCol="0" dragToPage="0" showAll="0" defaultSubtotal="0"/>
  </pivotFields>
  <rowFields count="1">
    <field x="38"/>
  </rowFields>
  <rowItems count="12">
    <i>
      <x/>
    </i>
    <i>
      <x v="1"/>
    </i>
    <i>
      <x v="2"/>
    </i>
    <i>
      <x v="3"/>
    </i>
    <i>
      <x v="5"/>
    </i>
    <i>
      <x v="6"/>
    </i>
    <i>
      <x v="7"/>
    </i>
    <i>
      <x v="8"/>
    </i>
    <i>
      <x v="9"/>
    </i>
    <i>
      <x v="10"/>
    </i>
    <i>
      <x v="11"/>
    </i>
    <i t="grand">
      <x/>
    </i>
  </rowItems>
  <colFields count="1">
    <field x="-2"/>
  </colFields>
  <colItems count="5">
    <i>
      <x/>
    </i>
    <i i="1">
      <x v="1"/>
    </i>
    <i i="2">
      <x v="2"/>
    </i>
    <i i="3">
      <x v="3"/>
    </i>
    <i i="4">
      <x v="4"/>
    </i>
  </colItems>
  <pageFields count="2">
    <pageField fld="0" hier="-1"/>
    <pageField fld="21" hier="-1"/>
  </pageFields>
  <dataFields count="5">
    <dataField name="# HH" fld="16" baseField="5" baseItem="20" numFmtId="165"/>
    <dataField name="# Ind." fld="17" baseField="5" baseItem="20" numFmtId="3"/>
    <dataField name="# Camps" fld="12" subtotal="count" baseField="0" baseItem="0"/>
    <dataField name="# Shelter Gap" fld="31" baseField="0" baseItem="0" numFmtId="165"/>
    <dataField name="# Const. Shelter" fld="33" baseField="0" baseItem="0" numFmtId="165"/>
  </dataFields>
  <formats count="10">
    <format dxfId="374">
      <pivotArea outline="0" collapsedLevelsAreSubtotals="1" fieldPosition="0">
        <references count="1">
          <reference field="4294967294" count="1" selected="0">
            <x v="0"/>
          </reference>
        </references>
      </pivotArea>
    </format>
    <format dxfId="373">
      <pivotArea outline="0" collapsedLevelsAreSubtotals="1" fieldPosition="0">
        <references count="1">
          <reference field="4294967294" count="2" selected="0">
            <x v="3"/>
            <x v="4"/>
          </reference>
        </references>
      </pivotArea>
    </format>
    <format dxfId="372">
      <pivotArea outline="0" fieldPosition="0">
        <references count="1">
          <reference field="4294967294" count="1">
            <x v="1"/>
          </reference>
        </references>
      </pivotArea>
    </format>
    <format dxfId="371">
      <pivotArea field="5" type="button" dataOnly="0" labelOnly="1" outline="0"/>
    </format>
    <format dxfId="370">
      <pivotArea dataOnly="0" labelOnly="1" outline="0" fieldPosition="0">
        <references count="1">
          <reference field="4294967294" count="5">
            <x v="0"/>
            <x v="1"/>
            <x v="2"/>
            <x v="3"/>
            <x v="4"/>
          </reference>
        </references>
      </pivotArea>
    </format>
    <format dxfId="369">
      <pivotArea field="5" type="button" dataOnly="0" labelOnly="1" outline="0"/>
    </format>
    <format dxfId="368">
      <pivotArea dataOnly="0" labelOnly="1" outline="0" fieldPosition="0">
        <references count="1">
          <reference field="4294967294" count="5">
            <x v="0"/>
            <x v="1"/>
            <x v="2"/>
            <x v="3"/>
            <x v="4"/>
          </reference>
        </references>
      </pivotArea>
    </format>
    <format dxfId="367">
      <pivotArea dataOnly="0" labelOnly="1" outline="0" fieldPosition="0">
        <references count="1">
          <reference field="4294967294" count="5">
            <x v="0"/>
            <x v="1"/>
            <x v="2"/>
            <x v="3"/>
            <x v="4"/>
          </reference>
        </references>
      </pivotArea>
    </format>
    <format dxfId="366">
      <pivotArea field="5" type="button" dataOnly="0" labelOnly="1" outline="0"/>
    </format>
    <format dxfId="365">
      <pivotArea type="all" dataOnly="0" outline="0" fieldPosition="0"/>
    </format>
  </formats>
  <pivotTableStyleInfo name="PivotStyleMedium9"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4" cacheId="1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A72:D79" firstHeaderRow="0" firstDataRow="1" firstDataCol="1" rowPageCount="3" colPageCount="1"/>
  <pivotFields count="47">
    <pivotField showAll="0" defaultSubtotal="0"/>
    <pivotField showAll="0"/>
    <pivotField axis="axisRow" showAll="0">
      <items count="14">
        <item x="6"/>
        <item x="3"/>
        <item x="10"/>
        <item x="4"/>
        <item x="8"/>
        <item x="1"/>
        <item x="9"/>
        <item x="2"/>
        <item x="7"/>
        <item x="5"/>
        <item x="0"/>
        <item x="11"/>
        <item x="12"/>
        <item t="default"/>
      </items>
    </pivotField>
    <pivotField showAll="0"/>
    <pivotField multipleItemSelectionAllowed="1" showAll="0"/>
    <pivotField showAll="0"/>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multipleItemSelectionAllowed="1" showAll="0" defaultSubtotal="0"/>
    <pivotField showAll="0" defaultSubtotal="0"/>
    <pivotField showAll="0" defaultSubtotal="0"/>
    <pivotField showAll="0" defaultSubtotal="0"/>
    <pivotField axis="axisPage" multipleItemSelectionAllowed="1" showAll="0" defaultSubtotal="0">
      <items count="2">
        <item h="1" x="1"/>
        <item x="0"/>
      </items>
    </pivotField>
    <pivotField showAll="0" defaultSubtotal="0"/>
    <pivotField showAll="0" defaultSubtotal="0"/>
    <pivotField multipleItemSelectionAllowed="1" showAll="0" defaultSubtotal="0"/>
    <pivotField axis="axisPage" multipleItemSelectionAllowed="1" showAll="0" defaultSubtotal="0">
      <items count="3">
        <item h="1" x="0"/>
        <item h="1" x="2"/>
        <item x="1"/>
      </items>
    </pivotField>
    <pivotField axis="axisPage" multipleItemSelectionAllowed="1" showAll="0" defaultSubtotal="0">
      <items count="5">
        <item h="1" x="0"/>
        <item x="3"/>
        <item h="1" x="4"/>
        <item h="1" x="2"/>
        <item h="1" x="1"/>
      </items>
    </pivotField>
    <pivotField showAll="0" defaultSubtotal="0"/>
    <pivotField showAll="0" defaultSubtotal="0"/>
    <pivotField showAll="0" defaultSubtotal="0"/>
  </pivotFields>
  <rowFields count="1">
    <field x="2"/>
  </rowFields>
  <rowItems count="7">
    <i>
      <x v="1"/>
    </i>
    <i>
      <x v="3"/>
    </i>
    <i>
      <x v="5"/>
    </i>
    <i>
      <x v="7"/>
    </i>
    <i>
      <x v="9"/>
    </i>
    <i>
      <x v="10"/>
    </i>
    <i t="grand">
      <x/>
    </i>
  </rowItems>
  <colFields count="1">
    <field x="-2"/>
  </colFields>
  <colItems count="3">
    <i>
      <x/>
    </i>
    <i i="1">
      <x v="1"/>
    </i>
    <i i="2">
      <x v="2"/>
    </i>
  </colItems>
  <pageFields count="3">
    <pageField fld="42" hier="-1"/>
    <pageField fld="43" hier="-1"/>
    <pageField fld="38" hier="-1"/>
  </pageFields>
  <dataFields count="3">
    <dataField name="Winter Clothes Adult " fld="17" baseField="2" baseItem="6"/>
    <dataField name="Winter Clothes Children " fld="18" baseField="2" baseItem="6"/>
    <dataField name="Winter Blanket " fld="20" baseField="2" baseItem="6"/>
  </dataFields>
  <formats count="10">
    <format dxfId="295">
      <pivotArea outline="0" collapsedLevelsAreSubtotals="1" fieldPosition="0"/>
    </format>
    <format dxfId="294">
      <pivotArea type="all" dataOnly="0" outline="0" fieldPosition="0"/>
    </format>
    <format dxfId="293">
      <pivotArea field="42" type="button" dataOnly="0" labelOnly="1" outline="0" axis="axisPage" fieldPosition="0"/>
    </format>
    <format dxfId="292">
      <pivotArea dataOnly="0" labelOnly="1" outline="0" fieldPosition="0">
        <references count="1">
          <reference field="42" count="0"/>
        </references>
      </pivotArea>
    </format>
    <format dxfId="291">
      <pivotArea field="43" type="button" dataOnly="0" labelOnly="1" outline="0" axis="axisPage" fieldPosition="1"/>
    </format>
    <format dxfId="290">
      <pivotArea dataOnly="0" labelOnly="1" outline="0" fieldPosition="0">
        <references count="1">
          <reference field="43" count="0"/>
        </references>
      </pivotArea>
    </format>
    <format dxfId="289">
      <pivotArea field="38" type="button" dataOnly="0" labelOnly="1" outline="0" axis="axisPage" fieldPosition="2"/>
    </format>
    <format dxfId="288">
      <pivotArea dataOnly="0" labelOnly="1" outline="0" fieldPosition="0">
        <references count="1">
          <reference field="38" count="0"/>
        </references>
      </pivotArea>
    </format>
    <format dxfId="287">
      <pivotArea field="2" type="button" dataOnly="0" labelOnly="1" outline="0" axis="axisRow" fieldPosition="0"/>
    </format>
    <format dxfId="286">
      <pivotArea dataOnly="0" labelOnly="1" outline="0" fieldPosition="0">
        <references count="1">
          <reference field="4294967294" count="3">
            <x v="0"/>
            <x v="1"/>
            <x v="2"/>
          </reference>
        </references>
      </pivotArea>
    </format>
  </formats>
  <chartFormats count="3">
    <chartFormat chart="10" format="6" series="1">
      <pivotArea type="data" outline="0" fieldPosition="0">
        <references count="1">
          <reference field="4294967294" count="1" selected="0">
            <x v="0"/>
          </reference>
        </references>
      </pivotArea>
    </chartFormat>
    <chartFormat chart="10" format="7" series="1">
      <pivotArea type="data" outline="0" fieldPosition="0">
        <references count="1">
          <reference field="4294967294" count="1" selected="0">
            <x v="1"/>
          </reference>
        </references>
      </pivotArea>
    </chartFormat>
    <chartFormat chart="10" format="8"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3" cacheId="10" applyNumberFormats="0" applyBorderFormats="0" applyFontFormats="0" applyPatternFormats="0" applyAlignmentFormats="0" applyWidthHeightFormats="1" dataCaption="Values" updatedVersion="5" minRefreshableVersion="3" useAutoFormatting="1" colGrandTotals="0" itemPrintTitles="1" createdVersion="4" indent="0" outline="1" outlineData="1" multipleFieldFilters="0" chartFormat="7">
  <location ref="A62:G64" firstHeaderRow="0" firstDataRow="1" firstDataCol="1" rowPageCount="2" colPageCount="1"/>
  <pivotFields count="47">
    <pivotField showAll="0" defaultSubtotal="0"/>
    <pivotField showAll="0"/>
    <pivotField axis="axisRow" showAll="0">
      <items count="14">
        <item x="6"/>
        <item x="3"/>
        <item x="10"/>
        <item x="4"/>
        <item x="8"/>
        <item x="1"/>
        <item x="9"/>
        <item x="2"/>
        <item x="7"/>
        <item x="5"/>
        <item x="0"/>
        <item x="11"/>
        <item x="12"/>
        <item t="default"/>
      </items>
    </pivotField>
    <pivotField showAll="0"/>
    <pivotField multipleItemSelectionAllowed="1" showAll="0"/>
    <pivotField showAll="0"/>
    <pivotField showAll="0"/>
    <pivotField showAll="0" defaultSubtotal="0"/>
    <pivotField name="NFI Core Kit2" showAll="0" defaultSubtotal="0"/>
    <pivotField showAll="0" defaultSubtotal="0"/>
    <pivotField dataField="1" showAll="0" defaultSubtotal="0"/>
    <pivotField name="Tarpaulin2" dataField="1" showAll="0" defaultSubtotal="0"/>
    <pivotField name="Blanket2" dataField="1" showAll="0" defaultSubtotal="0"/>
    <pivotField name="Kitchen Set2" dataField="1"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3">
        <item x="0"/>
        <item x="2"/>
        <item h="1" x="1"/>
      </items>
    </pivotField>
    <pivotField axis="axisPage" multipleItemSelectionAllowed="1" showAll="0" defaultSubtotal="0">
      <items count="3">
        <item h="1" x="0"/>
        <item h="1" x="2"/>
        <item x="1"/>
      </items>
    </pivotField>
    <pivotField showAll="0" defaultSubtotal="0"/>
    <pivotField showAll="0" defaultSubtotal="0"/>
    <pivotField showAll="0" defaultSubtotal="0"/>
    <pivotField showAll="0" defaultSubtotal="0"/>
  </pivotFields>
  <rowFields count="1">
    <field x="2"/>
  </rowFields>
  <rowItems count="2">
    <i>
      <x v="10"/>
    </i>
    <i t="grand">
      <x/>
    </i>
  </rowItems>
  <colFields count="1">
    <field x="-2"/>
  </colFields>
  <colItems count="6">
    <i>
      <x/>
    </i>
    <i i="1">
      <x v="1"/>
    </i>
    <i i="2">
      <x v="2"/>
    </i>
    <i i="3">
      <x v="3"/>
    </i>
    <i i="4">
      <x v="4"/>
    </i>
    <i i="5">
      <x v="5"/>
    </i>
  </colItems>
  <pageFields count="2">
    <pageField fld="42" hier="-1"/>
    <pageField fld="41" hier="-1"/>
  </pageFields>
  <dataFields count="6">
    <dataField name="Mosquito net " fld="10" baseField="0" baseItem="0"/>
    <dataField name="Tarpaulin" fld="11" baseField="0" baseItem="0"/>
    <dataField name="Blanket" fld="12" baseField="0" baseItem="0"/>
    <dataField name="Kitchen Set" fld="13" baseField="0" baseItem="0"/>
    <dataField name="Plastic Bucket " fld="15" baseField="0" baseItem="0"/>
    <dataField name="Plastic Mat " fld="16" baseField="0" baseItem="0"/>
  </dataFields>
  <formats count="2">
    <format dxfId="297">
      <pivotArea outline="0" collapsedLevelsAreSubtotals="1" fieldPosition="0"/>
    </format>
    <format dxfId="296">
      <pivotArea type="all" dataOnly="0" outline="0" fieldPosition="0"/>
    </format>
  </formats>
  <chartFormats count="6">
    <chartFormat chart="5" format="35" series="1">
      <pivotArea type="data" outline="0" fieldPosition="0">
        <references count="1">
          <reference field="4294967294" count="1" selected="0">
            <x v="0"/>
          </reference>
        </references>
      </pivotArea>
    </chartFormat>
    <chartFormat chart="5" format="36" series="1">
      <pivotArea type="data" outline="0" fieldPosition="0">
        <references count="1">
          <reference field="4294967294" count="1" selected="0">
            <x v="1"/>
          </reference>
        </references>
      </pivotArea>
    </chartFormat>
    <chartFormat chart="5" format="37" series="1">
      <pivotArea type="data" outline="0" fieldPosition="0">
        <references count="1">
          <reference field="4294967294" count="1" selected="0">
            <x v="2"/>
          </reference>
        </references>
      </pivotArea>
    </chartFormat>
    <chartFormat chart="5" format="38" series="1">
      <pivotArea type="data" outline="0" fieldPosition="0">
        <references count="1">
          <reference field="4294967294" count="1" selected="0">
            <x v="3"/>
          </reference>
        </references>
      </pivotArea>
    </chartFormat>
    <chartFormat chart="5" format="40" series="1">
      <pivotArea type="data" outline="0" fieldPosition="0">
        <references count="1">
          <reference field="4294967294" count="1" selected="0">
            <x v="4"/>
          </reference>
        </references>
      </pivotArea>
    </chartFormat>
    <chartFormat chart="5" format="41"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Q16:T21" firstHeaderRow="0" firstDataRow="1" firstDataCol="1"/>
  <pivotFields count="14">
    <pivotField showAll="0"/>
    <pivotField axis="axisRow" showAll="0">
      <items count="5">
        <item x="0"/>
        <item x="1"/>
        <item x="2"/>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showAll="0" defaultSubtotal="0"/>
    <pivotField showAll="0" defaultSubtotal="0"/>
  </pivotFields>
  <rowFields count="1">
    <field x="1"/>
  </rowFields>
  <rowItems count="5">
    <i>
      <x/>
    </i>
    <i>
      <x v="1"/>
    </i>
    <i>
      <x v="2"/>
    </i>
    <i>
      <x v="3"/>
    </i>
    <i t="grand">
      <x/>
    </i>
  </rowItems>
  <colFields count="1">
    <field x="-2"/>
  </colFields>
  <colItems count="3">
    <i>
      <x/>
    </i>
    <i i="1">
      <x v="1"/>
    </i>
    <i i="2">
      <x v="2"/>
    </i>
  </colItems>
  <dataFields count="3">
    <dataField name="Sum of WC_Adult_Gap" fld="9" baseField="0" baseItem="0"/>
    <dataField name="Sum of WC_Child_Gap" fld="10" baseField="0" baseItem="0"/>
    <dataField name="Sum of WI_Other_Gap" fld="11" baseField="0" baseItem="0"/>
  </dataFields>
  <formats count="2">
    <format dxfId="285">
      <pivotArea outline="0" collapsedLevelsAreSubtotals="1" fieldPosition="0"/>
    </format>
    <format dxfId="28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2" cacheId="23"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M3:R246" firstHeaderRow="0" firstDataRow="1" firstDataCol="4" rowPageCount="1" colPageCount="1"/>
  <pivotFields count="42">
    <pivotField axis="axisPage"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1">
        <item x="1"/>
        <item x="4"/>
        <item x="0"/>
        <item x="18"/>
        <item x="14"/>
        <item x="13"/>
        <item x="7"/>
        <item x="15"/>
        <item x="2"/>
        <item x="16"/>
        <item x="12"/>
        <item x="8"/>
        <item x="5"/>
        <item x="10"/>
        <item x="6"/>
        <item x="17"/>
        <item x="19"/>
        <item x="11"/>
        <item x="9"/>
        <item x="2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0">
        <item x="0"/>
        <item x="1"/>
        <item x="2"/>
        <item x="3"/>
        <item x="4"/>
        <item x="5"/>
        <item x="6"/>
        <item x="7"/>
        <item x="8"/>
        <item x="9"/>
        <item x="10"/>
        <item x="11"/>
        <item x="12"/>
        <item x="13"/>
        <item x="14"/>
        <item x="15"/>
        <item x="16"/>
        <item x="17"/>
        <item x="18"/>
        <item x="20"/>
        <item x="21"/>
        <item x="22"/>
        <item x="23"/>
        <item x="25"/>
        <item x="26"/>
        <item x="27"/>
        <item x="28"/>
        <item x="29"/>
        <item x="30"/>
        <item x="31"/>
        <item x="32"/>
        <item x="33"/>
        <item x="34"/>
        <item x="35"/>
        <item x="36"/>
        <item x="37"/>
        <item x="38"/>
        <item x="39"/>
        <item x="41"/>
        <item x="42"/>
        <item x="43"/>
        <item x="45"/>
        <item x="46"/>
        <item x="47"/>
        <item x="48"/>
        <item x="49"/>
        <item x="51"/>
        <item x="52"/>
        <item x="53"/>
        <item x="54"/>
        <item x="55"/>
        <item x="56"/>
        <item x="58"/>
        <item x="59"/>
        <item x="60"/>
        <item x="61"/>
        <item x="62"/>
        <item x="63"/>
        <item x="65"/>
        <item x="66"/>
        <item x="67"/>
        <item x="68"/>
        <item x="69"/>
        <item x="70"/>
        <item x="71"/>
        <item x="72"/>
        <item x="73"/>
        <item x="74"/>
        <item x="75"/>
        <item x="76"/>
        <item x="77"/>
        <item x="78"/>
        <item x="79"/>
        <item x="82"/>
        <item x="83"/>
        <item x="84"/>
        <item x="85"/>
        <item x="86"/>
        <item x="87"/>
        <item x="88"/>
        <item x="89"/>
        <item x="90"/>
        <item x="91"/>
        <item x="93"/>
        <item x="94"/>
        <item x="95"/>
        <item x="96"/>
        <item x="97"/>
        <item x="98"/>
        <item x="99"/>
        <item x="100"/>
        <item x="102"/>
        <item x="104"/>
        <item x="105"/>
        <item x="106"/>
        <item x="107"/>
        <item x="108"/>
        <item x="109"/>
        <item x="110"/>
        <item x="111"/>
        <item x="112"/>
        <item x="113"/>
        <item x="114"/>
        <item x="115"/>
        <item x="116"/>
        <item x="117"/>
        <item x="118"/>
        <item x="119"/>
        <item x="120"/>
        <item x="121"/>
        <item x="122"/>
        <item x="123"/>
        <item x="124"/>
        <item x="125"/>
        <item x="126"/>
        <item x="127"/>
        <item x="128"/>
        <item x="131"/>
        <item x="132"/>
        <item x="133"/>
        <item x="134"/>
        <item x="135"/>
        <item x="136"/>
        <item x="137"/>
        <item x="139"/>
        <item x="140"/>
        <item x="143"/>
        <item x="144"/>
        <item x="145"/>
        <item x="146"/>
        <item x="147"/>
        <item x="148"/>
        <item x="150"/>
        <item x="151"/>
        <item x="152"/>
        <item x="153"/>
        <item x="154"/>
        <item x="155"/>
        <item x="156"/>
        <item x="157"/>
        <item x="158"/>
        <item x="159"/>
        <item x="161"/>
        <item x="162"/>
        <item x="164"/>
        <item x="165"/>
        <item x="166"/>
        <item x="167"/>
        <item x="168"/>
        <item x="169"/>
        <item x="170"/>
        <item x="171"/>
        <item x="172"/>
        <item x="176"/>
        <item x="177"/>
        <item x="178"/>
        <item x="179"/>
        <item x="180"/>
        <item x="181"/>
        <item x="182"/>
        <item x="183"/>
        <item x="185"/>
        <item x="186"/>
        <item x="187"/>
        <item x="188"/>
        <item x="189"/>
        <item x="190"/>
        <item x="191"/>
        <item x="192"/>
        <item x="193"/>
        <item x="194"/>
        <item x="195"/>
        <item x="196"/>
        <item x="197"/>
        <item x="199"/>
        <item x="203"/>
        <item x="204"/>
        <item x="205"/>
        <item x="206"/>
        <item x="207"/>
        <item x="208"/>
        <item x="209"/>
        <item x="210"/>
        <item x="211"/>
        <item x="212"/>
        <item x="213"/>
        <item x="214"/>
        <item x="215"/>
        <item x="216"/>
        <item x="217"/>
        <item x="219"/>
        <item x="220"/>
        <item x="221"/>
        <item x="222"/>
        <item x="224"/>
        <item x="225"/>
        <item x="226"/>
        <item x="227"/>
        <item x="228"/>
        <item x="229"/>
        <item x="230"/>
        <item x="231"/>
        <item x="232"/>
        <item x="233"/>
        <item x="234"/>
        <item x="235"/>
        <item x="236"/>
        <item x="238"/>
        <item x="239"/>
        <item x="92"/>
        <item x="202"/>
        <item x="223"/>
        <item x="19"/>
        <item x="50"/>
        <item x="141"/>
        <item x="149"/>
        <item x="103"/>
        <item x="142"/>
        <item x="44"/>
        <item x="163"/>
        <item x="101"/>
        <item x="138"/>
        <item x="57"/>
        <item x="40"/>
        <item x="129"/>
        <item x="130"/>
        <item x="173"/>
        <item x="64"/>
        <item x="184"/>
        <item x="218"/>
        <item x="237"/>
        <item x="80"/>
        <item x="160"/>
        <item x="200"/>
        <item x="201"/>
        <item x="81"/>
        <item x="174"/>
        <item x="198"/>
        <item x="24"/>
        <item x="175"/>
      </items>
      <extLst>
        <ext xmlns:x14="http://schemas.microsoft.com/office/spreadsheetml/2009/9/main" uri="{2946ED86-A175-432a-8AC1-64E0C546D7DE}">
          <x14:pivotField fillDownLabels="1"/>
        </ext>
      </extLst>
    </pivotField>
    <pivotField axis="axisRow" compact="0" outline="0" showAll="0" defaultSubtotal="0">
      <items count="243">
        <item x="220"/>
        <item x="183"/>
        <item x="223"/>
        <item x="222"/>
        <item x="224"/>
        <item x="207"/>
        <item x="208"/>
        <item x="98"/>
        <item x="212"/>
        <item x="27"/>
        <item x="28"/>
        <item x="26"/>
        <item x="63"/>
        <item x="74"/>
        <item x="73"/>
        <item x="96"/>
        <item x="147"/>
        <item x="54"/>
        <item x="55"/>
        <item x="122"/>
        <item x="123"/>
        <item x="237"/>
        <item x="221"/>
        <item x="167"/>
        <item x="194"/>
        <item x="196"/>
        <item x="87"/>
        <item x="35"/>
        <item x="91"/>
        <item x="195"/>
        <item x="90"/>
        <item x="193"/>
        <item x="174"/>
        <item x="176"/>
        <item x="133"/>
        <item x="231"/>
        <item x="225"/>
        <item x="230"/>
        <item x="93"/>
        <item x="92"/>
        <item x="209"/>
        <item x="22"/>
        <item x="48"/>
        <item x="235"/>
        <item x="69"/>
        <item x="34"/>
        <item x="198"/>
        <item x="57"/>
        <item x="78"/>
        <item x="3"/>
        <item x="146"/>
        <item x="50"/>
        <item x="238"/>
        <item x="168"/>
        <item x="217"/>
        <item x="134"/>
        <item x="135"/>
        <item x="109"/>
        <item x="182"/>
        <item x="219"/>
        <item x="148"/>
        <item x="97"/>
        <item x="101"/>
        <item x="89"/>
        <item x="191"/>
        <item x="113"/>
        <item x="210"/>
        <item x="211"/>
        <item x="80"/>
        <item x="81"/>
        <item x="79"/>
        <item x="184"/>
        <item x="206"/>
        <item x="65"/>
        <item x="229"/>
        <item x="112"/>
        <item x="64"/>
        <item x="172"/>
        <item x="214"/>
        <item x="170"/>
        <item x="179"/>
        <item x="180"/>
        <item x="127"/>
        <item x="126"/>
        <item x="21"/>
        <item x="129"/>
        <item x="125"/>
        <item x="128"/>
        <item x="9"/>
        <item x="115"/>
        <item x="114"/>
        <item x="119"/>
        <item x="116"/>
        <item x="121"/>
        <item x="117"/>
        <item x="118"/>
        <item x="120"/>
        <item x="227"/>
        <item x="189"/>
        <item x="169"/>
        <item x="202"/>
        <item x="239"/>
        <item x="124"/>
        <item x="85"/>
        <item x="199"/>
        <item x="20"/>
        <item x="218"/>
        <item x="240"/>
        <item x="17"/>
        <item x="16"/>
        <item x="36"/>
        <item x="234"/>
        <item x="67"/>
        <item x="108"/>
        <item x="88"/>
        <item x="187"/>
        <item x="56"/>
        <item x="49"/>
        <item x="29"/>
        <item x="186"/>
        <item x="70"/>
        <item x="18"/>
        <item x="181"/>
        <item x="105"/>
        <item x="103"/>
        <item x="107"/>
        <item x="82"/>
        <item x="149"/>
        <item x="161"/>
        <item x="72"/>
        <item x="71"/>
        <item x="37"/>
        <item x="68"/>
        <item x="175"/>
        <item x="23"/>
        <item x="192"/>
        <item x="185"/>
        <item x="41"/>
        <item x="77"/>
        <item x="2"/>
        <item x="13"/>
        <item x="8"/>
        <item x="0"/>
        <item x="15"/>
        <item x="6"/>
        <item x="25"/>
        <item x="236"/>
        <item x="4"/>
        <item x="143"/>
        <item x="130"/>
        <item x="1"/>
        <item x="30"/>
        <item x="76"/>
        <item x="197"/>
        <item x="200"/>
        <item x="233"/>
        <item x="232"/>
        <item x="31"/>
        <item x="14"/>
        <item x="39"/>
        <item x="5"/>
        <item x="38"/>
        <item x="162"/>
        <item x="190"/>
        <item x="7"/>
        <item x="75"/>
        <item x="42"/>
        <item x="43"/>
        <item x="102"/>
        <item x="44"/>
        <item x="58"/>
        <item x="241"/>
        <item x="66"/>
        <item x="139"/>
        <item x="159"/>
        <item x="216"/>
        <item x="51"/>
        <item x="160"/>
        <item x="188"/>
        <item x="228"/>
        <item x="99"/>
        <item x="100"/>
        <item x="12"/>
        <item x="10"/>
        <item x="11"/>
        <item x="52"/>
        <item x="94"/>
        <item x="213"/>
        <item x="173"/>
        <item x="86"/>
        <item x="215"/>
        <item x="151"/>
        <item x="155"/>
        <item x="153"/>
        <item x="150"/>
        <item x="137"/>
        <item x="140"/>
        <item x="158"/>
        <item x="110"/>
        <item x="45"/>
        <item x="157"/>
        <item x="136"/>
        <item x="164"/>
        <item x="59"/>
        <item x="61"/>
        <item x="62"/>
        <item x="131"/>
        <item x="142"/>
        <item x="242"/>
        <item x="46"/>
        <item x="138"/>
        <item x="154"/>
        <item x="156"/>
        <item x="171"/>
        <item x="111"/>
        <item x="165"/>
        <item x="32"/>
        <item x="33"/>
        <item x="95"/>
        <item x="226"/>
        <item x="205"/>
        <item x="19"/>
        <item x="53"/>
        <item x="144"/>
        <item x="152"/>
        <item x="166"/>
        <item x="106"/>
        <item x="145"/>
        <item x="47"/>
        <item x="104"/>
        <item x="141"/>
        <item x="60"/>
        <item x="40"/>
        <item x="132"/>
        <item x="163"/>
        <item x="83"/>
        <item x="203"/>
        <item x="204"/>
        <item x="84"/>
        <item x="177"/>
        <item x="201"/>
        <item x="24"/>
        <item x="17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axis="axisRow"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4">
    <field x="12"/>
    <field x="11"/>
    <field x="38"/>
    <field x="5"/>
  </rowFields>
  <rowItems count="243">
    <i>
      <x/>
      <x v="189"/>
      <x v="9"/>
      <x v="14"/>
    </i>
    <i>
      <x v="1"/>
      <x v="157"/>
      <x v="9"/>
      <x v="14"/>
    </i>
    <i>
      <x v="2"/>
      <x v="191"/>
      <x v="9"/>
      <x v="14"/>
    </i>
    <i>
      <x v="3"/>
      <x v="190"/>
      <x v="9"/>
      <x v="14"/>
    </i>
    <i>
      <x v="4"/>
      <x v="192"/>
      <x v="9"/>
      <x v="14"/>
    </i>
    <i>
      <x v="5"/>
      <x v="176"/>
      <x v="9"/>
      <x v="14"/>
    </i>
    <i>
      <x v="6"/>
      <x v="177"/>
      <x v="9"/>
      <x v="14"/>
    </i>
    <i>
      <x v="7"/>
      <x v="85"/>
      <x v="9"/>
      <x v="14"/>
    </i>
    <i>
      <x v="8"/>
      <x v="181"/>
      <x v="9"/>
      <x v="14"/>
    </i>
    <i>
      <x v="9"/>
      <x v="25"/>
      <x v="9"/>
      <x v="14"/>
    </i>
    <i>
      <x v="10"/>
      <x v="26"/>
      <x v="9"/>
      <x v="14"/>
    </i>
    <i>
      <x v="11"/>
      <x v="24"/>
      <x v="9"/>
      <x v="14"/>
    </i>
    <i>
      <x v="12"/>
      <x v="54"/>
      <x v="9"/>
      <x v="14"/>
    </i>
    <i>
      <x v="13"/>
      <x v="64"/>
      <x v="9"/>
      <x v="14"/>
    </i>
    <i>
      <x v="14"/>
      <x v="63"/>
      <x v="9"/>
      <x v="14"/>
    </i>
    <i>
      <x v="15"/>
      <x v="83"/>
      <x v="9"/>
      <x v="14"/>
    </i>
    <i>
      <x v="16"/>
      <x v="127"/>
      <x v="9"/>
      <x v="14"/>
    </i>
    <i>
      <x v="17"/>
      <x v="46"/>
      <x v="9"/>
      <x v="14"/>
    </i>
    <i>
      <x v="18"/>
      <x v="47"/>
      <x v="9"/>
      <x v="14"/>
    </i>
    <i>
      <x v="19"/>
      <x v="107"/>
      <x v="9"/>
      <x v="14"/>
    </i>
    <i>
      <x v="20"/>
      <x v="108"/>
      <x v="9"/>
      <x v="14"/>
    </i>
    <i>
      <x v="21"/>
      <x v="204"/>
      <x v="9"/>
      <x v="14"/>
    </i>
    <i>
      <x v="22"/>
      <x v="229"/>
      <x v="9"/>
      <x v="14"/>
    </i>
    <i>
      <x v="23"/>
      <x v="144"/>
      <x v="9"/>
      <x v="14"/>
    </i>
    <i>
      <x v="24"/>
      <x v="167"/>
      <x v="11"/>
      <x v="20"/>
    </i>
    <i>
      <x v="25"/>
      <x v="169"/>
      <x v="11"/>
      <x v="20"/>
    </i>
    <i>
      <x v="26"/>
      <x v="75"/>
      <x v="11"/>
      <x v="20"/>
    </i>
    <i>
      <x v="27"/>
      <x v="33"/>
      <x v="11"/>
      <x v="20"/>
    </i>
    <i>
      <x v="28"/>
      <x v="79"/>
      <x v="11"/>
      <x v="20"/>
    </i>
    <i>
      <x v="29"/>
      <x v="168"/>
      <x v="11"/>
      <x v="20"/>
    </i>
    <i>
      <x v="30"/>
      <x v="78"/>
      <x v="11"/>
      <x v="20"/>
    </i>
    <i>
      <x v="31"/>
      <x v="166"/>
      <x v="11"/>
      <x v="20"/>
    </i>
    <i>
      <x v="32"/>
      <x v="151"/>
      <x v="11"/>
      <x v="20"/>
    </i>
    <i>
      <x v="33"/>
      <x v="226"/>
      <x v="11"/>
      <x v="20"/>
    </i>
    <i>
      <x v="34"/>
      <x v="225"/>
      <x v="11"/>
      <x v="20"/>
    </i>
    <i>
      <x v="35"/>
      <x v="198"/>
      <x v="11"/>
      <x v="20"/>
    </i>
    <i>
      <x v="36"/>
      <x v="193"/>
      <x v="11"/>
      <x v="20"/>
    </i>
    <i>
      <x v="37"/>
      <x v="197"/>
      <x v="11"/>
      <x v="20"/>
    </i>
    <i>
      <x v="38"/>
      <x v="81"/>
      <x v="11"/>
      <x v="20"/>
    </i>
    <i>
      <x v="39"/>
      <x v="80"/>
      <x v="11"/>
      <x v="20"/>
    </i>
    <i>
      <x v="40"/>
      <x v="178"/>
      <x v="11"/>
      <x v="20"/>
    </i>
    <i>
      <x v="41"/>
      <x v="21"/>
      <x v="1"/>
      <x v="1"/>
    </i>
    <i>
      <x v="42"/>
      <x v="41"/>
      <x v="1"/>
      <x v="1"/>
    </i>
    <i>
      <x v="43"/>
      <x v="202"/>
      <x v="1"/>
      <x v="1"/>
    </i>
    <i>
      <x v="44"/>
      <x v="59"/>
      <x v="1"/>
      <x v="1"/>
    </i>
    <i>
      <x v="45"/>
      <x v="32"/>
      <x v="1"/>
      <x v="1"/>
    </i>
    <i>
      <x v="46"/>
      <x v="171"/>
      <x/>
      <x/>
    </i>
    <i>
      <x v="47"/>
      <x v="49"/>
      <x/>
      <x/>
    </i>
    <i>
      <x v="48"/>
      <x v="68"/>
      <x/>
      <x/>
    </i>
    <i>
      <x v="49"/>
      <x v="3"/>
      <x/>
      <x/>
    </i>
    <i>
      <x v="50"/>
      <x v="126"/>
      <x/>
      <x/>
    </i>
    <i>
      <x v="51"/>
      <x v="43"/>
      <x/>
      <x/>
    </i>
    <i>
      <x v="52"/>
      <x v="205"/>
      <x/>
      <x/>
    </i>
    <i>
      <x v="53"/>
      <x v="145"/>
      <x/>
      <x/>
    </i>
    <i>
      <x v="54"/>
      <x v="186"/>
      <x/>
      <x/>
    </i>
    <i>
      <x v="55"/>
      <x v="117"/>
      <x v="8"/>
      <x v="12"/>
    </i>
    <i>
      <x v="56"/>
      <x v="118"/>
      <x v="8"/>
      <x v="12"/>
    </i>
    <i>
      <x v="57"/>
      <x v="94"/>
      <x v="8"/>
      <x v="12"/>
    </i>
    <i>
      <x v="58"/>
      <x v="156"/>
      <x v="8"/>
      <x v="12"/>
    </i>
    <i>
      <x v="59"/>
      <x v="188"/>
      <x v="8"/>
      <x v="12"/>
    </i>
    <i>
      <x v="60"/>
      <x v="128"/>
      <x v="8"/>
      <x v="12"/>
    </i>
    <i>
      <x v="61"/>
      <x v="84"/>
      <x v="8"/>
      <x v="12"/>
    </i>
    <i>
      <x v="62"/>
      <x v="88"/>
      <x v="8"/>
      <x v="12"/>
    </i>
    <i>
      <x v="63"/>
      <x v="77"/>
      <x v="8"/>
      <x v="12"/>
    </i>
    <i>
      <x v="64"/>
      <x v="164"/>
      <x v="8"/>
      <x v="12"/>
    </i>
    <i>
      <x v="65"/>
      <x v="98"/>
      <x v="7"/>
      <x v="8"/>
    </i>
    <i>
      <x v="66"/>
      <x v="179"/>
      <x v="5"/>
      <x v="18"/>
    </i>
    <i>
      <x v="67"/>
      <x v="180"/>
      <x v="5"/>
      <x v="18"/>
    </i>
    <i>
      <x v="68"/>
      <x v="70"/>
      <x v="8"/>
      <x v="12"/>
    </i>
    <i>
      <x v="69"/>
      <x v="71"/>
      <x v="8"/>
      <x v="12"/>
    </i>
    <i>
      <x v="70"/>
      <x v="69"/>
      <x v="8"/>
      <x v="12"/>
    </i>
    <i>
      <x v="71"/>
      <x v="158"/>
      <x v="8"/>
      <x v="12"/>
    </i>
    <i>
      <x v="72"/>
      <x v="175"/>
      <x v="8"/>
      <x v="12"/>
    </i>
    <i>
      <x v="73"/>
      <x v="56"/>
      <x v="5"/>
      <x v="5"/>
    </i>
    <i>
      <x v="74"/>
      <x v="196"/>
      <x v="5"/>
      <x v="17"/>
    </i>
    <i>
      <x v="75"/>
      <x v="97"/>
      <x v="5"/>
      <x v="10"/>
    </i>
    <i>
      <x v="76"/>
      <x v="55"/>
      <x v="5"/>
      <x v="10"/>
    </i>
    <i>
      <x v="77"/>
      <x v="149"/>
      <x v="5"/>
      <x v="10"/>
    </i>
    <i>
      <x v="78"/>
      <x v="183"/>
      <x v="5"/>
      <x v="11"/>
    </i>
    <i>
      <x v="79"/>
      <x v="147"/>
      <x v="5"/>
      <x v="11"/>
    </i>
    <i>
      <x v="80"/>
      <x v="153"/>
      <x v="2"/>
      <x v="2"/>
    </i>
    <i>
      <x v="81"/>
      <x v="154"/>
      <x v="2"/>
      <x v="2"/>
    </i>
    <i>
      <x v="82"/>
      <x v="112"/>
      <x v="2"/>
      <x v="2"/>
    </i>
    <i>
      <x v="83"/>
      <x v="111"/>
      <x v="2"/>
      <x v="2"/>
    </i>
    <i>
      <x v="84"/>
      <x v="20"/>
      <x v="2"/>
      <x v="2"/>
    </i>
    <i>
      <x v="85"/>
      <x v="114"/>
      <x v="2"/>
      <x v="2"/>
    </i>
    <i>
      <x v="86"/>
      <x v="110"/>
      <x v="2"/>
      <x v="2"/>
    </i>
    <i>
      <x v="87"/>
      <x v="113"/>
      <x v="2"/>
      <x v="2"/>
    </i>
    <i>
      <x v="88"/>
      <x v="9"/>
      <x v="2"/>
      <x v="2"/>
    </i>
    <i>
      <x v="89"/>
      <x v="100"/>
      <x v="2"/>
      <x v="2"/>
    </i>
    <i>
      <x v="90"/>
      <x v="99"/>
      <x v="2"/>
      <x v="2"/>
    </i>
    <i>
      <x v="91"/>
      <x v="104"/>
      <x v="2"/>
      <x v="2"/>
    </i>
    <i>
      <x v="92"/>
      <x v="101"/>
      <x v="2"/>
      <x v="2"/>
    </i>
    <i>
      <x v="93"/>
      <x v="106"/>
      <x v="2"/>
      <x v="2"/>
    </i>
    <i>
      <x v="94"/>
      <x v="102"/>
      <x v="2"/>
      <x v="2"/>
    </i>
    <i>
      <x v="95"/>
      <x v="103"/>
      <x v="2"/>
      <x v="2"/>
    </i>
    <i>
      <x v="96"/>
      <x v="105"/>
      <x v="2"/>
      <x v="2"/>
    </i>
    <i>
      <x v="97"/>
      <x v="194"/>
      <x v="2"/>
      <x v="2"/>
    </i>
    <i>
      <x v="98"/>
      <x v="162"/>
      <x v="2"/>
      <x v="2"/>
    </i>
    <i>
      <x v="99"/>
      <x v="146"/>
      <x v="2"/>
      <x v="2"/>
    </i>
    <i>
      <x v="100"/>
      <x v="174"/>
      <x v="2"/>
      <x v="2"/>
    </i>
    <i>
      <x v="101"/>
      <x v="206"/>
      <x v="2"/>
      <x v="2"/>
    </i>
    <i>
      <x v="102"/>
      <x v="109"/>
      <x v="2"/>
      <x v="2"/>
    </i>
    <i>
      <x v="103"/>
      <x v="73"/>
      <x v="2"/>
      <x v="2"/>
    </i>
    <i>
      <x v="104"/>
      <x v="172"/>
      <x v="2"/>
      <x v="2"/>
    </i>
    <i>
      <x v="105"/>
      <x v="19"/>
      <x v="2"/>
      <x v="2"/>
    </i>
    <i>
      <x v="106"/>
      <x v="187"/>
      <x v="2"/>
      <x v="2"/>
    </i>
    <i>
      <x v="107"/>
      <x v="230"/>
      <x v="11"/>
      <x v="20"/>
    </i>
    <i>
      <x v="108"/>
      <x v="17"/>
      <x v="11"/>
      <x v="20"/>
    </i>
    <i>
      <x v="109"/>
      <x v="16"/>
      <x v="11"/>
      <x v="20"/>
    </i>
    <i>
      <x v="110"/>
      <x v="34"/>
      <x v="11"/>
      <x v="20"/>
    </i>
    <i>
      <x v="111"/>
      <x v="201"/>
      <x v="11"/>
      <x v="20"/>
    </i>
    <i>
      <x v="112"/>
      <x v="227"/>
      <x v="11"/>
      <x v="20"/>
    </i>
    <i>
      <x v="113"/>
      <x v="93"/>
      <x v="11"/>
      <x v="20"/>
    </i>
    <i>
      <x v="114"/>
      <x v="76"/>
      <x v="11"/>
      <x v="20"/>
    </i>
    <i>
      <x v="115"/>
      <x v="228"/>
      <x v="11"/>
      <x v="20"/>
    </i>
    <i>
      <x v="116"/>
      <x v="48"/>
      <x v="8"/>
      <x v="12"/>
    </i>
    <i>
      <x v="117"/>
      <x v="42"/>
      <x v="8"/>
      <x v="12"/>
    </i>
    <i>
      <x v="118"/>
      <x v="27"/>
      <x v="8"/>
      <x v="12"/>
    </i>
    <i>
      <x v="119"/>
      <x v="160"/>
      <x v="8"/>
      <x v="12"/>
    </i>
    <i>
      <x v="120"/>
      <x v="60"/>
      <x v="7"/>
      <x v="8"/>
    </i>
    <i>
      <x v="121"/>
      <x v="18"/>
      <x v="7"/>
      <x v="8"/>
    </i>
    <i>
      <x v="122"/>
      <x v="155"/>
      <x v="8"/>
      <x v="12"/>
    </i>
    <i>
      <x v="123"/>
      <x v="91"/>
      <x v="7"/>
      <x v="8"/>
    </i>
    <i>
      <x v="124"/>
      <x v="90"/>
      <x v="7"/>
      <x v="8"/>
    </i>
    <i>
      <x v="125"/>
      <x v="92"/>
      <x v="7"/>
      <x v="8"/>
    </i>
    <i>
      <x v="126"/>
      <x v="72"/>
      <x v="7"/>
      <x v="8"/>
    </i>
    <i>
      <x v="127"/>
      <x v="129"/>
      <x v="7"/>
      <x v="8"/>
    </i>
    <i>
      <x v="128"/>
      <x v="140"/>
      <x v="7"/>
      <x v="8"/>
    </i>
    <i>
      <x v="129"/>
      <x v="62"/>
      <x v="4"/>
      <x v="4"/>
    </i>
    <i>
      <x v="130"/>
      <x v="61"/>
      <x v="5"/>
      <x v="18"/>
    </i>
    <i>
      <x v="131"/>
      <x v="35"/>
      <x v="2"/>
      <x v="2"/>
    </i>
    <i>
      <x v="132"/>
      <x v="58"/>
      <x v="11"/>
      <x v="20"/>
    </i>
    <i>
      <x v="133"/>
      <x v="152"/>
      <x v="5"/>
      <x v="11"/>
    </i>
    <i>
      <x v="134"/>
      <x v="22"/>
      <x/>
      <x/>
    </i>
    <i>
      <x v="135"/>
      <x v="165"/>
      <x v="11"/>
      <x v="20"/>
    </i>
    <i>
      <x v="136"/>
      <x v="159"/>
      <x v="9"/>
      <x v="14"/>
    </i>
    <i>
      <x v="137"/>
      <x v="38"/>
      <x/>
      <x/>
    </i>
    <i>
      <x v="138"/>
      <x v="67"/>
      <x v="2"/>
      <x v="2"/>
    </i>
    <i>
      <x v="139"/>
      <x v="2"/>
      <x v="2"/>
      <x v="2"/>
    </i>
    <i>
      <x v="140"/>
      <x v="13"/>
      <x v="2"/>
      <x v="2"/>
    </i>
    <i>
      <x v="141"/>
      <x v="8"/>
      <x v="2"/>
      <x v="2"/>
    </i>
    <i>
      <x v="142"/>
      <x/>
      <x v="2"/>
      <x v="2"/>
    </i>
    <i>
      <x v="143"/>
      <x v="15"/>
      <x v="2"/>
      <x v="2"/>
    </i>
    <i>
      <x v="144"/>
      <x v="6"/>
      <x v="2"/>
      <x v="2"/>
    </i>
    <i>
      <x v="145"/>
      <x v="23"/>
      <x v="2"/>
      <x v="2"/>
    </i>
    <i>
      <x v="146"/>
      <x v="203"/>
      <x v="2"/>
      <x v="2"/>
    </i>
    <i>
      <x v="147"/>
      <x v="4"/>
      <x v="2"/>
      <x v="2"/>
    </i>
    <i>
      <x v="148"/>
      <x v="125"/>
      <x v="2"/>
      <x v="2"/>
    </i>
    <i>
      <x v="149"/>
      <x v="115"/>
      <x v="2"/>
      <x v="2"/>
    </i>
    <i>
      <x v="150"/>
      <x v="1"/>
      <x v="2"/>
      <x v="2"/>
    </i>
    <i>
      <x v="151"/>
      <x v="28"/>
      <x v="2"/>
      <x v="2"/>
    </i>
    <i>
      <x v="152"/>
      <x v="66"/>
      <x v="2"/>
      <x v="2"/>
    </i>
    <i>
      <x v="153"/>
      <x v="170"/>
      <x v="2"/>
      <x v="2"/>
    </i>
    <i>
      <x v="154"/>
      <x v="173"/>
      <x v="2"/>
      <x v="2"/>
    </i>
    <i>
      <x v="155"/>
      <x v="200"/>
      <x v="2"/>
      <x v="2"/>
    </i>
    <i>
      <x v="156"/>
      <x v="199"/>
      <x v="2"/>
      <x v="2"/>
    </i>
    <i>
      <x v="157"/>
      <x v="29"/>
      <x v="2"/>
      <x v="2"/>
    </i>
    <i>
      <x v="158"/>
      <x v="14"/>
      <x v="2"/>
      <x v="2"/>
    </i>
    <i>
      <x v="159"/>
      <x v="37"/>
      <x v="2"/>
      <x v="2"/>
    </i>
    <i>
      <x v="160"/>
      <x v="5"/>
      <x v="2"/>
      <x v="2"/>
    </i>
    <i>
      <x v="161"/>
      <x v="36"/>
      <x v="2"/>
      <x v="2"/>
    </i>
    <i>
      <x v="162"/>
      <x v="141"/>
      <x v="2"/>
      <x v="2"/>
    </i>
    <i>
      <x v="163"/>
      <x v="163"/>
      <x/>
      <x/>
    </i>
    <i>
      <x v="164"/>
      <x v="7"/>
      <x/>
      <x/>
    </i>
    <i>
      <x v="165"/>
      <x v="65"/>
      <x v="1"/>
      <x v="1"/>
    </i>
    <i>
      <x v="166"/>
      <x v="38"/>
      <x v="7"/>
      <x v="8"/>
    </i>
    <i>
      <x v="167"/>
      <x v="38"/>
      <x v="8"/>
      <x v="12"/>
    </i>
    <i>
      <x v="168"/>
      <x v="89"/>
      <x v="8"/>
      <x v="12"/>
    </i>
    <i>
      <x v="169"/>
      <x v="38"/>
      <x v="5"/>
      <x v="18"/>
    </i>
    <i>
      <x v="170"/>
      <x v="50"/>
      <x v="8"/>
      <x v="12"/>
    </i>
    <i>
      <x v="171"/>
      <x v="207"/>
      <x v="2"/>
      <x v="2"/>
    </i>
    <i>
      <x v="172"/>
      <x v="57"/>
      <x v="7"/>
      <x v="8"/>
    </i>
    <i>
      <x v="173"/>
      <x v="122"/>
      <x v="7"/>
      <x v="8"/>
    </i>
    <i>
      <x v="174"/>
      <x v="138"/>
      <x v="7"/>
      <x v="8"/>
    </i>
    <i>
      <x v="175"/>
      <x v="185"/>
      <x v="5"/>
      <x v="19"/>
    </i>
    <i>
      <x v="176"/>
      <x v="44"/>
      <x v="11"/>
      <x v="20"/>
    </i>
    <i>
      <x v="177"/>
      <x v="139"/>
      <x v="7"/>
      <x v="8"/>
    </i>
    <i>
      <x v="178"/>
      <x v="161"/>
      <x v="1"/>
      <x v="1"/>
    </i>
    <i>
      <x v="179"/>
      <x v="195"/>
      <x/>
      <x/>
    </i>
    <i>
      <x v="180"/>
      <x v="86"/>
      <x v="7"/>
      <x v="8"/>
    </i>
    <i>
      <x v="181"/>
      <x v="87"/>
      <x v="7"/>
      <x v="8"/>
    </i>
    <i>
      <x v="182"/>
      <x v="12"/>
      <x v="7"/>
      <x v="8"/>
    </i>
    <i>
      <x v="183"/>
      <x v="10"/>
      <x v="7"/>
      <x v="8"/>
    </i>
    <i>
      <x v="184"/>
      <x v="11"/>
      <x v="7"/>
      <x v="8"/>
    </i>
    <i>
      <x v="185"/>
      <x v="45"/>
      <x v="7"/>
      <x v="8"/>
    </i>
    <i>
      <x v="186"/>
      <x v="82"/>
      <x v="7"/>
      <x v="8"/>
    </i>
    <i>
      <x v="187"/>
      <x v="182"/>
      <x v="7"/>
      <x v="8"/>
    </i>
    <i>
      <x v="188"/>
      <x v="150"/>
      <x v="5"/>
      <x v="17"/>
    </i>
    <i>
      <x v="189"/>
      <x v="74"/>
      <x v="5"/>
      <x v="7"/>
    </i>
    <i>
      <x v="190"/>
      <x v="184"/>
      <x/>
      <x/>
    </i>
    <i>
      <x v="191"/>
      <x v="131"/>
      <x v="10"/>
      <x v="15"/>
    </i>
    <i>
      <x v="192"/>
      <x v="134"/>
      <x v="10"/>
      <x v="15"/>
    </i>
    <i>
      <x v="193"/>
      <x v="132"/>
      <x v="10"/>
      <x v="15"/>
    </i>
    <i>
      <x v="194"/>
      <x v="130"/>
      <x v="10"/>
      <x v="15"/>
    </i>
    <i>
      <x v="195"/>
      <x v="120"/>
      <x v="5"/>
      <x v="13"/>
    </i>
    <i>
      <x v="196"/>
      <x v="123"/>
      <x v="6"/>
      <x v="6"/>
    </i>
    <i>
      <x v="197"/>
      <x v="137"/>
      <x v="6"/>
      <x v="6"/>
    </i>
    <i>
      <x v="198"/>
      <x v="95"/>
      <x v="5"/>
      <x v="9"/>
    </i>
    <i>
      <x v="199"/>
      <x v="39"/>
      <x v="5"/>
      <x v="13"/>
    </i>
    <i>
      <x v="200"/>
      <x v="136"/>
      <x v="5"/>
      <x v="13"/>
    </i>
    <i>
      <x v="201"/>
      <x v="119"/>
      <x v="5"/>
      <x v="13"/>
    </i>
    <i>
      <x v="202"/>
      <x v="142"/>
      <x v="5"/>
      <x v="16"/>
    </i>
    <i>
      <x v="203"/>
      <x v="51"/>
      <x v="6"/>
      <x v="6"/>
    </i>
    <i>
      <x v="204"/>
      <x v="52"/>
      <x v="6"/>
      <x v="6"/>
    </i>
    <i>
      <x v="205"/>
      <x v="53"/>
      <x v="6"/>
      <x v="6"/>
    </i>
    <i>
      <x v="206"/>
      <x v="116"/>
      <x v="6"/>
      <x v="6"/>
    </i>
    <i>
      <x v="207"/>
      <x v="124"/>
      <x v="6"/>
      <x v="6"/>
    </i>
    <i>
      <x v="208"/>
      <x v="208"/>
      <x v="6"/>
      <x v="6"/>
    </i>
    <i>
      <x v="209"/>
      <x v="40"/>
      <x v="5"/>
      <x v="13"/>
    </i>
    <i>
      <x v="210"/>
      <x v="121"/>
      <x v="7"/>
      <x v="8"/>
    </i>
    <i>
      <x v="211"/>
      <x v="133"/>
      <x v="10"/>
      <x v="15"/>
    </i>
    <i>
      <x v="212"/>
      <x v="135"/>
      <x v="5"/>
      <x v="13"/>
    </i>
    <i>
      <x v="213"/>
      <x v="148"/>
      <x v="3"/>
      <x v="3"/>
    </i>
    <i>
      <x v="214"/>
      <x v="96"/>
      <x v="5"/>
      <x v="9"/>
    </i>
    <i>
      <x v="215"/>
      <x v="143"/>
      <x v="5"/>
      <x v="16"/>
    </i>
    <i>
      <x v="216"/>
      <x v="30"/>
      <x v="6"/>
      <x v="6"/>
    </i>
    <i>
      <x v="217"/>
      <x v="31"/>
      <x v="6"/>
      <x v="6"/>
    </i>
    <i>
      <x v="218"/>
      <x v="209"/>
      <x v="7"/>
      <x v="8"/>
    </i>
    <i>
      <x v="219"/>
      <x v="211"/>
      <x/>
      <x/>
    </i>
    <i>
      <x v="220"/>
      <x v="210"/>
      <x v="1"/>
      <x v="1"/>
    </i>
    <i>
      <x v="221"/>
      <x v="212"/>
      <x v="7"/>
      <x v="8"/>
    </i>
    <i>
      <x v="222"/>
      <x v="213"/>
      <x v="5"/>
      <x v="17"/>
    </i>
    <i>
      <x v="223"/>
      <x v="214"/>
      <x v="5"/>
      <x v="13"/>
    </i>
    <i>
      <x v="224"/>
      <x v="215"/>
      <x v="10"/>
      <x v="15"/>
    </i>
    <i>
      <x v="225"/>
      <x v="219"/>
      <x v="10"/>
      <x v="15"/>
    </i>
    <i>
      <x v="226"/>
      <x v="216"/>
      <x v="7"/>
      <x v="8"/>
    </i>
    <i>
      <x v="227"/>
      <x v="217"/>
      <x v="5"/>
      <x v="13"/>
    </i>
    <i>
      <x v="228"/>
      <x v="218"/>
      <x v="2"/>
      <x v="2"/>
    </i>
    <i>
      <x v="229"/>
      <x v="220"/>
      <x v="7"/>
      <x v="8"/>
    </i>
    <i>
      <x v="230"/>
      <x v="221"/>
      <x v="6"/>
      <x v="6"/>
    </i>
    <i>
      <x v="231"/>
      <x v="222"/>
      <x v="2"/>
      <x v="2"/>
    </i>
    <i>
      <x v="232"/>
      <x v="223"/>
      <x v="5"/>
      <x v="11"/>
    </i>
    <i>
      <x v="233"/>
      <x v="224"/>
      <x v="5"/>
      <x v="11"/>
    </i>
    <i>
      <x v="234"/>
      <x v="232"/>
      <x v="3"/>
      <x v="3"/>
    </i>
    <i>
      <x v="235"/>
      <x v="231"/>
      <x v="5"/>
      <x v="17"/>
    </i>
    <i>
      <x v="236"/>
      <x v="233"/>
      <x v="5"/>
      <x v="10"/>
    </i>
    <i>
      <x v="237"/>
      <x v="234"/>
      <x v="5"/>
      <x v="10"/>
    </i>
    <i>
      <x v="238"/>
      <x v="235"/>
      <x v="5"/>
      <x v="10"/>
    </i>
    <i>
      <x v="239"/>
      <x v="236"/>
      <x v="5"/>
      <x v="19"/>
    </i>
    <i>
      <x v="240"/>
      <x v="237"/>
      <x v="5"/>
      <x v="19"/>
    </i>
    <i>
      <x v="241"/>
      <x v="238"/>
      <x v="8"/>
      <x v="12"/>
    </i>
    <i>
      <x v="242"/>
      <x v="239"/>
      <x v="6"/>
      <x v="6"/>
    </i>
  </rowItems>
  <colFields count="1">
    <field x="-2"/>
  </colFields>
  <colItems count="2">
    <i>
      <x/>
    </i>
    <i i="1">
      <x v="1"/>
    </i>
  </colItems>
  <pageFields count="1">
    <pageField fld="0" hier="-1"/>
  </pageFields>
  <dataFields count="2">
    <dataField name="Sum of HH" fld="16" baseField="11" baseItem="0"/>
    <dataField name="Sum of Total" fld="17" baseField="5"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2.xml><?xml version="1.0" encoding="utf-8"?>
<pivotTableDefinition xmlns="http://schemas.openxmlformats.org/spreadsheetml/2006/main" name="PivotTable1" cacheId="23"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J246" firstHeaderRow="1" firstDataRow="1" firstDataCol="3"/>
  <pivotFields count="42">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1">
        <item x="1"/>
        <item x="4"/>
        <item x="0"/>
        <item x="18"/>
        <item x="14"/>
        <item x="13"/>
        <item x="7"/>
        <item x="15"/>
        <item x="2"/>
        <item x="16"/>
        <item x="12"/>
        <item x="8"/>
        <item x="5"/>
        <item x="10"/>
        <item x="6"/>
        <item x="17"/>
        <item x="19"/>
        <item x="11"/>
        <item x="9"/>
        <item x="2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s>
      <extLst>
        <ext xmlns:x14="http://schemas.microsoft.com/office/spreadsheetml/2009/9/main" uri="{2946ED86-A175-432a-8AC1-64E0C546D7DE}">
          <x14:pivotField fillDownLabels="1"/>
        </ext>
      </extLst>
    </pivotField>
    <pivotField axis="axisRow" compact="0" outline="0" showAll="0" defaultSubtotal="0">
      <items count="243">
        <item x="220"/>
        <item x="183"/>
        <item x="223"/>
        <item x="222"/>
        <item x="224"/>
        <item x="207"/>
        <item x="208"/>
        <item x="98"/>
        <item x="212"/>
        <item x="27"/>
        <item x="28"/>
        <item x="26"/>
        <item x="63"/>
        <item x="74"/>
        <item x="73"/>
        <item x="96"/>
        <item x="147"/>
        <item x="54"/>
        <item x="55"/>
        <item x="122"/>
        <item x="123"/>
        <item x="237"/>
        <item x="221"/>
        <item x="167"/>
        <item x="194"/>
        <item x="196"/>
        <item x="87"/>
        <item x="35"/>
        <item x="91"/>
        <item x="195"/>
        <item x="90"/>
        <item x="193"/>
        <item x="174"/>
        <item x="176"/>
        <item x="133"/>
        <item x="231"/>
        <item x="225"/>
        <item x="230"/>
        <item x="93"/>
        <item x="92"/>
        <item x="209"/>
        <item x="22"/>
        <item x="48"/>
        <item x="235"/>
        <item x="69"/>
        <item x="34"/>
        <item x="198"/>
        <item x="57"/>
        <item x="78"/>
        <item x="3"/>
        <item x="146"/>
        <item x="50"/>
        <item x="238"/>
        <item x="168"/>
        <item x="217"/>
        <item x="134"/>
        <item x="135"/>
        <item x="109"/>
        <item x="182"/>
        <item x="219"/>
        <item x="148"/>
        <item x="97"/>
        <item x="101"/>
        <item x="89"/>
        <item x="191"/>
        <item x="113"/>
        <item x="210"/>
        <item x="211"/>
        <item x="80"/>
        <item x="81"/>
        <item x="79"/>
        <item x="184"/>
        <item x="206"/>
        <item x="65"/>
        <item x="229"/>
        <item x="112"/>
        <item x="64"/>
        <item x="172"/>
        <item x="214"/>
        <item x="170"/>
        <item x="179"/>
        <item x="180"/>
        <item x="127"/>
        <item x="126"/>
        <item x="21"/>
        <item x="129"/>
        <item x="125"/>
        <item x="128"/>
        <item x="9"/>
        <item x="115"/>
        <item x="114"/>
        <item x="119"/>
        <item x="116"/>
        <item x="121"/>
        <item x="117"/>
        <item x="118"/>
        <item x="120"/>
        <item x="227"/>
        <item x="189"/>
        <item x="169"/>
        <item x="202"/>
        <item x="239"/>
        <item x="124"/>
        <item x="85"/>
        <item x="199"/>
        <item x="20"/>
        <item x="218"/>
        <item x="240"/>
        <item x="17"/>
        <item x="16"/>
        <item x="36"/>
        <item x="234"/>
        <item x="67"/>
        <item x="108"/>
        <item x="88"/>
        <item x="187"/>
        <item x="56"/>
        <item x="49"/>
        <item x="29"/>
        <item x="186"/>
        <item x="70"/>
        <item x="18"/>
        <item x="181"/>
        <item x="105"/>
        <item x="103"/>
        <item x="107"/>
        <item x="82"/>
        <item x="149"/>
        <item x="161"/>
        <item x="72"/>
        <item x="71"/>
        <item x="37"/>
        <item x="68"/>
        <item x="175"/>
        <item x="23"/>
        <item x="192"/>
        <item x="185"/>
        <item x="41"/>
        <item x="77"/>
        <item x="2"/>
        <item x="13"/>
        <item x="8"/>
        <item x="0"/>
        <item x="15"/>
        <item x="6"/>
        <item x="25"/>
        <item x="236"/>
        <item x="4"/>
        <item x="143"/>
        <item x="130"/>
        <item x="1"/>
        <item x="30"/>
        <item x="76"/>
        <item x="197"/>
        <item x="200"/>
        <item x="233"/>
        <item x="232"/>
        <item x="31"/>
        <item x="14"/>
        <item x="39"/>
        <item x="5"/>
        <item x="38"/>
        <item x="162"/>
        <item x="190"/>
        <item x="7"/>
        <item x="75"/>
        <item x="42"/>
        <item x="43"/>
        <item x="102"/>
        <item x="44"/>
        <item x="58"/>
        <item x="241"/>
        <item x="66"/>
        <item x="139"/>
        <item x="159"/>
        <item x="216"/>
        <item x="51"/>
        <item x="160"/>
        <item x="188"/>
        <item x="228"/>
        <item x="99"/>
        <item x="100"/>
        <item x="12"/>
        <item x="10"/>
        <item x="11"/>
        <item x="52"/>
        <item x="94"/>
        <item x="213"/>
        <item x="173"/>
        <item x="86"/>
        <item x="215"/>
        <item x="151"/>
        <item x="155"/>
        <item x="153"/>
        <item x="150"/>
        <item x="137"/>
        <item x="140"/>
        <item x="158"/>
        <item x="110"/>
        <item x="45"/>
        <item x="157"/>
        <item x="136"/>
        <item x="164"/>
        <item x="59"/>
        <item x="61"/>
        <item x="62"/>
        <item x="131"/>
        <item x="142"/>
        <item x="242"/>
        <item x="46"/>
        <item x="138"/>
        <item x="154"/>
        <item x="156"/>
        <item x="171"/>
        <item x="111"/>
        <item x="165"/>
        <item x="32"/>
        <item x="33"/>
        <item x="95"/>
        <item x="226"/>
        <item x="205"/>
        <item x="19"/>
        <item x="53"/>
        <item x="144"/>
        <item x="152"/>
        <item x="166"/>
        <item x="106"/>
        <item x="145"/>
        <item x="47"/>
        <item x="104"/>
        <item x="141"/>
        <item x="60"/>
        <item x="40"/>
        <item x="132"/>
        <item x="163"/>
        <item x="83"/>
        <item x="203"/>
        <item x="204"/>
        <item x="84"/>
        <item x="177"/>
        <item x="201"/>
        <item x="24"/>
        <item x="17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3">
    <field x="11"/>
    <field x="12"/>
    <field x="0"/>
  </rowFields>
  <rowItems count="243">
    <i>
      <x/>
      <x v="142"/>
      <x/>
    </i>
    <i>
      <x v="1"/>
      <x v="150"/>
      <x v="1"/>
    </i>
    <i>
      <x v="2"/>
      <x v="139"/>
      <x v="1"/>
    </i>
    <i>
      <x v="3"/>
      <x v="49"/>
      <x v="1"/>
    </i>
    <i>
      <x v="4"/>
      <x v="147"/>
      <x v="1"/>
    </i>
    <i>
      <x v="5"/>
      <x v="160"/>
      <x v="1"/>
    </i>
    <i>
      <x v="6"/>
      <x v="144"/>
      <x/>
    </i>
    <i>
      <x v="7"/>
      <x v="164"/>
      <x v="1"/>
    </i>
    <i>
      <x v="8"/>
      <x v="141"/>
      <x/>
    </i>
    <i>
      <x v="9"/>
      <x v="88"/>
      <x/>
    </i>
    <i>
      <x v="10"/>
      <x v="183"/>
      <x/>
    </i>
    <i>
      <x v="11"/>
      <x v="184"/>
      <x/>
    </i>
    <i>
      <x v="12"/>
      <x v="182"/>
      <x/>
    </i>
    <i>
      <x v="13"/>
      <x v="140"/>
      <x v="1"/>
    </i>
    <i>
      <x v="14"/>
      <x v="158"/>
      <x/>
    </i>
    <i>
      <x v="15"/>
      <x v="143"/>
      <x/>
    </i>
    <i>
      <x v="16"/>
      <x v="109"/>
      <x/>
    </i>
    <i>
      <x v="17"/>
      <x v="108"/>
      <x v="1"/>
    </i>
    <i>
      <x v="18"/>
      <x v="121"/>
      <x v="1"/>
    </i>
    <i>
      <x v="19"/>
      <x v="221"/>
      <x v="1"/>
    </i>
    <i>
      <x v="20"/>
      <x v="105"/>
      <x v="1"/>
    </i>
    <i>
      <x v="21"/>
      <x v="84"/>
      <x/>
    </i>
    <i>
      <x v="22"/>
      <x v="41"/>
      <x v="1"/>
    </i>
    <i>
      <x v="23"/>
      <x v="134"/>
      <x/>
    </i>
    <i>
      <x v="24"/>
      <x v="241"/>
      <x v="1"/>
    </i>
    <i>
      <x v="25"/>
      <x v="145"/>
      <x v="1"/>
    </i>
    <i>
      <x v="26"/>
      <x v="11"/>
      <x v="1"/>
    </i>
    <i>
      <x v="27"/>
      <x v="9"/>
      <x v="1"/>
    </i>
    <i>
      <x v="28"/>
      <x v="10"/>
      <x v="1"/>
    </i>
    <i>
      <x v="29"/>
      <x v="118"/>
      <x v="1"/>
    </i>
    <i>
      <x v="30"/>
      <x v="151"/>
      <x/>
    </i>
    <i>
      <x v="31"/>
      <x v="157"/>
      <x/>
    </i>
    <i>
      <x v="32"/>
      <x v="216"/>
      <x/>
    </i>
    <i>
      <x v="33"/>
      <x v="217"/>
      <x/>
    </i>
    <i>
      <x v="34"/>
      <x v="45"/>
      <x/>
    </i>
    <i>
      <x v="35"/>
      <x v="27"/>
      <x v="1"/>
    </i>
    <i>
      <x v="36"/>
      <x v="110"/>
      <x v="1"/>
    </i>
    <i>
      <x v="37"/>
      <x v="131"/>
      <x v="1"/>
    </i>
    <i>
      <x v="38"/>
      <x v="161"/>
      <x v="1"/>
    </i>
    <i>
      <x v="39"/>
      <x v="159"/>
      <x/>
    </i>
    <i>
      <x v="40"/>
      <x v="232"/>
      <x v="1"/>
    </i>
    <i>
      <x v="41"/>
      <x v="137"/>
      <x v="1"/>
    </i>
    <i r="1">
      <x v="166"/>
      <x v="1"/>
    </i>
    <i r="1">
      <x v="167"/>
      <x v="1"/>
    </i>
    <i r="1">
      <x v="169"/>
      <x v="1"/>
    </i>
    <i>
      <x v="42"/>
      <x v="199"/>
      <x v="1"/>
    </i>
    <i>
      <x v="43"/>
      <x v="209"/>
      <x v="1"/>
    </i>
    <i>
      <x v="44"/>
      <x v="228"/>
      <x v="1"/>
    </i>
    <i>
      <x v="45"/>
      <x v="42"/>
      <x v="1"/>
    </i>
    <i>
      <x v="46"/>
      <x v="117"/>
      <x v="1"/>
    </i>
    <i>
      <x v="47"/>
      <x v="51"/>
      <x v="1"/>
    </i>
    <i>
      <x v="48"/>
      <x v="176"/>
      <x v="1"/>
    </i>
    <i>
      <x v="49"/>
      <x v="185"/>
      <x/>
    </i>
    <i>
      <x v="50"/>
      <x v="222"/>
      <x v="1"/>
    </i>
    <i>
      <x v="51"/>
      <x v="17"/>
      <x v="1"/>
    </i>
    <i>
      <x v="52"/>
      <x v="18"/>
      <x v="1"/>
    </i>
    <i>
      <x v="53"/>
      <x v="116"/>
      <x v="1"/>
    </i>
    <i>
      <x v="54"/>
      <x v="47"/>
      <x/>
    </i>
    <i>
      <x v="55"/>
      <x v="170"/>
      <x v="1"/>
    </i>
    <i>
      <x v="56"/>
      <x v="203"/>
      <x v="1"/>
    </i>
    <i>
      <x v="57"/>
      <x v="231"/>
      <x v="1"/>
    </i>
    <i>
      <x v="58"/>
      <x v="204"/>
      <x v="1"/>
    </i>
    <i>
      <x v="59"/>
      <x v="205"/>
      <x v="1"/>
    </i>
    <i>
      <x v="60"/>
      <x v="12"/>
      <x v="1"/>
    </i>
    <i>
      <x v="61"/>
      <x v="76"/>
      <x v="1"/>
    </i>
    <i>
      <x v="62"/>
      <x v="73"/>
      <x v="1"/>
    </i>
    <i>
      <x v="63"/>
      <x v="172"/>
      <x/>
    </i>
    <i>
      <x v="64"/>
      <x v="112"/>
      <x/>
    </i>
    <i>
      <x v="65"/>
      <x v="132"/>
      <x v="1"/>
    </i>
    <i>
      <x v="66"/>
      <x v="44"/>
      <x v="1"/>
    </i>
    <i>
      <x v="67"/>
      <x v="120"/>
      <x v="1"/>
    </i>
    <i>
      <x v="68"/>
      <x v="130"/>
      <x v="1"/>
    </i>
    <i>
      <x v="69"/>
      <x v="129"/>
      <x/>
    </i>
    <i>
      <x v="70"/>
      <x v="14"/>
      <x v="1"/>
    </i>
    <i>
      <x v="71"/>
      <x v="13"/>
      <x v="1"/>
    </i>
    <i>
      <x v="72"/>
      <x v="165"/>
      <x v="1"/>
    </i>
    <i>
      <x v="73"/>
      <x v="152"/>
      <x v="1"/>
    </i>
    <i>
      <x v="74"/>
      <x v="138"/>
      <x v="1"/>
    </i>
    <i>
      <x v="75"/>
      <x v="48"/>
      <x v="1"/>
    </i>
    <i>
      <x v="76"/>
      <x v="70"/>
      <x v="1"/>
    </i>
    <i>
      <x v="77"/>
      <x v="68"/>
      <x v="1"/>
    </i>
    <i>
      <x v="78"/>
      <x v="69"/>
      <x v="1"/>
    </i>
    <i>
      <x v="79"/>
      <x v="126"/>
      <x/>
    </i>
    <i>
      <x v="80"/>
      <x v="235"/>
      <x v="1"/>
    </i>
    <i>
      <x v="81"/>
      <x v="238"/>
      <x v="1"/>
    </i>
    <i>
      <x v="82"/>
      <x v="103"/>
      <x/>
    </i>
    <i>
      <x v="83"/>
      <x v="189"/>
      <x/>
    </i>
    <i>
      <x v="84"/>
      <x v="26"/>
      <x v="1"/>
    </i>
    <i>
      <x v="85"/>
      <x v="114"/>
      <x v="1"/>
    </i>
    <i>
      <x v="86"/>
      <x v="63"/>
      <x v="1"/>
    </i>
    <i>
      <x v="87"/>
      <x v="30"/>
      <x v="1"/>
    </i>
    <i>
      <x v="88"/>
      <x v="28"/>
      <x v="1"/>
    </i>
    <i>
      <x v="89"/>
      <x v="39"/>
      <x v="1"/>
    </i>
    <i>
      <x v="90"/>
      <x v="38"/>
      <x v="1"/>
    </i>
    <i>
      <x v="91"/>
      <x v="186"/>
      <x v="1"/>
    </i>
    <i>
      <x v="92"/>
      <x v="218"/>
      <x v="1"/>
    </i>
    <i>
      <x v="93"/>
      <x v="15"/>
      <x v="1"/>
    </i>
    <i>
      <x v="94"/>
      <x v="61"/>
      <x v="1"/>
    </i>
    <i>
      <x v="95"/>
      <x v="7"/>
      <x v="1"/>
    </i>
    <i>
      <x v="96"/>
      <x v="180"/>
      <x/>
    </i>
    <i>
      <x v="97"/>
      <x v="181"/>
      <x/>
    </i>
    <i>
      <x v="98"/>
      <x v="62"/>
      <x v="1"/>
    </i>
    <i>
      <x v="99"/>
      <x v="168"/>
      <x v="1"/>
    </i>
    <i>
      <x v="100"/>
      <x v="124"/>
      <x v="1"/>
    </i>
    <i>
      <x v="101"/>
      <x v="229"/>
      <x v="1"/>
    </i>
    <i>
      <x v="102"/>
      <x v="123"/>
      <x v="1"/>
    </i>
    <i>
      <x v="103"/>
      <x v="226"/>
      <x v="1"/>
    </i>
    <i>
      <x v="104"/>
      <x v="125"/>
      <x v="1"/>
    </i>
    <i>
      <x v="105"/>
      <x v="113"/>
      <x/>
    </i>
    <i>
      <x v="106"/>
      <x v="57"/>
      <x/>
    </i>
    <i>
      <x v="107"/>
      <x v="198"/>
      <x v="1"/>
    </i>
    <i>
      <x v="108"/>
      <x v="214"/>
      <x v="1"/>
    </i>
    <i>
      <x v="109"/>
      <x v="75"/>
      <x v="1"/>
    </i>
    <i>
      <x v="110"/>
      <x v="65"/>
      <x v="1"/>
    </i>
    <i>
      <x v="111"/>
      <x v="90"/>
      <x/>
    </i>
    <i>
      <x v="112"/>
      <x v="89"/>
      <x/>
    </i>
    <i>
      <x v="113"/>
      <x v="92"/>
      <x/>
    </i>
    <i>
      <x v="114"/>
      <x v="94"/>
      <x/>
    </i>
    <i>
      <x v="115"/>
      <x v="95"/>
      <x/>
    </i>
    <i>
      <x v="116"/>
      <x v="91"/>
      <x/>
    </i>
    <i>
      <x v="117"/>
      <x v="96"/>
      <x/>
    </i>
    <i>
      <x v="118"/>
      <x v="93"/>
      <x/>
    </i>
    <i>
      <x v="119"/>
      <x v="19"/>
      <x v="1"/>
    </i>
    <i>
      <x v="120"/>
      <x v="20"/>
      <x v="1"/>
    </i>
    <i>
      <x v="121"/>
      <x v="102"/>
      <x/>
    </i>
    <i>
      <x v="122"/>
      <x v="86"/>
      <x/>
    </i>
    <i>
      <x v="123"/>
      <x v="83"/>
      <x/>
    </i>
    <i>
      <x v="124"/>
      <x v="82"/>
      <x/>
    </i>
    <i>
      <x v="125"/>
      <x v="87"/>
      <x v="1"/>
    </i>
    <i>
      <x v="126"/>
      <x v="85"/>
      <x/>
    </i>
    <i>
      <x v="127"/>
      <x v="149"/>
      <x/>
    </i>
    <i>
      <x v="128"/>
      <x v="206"/>
      <x v="1"/>
    </i>
    <i>
      <x v="129"/>
      <x v="233"/>
      <x v="1"/>
    </i>
    <i>
      <x v="130"/>
      <x v="34"/>
      <x/>
    </i>
    <i>
      <x v="131"/>
      <x v="55"/>
      <x v="1"/>
    </i>
    <i>
      <x v="132"/>
      <x v="56"/>
      <x/>
    </i>
    <i>
      <x v="133"/>
      <x v="201"/>
      <x v="1"/>
    </i>
    <i>
      <x v="134"/>
      <x v="195"/>
      <x v="1"/>
    </i>
    <i>
      <x v="135"/>
      <x v="210"/>
      <x/>
    </i>
    <i>
      <x v="136"/>
      <x v="173"/>
      <x/>
    </i>
    <i>
      <x v="137"/>
      <x v="196"/>
      <x v="1"/>
    </i>
    <i>
      <x v="138"/>
      <x v="230"/>
      <x v="1"/>
    </i>
    <i>
      <x v="139"/>
      <x v="207"/>
      <x/>
    </i>
    <i>
      <x v="140"/>
      <x v="148"/>
      <x/>
    </i>
    <i>
      <x v="141"/>
      <x v="223"/>
      <x v="1"/>
    </i>
    <i>
      <x v="142"/>
      <x v="227"/>
      <x v="1"/>
    </i>
    <i>
      <x v="143"/>
      <x v="50"/>
      <x v="1"/>
    </i>
    <i>
      <x v="144"/>
      <x v="16"/>
      <x/>
    </i>
    <i>
      <x v="145"/>
      <x v="60"/>
      <x v="1"/>
    </i>
    <i>
      <x v="146"/>
      <x v="127"/>
      <x/>
    </i>
    <i>
      <x v="147"/>
      <x v="194"/>
      <x v="1"/>
    </i>
    <i>
      <x v="148"/>
      <x v="191"/>
      <x v="1"/>
    </i>
    <i>
      <x v="149"/>
      <x v="224"/>
      <x v="1"/>
    </i>
    <i>
      <x v="150"/>
      <x v="193"/>
      <x v="1"/>
    </i>
    <i>
      <x v="151"/>
      <x v="211"/>
      <x/>
    </i>
    <i>
      <x v="152"/>
      <x v="192"/>
      <x/>
    </i>
    <i>
      <x v="153"/>
      <x v="212"/>
      <x/>
    </i>
    <i>
      <x v="154"/>
      <x v="200"/>
      <x v="1"/>
    </i>
    <i>
      <x v="155"/>
      <x v="197"/>
      <x v="1"/>
    </i>
    <i>
      <x v="156"/>
      <x v="174"/>
      <x/>
    </i>
    <i>
      <x v="157"/>
      <x v="177"/>
      <x/>
    </i>
    <i>
      <x v="158"/>
      <x v="128"/>
      <x/>
    </i>
    <i>
      <x v="159"/>
      <x v="162"/>
      <x v="1"/>
    </i>
    <i>
      <x v="160"/>
      <x v="234"/>
      <x v="1"/>
    </i>
    <i>
      <x v="161"/>
      <x v="202"/>
      <x v="1"/>
    </i>
    <i>
      <x v="162"/>
      <x v="215"/>
      <x v="1"/>
    </i>
    <i>
      <x v="163"/>
      <x v="225"/>
      <x v="1"/>
    </i>
    <i>
      <x v="164"/>
      <x v="23"/>
      <x v="1"/>
    </i>
    <i>
      <x v="165"/>
      <x v="53"/>
      <x v="1"/>
    </i>
    <i>
      <x v="166"/>
      <x v="99"/>
      <x v="1"/>
    </i>
    <i>
      <x v="167"/>
      <x v="79"/>
      <x/>
    </i>
    <i>
      <x v="168"/>
      <x v="213"/>
      <x v="1"/>
    </i>
    <i>
      <x v="169"/>
      <x v="77"/>
      <x v="1"/>
    </i>
    <i>
      <x v="170"/>
      <x v="188"/>
      <x/>
    </i>
    <i>
      <x v="171"/>
      <x v="32"/>
      <x v="1"/>
    </i>
    <i>
      <x v="172"/>
      <x v="133"/>
      <x v="1"/>
    </i>
    <i>
      <x v="173"/>
      <x v="33"/>
      <x/>
    </i>
    <i>
      <x v="174"/>
      <x v="239"/>
      <x v="1"/>
    </i>
    <i>
      <x v="175"/>
      <x v="242"/>
      <x v="1"/>
    </i>
    <i>
      <x v="176"/>
      <x v="80"/>
      <x/>
    </i>
    <i>
      <x v="177"/>
      <x v="81"/>
      <x/>
    </i>
    <i>
      <x v="178"/>
      <x v="122"/>
      <x v="1"/>
    </i>
    <i>
      <x v="179"/>
      <x v="58"/>
      <x v="1"/>
    </i>
    <i>
      <x v="180"/>
      <x v="1"/>
      <x v="1"/>
    </i>
    <i>
      <x v="181"/>
      <x v="71"/>
      <x v="1"/>
    </i>
    <i>
      <x v="182"/>
      <x v="136"/>
      <x v="1"/>
    </i>
    <i>
      <x v="183"/>
      <x v="119"/>
      <x v="1"/>
    </i>
    <i>
      <x v="184"/>
      <x v="115"/>
      <x v="1"/>
    </i>
    <i>
      <x v="185"/>
      <x v="178"/>
      <x v="1"/>
    </i>
    <i>
      <x v="186"/>
      <x v="98"/>
      <x/>
    </i>
    <i>
      <x v="187"/>
      <x v="163"/>
      <x v="1"/>
    </i>
    <i>
      <x v="188"/>
      <x v="64"/>
      <x v="1"/>
    </i>
    <i>
      <x v="189"/>
      <x v="135"/>
      <x v="1"/>
    </i>
    <i>
      <x v="190"/>
      <x v="31"/>
      <x v="1"/>
    </i>
    <i>
      <x v="191"/>
      <x v="24"/>
      <x v="1"/>
    </i>
    <i>
      <x v="192"/>
      <x v="29"/>
      <x v="1"/>
    </i>
    <i>
      <x v="193"/>
      <x v="25"/>
      <x v="1"/>
    </i>
    <i>
      <x v="194"/>
      <x v="153"/>
      <x v="1"/>
    </i>
    <i>
      <x v="195"/>
      <x v="46"/>
      <x v="1"/>
    </i>
    <i>
      <x v="196"/>
      <x v="104"/>
      <x/>
    </i>
    <i>
      <x v="197"/>
      <x v="154"/>
      <x v="1"/>
    </i>
    <i>
      <x v="198"/>
      <x v="240"/>
      <x v="1"/>
    </i>
    <i>
      <x v="199"/>
      <x v="100"/>
      <x/>
    </i>
    <i>
      <x v="200"/>
      <x v="236"/>
      <x v="1"/>
    </i>
    <i>
      <x v="201"/>
      <x v="237"/>
      <x v="1"/>
    </i>
    <i>
      <x v="202"/>
      <x v="220"/>
      <x v="1"/>
    </i>
    <i>
      <x v="203"/>
      <x v="72"/>
      <x v="1"/>
    </i>
    <i>
      <x v="204"/>
      <x v="5"/>
      <x v="1"/>
    </i>
    <i>
      <x v="205"/>
      <x v="6"/>
      <x v="1"/>
    </i>
    <i>
      <x v="206"/>
      <x v="40"/>
      <x v="1"/>
    </i>
    <i>
      <x v="207"/>
      <x v="66"/>
      <x v="1"/>
    </i>
    <i>
      <x v="208"/>
      <x v="67"/>
      <x v="1"/>
    </i>
    <i>
      <x v="209"/>
      <x v="8"/>
      <x v="1"/>
    </i>
    <i>
      <x v="210"/>
      <x v="187"/>
      <x/>
    </i>
    <i>
      <x v="211"/>
      <x v="78"/>
      <x v="1"/>
    </i>
    <i>
      <x v="212"/>
      <x v="190"/>
      <x/>
    </i>
    <i>
      <x v="213"/>
      <x v="175"/>
      <x v="1"/>
    </i>
    <i>
      <x v="214"/>
      <x v="54"/>
      <x v="1"/>
    </i>
    <i>
      <x v="215"/>
      <x v="106"/>
      <x/>
    </i>
    <i>
      <x v="216"/>
      <x v="59"/>
      <x v="1"/>
    </i>
    <i>
      <x v="217"/>
      <x/>
      <x v="1"/>
    </i>
    <i>
      <x v="218"/>
      <x v="22"/>
      <x v="1"/>
    </i>
    <i>
      <x v="219"/>
      <x v="3"/>
      <x v="1"/>
    </i>
    <i>
      <x v="220"/>
      <x v="2"/>
      <x v="1"/>
    </i>
    <i>
      <x v="221"/>
      <x v="4"/>
      <x v="1"/>
    </i>
    <i>
      <x v="222"/>
      <x v="36"/>
      <x v="1"/>
    </i>
    <i>
      <x v="223"/>
      <x v="219"/>
      <x/>
    </i>
    <i>
      <x v="224"/>
      <x v="97"/>
      <x/>
    </i>
    <i>
      <x v="225"/>
      <x v="179"/>
      <x/>
    </i>
    <i>
      <x v="226"/>
      <x v="74"/>
      <x v="1"/>
    </i>
    <i>
      <x v="227"/>
      <x v="37"/>
      <x v="1"/>
    </i>
    <i>
      <x v="228"/>
      <x v="35"/>
      <x/>
    </i>
    <i>
      <x v="229"/>
      <x v="156"/>
      <x/>
    </i>
    <i>
      <x v="230"/>
      <x v="155"/>
      <x v="1"/>
    </i>
    <i>
      <x v="231"/>
      <x v="111"/>
      <x v="1"/>
    </i>
    <i>
      <x v="232"/>
      <x v="43"/>
      <x/>
    </i>
    <i>
      <x v="233"/>
      <x v="146"/>
      <x/>
    </i>
    <i>
      <x v="234"/>
      <x v="21"/>
      <x v="1"/>
    </i>
    <i>
      <x v="235"/>
      <x v="52"/>
      <x v="1"/>
    </i>
    <i>
      <x v="236"/>
      <x v="101"/>
      <x v="1"/>
    </i>
    <i>
      <x v="237"/>
      <x v="107"/>
      <x v="1"/>
    </i>
    <i>
      <x v="238"/>
      <x v="171"/>
      <x/>
    </i>
    <i>
      <x v="239"/>
      <x v="208"/>
      <x v="1"/>
    </i>
  </rowItems>
  <colItems count="1">
    <i/>
  </colItems>
  <dataFields count="1">
    <dataField name="Sum of HH" fld="16"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3.xml><?xml version="1.0" encoding="utf-8"?>
<pivotTableDefinition xmlns="http://schemas.openxmlformats.org/spreadsheetml/2006/main" name="TCL" cacheId="23"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B246" firstHeaderRow="1" firstDataRow="1" firstDataCol="2" rowPageCount="1" colPageCount="1"/>
  <pivotFields count="42">
    <pivotField axis="axisPage" compact="0" outline="0" multipleItemSelectionAllowed="1"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1">
        <item x="1"/>
        <item x="4"/>
        <item x="0"/>
        <item x="18"/>
        <item x="14"/>
        <item x="13"/>
        <item x="7"/>
        <item x="15"/>
        <item x="2"/>
        <item x="16"/>
        <item x="12"/>
        <item x="8"/>
        <item x="5"/>
        <item x="10"/>
        <item x="6"/>
        <item x="17"/>
        <item x="19"/>
        <item x="11"/>
        <item x="9"/>
        <item x="2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0">
        <item x="0"/>
        <item x="1"/>
        <item x="2"/>
        <item x="3"/>
        <item x="4"/>
        <item x="5"/>
        <item x="6"/>
        <item x="7"/>
        <item x="8"/>
        <item x="9"/>
        <item x="10"/>
        <item x="11"/>
        <item x="12"/>
        <item x="13"/>
        <item x="14"/>
        <item x="15"/>
        <item x="16"/>
        <item x="17"/>
        <item x="18"/>
        <item x="20"/>
        <item x="21"/>
        <item x="22"/>
        <item x="23"/>
        <item x="25"/>
        <item x="26"/>
        <item x="27"/>
        <item x="28"/>
        <item x="29"/>
        <item x="30"/>
        <item x="31"/>
        <item x="32"/>
        <item x="33"/>
        <item x="34"/>
        <item x="35"/>
        <item x="36"/>
        <item x="37"/>
        <item x="38"/>
        <item x="39"/>
        <item x="41"/>
        <item x="42"/>
        <item x="43"/>
        <item x="45"/>
        <item x="46"/>
        <item x="47"/>
        <item x="48"/>
        <item x="49"/>
        <item x="51"/>
        <item x="52"/>
        <item x="53"/>
        <item x="54"/>
        <item x="55"/>
        <item x="56"/>
        <item x="58"/>
        <item x="59"/>
        <item x="60"/>
        <item x="61"/>
        <item x="62"/>
        <item x="63"/>
        <item x="65"/>
        <item x="66"/>
        <item x="67"/>
        <item x="68"/>
        <item x="69"/>
        <item x="70"/>
        <item x="71"/>
        <item x="72"/>
        <item x="73"/>
        <item x="74"/>
        <item x="75"/>
        <item x="76"/>
        <item x="77"/>
        <item x="78"/>
        <item x="79"/>
        <item x="82"/>
        <item x="83"/>
        <item x="84"/>
        <item x="85"/>
        <item x="86"/>
        <item x="87"/>
        <item x="88"/>
        <item x="89"/>
        <item x="90"/>
        <item x="91"/>
        <item x="93"/>
        <item x="94"/>
        <item x="95"/>
        <item x="96"/>
        <item x="97"/>
        <item x="98"/>
        <item x="99"/>
        <item x="100"/>
        <item x="102"/>
        <item x="104"/>
        <item x="105"/>
        <item x="106"/>
        <item x="107"/>
        <item x="108"/>
        <item x="109"/>
        <item x="110"/>
        <item x="111"/>
        <item x="112"/>
        <item x="113"/>
        <item x="114"/>
        <item x="115"/>
        <item x="116"/>
        <item x="117"/>
        <item x="118"/>
        <item x="119"/>
        <item x="120"/>
        <item x="121"/>
        <item x="122"/>
        <item x="123"/>
        <item x="124"/>
        <item x="125"/>
        <item x="126"/>
        <item x="127"/>
        <item x="128"/>
        <item x="131"/>
        <item x="132"/>
        <item x="133"/>
        <item x="134"/>
        <item x="135"/>
        <item x="136"/>
        <item x="137"/>
        <item x="139"/>
        <item x="140"/>
        <item x="143"/>
        <item x="144"/>
        <item x="145"/>
        <item x="146"/>
        <item x="147"/>
        <item x="148"/>
        <item x="150"/>
        <item x="151"/>
        <item x="152"/>
        <item x="153"/>
        <item x="154"/>
        <item x="155"/>
        <item x="156"/>
        <item x="157"/>
        <item x="158"/>
        <item x="159"/>
        <item x="161"/>
        <item x="162"/>
        <item x="164"/>
        <item x="165"/>
        <item x="166"/>
        <item x="167"/>
        <item x="168"/>
        <item x="169"/>
        <item x="170"/>
        <item x="171"/>
        <item x="172"/>
        <item x="176"/>
        <item x="177"/>
        <item x="178"/>
        <item x="179"/>
        <item x="180"/>
        <item x="181"/>
        <item x="182"/>
        <item x="183"/>
        <item x="185"/>
        <item x="186"/>
        <item x="187"/>
        <item x="188"/>
        <item x="189"/>
        <item x="190"/>
        <item x="191"/>
        <item x="192"/>
        <item x="193"/>
        <item x="194"/>
        <item x="195"/>
        <item x="196"/>
        <item x="197"/>
        <item x="199"/>
        <item x="203"/>
        <item x="204"/>
        <item x="205"/>
        <item x="206"/>
        <item x="207"/>
        <item x="208"/>
        <item x="209"/>
        <item x="210"/>
        <item x="211"/>
        <item x="212"/>
        <item x="213"/>
        <item x="214"/>
        <item x="215"/>
        <item x="216"/>
        <item x="217"/>
        <item x="219"/>
        <item x="220"/>
        <item x="221"/>
        <item x="222"/>
        <item x="224"/>
        <item x="225"/>
        <item x="226"/>
        <item x="227"/>
        <item x="228"/>
        <item x="229"/>
        <item x="230"/>
        <item x="231"/>
        <item x="232"/>
        <item x="233"/>
        <item x="234"/>
        <item x="235"/>
        <item x="236"/>
        <item x="238"/>
        <item x="239"/>
        <item x="92"/>
        <item x="202"/>
        <item x="223"/>
        <item x="19"/>
        <item x="50"/>
        <item x="141"/>
        <item x="149"/>
        <item x="103"/>
        <item x="142"/>
        <item x="44"/>
        <item x="163"/>
        <item x="101"/>
        <item x="138"/>
        <item x="57"/>
        <item x="40"/>
        <item x="129"/>
        <item x="130"/>
        <item x="173"/>
        <item x="64"/>
        <item x="184"/>
        <item x="218"/>
        <item x="237"/>
        <item x="80"/>
        <item x="160"/>
        <item x="200"/>
        <item x="201"/>
        <item x="81"/>
        <item x="174"/>
        <item x="198"/>
        <item x="24"/>
        <item x="17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5"/>
    <field x="11"/>
  </rowFields>
  <rowItems count="243">
    <i>
      <x/>
      <x v="3"/>
    </i>
    <i r="1">
      <x v="7"/>
    </i>
    <i r="1">
      <x v="22"/>
    </i>
    <i r="1">
      <x v="38"/>
    </i>
    <i r="1">
      <x v="43"/>
    </i>
    <i r="1">
      <x v="49"/>
    </i>
    <i r="1">
      <x v="68"/>
    </i>
    <i r="1">
      <x v="126"/>
    </i>
    <i r="1">
      <x v="145"/>
    </i>
    <i r="1">
      <x v="163"/>
    </i>
    <i r="1">
      <x v="171"/>
    </i>
    <i r="1">
      <x v="184"/>
    </i>
    <i r="1">
      <x v="186"/>
    </i>
    <i r="1">
      <x v="195"/>
    </i>
    <i r="1">
      <x v="205"/>
    </i>
    <i r="1">
      <x v="211"/>
    </i>
    <i>
      <x v="1"/>
      <x v="21"/>
    </i>
    <i r="1">
      <x v="32"/>
    </i>
    <i r="1">
      <x v="41"/>
    </i>
    <i r="1">
      <x v="59"/>
    </i>
    <i r="1">
      <x v="65"/>
    </i>
    <i r="1">
      <x v="161"/>
    </i>
    <i r="1">
      <x v="202"/>
    </i>
    <i r="1">
      <x v="210"/>
    </i>
    <i>
      <x v="2"/>
      <x/>
    </i>
    <i r="1">
      <x v="1"/>
    </i>
    <i r="1">
      <x v="2"/>
    </i>
    <i r="1">
      <x v="4"/>
    </i>
    <i r="1">
      <x v="5"/>
    </i>
    <i r="1">
      <x v="6"/>
    </i>
    <i r="1">
      <x v="8"/>
    </i>
    <i r="1">
      <x v="9"/>
    </i>
    <i r="1">
      <x v="13"/>
    </i>
    <i r="1">
      <x v="14"/>
    </i>
    <i r="1">
      <x v="15"/>
    </i>
    <i r="1">
      <x v="19"/>
    </i>
    <i r="1">
      <x v="20"/>
    </i>
    <i r="1">
      <x v="23"/>
    </i>
    <i r="1">
      <x v="28"/>
    </i>
    <i r="1">
      <x v="29"/>
    </i>
    <i r="1">
      <x v="35"/>
    </i>
    <i r="1">
      <x v="36"/>
    </i>
    <i r="1">
      <x v="37"/>
    </i>
    <i r="1">
      <x v="66"/>
    </i>
    <i r="1">
      <x v="67"/>
    </i>
    <i r="1">
      <x v="73"/>
    </i>
    <i r="1">
      <x v="99"/>
    </i>
    <i r="1">
      <x v="100"/>
    </i>
    <i r="1">
      <x v="101"/>
    </i>
    <i r="1">
      <x v="102"/>
    </i>
    <i r="1">
      <x v="103"/>
    </i>
    <i r="1">
      <x v="104"/>
    </i>
    <i r="1">
      <x v="105"/>
    </i>
    <i r="1">
      <x v="106"/>
    </i>
    <i r="1">
      <x v="109"/>
    </i>
    <i r="1">
      <x v="110"/>
    </i>
    <i r="1">
      <x v="111"/>
    </i>
    <i r="1">
      <x v="112"/>
    </i>
    <i r="1">
      <x v="113"/>
    </i>
    <i r="1">
      <x v="114"/>
    </i>
    <i r="1">
      <x v="115"/>
    </i>
    <i r="1">
      <x v="125"/>
    </i>
    <i r="1">
      <x v="141"/>
    </i>
    <i r="1">
      <x v="146"/>
    </i>
    <i r="1">
      <x v="153"/>
    </i>
    <i r="1">
      <x v="154"/>
    </i>
    <i r="1">
      <x v="162"/>
    </i>
    <i r="1">
      <x v="170"/>
    </i>
    <i r="1">
      <x v="172"/>
    </i>
    <i r="1">
      <x v="173"/>
    </i>
    <i r="1">
      <x v="174"/>
    </i>
    <i r="1">
      <x v="187"/>
    </i>
    <i r="1">
      <x v="194"/>
    </i>
    <i r="1">
      <x v="199"/>
    </i>
    <i r="1">
      <x v="200"/>
    </i>
    <i r="1">
      <x v="203"/>
    </i>
    <i r="1">
      <x v="206"/>
    </i>
    <i r="1">
      <x v="207"/>
    </i>
    <i r="1">
      <x v="218"/>
    </i>
    <i r="1">
      <x v="222"/>
    </i>
    <i>
      <x v="3"/>
      <x v="148"/>
    </i>
    <i r="1">
      <x v="232"/>
    </i>
    <i>
      <x v="4"/>
      <x v="62"/>
    </i>
    <i>
      <x v="5"/>
      <x v="56"/>
    </i>
    <i>
      <x v="6"/>
      <x v="30"/>
    </i>
    <i r="1">
      <x v="31"/>
    </i>
    <i r="1">
      <x v="51"/>
    </i>
    <i r="1">
      <x v="52"/>
    </i>
    <i r="1">
      <x v="53"/>
    </i>
    <i r="1">
      <x v="116"/>
    </i>
    <i r="1">
      <x v="123"/>
    </i>
    <i r="1">
      <x v="124"/>
    </i>
    <i r="1">
      <x v="137"/>
    </i>
    <i r="1">
      <x v="208"/>
    </i>
    <i r="1">
      <x v="221"/>
    </i>
    <i r="1">
      <x v="239"/>
    </i>
    <i>
      <x v="7"/>
      <x v="74"/>
    </i>
    <i>
      <x v="8"/>
      <x v="10"/>
    </i>
    <i r="1">
      <x v="11"/>
    </i>
    <i r="1">
      <x v="12"/>
    </i>
    <i r="1">
      <x v="18"/>
    </i>
    <i r="1">
      <x v="38"/>
    </i>
    <i r="1">
      <x v="45"/>
    </i>
    <i r="1">
      <x v="57"/>
    </i>
    <i r="1">
      <x v="60"/>
    </i>
    <i r="1">
      <x v="72"/>
    </i>
    <i r="1">
      <x v="82"/>
    </i>
    <i r="1">
      <x v="86"/>
    </i>
    <i r="1">
      <x v="87"/>
    </i>
    <i r="1">
      <x v="90"/>
    </i>
    <i r="1">
      <x v="91"/>
    </i>
    <i r="1">
      <x v="92"/>
    </i>
    <i r="1">
      <x v="98"/>
    </i>
    <i r="1">
      <x v="121"/>
    </i>
    <i r="1">
      <x v="122"/>
    </i>
    <i r="1">
      <x v="129"/>
    </i>
    <i r="1">
      <x v="138"/>
    </i>
    <i r="1">
      <x v="139"/>
    </i>
    <i r="1">
      <x v="140"/>
    </i>
    <i r="1">
      <x v="182"/>
    </i>
    <i r="1">
      <x v="209"/>
    </i>
    <i r="1">
      <x v="212"/>
    </i>
    <i r="1">
      <x v="216"/>
    </i>
    <i r="1">
      <x v="220"/>
    </i>
    <i>
      <x v="9"/>
      <x v="95"/>
    </i>
    <i r="1">
      <x v="96"/>
    </i>
    <i>
      <x v="10"/>
      <x v="55"/>
    </i>
    <i r="1">
      <x v="97"/>
    </i>
    <i r="1">
      <x v="149"/>
    </i>
    <i r="1">
      <x v="233"/>
    </i>
    <i r="1">
      <x v="234"/>
    </i>
    <i r="1">
      <x v="235"/>
    </i>
    <i>
      <x v="11"/>
      <x v="147"/>
    </i>
    <i r="1">
      <x v="152"/>
    </i>
    <i r="1">
      <x v="183"/>
    </i>
    <i r="1">
      <x v="223"/>
    </i>
    <i r="1">
      <x v="224"/>
    </i>
    <i>
      <x v="12"/>
      <x v="27"/>
    </i>
    <i r="1">
      <x v="38"/>
    </i>
    <i r="1">
      <x v="42"/>
    </i>
    <i r="1">
      <x v="48"/>
    </i>
    <i r="1">
      <x v="50"/>
    </i>
    <i r="1">
      <x v="69"/>
    </i>
    <i r="1">
      <x v="70"/>
    </i>
    <i r="1">
      <x v="71"/>
    </i>
    <i r="1">
      <x v="77"/>
    </i>
    <i r="1">
      <x v="84"/>
    </i>
    <i r="1">
      <x v="88"/>
    </i>
    <i r="1">
      <x v="89"/>
    </i>
    <i r="1">
      <x v="94"/>
    </i>
    <i r="1">
      <x v="117"/>
    </i>
    <i r="1">
      <x v="118"/>
    </i>
    <i r="1">
      <x v="128"/>
    </i>
    <i r="1">
      <x v="155"/>
    </i>
    <i r="1">
      <x v="156"/>
    </i>
    <i r="1">
      <x v="158"/>
    </i>
    <i r="1">
      <x v="160"/>
    </i>
    <i r="1">
      <x v="164"/>
    </i>
    <i r="1">
      <x v="175"/>
    </i>
    <i r="1">
      <x v="188"/>
    </i>
    <i r="1">
      <x v="238"/>
    </i>
    <i>
      <x v="13"/>
      <x v="39"/>
    </i>
    <i r="1">
      <x v="40"/>
    </i>
    <i r="1">
      <x v="119"/>
    </i>
    <i r="1">
      <x v="120"/>
    </i>
    <i r="1">
      <x v="135"/>
    </i>
    <i r="1">
      <x v="136"/>
    </i>
    <i r="1">
      <x v="214"/>
    </i>
    <i r="1">
      <x v="217"/>
    </i>
    <i>
      <x v="14"/>
      <x v="24"/>
    </i>
    <i r="1">
      <x v="25"/>
    </i>
    <i r="1">
      <x v="26"/>
    </i>
    <i r="1">
      <x v="46"/>
    </i>
    <i r="1">
      <x v="47"/>
    </i>
    <i r="1">
      <x v="54"/>
    </i>
    <i r="1">
      <x v="63"/>
    </i>
    <i r="1">
      <x v="64"/>
    </i>
    <i r="1">
      <x v="83"/>
    </i>
    <i r="1">
      <x v="85"/>
    </i>
    <i r="1">
      <x v="107"/>
    </i>
    <i r="1">
      <x v="108"/>
    </i>
    <i r="1">
      <x v="127"/>
    </i>
    <i r="1">
      <x v="144"/>
    </i>
    <i r="1">
      <x v="157"/>
    </i>
    <i r="1">
      <x v="159"/>
    </i>
    <i r="1">
      <x v="176"/>
    </i>
    <i r="1">
      <x v="177"/>
    </i>
    <i r="1">
      <x v="181"/>
    </i>
    <i r="1">
      <x v="189"/>
    </i>
    <i r="1">
      <x v="190"/>
    </i>
    <i r="1">
      <x v="191"/>
    </i>
    <i r="1">
      <x v="192"/>
    </i>
    <i r="1">
      <x v="204"/>
    </i>
    <i r="1">
      <x v="229"/>
    </i>
    <i>
      <x v="15"/>
      <x v="130"/>
    </i>
    <i r="1">
      <x v="131"/>
    </i>
    <i r="1">
      <x v="132"/>
    </i>
    <i r="1">
      <x v="133"/>
    </i>
    <i r="1">
      <x v="134"/>
    </i>
    <i r="1">
      <x v="215"/>
    </i>
    <i r="1">
      <x v="219"/>
    </i>
    <i>
      <x v="16"/>
      <x v="142"/>
    </i>
    <i r="1">
      <x v="143"/>
    </i>
    <i>
      <x v="17"/>
      <x v="150"/>
    </i>
    <i r="1">
      <x v="196"/>
    </i>
    <i r="1">
      <x v="213"/>
    </i>
    <i r="1">
      <x v="231"/>
    </i>
    <i>
      <x v="18"/>
      <x v="38"/>
    </i>
    <i r="1">
      <x v="61"/>
    </i>
    <i r="1">
      <x v="179"/>
    </i>
    <i r="1">
      <x v="180"/>
    </i>
    <i>
      <x v="19"/>
      <x v="185"/>
    </i>
    <i r="1">
      <x v="236"/>
    </i>
    <i r="1">
      <x v="237"/>
    </i>
    <i>
      <x v="20"/>
      <x v="16"/>
    </i>
    <i r="1">
      <x v="17"/>
    </i>
    <i r="1">
      <x v="33"/>
    </i>
    <i r="1">
      <x v="34"/>
    </i>
    <i r="1">
      <x v="44"/>
    </i>
    <i r="1">
      <x v="58"/>
    </i>
    <i r="1">
      <x v="75"/>
    </i>
    <i r="1">
      <x v="76"/>
    </i>
    <i r="1">
      <x v="78"/>
    </i>
    <i r="1">
      <x v="79"/>
    </i>
    <i r="1">
      <x v="80"/>
    </i>
    <i r="1">
      <x v="81"/>
    </i>
    <i r="1">
      <x v="93"/>
    </i>
    <i r="1">
      <x v="151"/>
    </i>
    <i r="1">
      <x v="165"/>
    </i>
    <i r="1">
      <x v="166"/>
    </i>
    <i r="1">
      <x v="167"/>
    </i>
    <i r="1">
      <x v="168"/>
    </i>
    <i r="1">
      <x v="169"/>
    </i>
    <i r="1">
      <x v="178"/>
    </i>
    <i r="1">
      <x v="193"/>
    </i>
    <i r="1">
      <x v="197"/>
    </i>
    <i r="1">
      <x v="198"/>
    </i>
    <i r="1">
      <x v="201"/>
    </i>
    <i r="1">
      <x v="225"/>
    </i>
    <i r="1">
      <x v="226"/>
    </i>
    <i r="1">
      <x v="227"/>
    </i>
    <i r="1">
      <x v="228"/>
    </i>
    <i r="1">
      <x v="230"/>
    </i>
  </rowItems>
  <colItems count="1">
    <i/>
  </colItems>
  <pageFields count="1">
    <pageField fld="0" hier="-1"/>
  </pageField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4.xml><?xml version="1.0" encoding="utf-8"?>
<pivotTableDefinition xmlns="http://schemas.openxmlformats.org/spreadsheetml/2006/main" name="PivotTable3" cacheId="23"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U4:V247" firstHeaderRow="1" firstDataRow="1" firstDataCol="2" rowPageCount="1" colPageCount="1"/>
  <pivotFields count="42">
    <pivotField axis="axisPage"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1">
        <item x="1"/>
        <item x="4"/>
        <item x="0"/>
        <item x="18"/>
        <item x="14"/>
        <item x="13"/>
        <item x="7"/>
        <item x="15"/>
        <item x="2"/>
        <item x="16"/>
        <item x="12"/>
        <item x="8"/>
        <item x="5"/>
        <item x="10"/>
        <item x="6"/>
        <item x="17"/>
        <item x="19"/>
        <item x="11"/>
        <item x="9"/>
        <item x="2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3">
        <item x="220"/>
        <item x="183"/>
        <item x="223"/>
        <item x="222"/>
        <item x="224"/>
        <item x="207"/>
        <item x="208"/>
        <item x="98"/>
        <item x="212"/>
        <item x="27"/>
        <item x="28"/>
        <item x="26"/>
        <item x="63"/>
        <item x="74"/>
        <item x="73"/>
        <item x="96"/>
        <item x="147"/>
        <item x="54"/>
        <item x="55"/>
        <item x="122"/>
        <item x="123"/>
        <item x="237"/>
        <item x="221"/>
        <item x="167"/>
        <item x="194"/>
        <item x="196"/>
        <item x="87"/>
        <item x="35"/>
        <item x="91"/>
        <item x="195"/>
        <item x="90"/>
        <item x="193"/>
        <item x="174"/>
        <item x="176"/>
        <item x="133"/>
        <item x="231"/>
        <item x="225"/>
        <item x="230"/>
        <item x="93"/>
        <item x="92"/>
        <item x="209"/>
        <item x="22"/>
        <item x="48"/>
        <item x="235"/>
        <item x="69"/>
        <item x="34"/>
        <item x="198"/>
        <item x="57"/>
        <item x="78"/>
        <item x="3"/>
        <item x="146"/>
        <item x="50"/>
        <item x="238"/>
        <item x="168"/>
        <item x="217"/>
        <item x="134"/>
        <item x="135"/>
        <item x="109"/>
        <item x="182"/>
        <item x="219"/>
        <item x="148"/>
        <item x="97"/>
        <item x="101"/>
        <item x="89"/>
        <item x="191"/>
        <item x="113"/>
        <item x="210"/>
        <item x="211"/>
        <item x="80"/>
        <item x="81"/>
        <item x="79"/>
        <item x="184"/>
        <item x="206"/>
        <item x="65"/>
        <item x="229"/>
        <item x="112"/>
        <item x="64"/>
        <item x="172"/>
        <item x="214"/>
        <item x="170"/>
        <item x="179"/>
        <item x="180"/>
        <item x="127"/>
        <item x="126"/>
        <item x="21"/>
        <item x="129"/>
        <item x="125"/>
        <item x="128"/>
        <item x="9"/>
        <item x="115"/>
        <item x="114"/>
        <item x="119"/>
        <item x="116"/>
        <item x="121"/>
        <item x="117"/>
        <item x="118"/>
        <item x="120"/>
        <item x="227"/>
        <item x="189"/>
        <item x="169"/>
        <item x="202"/>
        <item x="239"/>
        <item x="124"/>
        <item x="85"/>
        <item x="199"/>
        <item x="20"/>
        <item x="218"/>
        <item x="240"/>
        <item x="17"/>
        <item x="16"/>
        <item x="36"/>
        <item x="234"/>
        <item x="67"/>
        <item x="108"/>
        <item x="88"/>
        <item x="187"/>
        <item x="56"/>
        <item x="49"/>
        <item x="29"/>
        <item x="186"/>
        <item x="70"/>
        <item x="18"/>
        <item x="181"/>
        <item x="105"/>
        <item x="103"/>
        <item x="107"/>
        <item x="82"/>
        <item x="149"/>
        <item x="161"/>
        <item x="72"/>
        <item x="71"/>
        <item x="37"/>
        <item x="68"/>
        <item x="175"/>
        <item x="23"/>
        <item x="192"/>
        <item x="185"/>
        <item x="41"/>
        <item x="77"/>
        <item x="2"/>
        <item x="13"/>
        <item x="8"/>
        <item x="0"/>
        <item x="15"/>
        <item x="6"/>
        <item x="25"/>
        <item x="236"/>
        <item x="4"/>
        <item x="143"/>
        <item x="130"/>
        <item x="1"/>
        <item x="30"/>
        <item x="76"/>
        <item x="197"/>
        <item x="200"/>
        <item x="233"/>
        <item x="232"/>
        <item x="31"/>
        <item x="14"/>
        <item x="39"/>
        <item x="5"/>
        <item x="38"/>
        <item x="162"/>
        <item x="190"/>
        <item x="7"/>
        <item x="75"/>
        <item x="42"/>
        <item x="43"/>
        <item x="102"/>
        <item x="44"/>
        <item x="58"/>
        <item x="241"/>
        <item x="66"/>
        <item x="139"/>
        <item x="159"/>
        <item x="216"/>
        <item x="51"/>
        <item x="160"/>
        <item x="188"/>
        <item x="228"/>
        <item x="99"/>
        <item x="100"/>
        <item x="12"/>
        <item x="10"/>
        <item x="11"/>
        <item x="52"/>
        <item x="94"/>
        <item x="213"/>
        <item x="173"/>
        <item x="86"/>
        <item x="215"/>
        <item x="95"/>
        <item x="226"/>
        <item x="205"/>
        <item x="19"/>
        <item x="53"/>
        <item x="106"/>
        <item x="47"/>
        <item x="151"/>
        <item x="155"/>
        <item x="153"/>
        <item x="150"/>
        <item x="137"/>
        <item x="140"/>
        <item x="158"/>
        <item x="110"/>
        <item x="45"/>
        <item x="157"/>
        <item x="136"/>
        <item x="164"/>
        <item x="59"/>
        <item x="61"/>
        <item x="62"/>
        <item x="131"/>
        <item x="142"/>
        <item x="242"/>
        <item x="46"/>
        <item x="138"/>
        <item x="154"/>
        <item x="156"/>
        <item x="171"/>
        <item x="111"/>
        <item x="165"/>
        <item x="32"/>
        <item x="33"/>
        <item x="144"/>
        <item x="152"/>
        <item x="166"/>
        <item x="145"/>
        <item x="104"/>
        <item x="141"/>
        <item x="60"/>
        <item x="40"/>
        <item x="132"/>
        <item x="163"/>
        <item x="83"/>
        <item x="203"/>
        <item x="204"/>
        <item x="84"/>
        <item x="177"/>
        <item x="201"/>
        <item x="24"/>
        <item x="17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2"/>
        <item x="0"/>
        <item x="1"/>
        <item x="4"/>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12"/>
    <field x="21"/>
  </rowFields>
  <rowItems count="243">
    <i>
      <x/>
      <x v="1"/>
    </i>
    <i>
      <x v="1"/>
      <x v="1"/>
    </i>
    <i>
      <x v="2"/>
      <x v="1"/>
    </i>
    <i>
      <x v="3"/>
      <x v="1"/>
    </i>
    <i>
      <x v="4"/>
      <x v="1"/>
    </i>
    <i>
      <x v="5"/>
      <x v="1"/>
    </i>
    <i>
      <x v="6"/>
      <x v="1"/>
    </i>
    <i>
      <x v="7"/>
      <x v="1"/>
    </i>
    <i>
      <x v="8"/>
      <x v="1"/>
    </i>
    <i>
      <x v="9"/>
      <x v="1"/>
    </i>
    <i>
      <x v="10"/>
      <x v="1"/>
    </i>
    <i>
      <x v="11"/>
      <x v="1"/>
    </i>
    <i>
      <x v="12"/>
      <x v="1"/>
    </i>
    <i>
      <x v="13"/>
      <x v="1"/>
    </i>
    <i>
      <x v="14"/>
      <x v="1"/>
    </i>
    <i>
      <x v="15"/>
      <x v="1"/>
    </i>
    <i>
      <x v="16"/>
      <x v="1"/>
    </i>
    <i>
      <x v="17"/>
      <x v="1"/>
    </i>
    <i>
      <x v="18"/>
      <x v="1"/>
    </i>
    <i>
      <x v="19"/>
      <x v="1"/>
    </i>
    <i>
      <x v="20"/>
      <x v="1"/>
    </i>
    <i>
      <x v="21"/>
      <x v="1"/>
    </i>
    <i>
      <x v="22"/>
      <x v="1"/>
    </i>
    <i>
      <x v="23"/>
      <x v="1"/>
    </i>
    <i>
      <x v="24"/>
      <x v="1"/>
    </i>
    <i>
      <x v="25"/>
      <x v="1"/>
    </i>
    <i>
      <x v="26"/>
      <x v="1"/>
    </i>
    <i>
      <x v="27"/>
      <x v="1"/>
    </i>
    <i>
      <x v="28"/>
      <x v="1"/>
    </i>
    <i>
      <x v="29"/>
      <x v="1"/>
    </i>
    <i>
      <x v="30"/>
      <x v="1"/>
    </i>
    <i>
      <x v="31"/>
      <x v="1"/>
    </i>
    <i>
      <x v="32"/>
      <x v="1"/>
    </i>
    <i>
      <x v="33"/>
      <x v="1"/>
    </i>
    <i>
      <x v="34"/>
      <x v="1"/>
    </i>
    <i>
      <x v="35"/>
      <x/>
    </i>
    <i>
      <x v="36"/>
      <x v="1"/>
    </i>
    <i>
      <x v="37"/>
      <x v="1"/>
    </i>
    <i>
      <x v="38"/>
      <x v="1"/>
    </i>
    <i>
      <x v="39"/>
      <x v="1"/>
    </i>
    <i>
      <x v="40"/>
      <x v="1"/>
    </i>
    <i>
      <x v="41"/>
      <x v="1"/>
    </i>
    <i>
      <x v="42"/>
      <x v="1"/>
    </i>
    <i>
      <x v="43"/>
      <x v="1"/>
    </i>
    <i>
      <x v="44"/>
      <x v="2"/>
    </i>
    <i>
      <x v="45"/>
      <x v="1"/>
    </i>
    <i>
      <x v="46"/>
      <x v="1"/>
    </i>
    <i>
      <x v="47"/>
      <x v="1"/>
    </i>
    <i>
      <x v="48"/>
      <x v="1"/>
    </i>
    <i>
      <x v="49"/>
      <x v="1"/>
    </i>
    <i>
      <x v="50"/>
      <x v="1"/>
    </i>
    <i>
      <x v="51"/>
      <x v="1"/>
    </i>
    <i>
      <x v="52"/>
      <x v="1"/>
    </i>
    <i>
      <x v="53"/>
      <x v="1"/>
    </i>
    <i>
      <x v="54"/>
      <x v="1"/>
    </i>
    <i>
      <x v="55"/>
      <x v="1"/>
    </i>
    <i>
      <x v="56"/>
      <x v="1"/>
    </i>
    <i>
      <x v="57"/>
      <x v="1"/>
    </i>
    <i>
      <x v="58"/>
      <x v="1"/>
    </i>
    <i>
      <x v="59"/>
      <x v="2"/>
    </i>
    <i>
      <x v="60"/>
      <x v="2"/>
    </i>
    <i>
      <x v="61"/>
      <x v="1"/>
    </i>
    <i>
      <x v="62"/>
      <x v="2"/>
    </i>
    <i>
      <x v="63"/>
      <x v="2"/>
    </i>
    <i>
      <x v="64"/>
      <x v="2"/>
    </i>
    <i>
      <x v="65"/>
      <x v="1"/>
    </i>
    <i>
      <x v="66"/>
      <x v="1"/>
    </i>
    <i>
      <x v="67"/>
      <x v="1"/>
    </i>
    <i>
      <x v="68"/>
      <x v="1"/>
    </i>
    <i>
      <x v="69"/>
      <x v="1"/>
    </i>
    <i>
      <x v="70"/>
      <x v="1"/>
    </i>
    <i>
      <x v="71"/>
      <x v="1"/>
    </i>
    <i>
      <x v="72"/>
      <x v="1"/>
    </i>
    <i>
      <x v="73"/>
      <x v="1"/>
    </i>
    <i>
      <x v="74"/>
      <x v="2"/>
    </i>
    <i>
      <x v="75"/>
      <x v="1"/>
    </i>
    <i>
      <x v="76"/>
      <x v="1"/>
    </i>
    <i>
      <x v="77"/>
      <x v="1"/>
    </i>
    <i>
      <x v="78"/>
      <x v="1"/>
    </i>
    <i>
      <x v="79"/>
      <x v="1"/>
    </i>
    <i>
      <x v="80"/>
      <x v="1"/>
    </i>
    <i>
      <x v="81"/>
      <x v="1"/>
    </i>
    <i>
      <x v="82"/>
      <x v="1"/>
    </i>
    <i>
      <x v="83"/>
      <x v="1"/>
    </i>
    <i>
      <x v="84"/>
      <x v="1"/>
    </i>
    <i>
      <x v="85"/>
      <x v="1"/>
    </i>
    <i>
      <x v="86"/>
      <x v="1"/>
    </i>
    <i>
      <x v="87"/>
      <x v="1"/>
    </i>
    <i>
      <x v="88"/>
      <x v="1"/>
    </i>
    <i>
      <x v="89"/>
      <x v="1"/>
    </i>
    <i>
      <x v="90"/>
      <x v="1"/>
    </i>
    <i>
      <x v="91"/>
      <x v="1"/>
    </i>
    <i>
      <x v="92"/>
      <x v="1"/>
    </i>
    <i>
      <x v="93"/>
      <x v="1"/>
    </i>
    <i>
      <x v="94"/>
      <x v="1"/>
    </i>
    <i>
      <x v="95"/>
      <x v="1"/>
    </i>
    <i>
      <x v="96"/>
      <x v="1"/>
    </i>
    <i>
      <x v="97"/>
      <x v="1"/>
    </i>
    <i>
      <x v="98"/>
      <x v="1"/>
    </i>
    <i>
      <x v="99"/>
      <x v="1"/>
    </i>
    <i>
      <x v="100"/>
      <x v="1"/>
    </i>
    <i>
      <x v="101"/>
      <x v="1"/>
    </i>
    <i>
      <x v="102"/>
      <x v="1"/>
    </i>
    <i>
      <x v="103"/>
      <x v="1"/>
    </i>
    <i>
      <x v="104"/>
      <x v="1"/>
    </i>
    <i>
      <x v="105"/>
      <x v="1"/>
    </i>
    <i>
      <x v="106"/>
      <x v="1"/>
    </i>
    <i>
      <x v="107"/>
      <x v="1"/>
    </i>
    <i>
      <x v="108"/>
      <x v="1"/>
    </i>
    <i>
      <x v="109"/>
      <x v="1"/>
    </i>
    <i>
      <x v="110"/>
      <x v="1"/>
    </i>
    <i>
      <x v="111"/>
      <x v="1"/>
    </i>
    <i>
      <x v="112"/>
      <x v="1"/>
    </i>
    <i>
      <x v="113"/>
      <x v="1"/>
    </i>
    <i>
      <x v="114"/>
      <x v="1"/>
    </i>
    <i>
      <x v="115"/>
      <x v="1"/>
    </i>
    <i>
      <x v="116"/>
      <x v="1"/>
    </i>
    <i>
      <x v="117"/>
      <x v="1"/>
    </i>
    <i>
      <x v="118"/>
      <x v="1"/>
    </i>
    <i>
      <x v="119"/>
      <x v="1"/>
    </i>
    <i>
      <x v="120"/>
      <x v="1"/>
    </i>
    <i>
      <x v="121"/>
      <x v="1"/>
    </i>
    <i>
      <x v="122"/>
      <x v="1"/>
    </i>
    <i>
      <x v="123"/>
      <x v="1"/>
    </i>
    <i>
      <x v="124"/>
      <x v="1"/>
    </i>
    <i>
      <x v="125"/>
      <x v="2"/>
    </i>
    <i>
      <x v="126"/>
      <x v="1"/>
    </i>
    <i>
      <x v="127"/>
      <x v="1"/>
    </i>
    <i>
      <x v="128"/>
      <x v="1"/>
    </i>
    <i>
      <x v="129"/>
      <x v="1"/>
    </i>
    <i>
      <x v="130"/>
      <x v="2"/>
    </i>
    <i>
      <x v="131"/>
      <x v="1"/>
    </i>
    <i>
      <x v="132"/>
      <x v="3"/>
    </i>
    <i>
      <x v="133"/>
      <x v="1"/>
    </i>
    <i>
      <x v="134"/>
      <x v="2"/>
    </i>
    <i>
      <x v="135"/>
      <x v="1"/>
    </i>
    <i>
      <x v="136"/>
      <x v="1"/>
    </i>
    <i>
      <x v="137"/>
      <x v="2"/>
    </i>
    <i>
      <x v="138"/>
      <x v="1"/>
    </i>
    <i>
      <x v="139"/>
      <x v="1"/>
    </i>
    <i>
      <x v="140"/>
      <x v="1"/>
    </i>
    <i>
      <x v="141"/>
      <x v="1"/>
    </i>
    <i>
      <x v="142"/>
      <x v="1"/>
    </i>
    <i>
      <x v="143"/>
      <x v="1"/>
    </i>
    <i>
      <x v="144"/>
      <x v="1"/>
    </i>
    <i>
      <x v="145"/>
      <x v="1"/>
    </i>
    <i>
      <x v="146"/>
      <x v="1"/>
    </i>
    <i>
      <x v="147"/>
      <x v="1"/>
    </i>
    <i>
      <x v="148"/>
      <x v="1"/>
    </i>
    <i>
      <x v="149"/>
      <x v="1"/>
    </i>
    <i>
      <x v="150"/>
      <x v="1"/>
    </i>
    <i>
      <x v="151"/>
      <x v="1"/>
    </i>
    <i>
      <x v="152"/>
      <x v="1"/>
    </i>
    <i>
      <x v="153"/>
      <x v="1"/>
    </i>
    <i>
      <x v="154"/>
      <x v="1"/>
    </i>
    <i>
      <x v="155"/>
      <x v="1"/>
    </i>
    <i>
      <x v="156"/>
      <x v="1"/>
    </i>
    <i>
      <x v="157"/>
      <x v="1"/>
    </i>
    <i>
      <x v="158"/>
      <x v="1"/>
    </i>
    <i>
      <x v="159"/>
      <x v="1"/>
    </i>
    <i>
      <x v="160"/>
      <x v="1"/>
    </i>
    <i>
      <x v="161"/>
      <x v="1"/>
    </i>
    <i>
      <x v="162"/>
      <x v="1"/>
    </i>
    <i>
      <x v="163"/>
      <x v="1"/>
    </i>
    <i>
      <x v="164"/>
      <x v="1"/>
    </i>
    <i>
      <x v="165"/>
      <x v="1"/>
    </i>
    <i>
      <x v="166"/>
      <x v="2"/>
    </i>
    <i>
      <x v="167"/>
      <x v="2"/>
    </i>
    <i>
      <x v="168"/>
      <x v="2"/>
    </i>
    <i>
      <x v="169"/>
      <x v="2"/>
    </i>
    <i>
      <x v="170"/>
      <x v="2"/>
    </i>
    <i>
      <x v="171"/>
      <x v="1"/>
    </i>
    <i>
      <x v="172"/>
      <x v="1"/>
    </i>
    <i>
      <x v="173"/>
      <x v="1"/>
    </i>
    <i>
      <x v="174"/>
      <x v="1"/>
    </i>
    <i>
      <x v="175"/>
      <x v="1"/>
    </i>
    <i>
      <x v="176"/>
      <x/>
    </i>
    <i>
      <x v="177"/>
      <x v="1"/>
    </i>
    <i>
      <x v="178"/>
      <x v="1"/>
    </i>
    <i>
      <x v="179"/>
      <x v="1"/>
    </i>
    <i>
      <x v="180"/>
      <x v="1"/>
    </i>
    <i>
      <x v="181"/>
      <x v="1"/>
    </i>
    <i>
      <x v="182"/>
      <x v="1"/>
    </i>
    <i>
      <x v="183"/>
      <x v="1"/>
    </i>
    <i>
      <x v="184"/>
      <x v="2"/>
    </i>
    <i>
      <x v="185"/>
      <x v="4"/>
    </i>
    <i>
      <x v="186"/>
      <x v="1"/>
    </i>
    <i>
      <x v="187"/>
      <x v="1"/>
    </i>
    <i>
      <x v="188"/>
      <x v="1"/>
    </i>
    <i>
      <x v="189"/>
      <x v="1"/>
    </i>
    <i>
      <x v="190"/>
      <x v="1"/>
    </i>
    <i>
      <x v="191"/>
      <x v="1"/>
    </i>
    <i>
      <x v="192"/>
      <x v="1"/>
    </i>
    <i>
      <x v="193"/>
      <x v="1"/>
    </i>
    <i>
      <x v="194"/>
      <x v="1"/>
    </i>
    <i>
      <x v="195"/>
      <x v="2"/>
    </i>
    <i>
      <x v="196"/>
      <x v="1"/>
    </i>
    <i>
      <x v="197"/>
      <x v="1"/>
    </i>
    <i>
      <x v="198"/>
      <x v="1"/>
    </i>
    <i>
      <x v="199"/>
      <x v="1"/>
    </i>
    <i>
      <x v="200"/>
      <x v="1"/>
    </i>
    <i>
      <x v="201"/>
      <x v="1"/>
    </i>
    <i>
      <x v="202"/>
      <x v="2"/>
    </i>
    <i>
      <x v="203"/>
      <x v="1"/>
    </i>
    <i>
      <x v="204"/>
      <x v="1"/>
    </i>
    <i>
      <x v="205"/>
      <x v="1"/>
    </i>
    <i>
      <x v="206"/>
      <x v="2"/>
    </i>
    <i>
      <x v="207"/>
      <x v="2"/>
    </i>
    <i>
      <x v="208"/>
      <x v="1"/>
    </i>
    <i>
      <x v="209"/>
      <x v="1"/>
    </i>
    <i>
      <x v="210"/>
      <x v="1"/>
    </i>
    <i>
      <x v="211"/>
      <x v="1"/>
    </i>
    <i>
      <x v="212"/>
      <x v="1"/>
    </i>
    <i>
      <x v="213"/>
      <x v="1"/>
    </i>
    <i>
      <x v="214"/>
      <x v="1"/>
    </i>
    <i>
      <x v="215"/>
      <x v="1"/>
    </i>
    <i>
      <x v="216"/>
      <x v="2"/>
    </i>
    <i>
      <x v="217"/>
      <x v="1"/>
    </i>
    <i>
      <x v="218"/>
      <x v="1"/>
    </i>
    <i>
      <x v="219"/>
      <x v="1"/>
    </i>
    <i>
      <x v="220"/>
      <x v="2"/>
    </i>
    <i>
      <x v="221"/>
      <x v="1"/>
    </i>
    <i>
      <x v="222"/>
      <x v="2"/>
    </i>
    <i>
      <x v="223"/>
      <x v="1"/>
    </i>
    <i>
      <x v="224"/>
      <x v="1"/>
    </i>
    <i>
      <x v="225"/>
      <x v="1"/>
    </i>
    <i>
      <x v="226"/>
      <x v="1"/>
    </i>
    <i>
      <x v="227"/>
      <x v="1"/>
    </i>
    <i>
      <x v="228"/>
      <x v="1"/>
    </i>
    <i>
      <x v="229"/>
      <x v="1"/>
    </i>
    <i>
      <x v="230"/>
      <x v="1"/>
    </i>
    <i>
      <x v="231"/>
      <x v="1"/>
    </i>
    <i>
      <x v="232"/>
      <x v="2"/>
    </i>
    <i>
      <x v="233"/>
      <x v="2"/>
    </i>
    <i>
      <x v="234"/>
      <x v="1"/>
    </i>
    <i>
      <x v="235"/>
      <x v="1"/>
    </i>
    <i>
      <x v="236"/>
      <x v="2"/>
    </i>
    <i>
      <x v="237"/>
      <x v="2"/>
    </i>
    <i>
      <x v="238"/>
      <x v="1"/>
    </i>
    <i>
      <x v="239"/>
      <x v="1"/>
    </i>
    <i>
      <x v="240"/>
      <x v="1"/>
    </i>
    <i>
      <x v="241"/>
      <x/>
    </i>
    <i>
      <x v="242"/>
      <x v="1"/>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CampList" displayName="CampList" ref="A4:AK247" tableType="xml" totalsRowShown="0" headerRowDxfId="1071" dataDxfId="1069" headerRowBorderDxfId="1070" tableBorderDxfId="1068" totalsRowBorderDxfId="1067" headerRowCellStyle="Normal_Sheet11">
  <autoFilter ref="A4:AK247">
    <filterColumn colId="0">
      <filters>
        <filter val="Open"/>
      </filters>
    </filterColumn>
  </autoFilter>
  <tableColumns count="37">
    <tableColumn id="24" uniqueName="Status" name="Status" dataDxfId="1066" dataCellStyle="Normal_Sheet3_1">
      <xmlColumnPr mapId="11" xpath="/dataroot/Camp_x005f_x0020_List/Status" xmlDataType="string"/>
    </tableColumn>
    <tableColumn id="2" uniqueName="State" name="State" dataDxfId="1065">
      <xmlColumnPr mapId="11" xpath="/dataroot/Camp_x005f_x0020_List/State" xmlDataType="string"/>
    </tableColumn>
    <tableColumn id="12" uniqueName="S_Pcode" name="S_Pcode" dataDxfId="1064">
      <xmlColumnPr mapId="11" xpath="/dataroot/Camp_x005f_x0020_List/S_Pcode" xmlDataType="string"/>
    </tableColumn>
    <tableColumn id="23" uniqueName="District" name="District" dataDxfId="1063">
      <xmlColumnPr mapId="11" xpath="/dataroot/Camp_x005f_x0020_List/District" xmlDataType="string"/>
    </tableColumn>
    <tableColumn id="19" uniqueName="D_Pcode" name="D_Pcode" dataDxfId="1062">
      <xmlColumnPr mapId="11" xpath="/dataroot/Camp_x005f_x0020_List/D_Pcode" xmlDataType="string"/>
    </tableColumn>
    <tableColumn id="3" uniqueName="Township" name="Township" dataDxfId="1061">
      <xmlColumnPr mapId="11" xpath="/dataroot/Camp_x005f_x0020_List/Township" xmlDataType="string"/>
    </tableColumn>
    <tableColumn id="13" uniqueName="T_Pcode" name="T_Pcode" dataDxfId="1060">
      <xmlColumnPr mapId="11" xpath="/dataroot/Camp_x005f_x0020_List/T_Pcode" xmlDataType="string"/>
    </tableColumn>
    <tableColumn id="14" uniqueName="VillageTracKTown" name="VillageTracKTown" dataDxfId="1059">
      <xmlColumnPr mapId="11" xpath="/dataroot/Camp_x005f_x0020_List/VillageTracKTown" xmlDataType="string"/>
    </tableColumn>
    <tableColumn id="15" uniqueName="VTT_Pcode" name="VTT_Pcode" dataDxfId="1058">
      <xmlColumnPr mapId="11" xpath="/dataroot/Camp_x005f_x0020_List/VTT_Pcode" xmlDataType="string"/>
    </tableColumn>
    <tableColumn id="16" uniqueName="VillageWard_Name" name="VillageWard_Name" dataDxfId="1057">
      <xmlColumnPr mapId="11" xpath="/dataroot/Camp_x005f_x0020_List/VillageWard_Name" xmlDataType="string"/>
    </tableColumn>
    <tableColumn id="17" uniqueName="VW_Pcode" name="VW_Pcode" dataDxfId="1056">
      <xmlColumnPr mapId="11" xpath="/dataroot/Camp_x005f_x0020_List/VW_Pcode" xmlDataType="string"/>
    </tableColumn>
    <tableColumn id="4" uniqueName="Camp" name="Camp" dataDxfId="1055">
      <xmlColumnPr mapId="11" xpath="/dataroot/Camp_x005f_x0020_List/Camp" xmlDataType="string"/>
    </tableColumn>
    <tableColumn id="5" uniqueName="CP_Pcode" name="CP_Pcode" dataDxfId="1054">
      <xmlColumnPr mapId="11" xpath="/dataroot/Camp_x005f_x0020_List/CP_Pcode" xmlDataType="string"/>
    </tableColumn>
    <tableColumn id="6" uniqueName="Longitude" name="Longitude" dataDxfId="1053">
      <xmlColumnPr mapId="11" xpath="/dataroot/Camp_x005f_x0020_List/Longitude" xmlDataType="double"/>
    </tableColumn>
    <tableColumn id="7" uniqueName="Latitude" name="Latitude" dataDxfId="1052">
      <xmlColumnPr mapId="11" xpath="/dataroot/Camp_x005f_x0020_List/Latitude" xmlDataType="double"/>
    </tableColumn>
    <tableColumn id="25" uniqueName="Altitude" name="Altitude" dataDxfId="1051">
      <xmlColumnPr mapId="11" xpath="/dataroot/Camp_x005f_x0020_List/Altitude" xmlDataType="double"/>
    </tableColumn>
    <tableColumn id="8" uniqueName="HH" name="HH" dataDxfId="1050">
      <xmlColumnPr mapId="11" xpath="/dataroot/Camp_x005f_x0020_List/HH" xmlDataType="double"/>
    </tableColumn>
    <tableColumn id="9" uniqueName="Total" name="Total" dataDxfId="1049">
      <xmlColumnPr mapId="11" xpath="/dataroot/Camp_x005f_x0020_List/Total" xmlDataType="double"/>
    </tableColumn>
    <tableColumn id="11" uniqueName="Avg" name="Avg" dataDxfId="1048">
      <calculatedColumnFormula>IF(CampList[[#This Row],[HH]]&gt;0,CampList[[#This Row],[Total]]/CampList[[#This Row],[HH]],"NA")</calculatedColumnFormula>
      <xmlColumnPr mapId="11" xpath="/dataroot/Camp_x005f_x0020_List/Avg" xmlDataType="string"/>
    </tableColumn>
    <tableColumn id="28" uniqueName="Accessibility" name="Accessibility" dataDxfId="1047">
      <xmlColumnPr mapId="11" xpath="/dataroot/Camp_x005f_x0020_List/Accessibility" xmlDataType="string"/>
    </tableColumn>
    <tableColumn id="1" uniqueName="Affected Population" name="Affected Population" dataDxfId="1046">
      <xmlColumnPr mapId="11" xpath="/dataroot/Camp_x005f_x0020_List/Affected_x005f_x0020_Population" xmlDataType="string"/>
    </tableColumn>
    <tableColumn id="29" uniqueName="Type of Accomodation" name="Type of Accomodation" dataDxfId="1045">
      <xmlColumnPr mapId="11" xpath="/dataroot/Camp_x005f_x0020_List/Type_x005f_x0020_of_x005f_x0020_Accomodation" xmlDataType="string"/>
    </tableColumn>
    <tableColumn id="30" uniqueName="Type of Location" name="Type of Location" dataDxfId="1044">
      <xmlColumnPr mapId="11" xpath="/dataroot/Camp_x005f_x0020_List/Type_x005f_x0020_of_x005f_x0020_Location" xmlDataType="string"/>
    </tableColumn>
    <tableColumn id="31" uniqueName="Opening Date" name="Opening Date" dataDxfId="1043">
      <xmlColumnPr mapId="11" xpath="/dataroot/Camp_x005f_x0020_List/Opening_x005f_x0020_Date" xmlDataType="dateTime"/>
    </tableColumn>
    <tableColumn id="22" uniqueName="CM/FP" name="CM/FP" dataDxfId="1042">
      <xmlColumnPr mapId="11" xpath="/dataroot/Camp_x005f_x0020_List/CM_x005f_x002F_FP" xmlDataType="double"/>
    </tableColumn>
    <tableColumn id="26" uniqueName="Responsible Agency" name="Responsible Agency" dataDxfId="1041">
      <xmlColumnPr mapId="11" xpath="/dataroot/Camp_x005f_x0020_List/Responsible_x005f_x0020_Agency" xmlDataType="string"/>
    </tableColumn>
    <tableColumn id="18" uniqueName="Source" name="Source" dataDxfId="1040">
      <xmlColumnPr mapId="11" xpath="/dataroot/Camp_x005f_x0020_List/Source" xmlDataType="string"/>
    </tableColumn>
    <tableColumn id="20" uniqueName="Method" name="Method" dataDxfId="1039">
      <xmlColumnPr mapId="11" xpath="/dataroot/Camp_x005f_x0020_List/Method" xmlDataType="string"/>
    </tableColumn>
    <tableColumn id="10" uniqueName="Update Date" name="Update Date" dataDxfId="1038">
      <xmlColumnPr mapId="11" xpath="/dataroot/Camp_x005f_x0020_List/Update_x005f_x0020_Date" xmlDataType="dateTime"/>
    </tableColumn>
    <tableColumn id="21" uniqueName="Comment" name="Comment" dataDxfId="1037">
      <xmlColumnPr mapId="11" xpath="/dataroot/Camp_x005f_x0020_List/Comment" xmlDataType="string"/>
    </tableColumn>
    <tableColumn id="32" uniqueName="Priority" name="Priority" dataDxfId="1036">
      <xmlColumnPr mapId="11" xpath="/dataroot/Camp_x005f_x0020_List/Priority" xmlDataType="string"/>
    </tableColumn>
    <tableColumn id="27" uniqueName="Shelter Gap" name="Shelter Gap" dataDxfId="1035">
      <calculatedColumnFormula>IF(CampList[[#This Row],[Type of Accomodation]]="camp",MAX(0,CampList[[#This Row],[HH]]-SUMIF(Table_Shelter[Pcode],CampList[[#This Row],[CP_Pcode]],Table_Shelter[HH Covered])),0)</calculatedColumnFormula>
      <xmlColumnPr mapId="11" xpath="/dataroot/Camp_x005f_x0020_List/Shelter_x005f_x0020_Gap" xmlDataType="double"/>
    </tableColumn>
    <tableColumn id="33" uniqueName="Land Status" name="Land Status" dataDxfId="1034">
      <xmlColumnPr mapId="11" xpath="/dataroot/Camp_x005f_x0020_List/Land_x005f_x0020_Status" xmlDataType="string"/>
    </tableColumn>
    <tableColumn id="34" uniqueName="Shelter Possible" name="Shelter Possible" dataDxfId="1033">
      <calculatedColumnFormula>MIN(CampList[[#This Row],[Shelter Gap]],CampList[[#This Row],[Land Status]])</calculatedColumnFormula>
      <xmlColumnPr mapId="11" xpath="/dataroot/Camp_x005f_x0020_List/Shelter_x005f_x0020_Possible" xmlDataType="double"/>
    </tableColumn>
    <tableColumn id="35" uniqueName="Nearest_Town" name="Nearest_Town" dataDxfId="1032">
      <calculatedColumnFormula>IFERROR(OFFSET(DistanceToCamp[Nearest Town],MATCH(CampList[[#This Row],[CP_Pcode]],DistanceToCamp[CP_Pcode],0)-1,0,1,1),"")</calculatedColumnFormula>
      <xmlColumnPr mapId="11" xpath="/dataroot/Camp_x005f_x0020_List/Nearest_Town" xmlDataType="string"/>
    </tableColumn>
    <tableColumn id="36" uniqueName="Distance" name="Distance" dataDxfId="1031" dataCellStyle="Comma">
      <calculatedColumnFormula>IFERROR(OFFSET(DistanceToCamp[distance],MATCH(CampList[[#This Row],[CP_Pcode]],DistanceToCamp[CP_Pcode],0)-1,0,1,1),"")</calculatedColumnFormula>
      <xmlColumnPr mapId="11" xpath="/dataroot/Camp_x005f_x0020_List/Distance" xmlDataType="string"/>
    </tableColumn>
    <tableColumn id="37" uniqueName="Distance_Cat" name="Distance_Cat" dataDxfId="1030">
      <calculatedColumnFormula>IFERROR(INT(CampList[[#This Row],[Distance]]/5)+1,"")</calculatedColumnFormula>
      <xmlColumnPr mapId="11" xpath="/dataroot/Camp_x005f_x0020_List/Distance_Cat" xmlDataType="string"/>
    </tableColumn>
  </tableColumns>
  <tableStyleInfo name="TableStyleMedium2" showFirstColumn="0" showLastColumn="0" showRowStripes="1" showColumnStripes="0"/>
</table>
</file>

<file path=xl/tables/table2.xml><?xml version="1.0" encoding="utf-8"?>
<table xmlns="http://schemas.openxmlformats.org/spreadsheetml/2006/main" id="9" name="DistanceToCamp" displayName="DistanceToCamp" ref="A1:C160" totalsRowShown="0">
  <autoFilter ref="A1:C160"/>
  <sortState ref="A2:C160">
    <sortCondition ref="A19"/>
  </sortState>
  <tableColumns count="3">
    <tableColumn id="1" name="CP_Pcode" dataDxfId="1029"/>
    <tableColumn id="2" name="Nearest Town" dataDxfId="1028"/>
    <tableColumn id="3" name="distance" dataDxfId="1027"/>
  </tableColumns>
  <tableStyleInfo name="TableStyleMedium2" showFirstColumn="0" showLastColumn="0" showRowStripes="1" showColumnStripes="0"/>
</table>
</file>

<file path=xl/tables/table3.xml><?xml version="1.0" encoding="utf-8"?>
<table xmlns="http://schemas.openxmlformats.org/spreadsheetml/2006/main" id="4" name="Table_Shelter" displayName="Table_Shelter" ref="A4:W324" tableType="xml" totalsRowShown="0" headerRowDxfId="852" dataDxfId="850" headerRowBorderDxfId="851" tableBorderDxfId="849" totalsRowBorderDxfId="848">
  <sortState ref="A5:W324">
    <sortCondition ref="F5:F324"/>
    <sortCondition ref="A5:A324"/>
  </sortState>
  <tableColumns count="23">
    <tableColumn id="1" uniqueName="Update Date" name="Update Date" dataDxfId="847">
      <xmlColumnPr mapId="9" xpath="/dataroot/Shelter_x005f_x0020_Tracking/Update_x005f_x0020_Date" xmlDataType="dateTime"/>
    </tableColumn>
    <tableColumn id="2" uniqueName="Organization" name="Organization" dataDxfId="846">
      <xmlColumnPr mapId="9" xpath="/dataroot/Shelter_x005f_x0020_Tracking/Organization" xmlDataType="string"/>
    </tableColumn>
    <tableColumn id="3" uniqueName="ImplementingPartner" name="Implementing  Partner" dataDxfId="845">
      <xmlColumnPr mapId="9" xpath="/dataroot/Shelter_x005f_x0020_Tracking/ImplementingPartner" xmlDataType="string"/>
    </tableColumn>
    <tableColumn id="4" uniqueName="State" name="State" dataDxfId="844" dataCellStyle="Normal_Sheet3">
      <xmlColumnPr mapId="9" xpath="/dataroot/Shelter_x005f_x0020_Tracking/State" xmlDataType="string"/>
    </tableColumn>
    <tableColumn id="5" uniqueName="Township" name="Township" dataDxfId="843">
      <xmlColumnPr mapId="9" xpath="/dataroot/Shelter_x005f_x0020_Tracking/Township" xmlDataType="string"/>
    </tableColumn>
    <tableColumn id="6" uniqueName="CampName" name="CampName" dataDxfId="842">
      <xmlColumnPr mapId="9" xpath="/dataroot/Shelter_x005f_x0020_Tracking/CampName" xmlDataType="string"/>
    </tableColumn>
    <tableColumn id="7" uniqueName="HHperShelter" name="HH per Shelter" dataDxfId="841">
      <xmlColumnPr mapId="9" xpath="/dataroot/Shelter_x005f_x0020_Tracking/HHperShelter" xmlDataType="double"/>
    </tableColumn>
    <tableColumn id="8" uniqueName="#ofFamilyTentPlanned(Target)" name="# of Family Tent Planned(Target)" dataDxfId="840">
      <xmlColumnPr mapId="9" xpath="/dataroot/Shelter_x005f_x0020_Tracking/_x005f_x0023_ofFamilyTentPlanned_x005f_x0028_Target_x005f_x0029_" xmlDataType="double"/>
    </tableColumn>
    <tableColumn id="9" uniqueName="#ofFamilyTentDistributed" name="# of Family Tent Distributed" dataDxfId="839">
      <xmlColumnPr mapId="9" xpath="/dataroot/Shelter_x005f_x0020_Tracking/_x005f_x0023_ofFamilyTentDistributed" xmlDataType="double"/>
    </tableColumn>
    <tableColumn id="10" uniqueName="#ofTemporaryShelterUnitsPlanned(Target)" name="# of Temporary Shelter Units Planned (Target)" dataDxfId="838">
      <xmlColumnPr mapId="9" xpath="/dataroot/Shelter_x005f_x0020_Tracking/_x005f_x0023_ofTemporaryShelterUnitsPlanned_x005f_x0028_Target_x005f_x0029_" xmlDataType="double"/>
    </tableColumn>
    <tableColumn id="11" uniqueName="#ofTemporaryShelterUnitsBuilt" name="# of Temporary Shelter Units Built" dataDxfId="837">
      <xmlColumnPr mapId="9" xpath="/dataroot/Shelter_x005f_x0020_Tracking/_x005f_x0023_ofTemporaryShelterUnitsBuilt" xmlDataType="double"/>
    </tableColumn>
    <tableColumn id="12" uniqueName="#ofTemporaryShelterUnderConstruction" name="# of Temporary Shelter Under  Construction" dataDxfId="836">
      <xmlColumnPr mapId="9" xpath="/dataroot/Shelter_x005f_x0020_Tracking/_x005f_x0023_ofTemporaryShelterUnderConstruction" xmlDataType="string"/>
    </tableColumn>
    <tableColumn id="13" uniqueName="#ofPermanentHousePlanned(Target)" name="# of Permanent House Planned (Target)" dataDxfId="835">
      <xmlColumnPr mapId="9" xpath="/dataroot/Shelter_x005f_x0020_Tracking/_x005f_x0023_ofPermanentHousePlanned_x005f_x0028_Target_x005f_x0029_" xmlDataType="string"/>
    </tableColumn>
    <tableColumn id="14" uniqueName="#ofPermanentHouseBuilt" name="# of Permanent House Built" dataDxfId="834">
      <xmlColumnPr mapId="9" xpath="/dataroot/Shelter_x005f_x0020_Tracking/_x005f_x0023_ofPermanentHouseBuilt" xmlDataType="string"/>
    </tableColumn>
    <tableColumn id="15" uniqueName="#ofPermanentHouseUnderConstruction" name="# of Permanent House Under Construction" dataDxfId="833">
      <xmlColumnPr mapId="9" xpath="/dataroot/Shelter_x005f_x0020_Tracking/_x005f_x0023_ofPermanentHouseUnderConstruction" xmlDataType="string"/>
    </tableColumn>
    <tableColumn id="16" uniqueName="HHCovered" name="HH Covered" dataDxfId="832">
      <calculatedColumnFormula>IF(V5="NO",Table_Shelter[[#This Row],[HH per Shelter]]*(Table_Shelter[[#This Row],['# of Temporary Shelter Units Built]]+Table_Shelter[[#This Row],['# of Temporary Shelter Under  Construction]]+Table_Shelter[[#This Row],['# of Permanent House Under Construction]]),0)</calculatedColumnFormula>
      <xmlColumnPr mapId="9" xpath="/dataroot/Shelter_x005f_x0020_Tracking/HHCovered" xmlDataType="double"/>
    </tableColumn>
    <tableColumn id="21" uniqueName="Planned Renovation" name="Planned Renovation" dataDxfId="831">
      <xmlColumnPr mapId="9" xpath="/dataroot/Shelter_x005f_x0020_Tracking/Planned_x005f_x0020_Renovation" xmlDataType="double"/>
    </tableColumn>
    <tableColumn id="20" uniqueName="Renovated" name="Renovated" dataDxfId="830">
      <xmlColumnPr mapId="9" xpath="/dataroot/Shelter_x005f_x0020_Tracking/Renovated" xmlDataType="string"/>
    </tableColumn>
    <tableColumn id="17" uniqueName="Pcode" name="Pcode" dataDxfId="829">
      <calculatedColumnFormula>IFERROR(VLOOKUP(Table_Shelter[[#This Row],[CampName]],CL,2,0),"")</calculatedColumnFormula>
      <xmlColumnPr mapId="9" xpath="/dataroot/Shelter_x005f_x0020_Tracking/Pcode" xmlDataType="string"/>
    </tableColumn>
    <tableColumn id="18" uniqueName="Status" name="Status" dataDxfId="828">
      <calculatedColumnFormula>IFERROR(VLOOKUP(Table_Shelter[[#This Row],[CampName]],CL,3,0),"")</calculatedColumnFormula>
      <xmlColumnPr mapId="9" xpath="/dataroot/Shelter_x005f_x0020_Tracking/Status" xmlDataType="string"/>
    </tableColumn>
    <tableColumn id="19" uniqueName="Coverage" name="Coverage" dataDxfId="827">
      <calculatedColumnFormula>IFERROR(Table_Shelter[[#This Row],[HH Covered]]/VLOOKUP(Table_Shelter[[#This Row],[CampName]],CL,4,0),"")</calculatedColumnFormula>
      <xmlColumnPr mapId="9" xpath="/dataroot/Shelter_x005f_x0020_Tracking/Coverage" xmlDataType="double"/>
    </tableColumn>
    <tableColumn id="23" uniqueName="23" name="Replacement (YES/NO)" dataDxfId="826">
      <calculatedColumnFormula>VLOOKUP(Table_Shelter[[#This Row],[CampName]],CL,4,0)</calculatedColumnFormula>
    </tableColumn>
    <tableColumn id="22" uniqueName="Comments" name="Comments" dataDxfId="825">
      <xmlColumnPr mapId="9" xpath="/dataroot/Shelter_x005f_x0020_Tracking/Comments" xmlDataType="string"/>
    </tableColumn>
  </tableColumns>
  <tableStyleInfo name="TableStyleMedium2" showFirstColumn="0" showLastColumn="0" showRowStripes="1" showColumnStripes="0"/>
</table>
</file>

<file path=xl/tables/table4.xml><?xml version="1.0" encoding="utf-8"?>
<table xmlns="http://schemas.openxmlformats.org/spreadsheetml/2006/main" id="8" name="Shelter_Draw" displayName="Shelter_Draw" ref="S21:V31" totalsRowShown="0" headerRowDxfId="364" headerRowBorderDxfId="363" tableBorderDxfId="362" totalsRowBorderDxfId="361">
  <autoFilter ref="S21:V31"/>
  <tableColumns count="4">
    <tableColumn id="1" name="Township" dataDxfId="360">
      <calculatedColumnFormula>C22</calculatedColumnFormula>
    </tableColumn>
    <tableColumn id="2" name="V1" dataDxfId="359">
      <calculatedColumnFormula>D22-Shelter_Draw[[#This Row],[V2]]-Shelter_Draw[[#This Row],[V3]]</calculatedColumnFormula>
    </tableColumn>
    <tableColumn id="3" name="V2" dataDxfId="358">
      <calculatedColumnFormula>H22</calculatedColumnFormula>
    </tableColumn>
    <tableColumn id="4" name="V3" dataDxfId="357">
      <calculatedColumnFormula>G22-H22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2" name="Table_NFI" displayName="Table_NFI" ref="A5:AU989" tableType="xml" totalsRowShown="0" headerRowDxfId="350" dataDxfId="348" headerRowBorderDxfId="349" tableBorderDxfId="347" totalsRowBorderDxfId="346">
  <autoFilter ref="A5:AU989"/>
  <sortState ref="A6:AU989">
    <sortCondition descending="1" ref="B5:B989"/>
  </sortState>
  <tableColumns count="47">
    <tableColumn id="23" uniqueName="Months" name="Months" dataDxfId="345">
      <calculatedColumnFormula>IF(ISBLANK(B6),"",(Report_Date-B6)/30)</calculatedColumnFormula>
      <xmlColumnPr mapId="8" xpath="/dataroot/NFI_x005f_x0020_Tracking/Months" xmlDataType="double"/>
    </tableColumn>
    <tableColumn id="1" uniqueName="Distribution Date" name="Distribution Date" dataDxfId="344">
      <xmlColumnPr mapId="8" xpath="/dataroot/NFI_x005f_x0020_Tracking/Distribution_x005f_x0020_Date" xmlDataType="dateTime"/>
    </tableColumn>
    <tableColumn id="2" uniqueName="Organization" name="Organization" dataDxfId="343">
      <xmlColumnPr mapId="8" xpath="/dataroot/NFI_x005f_x0020_Tracking/Organization" xmlDataType="string"/>
    </tableColumn>
    <tableColumn id="3" uniqueName="Implementing Partner" name="Implementing Partner" dataDxfId="342">
      <xmlColumnPr mapId="8" xpath="/dataroot/NFI_x005f_x0020_Tracking/Implementing_x005f_x0020_Partner" xmlDataType="string"/>
    </tableColumn>
    <tableColumn id="4" uniqueName="State" name="State" dataDxfId="341">
      <xmlColumnPr mapId="8" xpath="/dataroot/NFI_x005f_x0020_Tracking/State" xmlDataType="string"/>
    </tableColumn>
    <tableColumn id="5" uniqueName="Township" name="Township" dataDxfId="340">
      <xmlColumnPr mapId="8" xpath="/dataroot/NFI_x005f_x0020_Tracking/Township" xmlDataType="string"/>
    </tableColumn>
    <tableColumn id="6" uniqueName="Camp Name" name="Camp Name" dataDxfId="339">
      <xmlColumnPr mapId="8" xpath="/dataroot/NFI_x005f_x0020_Tracking/Camp_x005f_x0020_Name" xmlDataType="string"/>
    </tableColumn>
    <tableColumn id="7" uniqueName="Hygiene Kit" name="Hygiene Kit" dataDxfId="338">
      <xmlColumnPr mapId="8" xpath="/dataroot/NFI_x005f_x0020_Tracking/Hygiene_x005f_x0020_Kit" xmlDataType="string"/>
    </tableColumn>
    <tableColumn id="8" uniqueName="NFI Core Kit" name="NFI Core Kit" dataDxfId="337">
      <xmlColumnPr mapId="8" xpath="/dataroot/NFI_x005f_x0020_Tracking/NFI_x005f_x0020_Core_x005f_x0020_Kit" xmlDataType="string"/>
    </tableColumn>
    <tableColumn id="9" uniqueName="Sanitary Kit" name="Sanitary Kit" dataDxfId="336">
      <xmlColumnPr mapId="8" xpath="/dataroot/NFI_x005f_x0020_Tracking/Sanitary_x005f_x0020_Kit" xmlDataType="string"/>
    </tableColumn>
    <tableColumn id="10" uniqueName="Mosquito net" name="Mosquito net" dataDxfId="335">
      <xmlColumnPr mapId="8" xpath="/dataroot/NFI_x005f_x0020_Tracking/Mosquito_x005f_x0020_net" xmlDataType="double"/>
    </tableColumn>
    <tableColumn id="11" uniqueName="Tarpaulin" name="Tarpaulin" dataDxfId="334">
      <xmlColumnPr mapId="8" xpath="/dataroot/NFI_x005f_x0020_Tracking/Tarpaulin" xmlDataType="double"/>
    </tableColumn>
    <tableColumn id="12" uniqueName="Blanket" name="Blanket" dataDxfId="333">
      <xmlColumnPr mapId="8" xpath="/dataroot/NFI_x005f_x0020_Tracking/Blanket" xmlDataType="double"/>
    </tableColumn>
    <tableColumn id="13" uniqueName="Kitchen Set" name="Kitchen Set" dataDxfId="332">
      <xmlColumnPr mapId="8" xpath="/dataroot/NFI_x005f_x0020_Tracking/Kitchen_x005f_x0020_Set" xmlDataType="double"/>
    </tableColumn>
    <tableColumn id="14" uniqueName="Clothes Kit" name="Clothes Kit" dataDxfId="331">
      <xmlColumnPr mapId="8" xpath="/dataroot/NFI_x005f_x0020_Tracking/Clothes_x005f_x0020_Kit" xmlDataType="double"/>
    </tableColumn>
    <tableColumn id="26" uniqueName="Plastic Bucket" name="Plastic Bucket" dataDxfId="330">
      <xmlColumnPr mapId="8" xpath="/dataroot/NFI_x005f_x0020_Tracking/Plastic_x005f_x0020_Bucket" xmlDataType="double"/>
    </tableColumn>
    <tableColumn id="25" uniqueName="Plastic Mat" name="Plastic Mat" dataDxfId="329">
      <xmlColumnPr mapId="8" xpath="/dataroot/NFI_x005f_x0020_Tracking/Plastic_x005f_x0020_Mat" xmlDataType="double"/>
    </tableColumn>
    <tableColumn id="47" uniqueName="Winter Clothes Adult" name="Winter Clothes Adult" dataDxfId="328">
      <xmlColumnPr mapId="8" xpath="/dataroot/NFI_x005f_x0020_Tracking/Winter_x005f_x0020_Clothes_x005f_x0020_Adult" xmlDataType="string"/>
    </tableColumn>
    <tableColumn id="46" uniqueName="Winter Clothes Children" name="Winter Clothes Children" dataDxfId="327">
      <xmlColumnPr mapId="8" xpath="/dataroot/NFI_x005f_x0020_Tracking/Winter_x005f_x0020_Clothes_x005f_x0020_Children" xmlDataType="string"/>
    </tableColumn>
    <tableColumn id="45" uniqueName="Winter Items Other" name="Winter Items Other" dataDxfId="326">
      <xmlColumnPr mapId="8" xpath="/dataroot/NFI_x005f_x0020_Tracking/Winter_x005f_x0020_Items_x005f_x0020_Other" xmlDataType="string"/>
    </tableColumn>
    <tableColumn id="32" uniqueName="Winter Blanket" name="Winter Blanket" dataDxfId="325">
      <xmlColumnPr mapId="8" xpath="/dataroot/NFI_x005f_x0020_Tracking/Winter_x005f_x0020_Blanket" xmlDataType="string"/>
    </tableColumn>
    <tableColumn id="38" uniqueName="38" name="Jerry Can" dataDxfId="324"/>
    <tableColumn id="41" uniqueName="41" name="Shelter Tool kit" dataDxfId="323"/>
    <tableColumn id="40" uniqueName="40" name="Tent" dataDxfId="322"/>
    <tableColumn id="15" uniqueName="Hygiene Kit_LS" name="Hygiene Kit_LS" dataDxfId="321">
      <calculatedColumnFormula>IF(NFI_Expiration=1,IF($A6&lt;VLOOKUP(H$5,NFI,5,0),1,0)*Table_NFI[[#This Row],[Hygiene Kit]],Table_NFI[Hygiene Kit])</calculatedColumnFormula>
      <xmlColumnPr mapId="8" xpath="/dataroot/NFI_x005f_x0020_Tracking/Hygiene_x005f_x0020_Kit_LS" xmlDataType="string"/>
    </tableColumn>
    <tableColumn id="16" uniqueName="NFI Core Kit_LS" name="NFI Core Kit_LS" dataDxfId="320">
      <calculatedColumnFormula>IF(NFI_Expiration=1,IF($A6&lt;VLOOKUP(I$5,NFI,5,0),1,0)*Table_NFI[[#This Row],[NFI Core Kit]],Table_NFI[NFI Core Kit])</calculatedColumnFormula>
      <xmlColumnPr mapId="8" xpath="/dataroot/NFI_x005f_x0020_Tracking/NFI_x005f_x0020_Core_x005f_x0020_Kit_LS" xmlDataType="string"/>
    </tableColumn>
    <tableColumn id="17" uniqueName="Sanitary Kit_LS" name="Sanitary Kit_LS" dataDxfId="319">
      <calculatedColumnFormula>IF(NFI_Expiration=1,IF($A6&lt;VLOOKUP(J$5,NFI,5,0),1,0)*Table_NFI[[#This Row],[Sanitary Kit]],Table_NFI[Sanitary Kit])</calculatedColumnFormula>
      <xmlColumnPr mapId="8" xpath="/dataroot/NFI_x005f_x0020_Tracking/Sanitary_x005f_x0020_Kit_LS" xmlDataType="string"/>
    </tableColumn>
    <tableColumn id="18" uniqueName="Mosquito net_LS" name="Mosquito net_LS" dataDxfId="318">
      <calculatedColumnFormula>IF(NFI_Expiration=1,IF($A6&lt;VLOOKUP(K$5,NFI,5,0),1,0)*Table_NFI[[#This Row],[Mosquito net]],Table_NFI[Mosquito net])</calculatedColumnFormula>
      <xmlColumnPr mapId="8" xpath="/dataroot/NFI_x005f_x0020_Tracking/Mosquito_x005f_x0020_net_LS" xmlDataType="string"/>
    </tableColumn>
    <tableColumn id="19" uniqueName="Tarpaulin_LS" name="Tarpaulin_LS" dataDxfId="317">
      <calculatedColumnFormula>IF(NFI_Expiration=1,IF($A6&lt;VLOOKUP(L$5,NFI,5,0),1,0)*Table_NFI[[#This Row],[Tarpaulin]],Table_NFI[[#This Row],[Tarpaulin]])</calculatedColumnFormula>
      <xmlColumnPr mapId="8" xpath="/dataroot/NFI_x005f_x0020_Tracking/Tarpaulin_LS" xmlDataType="string"/>
    </tableColumn>
    <tableColumn id="20" uniqueName="Blanket_LS" name="Blanket_LS" dataDxfId="316">
      <calculatedColumnFormula>IF(NFI_Expiration=1,IF($A6&lt;VLOOKUP(M$5,NFI,5,0),1,0)*Table_NFI[[#This Row],[Blanket]],Table_NFI[[#This Row],[Blanket]])</calculatedColumnFormula>
      <xmlColumnPr mapId="8" xpath="/dataroot/NFI_x005f_x0020_Tracking/Blanket_LS" xmlDataType="string"/>
    </tableColumn>
    <tableColumn id="21" uniqueName="Kitchen Set_LS" name="Kitchen Set_LS" dataDxfId="315">
      <calculatedColumnFormula>IF(NFI_Expiration=1,IF($A6&lt;VLOOKUP(N$5,NFI,5,0),1,0)*Table_NFI[[#This Row],[Kitchen Set]],Table_NFI[Kitchen Set])</calculatedColumnFormula>
      <xmlColumnPr mapId="8" xpath="/dataroot/NFI_x005f_x0020_Tracking/Kitchen_x005f_x0020_Set_LS" xmlDataType="string"/>
    </tableColumn>
    <tableColumn id="22" uniqueName="Clothes Kit_LS" name="Clothes Kit_LS" dataDxfId="314">
      <calculatedColumnFormula>IF(NFI_Expiration=1,IF($A6&lt;VLOOKUP(O$5,NFI,5,0),1,0)*Table_NFI[[#This Row],[Clothes Kit]],Table_NFI[Clothes Kit])</calculatedColumnFormula>
      <xmlColumnPr mapId="8" xpath="/dataroot/NFI_x005f_x0020_Tracking/Clothes_x005f_x0020_Kit_LS" xmlDataType="string"/>
    </tableColumn>
    <tableColumn id="28" uniqueName="Plastic Bucket _LS" name="Plastic Bucket _LS" dataDxfId="313">
      <calculatedColumnFormula>IF(NFI_Expiration=1,IF($A6&lt;VLOOKUP(P$5,NFI,5,0),1,0)*Table_NFI[[#This Row],[Plastic Bucket]],Table_NFI[Plastic Bucket])</calculatedColumnFormula>
      <xmlColumnPr mapId="8" xpath="/dataroot/NFI_x005f_x0020_Tracking/Plastic_x005f_x0020_Bucket_x005f_x0020__LS" xmlDataType="string"/>
    </tableColumn>
    <tableColumn id="27" uniqueName="Plastic  Mat_LS" name="Plastic  Mat_LS" dataDxfId="312">
      <calculatedColumnFormula>IF(NFI_Expiration=1,IF($A6&lt;VLOOKUP(Q$5,NFI,5,0),1,0)*Table_NFI[[#This Row],[Plastic Mat]],Table_NFI[Plastic Mat])*IF(Table_NFI[[#This Row],[Distribution Date]]&gt;"2014-04-01",1,2.5)</calculatedColumnFormula>
      <xmlColumnPr mapId="8" xpath="/dataroot/NFI_x005f_x0020_Tracking/Plastic_x005f_x0020__x005f_x0020_Mat_LS" xmlDataType="string"/>
    </tableColumn>
    <tableColumn id="50" uniqueName="Winter Clothes Adult_LS" name="Winter Clothes Adult_LS" dataDxfId="311">
      <calculatedColumnFormula>IF(NFI_Expiration=1,IF($A6&lt;VLOOKUP(R$5,NFI,5,0),1,0)*Table_NFI[[#This Row],[Winter Clothes Adult]],Table_NFI[Winter Clothes Adult])</calculatedColumnFormula>
      <xmlColumnPr mapId="8" xpath="/dataroot/NFI_x005f_x0020_Tracking/Winter_x005f_x0020_Clothes_x005f_x0020_Adult_LS" xmlDataType="string"/>
    </tableColumn>
    <tableColumn id="49" uniqueName="Winter Clothes Children_LS" name="Winter Clothes Children_LS" dataDxfId="310">
      <calculatedColumnFormula>IF(NFI_Expiration=1,IF($A6&lt;VLOOKUP(S$5,NFI,5,0),1,0)*Table_NFI[[#This Row],[Winter Clothes Children]],Table_NFI[Winter Clothes Children])</calculatedColumnFormula>
      <xmlColumnPr mapId="8" xpath="/dataroot/NFI_x005f_x0020_Tracking/Winter_x005f_x0020_Clothes_x005f_x0020_Children_LS" xmlDataType="string"/>
    </tableColumn>
    <tableColumn id="48" uniqueName="Winter Items Other_LS" name="Winter Items Other_LS" dataDxfId="309">
      <calculatedColumnFormula>IF(NFI_Expiration=1,IF($A6&lt;VLOOKUP(T$5,NFI,5,0),1,0)*Table_NFI[[#This Row],[Winter Items Other]],Table_NFI[Winter Items Other])</calculatedColumnFormula>
      <xmlColumnPr mapId="8" xpath="/dataroot/NFI_x005f_x0020_Tracking/Winter_x005f_x0020_Items_x005f_x0020_Other_LS" xmlDataType="string"/>
    </tableColumn>
    <tableColumn id="33" uniqueName="Winter Blanket_LS" name="Winter Blanket_LS" dataDxfId="308">
      <calculatedColumnFormula>IF(NFI_Expiration=1,IF($A6&lt;VLOOKUP(M$5,NFI,5,0),1,0)*Table_NFI[[#This Row],[Winter Blanket]],Table_NFI[[#This Row],[Winter Blanket]])</calculatedColumnFormula>
      <xmlColumnPr mapId="8" xpath="/dataroot/NFI_x005f_x0020_Tracking/Winter_x005f_x0020_Blanket_LS" xmlDataType="string"/>
    </tableColumn>
    <tableColumn id="36" uniqueName="Winter" name="Winter" dataDxfId="307">
      <calculatedColumnFormula>IF(Table_NFI[[#This Row],[Winter Clothes Adult]]+Table_NFI[[#This Row],[Winter Clothes Children]]+Table_NFI[[#This Row],[Winter Items Other]]+Table_NFI[[#This Row],[Winter Blanket]]&gt;0,1,0)</calculatedColumnFormula>
      <xmlColumnPr mapId="8" xpath="/dataroot/NFI_x005f_x0020_Tracking/Winter" xmlDataType="double"/>
    </tableColumn>
    <tableColumn id="39" uniqueName="39" name="Jerry Can_LS" dataDxfId="306">
      <calculatedColumnFormula>IF(NFI_Expiration=1,IF($A6&lt;VLOOKUP(V$5,NFI,5,0),1,0)*Table_NFI[[#This Row],[Jerry Can]],Table_NFI[Jerry Can])</calculatedColumnFormula>
    </tableColumn>
    <tableColumn id="24" uniqueName="Pcode" name="Pcode" dataDxfId="305">
      <calculatedColumnFormula>IFERROR(VLOOKUP(Table_NFI[[#This Row],[Camp Name]],CL,2,0),"")</calculatedColumnFormula>
      <xmlColumnPr mapId="8" xpath="/dataroot/NFI_x005f_x0020_Tracking/Pcode" xmlDataType="string"/>
    </tableColumn>
    <tableColumn id="35" uniqueName="opening_date" name="opening_date" dataDxfId="304">
      <calculatedColumnFormula>IF(Table_NFI[[#This Row],[Pcode]]="","",IF(OFFSET(CampList[Opening Date],MATCH(Table_NFI[[#This Row],[Pcode]],CampList[CP_Pcode],0)-1,0,1,1)&gt;=NFI_Monitor_Date,1,0))</calculatedColumnFormula>
      <xmlColumnPr mapId="8" xpath="/dataroot/NFI_x005f_x0020_Tracking/opening_date" xmlDataType="double"/>
    </tableColumn>
    <tableColumn id="34" uniqueName="Status" name="Status" dataDxfId="303">
      <calculatedColumnFormula>IFERROR(VLOOKUP(Table_NFI[[#This Row],[Camp Name]],CL,3,0),"")</calculatedColumnFormula>
      <xmlColumnPr mapId="8" xpath="/dataroot/NFI_x005f_x0020_Tracking/Status" xmlDataType="string"/>
    </tableColumn>
    <tableColumn id="29" uniqueName="Priority" name="Priority" dataDxfId="302">
      <calculatedColumnFormula>IF(Table_NFI[[#This Row],[Pcode]]="","",OFFSET(CampList[Priority],MATCH(Table_NFI[[#This Row],[Pcode]],CampList[CP_Pcode],0)-1,0,1,1))</calculatedColumnFormula>
      <xmlColumnPr mapId="8" xpath="/dataroot/NFI_x005f_x0020_Tracking/Priority" xmlDataType="string"/>
    </tableColumn>
    <tableColumn id="30" uniqueName="Coverage" name="Coverage" dataDxfId="301">
      <calculatedColumnFormula>IFERROR(Table_NFI[[#This Row],[Kitchen Set]]/VLOOKUP(Table_NFI[[#This Row],[Camp Name]],CL,4,0),"")</calculatedColumnFormula>
      <xmlColumnPr mapId="8" xpath="/dataroot/NFI_x005f_x0020_Tracking/Coverage" xmlDataType="double"/>
    </tableColumn>
    <tableColumn id="31" uniqueName="Planned Distribution" name="Planned Distribution" dataDxfId="300">
      <xmlColumnPr mapId="8" xpath="/dataroot/NFI_x005f_x0020_Tracking/Planned_x005f_x0020_Distribution" xmlDataType="string"/>
    </tableColumn>
    <tableColumn id="37" uniqueName="Comment" name="Comment" dataDxfId="299">
      <xmlColumnPr mapId="8" xpath="/dataroot/NFI_x005f_x0020_Tracking/Comment" xmlDataType="string"/>
    </tableColumn>
  </tableColumns>
  <tableStyleInfo name="TableStyleLight1" showFirstColumn="0" showLastColumn="0" showRowStripes="1" showColumnStripes="0"/>
</table>
</file>

<file path=xl/tables/table6.xml><?xml version="1.0" encoding="utf-8"?>
<table xmlns="http://schemas.openxmlformats.org/spreadsheetml/2006/main" id="11" name="Table11" displayName="Table11" ref="A1:AQ7" totalsRowShown="0">
  <autoFilter ref="A1:AQ7"/>
  <tableColumns count="43">
    <tableColumn id="1" name="Months"/>
    <tableColumn id="2" name="Distribution Date" dataDxfId="298"/>
    <tableColumn id="3" name="Organization"/>
    <tableColumn id="4" name="Implementing Partner"/>
    <tableColumn id="5" name="State"/>
    <tableColumn id="6" name="Township"/>
    <tableColumn id="7" name="Camp Name"/>
    <tableColumn id="8" name="Hygiene Kit"/>
    <tableColumn id="9" name="NFI Core Kit"/>
    <tableColumn id="10" name="Sanitary Kit"/>
    <tableColumn id="11" name="Mosquito net"/>
    <tableColumn id="12" name="Tarpaulin"/>
    <tableColumn id="13" name="Blanket"/>
    <tableColumn id="14" name="Kitchen Set"/>
    <tableColumn id="15" name="Clothes Kit"/>
    <tableColumn id="16" name="Plastic Bucket"/>
    <tableColumn id="17" name="Plastic Mat"/>
    <tableColumn id="18" name="Winter Clothes Adult"/>
    <tableColumn id="19" name="Winter Clothes Children"/>
    <tableColumn id="20" name="Winter Items Other"/>
    <tableColumn id="21" name="Winter Blanket"/>
    <tableColumn id="22" name="Hygiene Kit_LS"/>
    <tableColumn id="23" name="NFI Core Kit_LS"/>
    <tableColumn id="24" name="Sanitary Kit_LS"/>
    <tableColumn id="25" name="Mosquito net_LS"/>
    <tableColumn id="26" name="Tarpaulin_LS"/>
    <tableColumn id="27" name="Blanket_LS"/>
    <tableColumn id="28" name="Kitchen Set_LS"/>
    <tableColumn id="29" name="Clothes Kit_LS"/>
    <tableColumn id="30" name="Plastic Bucket _LS"/>
    <tableColumn id="31" name="Plastic  Mat_LS"/>
    <tableColumn id="32" name="Winter Clothes Adult_LS"/>
    <tableColumn id="33" name="Winter Clothes Children_LS"/>
    <tableColumn id="34" name="Winter Items Other_LS"/>
    <tableColumn id="35" name="Winter Blanket_LS"/>
    <tableColumn id="36" name="Winter"/>
    <tableColumn id="37" name="Pcode"/>
    <tableColumn id="38" name="opening_date"/>
    <tableColumn id="39" name="Status"/>
    <tableColumn id="40" name="Priority"/>
    <tableColumn id="41" name="Coverage"/>
    <tableColumn id="42" name="Planned Distribution"/>
    <tableColumn id="43" name="Comment"/>
  </tableColumns>
  <tableStyleInfo name="TableStyleMedium2" showFirstColumn="0" showLastColumn="0" showRowStripes="1" showColumnStripes="0"/>
</table>
</file>

<file path=xl/tables/table7.xml><?xml version="1.0" encoding="utf-8"?>
<table xmlns="http://schemas.openxmlformats.org/spreadsheetml/2006/main" id="10" name="Table10" displayName="Table10" ref="A1:N168" totalsRowShown="0" headerRowDxfId="283" headerRowBorderDxfId="282" tableBorderDxfId="281" totalsRowBorderDxfId="280">
  <autoFilter ref="A1:N168"/>
  <tableColumns count="14">
    <tableColumn id="5" name="Pcode" dataDxfId="279"/>
    <tableColumn id="2" name="Priority" dataDxfId="278">
      <calculatedColumnFormula>OFFSET(CampList[Priority],MATCH(Table10[[#This Row],[Pcode]],CampList[CP_Pcode],0)-1,0,1,1)</calculatedColumnFormula>
    </tableColumn>
    <tableColumn id="1" name="Camp" dataDxfId="277">
      <calculatedColumnFormula>OFFSET(CampList[Camp],MATCH(Table10[[#This Row],[Pcode]],CampList[CP_Pcode],0)-1,0,1,1)</calculatedColumnFormula>
    </tableColumn>
    <tableColumn id="4" name="Township" dataDxfId="276">
      <calculatedColumnFormula>OFFSET(CampList[Township],MATCH(Table10[[#This Row],[Pcode]],CampList[CP_Pcode],0)-1,0,1,1)</calculatedColumnFormula>
    </tableColumn>
    <tableColumn id="6" name="HH" dataDxfId="275">
      <calculatedColumnFormula>OFFSET(CampList[HH],MATCH(Table10[[#This Row],[Pcode]],CampList[CP_Pcode],0)-1,0,1,1)</calculatedColumnFormula>
    </tableColumn>
    <tableColumn id="7" name="Ind" dataDxfId="274">
      <calculatedColumnFormula>OFFSET(CampList[Total],MATCH(Table10[[#This Row],[Pcode]],CampList[CP_Pcode],0)-1,0,1,1)</calculatedColumnFormula>
    </tableColumn>
    <tableColumn id="8" name="Winter Clothes Adult " dataDxfId="273">
      <calculatedColumnFormula>SUMIF('NFI Tracking'!AO$6:AO$1048576,Table10[[#This Row],[Pcode]],'NFI Tracking'!AI$6:AI$1048576)</calculatedColumnFormula>
    </tableColumn>
    <tableColumn id="9" name="Winter Clothes Children " dataDxfId="272">
      <calculatedColumnFormula>SUMIF('NFI Tracking'!AO$6:AO$1048576,Table10[[#This Row],[Pcode]],'NFI Tracking'!AJ$6:AJ$1048576)</calculatedColumnFormula>
    </tableColumn>
    <tableColumn id="10" name="Winter Items Other " dataDxfId="271">
      <calculatedColumnFormula>SUMIF('NFI Tracking'!AO$6:AO$1048576,Table10[[#This Row],[Pcode]],'NFI Tracking'!AK$6:AK$1048576)</calculatedColumnFormula>
    </tableColumn>
    <tableColumn id="11" name="WC_Adult_Gap" dataDxfId="270">
      <calculatedColumnFormula>MAX(Table10[[#This Row],[HH]]*VLOOKUP("Winter Clothes Adult",NFI,6)-Table10[[#This Row],[Winter Clothes Adult ]],0)</calculatedColumnFormula>
    </tableColumn>
    <tableColumn id="12" name="WC_Child_Gap" dataDxfId="269">
      <calculatedColumnFormula>MAX(Table10[[#This Row],[HH]]*VLOOKUP("Winter Clothes Children ",NFI,6)-Table10[[#This Row],[Winter Clothes Children ]],0)</calculatedColumnFormula>
    </tableColumn>
    <tableColumn id="13" name="WI_Other_Gap" dataDxfId="268">
      <calculatedColumnFormula>MAX(Table10[[#This Row],[HH]]*VLOOKUP("Winter Items Other ",NFI,6)-Table10[[#This Row],[Winter Items Other ]],0)</calculatedColumnFormula>
    </tableColumn>
    <tableColumn id="3" name="Planned Distribution" dataDxfId="267">
      <calculatedColumnFormula>IF(OR(Table10[[#This Row],[Winter Clothes Adult ]]&lt;&gt;0,Table10[[#This Row],[Winter Clothes Children ]]&lt;&gt;0,Table10[[#This Row],[Winter Items Other ]]&lt;&gt;0),"No","")</calculatedColumnFormula>
    </tableColumn>
    <tableColumn id="14" name="Check1" dataDxfId="266">
      <calculatedColumnFormula>COUNTIF(A:A,Table10[[#This Row],[Pcode]])-1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id="7" name="Table58" displayName="Table58" ref="T2:AG24" totalsRowCount="1" headerRowDxfId="260" dataDxfId="258" totalsRowDxfId="256" headerRowBorderDxfId="259" tableBorderDxfId="257" totalsRowBorderDxfId="255" dataCellStyle="Percent">
  <autoFilter ref="T2:AG23"/>
  <tableColumns count="14">
    <tableColumn id="1" name="Pcode" dataDxfId="254" totalsRowDxfId="253"/>
    <tableColumn id="2" name="Township" totalsRowLabel="Kachin/Shan" dataDxfId="252" totalsRowDxfId="251"/>
    <tableColumn id="3" name="Long." totalsRowLabel="96.00" dataDxfId="250" totalsRowDxfId="249"/>
    <tableColumn id="4" name="Lat." totalsRowLabel="27.00" dataDxfId="248" totalsRowDxfId="247"/>
    <tableColumn id="5" name="HS" totalsRowFunction="sum" dataDxfId="246" totalsRowDxfId="245">
      <calculatedColumnFormula>'CCCM Dashboard'!D12</calculatedColumnFormula>
    </tableColumn>
    <tableColumn id="6" name="Pop" totalsRowFunction="sum" dataDxfId="244" totalsRowDxfId="243" dataCellStyle="Comma">
      <calculatedColumnFormula>'CCCM Dashboard'!E12</calculatedColumnFormula>
    </tableColumn>
    <tableColumn id="7" name="N_cps" totalsRowFunction="custom" dataDxfId="242" totalsRowDxfId="241">
      <calculatedColumnFormula>CONCATENATE(AG3, " cp",IF(AG3&gt;1,"s",""))</calculatedColumnFormula>
      <totalsRowFormula>CONCATENATE(Table58[[#Totals],[Column1]]," camps")</totalsRowFormula>
    </tableColumn>
    <tableColumn id="8" name="Coverage" totalsRowFunction="custom" dataDxfId="240" totalsRowDxfId="239" dataCellStyle="Percent">
      <calculatedColumnFormula>'Shelter Coverage &amp; Gaps'!#REF!</calculatedColumnFormula>
      <totalsRowFormula>SUMPRODUCT(Table58[Pop]*Table58[Coverage])/Table58[[#Totals],[Pop]]</totalsRowFormula>
    </tableColumn>
    <tableColumn id="9" name="Hygiene" totalsRowFunction="custom" dataDxfId="238" totalsRowDxfId="237" dataCellStyle="Percent">
      <totalsRowFormula>SUMPRODUCT(Table58[Pop]*Table58[Hygiene])/Table58[[#Totals],[Pop]]</totalsRowFormula>
    </tableColumn>
    <tableColumn id="10" name="Core" totalsRowFunction="custom" dataDxfId="236" totalsRowDxfId="235" dataCellStyle="Percent">
      <totalsRowFormula>SUMPRODUCT(Table58[Pop]*Table58[Core])/Table58[[#Totals],[Pop]]</totalsRowFormula>
    </tableColumn>
    <tableColumn id="11" name="Sanitary" totalsRowFunction="custom" dataDxfId="234" totalsRowDxfId="233" dataCellStyle="Percent">
      <totalsRowFormula>SUMPRODUCT(Table58[Pop]*Table58[Sanitary])/Table58[[#Totals],[Pop]]</totalsRowFormula>
    </tableColumn>
    <tableColumn id="12" name="Y" totalsRowFunction="custom" dataDxfId="232" totalsRowDxfId="231">
      <calculatedColumnFormula>$S$3-ROUND((W3-$S$1)*$S$5,0)</calculatedColumnFormula>
      <totalsRowFormula>1000-ROUND((W24-23.5)*$S$5,0)</totalsRowFormula>
    </tableColumn>
    <tableColumn id="13" name="X" totalsRowFunction="custom" dataDxfId="230" totalsRowDxfId="229">
      <calculatedColumnFormula>ROUND((V3-$S$2)*$S$5,0)+$S$4</calculatedColumnFormula>
      <totalsRowFormula>ROUND((V24-96.5)*$S$5,0)+100</totalsRowFormula>
    </tableColumn>
    <tableColumn id="14" name="Column1" totalsRowFunction="sum" dataDxfId="228" totalsRowDxfId="227" dataCellStyle="Comma">
      <calculatedColumnFormula>'CCCM Dashboard'!F12</calculatedColumnFormula>
    </tableColumn>
  </tableColumns>
  <tableStyleInfo name="TableStyleMedium10" showFirstColumn="0" showLastColumn="0" showRowStripes="1" showColumnStripes="0"/>
</table>
</file>

<file path=xl/tables/table9.xml><?xml version="1.0" encoding="utf-8"?>
<table xmlns="http://schemas.openxmlformats.org/spreadsheetml/2006/main" id="3" name="Table3" displayName="Table3" ref="J1:J4" totalsRowShown="0" headerRowDxfId="226" dataDxfId="225">
  <autoFilter ref="J1:J4"/>
  <tableColumns count="1">
    <tableColumn id="1" name="State" dataDxfId="224"/>
  </tableColumns>
  <tableStyleInfo name="TableStyleMedium2" showFirstColumn="0" showLastColumn="0" showRowStripes="1" showColumnStripes="0"/>
</table>
</file>

<file path=xl/tables/table10.xml><?xml version="1.0" encoding="utf-8"?>
<table xmlns="http://schemas.openxmlformats.org/spreadsheetml/2006/main" id="5" name="Table5" displayName="Table5" ref="L1:L17" totalsRowShown="0" headerRowDxfId="223" dataDxfId="222">
  <autoFilter ref="L1:L17"/>
  <tableColumns count="1">
    <tableColumn id="1" name="Kachin" dataDxfId="221"/>
  </tableColumns>
  <tableStyleInfo name="TableStyleMedium2" showFirstColumn="0" showLastColumn="0" showRowStripes="1" showColumnStripes="0"/>
</table>
</file>

<file path=xl/tables/table11.xml><?xml version="1.0" encoding="utf-8"?>
<table xmlns="http://schemas.openxmlformats.org/spreadsheetml/2006/main" id="6" name="Table6" displayName="Table6" ref="N1:N7" totalsRowShown="0" headerRowDxfId="220" dataDxfId="219">
  <autoFilter ref="N1:N7"/>
  <tableColumns count="1">
    <tableColumn id="1" name="Shan_North" dataDxfId="21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11.xml"/><Relationship Id="rId1" Type="http://schemas.openxmlformats.org/officeDocument/2006/relationships/pivotTable" Target="../pivotTables/pivotTable10.xm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14.xml"/><Relationship Id="rId2" Type="http://schemas.openxmlformats.org/officeDocument/2006/relationships/pivotTable" Target="../pivotTables/pivotTable13.xml"/><Relationship Id="rId1" Type="http://schemas.openxmlformats.org/officeDocument/2006/relationships/pivotTable" Target="../pivotTables/pivotTable12.xm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pivotTable" Target="../pivotTables/pivotTable16.xml"/><Relationship Id="rId1" Type="http://schemas.openxmlformats.org/officeDocument/2006/relationships/pivotTable" Target="../pivotTables/pivotTable15.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7" Type="http://schemas.openxmlformats.org/officeDocument/2006/relationships/table" Target="../tables/table4.xml"/><Relationship Id="rId2" Type="http://schemas.openxmlformats.org/officeDocument/2006/relationships/printerSettings" Target="../printerSettings/printerSettings10.bin"/><Relationship Id="rId1" Type="http://schemas.openxmlformats.org/officeDocument/2006/relationships/pivotTable" Target="../pivotTables/pivotTable17.xml"/><Relationship Id="rId6" Type="http://schemas.openxmlformats.org/officeDocument/2006/relationships/image" Target="../media/image12.emf"/><Relationship Id="rId5" Type="http://schemas.openxmlformats.org/officeDocument/2006/relationships/control" Target="../activeX/activeX3.xml"/><Relationship Id="rId4"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ivotTable" Target="../pivotTables/pivotTable19.xml"/><Relationship Id="rId1" Type="http://schemas.openxmlformats.org/officeDocument/2006/relationships/pivotTable" Target="../pivotTables/pivotTable18.xm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14.bin"/><Relationship Id="rId1" Type="http://schemas.openxmlformats.org/officeDocument/2006/relationships/pivotTable" Target="../pivotTables/pivotTable2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vmlDrawing" Target="../drawings/vmlDrawing3.vml"/><Relationship Id="rId7" Type="http://schemas.openxmlformats.org/officeDocument/2006/relationships/ctrlProp" Target="../ctrlProps/ctrlProp1.xml"/><Relationship Id="rId2" Type="http://schemas.openxmlformats.org/officeDocument/2006/relationships/drawing" Target="../drawings/drawing17.xml"/><Relationship Id="rId1" Type="http://schemas.openxmlformats.org/officeDocument/2006/relationships/printerSettings" Target="../printerSettings/printerSettings16.bin"/><Relationship Id="rId6" Type="http://schemas.openxmlformats.org/officeDocument/2006/relationships/image" Target="../media/image14.emf"/><Relationship Id="rId11" Type="http://schemas.openxmlformats.org/officeDocument/2006/relationships/table" Target="../tables/table8.xml"/><Relationship Id="rId5" Type="http://schemas.openxmlformats.org/officeDocument/2006/relationships/control" Target="../activeX/activeX4.xml"/><Relationship Id="rId10" Type="http://schemas.openxmlformats.org/officeDocument/2006/relationships/ctrlProp" Target="../ctrlProps/ctrlProp4.xml"/><Relationship Id="rId4" Type="http://schemas.openxmlformats.org/officeDocument/2006/relationships/vmlDrawing" Target="../drawings/vmlDrawing4.vml"/><Relationship Id="rId9" Type="http://schemas.openxmlformats.org/officeDocument/2006/relationships/ctrlProp" Target="../ctrlProps/ctrlProp3.xml"/></Relationships>
</file>

<file path=xl/worksheets/_rels/sheet21.xml.rels><?xml version="1.0" encoding="UTF-8" standalone="yes"?>
<Relationships xmlns="http://schemas.openxmlformats.org/package/2006/relationships"><Relationship Id="rId3" Type="http://schemas.openxmlformats.org/officeDocument/2006/relationships/pivotTable" Target="../pivotTables/pivotTable23.xml"/><Relationship Id="rId2" Type="http://schemas.openxmlformats.org/officeDocument/2006/relationships/pivotTable" Target="../pivotTables/pivotTable22.xml"/><Relationship Id="rId1" Type="http://schemas.openxmlformats.org/officeDocument/2006/relationships/pivotTable" Target="../pivotTables/pivotTable21.xml"/><Relationship Id="rId4" Type="http://schemas.openxmlformats.org/officeDocument/2006/relationships/pivotTable" Target="../pivotTables/pivotTable24.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7.bin"/><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C1:V24"/>
  <sheetViews>
    <sheetView showZeros="0" zoomScale="80" zoomScaleNormal="80" workbookViewId="0">
      <selection activeCell="C6" sqref="C6"/>
    </sheetView>
  </sheetViews>
  <sheetFormatPr defaultColWidth="9.140625" defaultRowHeight="15" x14ac:dyDescent="0.25"/>
  <cols>
    <col min="1" max="1" width="2" style="6" customWidth="1"/>
    <col min="2" max="4" width="9.140625" style="6"/>
    <col min="5" max="5" width="3.28515625" style="6" customWidth="1"/>
    <col min="6" max="10" width="9.140625" style="6"/>
    <col min="11" max="11" width="3.28515625" style="6" customWidth="1"/>
    <col min="12" max="14" width="9.140625" style="6"/>
    <col min="15" max="15" width="3.28515625" style="6" customWidth="1"/>
    <col min="16" max="17" width="0" style="6" hidden="1" customWidth="1"/>
    <col min="18" max="18" width="9.140625" style="6" hidden="1" customWidth="1"/>
    <col min="19" max="19" width="3.28515625" style="6" hidden="1" customWidth="1"/>
    <col min="20" max="22" width="0" style="6" hidden="1" customWidth="1"/>
    <col min="23" max="16384" width="9.140625" style="6"/>
  </cols>
  <sheetData>
    <row r="1" spans="3:22" ht="5.25" customHeight="1" x14ac:dyDescent="0.25"/>
    <row r="2" spans="3:22" ht="8.25" customHeight="1" x14ac:dyDescent="0.25">
      <c r="C2" s="842" t="s">
        <v>421</v>
      </c>
      <c r="D2" s="842"/>
      <c r="E2" s="842"/>
      <c r="F2" s="842"/>
      <c r="G2" s="842"/>
      <c r="H2" s="842"/>
      <c r="I2" s="842"/>
      <c r="J2" s="842"/>
      <c r="K2" s="842"/>
      <c r="L2" s="842"/>
      <c r="M2" s="842"/>
      <c r="N2" s="842"/>
      <c r="O2" s="842"/>
      <c r="P2" s="842"/>
      <c r="Q2" s="842"/>
      <c r="R2" s="842"/>
      <c r="S2" s="842"/>
      <c r="T2" s="842"/>
      <c r="U2" s="842"/>
      <c r="V2" s="842"/>
    </row>
    <row r="3" spans="3:22" ht="18" customHeight="1" x14ac:dyDescent="0.25">
      <c r="C3" s="842"/>
      <c r="D3" s="842"/>
      <c r="E3" s="842"/>
      <c r="F3" s="842"/>
      <c r="G3" s="842"/>
      <c r="H3" s="842"/>
      <c r="I3" s="842"/>
      <c r="J3" s="842"/>
      <c r="K3" s="842"/>
      <c r="L3" s="842"/>
      <c r="M3" s="842"/>
      <c r="N3" s="842"/>
      <c r="O3" s="842"/>
      <c r="P3" s="842"/>
      <c r="Q3" s="842"/>
      <c r="R3" s="842"/>
      <c r="S3" s="842"/>
      <c r="T3" s="842"/>
      <c r="U3" s="842"/>
      <c r="V3" s="842"/>
    </row>
    <row r="4" spans="3:22" ht="11.25" customHeight="1" x14ac:dyDescent="0.25">
      <c r="C4" s="842"/>
      <c r="D4" s="842"/>
      <c r="E4" s="842"/>
      <c r="F4" s="842"/>
      <c r="G4" s="842"/>
      <c r="H4" s="842"/>
      <c r="I4" s="842"/>
      <c r="J4" s="842"/>
      <c r="K4" s="842"/>
      <c r="L4" s="842"/>
      <c r="M4" s="842"/>
      <c r="N4" s="842"/>
      <c r="O4" s="842"/>
      <c r="P4" s="842"/>
      <c r="Q4" s="842"/>
      <c r="R4" s="842"/>
      <c r="S4" s="842"/>
      <c r="T4" s="842"/>
      <c r="U4" s="842"/>
      <c r="V4" s="842"/>
    </row>
    <row r="5" spans="3:22" ht="15" customHeight="1" x14ac:dyDescent="0.25">
      <c r="C5" s="844">
        <f>Report_Date</f>
        <v>42370</v>
      </c>
      <c r="D5" s="844"/>
      <c r="E5" s="844"/>
      <c r="F5" s="844"/>
      <c r="G5" s="844"/>
      <c r="H5" s="844"/>
      <c r="I5" s="844"/>
      <c r="J5" s="844"/>
      <c r="K5" s="844"/>
      <c r="L5" s="844"/>
      <c r="M5" s="844"/>
      <c r="N5" s="844"/>
      <c r="O5" s="844"/>
    </row>
    <row r="6" spans="3:22" ht="8.25" customHeight="1" x14ac:dyDescent="0.25"/>
    <row r="7" spans="3:22" x14ac:dyDescent="0.25">
      <c r="C7" s="841" t="s">
        <v>448</v>
      </c>
      <c r="D7" s="841"/>
      <c r="E7" s="31"/>
      <c r="F7" s="843" t="s">
        <v>453</v>
      </c>
      <c r="G7" s="843"/>
      <c r="H7" s="843"/>
      <c r="I7" s="843"/>
      <c r="J7" s="843"/>
      <c r="K7" s="31"/>
      <c r="L7" s="843" t="s">
        <v>446</v>
      </c>
      <c r="M7" s="843"/>
      <c r="N7" s="843"/>
      <c r="O7" s="31"/>
      <c r="P7" s="843" t="s">
        <v>451</v>
      </c>
      <c r="Q7" s="843"/>
      <c r="R7" s="843"/>
      <c r="S7" s="31"/>
      <c r="T7" s="843" t="s">
        <v>452</v>
      </c>
      <c r="U7" s="843"/>
      <c r="V7" s="843"/>
    </row>
    <row r="8" spans="3:22" x14ac:dyDescent="0.25">
      <c r="C8" s="841"/>
      <c r="D8" s="841"/>
      <c r="E8" s="31"/>
      <c r="F8" s="31"/>
      <c r="G8" s="31"/>
      <c r="H8" s="31"/>
      <c r="I8" s="31"/>
      <c r="J8" s="31"/>
      <c r="K8" s="31"/>
      <c r="L8" s="31"/>
      <c r="M8" s="31"/>
      <c r="N8" s="31"/>
      <c r="O8" s="31"/>
      <c r="P8" s="31"/>
      <c r="Q8" s="31"/>
      <c r="R8" s="31"/>
      <c r="S8" s="31"/>
      <c r="T8" s="31"/>
      <c r="U8" s="31"/>
      <c r="V8" s="31"/>
    </row>
    <row r="9" spans="3:22" x14ac:dyDescent="0.25">
      <c r="C9" s="841"/>
      <c r="D9" s="841"/>
      <c r="E9" s="31"/>
      <c r="F9" s="31"/>
      <c r="G9" s="31"/>
      <c r="H9" s="31"/>
      <c r="I9" s="31"/>
      <c r="J9" s="31"/>
      <c r="K9" s="31"/>
      <c r="L9" s="91" t="s">
        <v>381</v>
      </c>
      <c r="M9" s="62" t="s">
        <v>380</v>
      </c>
      <c r="N9" s="63" t="s">
        <v>447</v>
      </c>
      <c r="O9" s="31"/>
      <c r="P9" s="29" t="s">
        <v>381</v>
      </c>
      <c r="Q9" s="62" t="s">
        <v>380</v>
      </c>
      <c r="R9" s="63" t="s">
        <v>447</v>
      </c>
      <c r="S9" s="31"/>
      <c r="T9" s="29" t="s">
        <v>381</v>
      </c>
      <c r="U9" s="30" t="s">
        <v>380</v>
      </c>
      <c r="V9" s="28" t="s">
        <v>447</v>
      </c>
    </row>
    <row r="10" spans="3:22" x14ac:dyDescent="0.25">
      <c r="C10" s="841"/>
      <c r="D10" s="841"/>
      <c r="E10" s="31"/>
      <c r="F10" s="31"/>
      <c r="G10" s="31"/>
      <c r="H10" s="31"/>
      <c r="I10" s="31"/>
      <c r="J10" s="31"/>
      <c r="K10" s="31"/>
      <c r="L10" s="31"/>
      <c r="M10" s="31"/>
      <c r="N10" s="31"/>
      <c r="O10" s="31"/>
      <c r="P10" s="31"/>
      <c r="Q10" s="31"/>
      <c r="R10" s="31"/>
      <c r="S10" s="31"/>
      <c r="T10" s="31"/>
      <c r="U10" s="31"/>
      <c r="V10" s="31"/>
    </row>
    <row r="11" spans="3:22" x14ac:dyDescent="0.25">
      <c r="C11" s="841"/>
      <c r="D11" s="841"/>
      <c r="E11" s="31"/>
      <c r="F11" s="31"/>
      <c r="G11" s="31"/>
      <c r="H11" s="31"/>
      <c r="I11" s="31"/>
      <c r="J11" s="31"/>
      <c r="K11" s="31"/>
      <c r="L11" s="31"/>
      <c r="M11" s="31"/>
      <c r="N11" s="31"/>
      <c r="O11" s="31"/>
      <c r="P11" s="31"/>
      <c r="Q11" s="31"/>
      <c r="R11" s="31"/>
      <c r="S11" s="31"/>
      <c r="T11" s="31"/>
      <c r="U11" s="31"/>
      <c r="V11" s="31"/>
    </row>
    <row r="12" spans="3:22" x14ac:dyDescent="0.25">
      <c r="C12" s="841"/>
      <c r="D12" s="841"/>
      <c r="E12" s="31"/>
      <c r="F12" s="31"/>
      <c r="G12" s="31"/>
      <c r="H12" s="31"/>
      <c r="I12" s="31"/>
      <c r="J12" s="31"/>
      <c r="K12" s="31"/>
      <c r="L12" s="31"/>
      <c r="M12" s="31"/>
      <c r="N12" s="31"/>
      <c r="O12" s="31"/>
      <c r="P12" s="31"/>
      <c r="Q12" s="31"/>
      <c r="R12" s="31"/>
      <c r="S12" s="31"/>
      <c r="T12" s="31"/>
      <c r="U12" s="31"/>
      <c r="V12" s="31"/>
    </row>
    <row r="14" spans="3:22" x14ac:dyDescent="0.25">
      <c r="C14" s="841" t="s">
        <v>449</v>
      </c>
      <c r="D14" s="841"/>
      <c r="E14" s="31"/>
      <c r="F14" s="31"/>
      <c r="G14" s="31"/>
      <c r="H14" s="31"/>
      <c r="I14" s="31"/>
      <c r="J14" s="31"/>
      <c r="K14" s="31"/>
      <c r="L14" s="31"/>
      <c r="M14" s="31"/>
      <c r="N14" s="31"/>
      <c r="O14" s="31"/>
      <c r="P14" s="31"/>
      <c r="Q14" s="31"/>
      <c r="R14" s="31"/>
      <c r="S14" s="31"/>
      <c r="T14" s="31"/>
      <c r="U14" s="31"/>
      <c r="V14" s="31"/>
    </row>
    <row r="15" spans="3:22" x14ac:dyDescent="0.25">
      <c r="C15" s="841"/>
      <c r="D15" s="841"/>
      <c r="E15" s="31"/>
      <c r="F15" s="31"/>
      <c r="G15" s="31"/>
      <c r="H15" s="31"/>
      <c r="I15" s="31"/>
      <c r="J15" s="31"/>
      <c r="K15" s="31"/>
      <c r="L15" s="31"/>
      <c r="M15" s="31"/>
      <c r="N15" s="31"/>
      <c r="O15" s="31"/>
      <c r="P15" s="31"/>
      <c r="Q15" s="31"/>
      <c r="R15" s="31"/>
      <c r="S15" s="31"/>
      <c r="T15" s="31"/>
      <c r="U15" s="31"/>
      <c r="V15" s="31"/>
    </row>
    <row r="16" spans="3:22" x14ac:dyDescent="0.25">
      <c r="C16" s="841"/>
      <c r="D16" s="841"/>
      <c r="E16" s="31"/>
      <c r="F16" s="31"/>
      <c r="G16" s="31"/>
      <c r="H16" s="31"/>
      <c r="I16" s="31"/>
      <c r="J16" s="31"/>
      <c r="K16" s="31"/>
      <c r="L16" s="91" t="s">
        <v>381</v>
      </c>
      <c r="M16" s="62" t="s">
        <v>380</v>
      </c>
      <c r="N16" s="63" t="s">
        <v>447</v>
      </c>
      <c r="O16" s="31"/>
      <c r="P16" s="29" t="s">
        <v>381</v>
      </c>
      <c r="Q16" s="62" t="s">
        <v>380</v>
      </c>
      <c r="R16" s="63" t="s">
        <v>447</v>
      </c>
      <c r="S16" s="31"/>
      <c r="T16" s="29" t="s">
        <v>381</v>
      </c>
      <c r="U16" s="30" t="s">
        <v>380</v>
      </c>
      <c r="V16" s="28" t="s">
        <v>447</v>
      </c>
    </row>
    <row r="17" spans="3:22" x14ac:dyDescent="0.25">
      <c r="C17" s="841"/>
      <c r="D17" s="841"/>
      <c r="E17" s="31"/>
      <c r="F17" s="31"/>
      <c r="G17" s="31"/>
      <c r="H17" s="31"/>
      <c r="I17" s="31"/>
      <c r="J17" s="31"/>
      <c r="K17" s="31"/>
      <c r="L17" s="31"/>
      <c r="M17" s="31"/>
      <c r="N17" s="31"/>
      <c r="O17" s="31"/>
      <c r="P17" s="31"/>
      <c r="Q17" s="31"/>
      <c r="R17" s="31"/>
      <c r="S17" s="31"/>
      <c r="T17" s="31"/>
      <c r="U17" s="31"/>
      <c r="V17" s="31"/>
    </row>
    <row r="18" spans="3:22" x14ac:dyDescent="0.25">
      <c r="C18" s="841"/>
      <c r="D18" s="841"/>
      <c r="E18" s="31"/>
      <c r="F18" s="31"/>
      <c r="G18" s="31"/>
      <c r="H18" s="31"/>
      <c r="I18" s="31"/>
      <c r="J18" s="31"/>
      <c r="K18" s="31"/>
      <c r="L18" s="31"/>
      <c r="M18" s="31"/>
      <c r="N18" s="31"/>
      <c r="O18" s="31"/>
      <c r="P18" s="31"/>
      <c r="Q18" s="31"/>
      <c r="R18" s="31"/>
      <c r="S18" s="31"/>
      <c r="T18" s="31"/>
      <c r="U18" s="31"/>
      <c r="V18" s="31"/>
    </row>
    <row r="19" spans="3:22" x14ac:dyDescent="0.25">
      <c r="C19" s="841"/>
      <c r="D19" s="841"/>
      <c r="E19" s="31"/>
      <c r="F19" s="31"/>
      <c r="G19" s="31"/>
      <c r="H19" s="31"/>
      <c r="I19" s="31"/>
      <c r="J19" s="31"/>
      <c r="K19" s="31"/>
      <c r="L19" s="31"/>
      <c r="M19" s="31"/>
      <c r="N19" s="31"/>
      <c r="O19" s="31"/>
      <c r="P19" s="31"/>
      <c r="Q19" s="31"/>
      <c r="R19" s="31"/>
      <c r="S19" s="31"/>
      <c r="T19" s="31"/>
      <c r="U19" s="31"/>
      <c r="V19" s="31"/>
    </row>
    <row r="21" spans="3:22" x14ac:dyDescent="0.25">
      <c r="C21" s="841" t="s">
        <v>450</v>
      </c>
      <c r="D21" s="841"/>
      <c r="E21" s="32"/>
      <c r="F21" s="32"/>
      <c r="G21" s="32"/>
      <c r="H21" s="32"/>
      <c r="I21" s="32"/>
      <c r="J21" s="32"/>
      <c r="K21" s="32"/>
      <c r="L21" s="31"/>
      <c r="M21" s="31"/>
      <c r="N21" s="31"/>
      <c r="O21" s="31"/>
      <c r="P21" s="31"/>
      <c r="Q21" s="31"/>
      <c r="R21" s="31"/>
      <c r="S21" s="31"/>
      <c r="T21" s="31"/>
      <c r="U21" s="31"/>
      <c r="V21" s="31"/>
    </row>
    <row r="22" spans="3:22" x14ac:dyDescent="0.25">
      <c r="C22" s="841"/>
      <c r="D22" s="841"/>
      <c r="E22" s="32"/>
      <c r="F22" s="32"/>
      <c r="G22" s="32"/>
      <c r="H22" s="32"/>
      <c r="I22" s="32"/>
      <c r="J22" s="32"/>
      <c r="K22" s="32"/>
      <c r="L22" s="32"/>
      <c r="M22" s="62" t="s">
        <v>380</v>
      </c>
      <c r="N22" s="32"/>
      <c r="O22" s="31"/>
      <c r="P22" s="31"/>
      <c r="Q22" s="31"/>
      <c r="R22" s="31"/>
      <c r="S22" s="31"/>
      <c r="T22" s="11"/>
      <c r="U22" s="11"/>
      <c r="V22" s="11"/>
    </row>
    <row r="23" spans="3:22" x14ac:dyDescent="0.25">
      <c r="C23" s="841"/>
      <c r="D23" s="841"/>
      <c r="E23" s="32"/>
      <c r="F23" s="32"/>
      <c r="G23" s="32"/>
      <c r="H23" s="32"/>
      <c r="I23" s="32"/>
      <c r="J23" s="32"/>
      <c r="K23" s="32"/>
      <c r="L23" s="63" t="s">
        <v>381</v>
      </c>
      <c r="M23" s="63" t="s">
        <v>380</v>
      </c>
      <c r="N23" s="63" t="s">
        <v>447</v>
      </c>
      <c r="O23" s="31"/>
      <c r="P23" s="29" t="s">
        <v>381</v>
      </c>
      <c r="Q23" s="62" t="s">
        <v>380</v>
      </c>
      <c r="R23" s="63" t="s">
        <v>447</v>
      </c>
      <c r="S23" s="31"/>
      <c r="T23" s="29" t="s">
        <v>381</v>
      </c>
      <c r="U23" s="30" t="s">
        <v>380</v>
      </c>
      <c r="V23" s="28" t="s">
        <v>447</v>
      </c>
    </row>
    <row r="24" spans="3:22" x14ac:dyDescent="0.25">
      <c r="C24" s="841"/>
      <c r="D24" s="841"/>
      <c r="E24" s="32"/>
      <c r="F24" s="32"/>
      <c r="G24" s="32"/>
      <c r="H24" s="32"/>
      <c r="I24" s="32"/>
      <c r="J24" s="32"/>
      <c r="K24" s="32"/>
      <c r="L24" s="32"/>
      <c r="M24" s="32"/>
      <c r="N24" s="32"/>
      <c r="O24" s="31"/>
      <c r="P24" s="31"/>
      <c r="Q24" s="31"/>
      <c r="R24" s="31"/>
      <c r="S24" s="31"/>
      <c r="T24" s="11"/>
      <c r="U24" s="11"/>
      <c r="V24" s="11"/>
    </row>
  </sheetData>
  <mergeCells count="9">
    <mergeCell ref="C7:D12"/>
    <mergeCell ref="C14:D19"/>
    <mergeCell ref="C21:D24"/>
    <mergeCell ref="C2:V4"/>
    <mergeCell ref="T7:V7"/>
    <mergeCell ref="P7:R7"/>
    <mergeCell ref="L7:N7"/>
    <mergeCell ref="F7:J7"/>
    <mergeCell ref="C5:O5"/>
  </mergeCells>
  <hyperlinks>
    <hyperlink ref="L9" location="Rakhine_CCCM_D!A1" display="Rakhine"/>
    <hyperlink ref="M9" location="'CCCM Dashboard'!A1" display="Kachin"/>
    <hyperlink ref="L16" location="Rakhine_Shelter_D!A1" display="Rakhine"/>
    <hyperlink ref="M16" location="'Shelter Coverage &amp; Gaps'!A1" display="Kachin"/>
    <hyperlink ref="M23" location="Kachin_CCCM_D!A1" display="Kachin"/>
    <hyperlink ref="M22" location="'NFI Summary'!A1" display="Kachin"/>
  </hyperlinks>
  <pageMargins left="0.7" right="0.7" top="0.75" bottom="0.75" header="0.3" footer="0.3"/>
  <pageSetup scale="93" orientation="landscape" r:id="rId1"/>
  <drawing r:id="rId2"/>
  <legacyDrawing r:id="rId3"/>
  <controls>
    <mc:AlternateContent xmlns:mc="http://schemas.openxmlformats.org/markup-compatibility/2006">
      <mc:Choice Requires="x14">
        <control shapeId="1026" r:id="rId4" name="Print_Report">
          <controlPr defaultSize="0" autoLine="0" r:id="rId5">
            <anchor moveWithCells="1">
              <from>
                <xdr:col>25</xdr:col>
                <xdr:colOff>133350</xdr:colOff>
                <xdr:row>10</xdr:row>
                <xdr:rowOff>9525</xdr:rowOff>
              </from>
              <to>
                <xdr:col>27</xdr:col>
                <xdr:colOff>504825</xdr:colOff>
                <xdr:row>11</xdr:row>
                <xdr:rowOff>142875</xdr:rowOff>
              </to>
            </anchor>
          </controlPr>
        </control>
      </mc:Choice>
      <mc:Fallback>
        <control shapeId="1026" r:id="rId4" name="Print_Report"/>
      </mc:Fallback>
    </mc:AlternateContent>
    <mc:AlternateContent xmlns:mc="http://schemas.openxmlformats.org/markup-compatibility/2006">
      <mc:Choice Requires="x14">
        <control shapeId="1025" r:id="rId6" name="Main_Export_Data">
          <controlPr defaultSize="0" autoLine="0" r:id="rId7">
            <anchor moveWithCells="1">
              <from>
                <xdr:col>25</xdr:col>
                <xdr:colOff>180975</xdr:colOff>
                <xdr:row>6</xdr:row>
                <xdr:rowOff>0</xdr:rowOff>
              </from>
              <to>
                <xdr:col>27</xdr:col>
                <xdr:colOff>476250</xdr:colOff>
                <xdr:row>8</xdr:row>
                <xdr:rowOff>57150</xdr:rowOff>
              </to>
            </anchor>
          </controlPr>
        </control>
      </mc:Choice>
      <mc:Fallback>
        <control shapeId="1025" r:id="rId6" name="Main_Export_Data"/>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BE262"/>
  <sheetViews>
    <sheetView showZeros="0" zoomScale="80" zoomScaleNormal="80" workbookViewId="0">
      <pane xSplit="1" ySplit="4" topLeftCell="B5" activePane="bottomRight" state="frozen"/>
      <selection activeCell="AS915" sqref="AS915"/>
      <selection pane="topRight" activeCell="AS915" sqref="AS915"/>
      <selection pane="bottomLeft" activeCell="AS915" sqref="AS915"/>
      <selection pane="bottomRight" activeCell="E58" sqref="E58"/>
    </sheetView>
  </sheetViews>
  <sheetFormatPr defaultRowHeight="15.6" customHeight="1" x14ac:dyDescent="0.25"/>
  <cols>
    <col min="1" max="1" width="17.7109375" style="1" customWidth="1"/>
    <col min="2" max="2" width="10.28515625" style="1" customWidth="1"/>
    <col min="3" max="3" width="9.28515625" style="44" customWidth="1"/>
    <col min="4" max="4" width="10.5703125" customWidth="1"/>
    <col min="5" max="5" width="13.85546875" style="42" customWidth="1"/>
    <col min="6" max="6" width="15.7109375" style="65" customWidth="1"/>
    <col min="7" max="7" width="19.28515625" style="65" customWidth="1"/>
    <col min="8" max="8" width="33.7109375" customWidth="1"/>
    <col min="9" max="10" width="19.28515625" style="42" customWidth="1"/>
    <col min="11" max="11" width="22.28515625" style="42" customWidth="1"/>
    <col min="12" max="12" width="62.7109375" style="4" bestFit="1" customWidth="1"/>
    <col min="13" max="13" width="17.42578125" style="42" customWidth="1"/>
    <col min="14" max="15" width="13.7109375" customWidth="1"/>
    <col min="16" max="16" width="6.42578125" style="42" customWidth="1"/>
    <col min="17" max="17" width="6.42578125" customWidth="1"/>
    <col min="18" max="18" width="6.42578125" style="35" customWidth="1"/>
    <col min="19" max="19" width="9" style="152" customWidth="1"/>
    <col min="20" max="20" width="11" style="66" customWidth="1"/>
    <col min="21" max="21" width="10.140625" style="2" customWidth="1"/>
    <col min="22" max="22" width="15.85546875" style="42" customWidth="1"/>
    <col min="23" max="23" width="20.5703125" style="42" customWidth="1"/>
    <col min="24" max="24" width="16" style="188" customWidth="1"/>
    <col min="25" max="25" width="9.85546875" style="35" customWidth="1"/>
    <col min="26" max="26" width="10.28515625" style="35" customWidth="1"/>
    <col min="27" max="27" width="7" style="129" customWidth="1"/>
    <col min="28" max="28" width="9.28515625" style="133" customWidth="1"/>
    <col min="29" max="29" width="12.42578125" bestFit="1" customWidth="1"/>
    <col min="30" max="30" width="13" customWidth="1"/>
    <col min="31" max="31" width="9.7109375" customWidth="1"/>
    <col min="32" max="32" width="11.5703125" customWidth="1"/>
    <col min="33" max="33" width="11.42578125" customWidth="1"/>
    <col min="34" max="34" width="14.28515625" customWidth="1"/>
    <col min="35" max="35" width="16.7109375" customWidth="1"/>
    <col min="36" max="36" width="12.5703125" style="25" customWidth="1"/>
    <col min="37" max="37" width="11.140625" customWidth="1"/>
    <col min="38" max="40" width="9.140625" style="47"/>
    <col min="51" max="52" width="9.140625" style="2"/>
  </cols>
  <sheetData>
    <row r="1" spans="1:57" s="1" customFormat="1" ht="41.45" customHeight="1" x14ac:dyDescent="0.55000000000000004">
      <c r="A1" s="369"/>
      <c r="B1" s="310"/>
      <c r="C1" s="310"/>
      <c r="D1" s="310"/>
      <c r="E1" s="310"/>
      <c r="F1" s="310"/>
      <c r="G1" s="310"/>
      <c r="H1" s="310"/>
      <c r="I1" s="310"/>
      <c r="J1" s="310"/>
      <c r="K1" s="310"/>
      <c r="L1" s="711"/>
      <c r="M1" s="370"/>
      <c r="N1" s="370"/>
      <c r="O1" s="370"/>
      <c r="P1" s="370"/>
      <c r="Q1" s="370"/>
      <c r="R1" s="371"/>
      <c r="S1" s="370"/>
      <c r="T1" s="370"/>
      <c r="U1" s="370"/>
      <c r="V1" s="370"/>
      <c r="W1" s="370"/>
      <c r="X1" s="372"/>
      <c r="Y1" s="371"/>
      <c r="Z1" s="371"/>
      <c r="AA1" s="370"/>
      <c r="AB1" s="373"/>
      <c r="AC1" s="370"/>
      <c r="AD1" s="253"/>
      <c r="AE1" s="253"/>
      <c r="AF1" s="253"/>
      <c r="AG1" s="253"/>
      <c r="AH1" s="253"/>
      <c r="AI1" s="253"/>
      <c r="AJ1" s="374"/>
      <c r="AK1" s="254"/>
      <c r="AL1" s="719"/>
      <c r="AM1" s="719"/>
      <c r="AN1" s="719"/>
      <c r="AX1" s="59"/>
      <c r="AY1" s="59"/>
    </row>
    <row r="2" spans="1:57" s="1" customFormat="1" ht="15.6" customHeight="1" x14ac:dyDescent="0.55000000000000004">
      <c r="A2" s="375" t="s">
        <v>420</v>
      </c>
      <c r="B2" s="294"/>
      <c r="C2" s="294"/>
      <c r="D2" s="276"/>
      <c r="E2" s="276"/>
      <c r="F2" s="276"/>
      <c r="G2" s="276"/>
      <c r="H2" s="276"/>
      <c r="I2" s="276"/>
      <c r="J2" s="276"/>
      <c r="K2" s="276"/>
      <c r="L2" s="291"/>
      <c r="M2" s="276"/>
      <c r="N2" s="276"/>
      <c r="O2" s="276"/>
      <c r="P2" s="276"/>
      <c r="Q2" s="276"/>
      <c r="R2" s="345"/>
      <c r="S2" s="346"/>
      <c r="T2" s="276"/>
      <c r="U2" s="276"/>
      <c r="V2" s="276"/>
      <c r="W2" s="276"/>
      <c r="X2" s="347"/>
      <c r="Y2" s="345"/>
      <c r="Z2" s="345"/>
      <c r="AA2" s="276"/>
      <c r="AB2" s="343"/>
      <c r="AC2" s="276"/>
      <c r="AD2" s="216"/>
      <c r="AE2" s="216"/>
      <c r="AF2" s="216"/>
      <c r="AG2" s="216"/>
      <c r="AH2" s="216"/>
      <c r="AI2" s="216"/>
      <c r="AJ2" s="344"/>
      <c r="AK2" s="255"/>
      <c r="AL2" s="719"/>
      <c r="AM2" s="719"/>
      <c r="AN2" s="719"/>
      <c r="AV2" s="59"/>
      <c r="AW2" s="59"/>
    </row>
    <row r="3" spans="1:57" s="18" customFormat="1" ht="15.6" customHeight="1" x14ac:dyDescent="0.55000000000000004">
      <c r="A3" s="845">
        <f>Report_Date</f>
        <v>42370</v>
      </c>
      <c r="B3" s="846"/>
      <c r="C3" s="846"/>
      <c r="D3" s="311"/>
      <c r="E3" s="311"/>
      <c r="F3" s="311"/>
      <c r="G3" s="311"/>
      <c r="H3" s="311"/>
      <c r="I3" s="311"/>
      <c r="J3" s="311"/>
      <c r="K3" s="311"/>
      <c r="L3" s="712"/>
      <c r="M3" s="311"/>
      <c r="N3" s="311"/>
      <c r="O3" s="311"/>
      <c r="P3" s="311"/>
      <c r="Q3" s="311"/>
      <c r="R3" s="376"/>
      <c r="S3" s="377"/>
      <c r="T3" s="311"/>
      <c r="U3" s="311"/>
      <c r="V3" s="311"/>
      <c r="W3" s="311"/>
      <c r="X3" s="378"/>
      <c r="Y3" s="376"/>
      <c r="Z3" s="376"/>
      <c r="AA3" s="311"/>
      <c r="AB3" s="379"/>
      <c r="AC3" s="311"/>
      <c r="AD3" s="257"/>
      <c r="AE3" s="257"/>
      <c r="AF3" s="257"/>
      <c r="AG3" s="257"/>
      <c r="AH3" s="257"/>
      <c r="AI3" s="257"/>
      <c r="AJ3" s="380"/>
      <c r="AK3" s="258"/>
      <c r="AL3" s="720"/>
      <c r="AM3" s="720"/>
      <c r="AN3" s="720"/>
      <c r="AV3" s="60"/>
      <c r="AW3" s="60"/>
    </row>
    <row r="4" spans="1:57" ht="15.6" customHeight="1" thickBot="1" x14ac:dyDescent="0.3">
      <c r="A4" s="348" t="s">
        <v>500</v>
      </c>
      <c r="B4" s="349" t="s">
        <v>396</v>
      </c>
      <c r="C4" s="350" t="s">
        <v>926</v>
      </c>
      <c r="D4" s="351" t="s">
        <v>526</v>
      </c>
      <c r="E4" s="351" t="s">
        <v>927</v>
      </c>
      <c r="F4" s="352" t="s">
        <v>0</v>
      </c>
      <c r="G4" s="353" t="s">
        <v>928</v>
      </c>
      <c r="H4" s="354" t="s">
        <v>929</v>
      </c>
      <c r="I4" s="353" t="s">
        <v>930</v>
      </c>
      <c r="J4" s="354" t="s">
        <v>525</v>
      </c>
      <c r="K4" s="353" t="s">
        <v>931</v>
      </c>
      <c r="L4" s="355" t="s">
        <v>556</v>
      </c>
      <c r="M4" s="349" t="s">
        <v>932</v>
      </c>
      <c r="N4" s="355" t="s">
        <v>1</v>
      </c>
      <c r="O4" s="492" t="s">
        <v>1359</v>
      </c>
      <c r="P4" s="356" t="s">
        <v>858</v>
      </c>
      <c r="Q4" s="356" t="s">
        <v>2</v>
      </c>
      <c r="R4" s="358" t="s">
        <v>3</v>
      </c>
      <c r="S4" s="359" t="s">
        <v>492</v>
      </c>
      <c r="T4" s="355" t="s">
        <v>499</v>
      </c>
      <c r="U4" s="360" t="s">
        <v>1263</v>
      </c>
      <c r="V4" s="354" t="s">
        <v>402</v>
      </c>
      <c r="W4" s="360" t="s">
        <v>859</v>
      </c>
      <c r="X4" s="361" t="s">
        <v>860</v>
      </c>
      <c r="Y4" s="362" t="s">
        <v>934</v>
      </c>
      <c r="Z4" s="356" t="s">
        <v>933</v>
      </c>
      <c r="AA4" s="357" t="s">
        <v>493</v>
      </c>
      <c r="AB4" s="363" t="s">
        <v>494</v>
      </c>
      <c r="AC4" s="364" t="s">
        <v>503</v>
      </c>
      <c r="AD4" s="353" t="s">
        <v>498</v>
      </c>
      <c r="AE4" s="365" t="s">
        <v>1087</v>
      </c>
      <c r="AF4" s="698" t="s">
        <v>1134</v>
      </c>
      <c r="AG4" s="699" t="s">
        <v>1131</v>
      </c>
      <c r="AH4" s="698" t="s">
        <v>1132</v>
      </c>
      <c r="AI4" s="366" t="s">
        <v>1202</v>
      </c>
      <c r="AJ4" s="367" t="s">
        <v>1203</v>
      </c>
      <c r="AK4" s="368" t="s">
        <v>1224</v>
      </c>
      <c r="AY4"/>
      <c r="AZ4"/>
      <c r="BC4" s="2"/>
      <c r="BD4" s="2"/>
    </row>
    <row r="5" spans="1:57" s="4" customFormat="1" ht="15.6" hidden="1" customHeight="1" x14ac:dyDescent="0.25">
      <c r="A5" s="550" t="s">
        <v>849</v>
      </c>
      <c r="B5" s="522" t="s">
        <v>380</v>
      </c>
      <c r="C5" s="522" t="s">
        <v>527</v>
      </c>
      <c r="D5" s="522" t="s">
        <v>180</v>
      </c>
      <c r="E5" s="522" t="s">
        <v>528</v>
      </c>
      <c r="F5" s="522" t="s">
        <v>529</v>
      </c>
      <c r="G5" s="520" t="s">
        <v>530</v>
      </c>
      <c r="H5" s="551" t="s">
        <v>614</v>
      </c>
      <c r="I5" s="551" t="s">
        <v>615</v>
      </c>
      <c r="J5" s="551" t="s">
        <v>614</v>
      </c>
      <c r="K5" s="552">
        <v>166773</v>
      </c>
      <c r="L5" s="522" t="s">
        <v>128</v>
      </c>
      <c r="M5" s="522" t="s">
        <v>127</v>
      </c>
      <c r="N5" s="553">
        <v>96.359549999999999</v>
      </c>
      <c r="O5" s="553">
        <v>25.658650000000002</v>
      </c>
      <c r="P5" s="564"/>
      <c r="Q5" s="504">
        <v>0</v>
      </c>
      <c r="R5" s="526">
        <v>0</v>
      </c>
      <c r="S5" s="333" t="str">
        <f>IF(CampList[[#This Row],[HH]]&gt;0,CampList[[#This Row],[Total]]/CampList[[#This Row],[HH]],"NA")</f>
        <v>NA</v>
      </c>
      <c r="T5" s="556" t="s">
        <v>513</v>
      </c>
      <c r="U5" s="557" t="s">
        <v>1204</v>
      </c>
      <c r="V5" s="522" t="s">
        <v>556</v>
      </c>
      <c r="W5" s="557"/>
      <c r="X5" s="565"/>
      <c r="Y5" s="566"/>
      <c r="Z5" s="557"/>
      <c r="AA5" s="510"/>
      <c r="AB5" s="522"/>
      <c r="AC5" s="567"/>
      <c r="AD5" s="518" t="s">
        <v>603</v>
      </c>
      <c r="AE5" s="566" t="s">
        <v>1014</v>
      </c>
      <c r="AF5" s="530">
        <f>IF(CampList[[#This Row],[Type of Accomodation]]="camp",MAX(0,CampList[[#This Row],[HH]]-SUMIF(Table_Shelter[Pcode],CampList[[#This Row],[CP_Pcode]],Table_Shelter[HH Covered])),0)</f>
        <v>0</v>
      </c>
      <c r="AG5" s="520"/>
      <c r="AH5" s="520">
        <f>MIN(CampList[[#This Row],[Shelter Gap]],CampList[[#This Row],[Land Status]])</f>
        <v>0</v>
      </c>
      <c r="AI5" s="520" t="str">
        <f ca="1">IFERROR(OFFSET(DistanceToCamp[Nearest Town],MATCH(CampList[[#This Row],[CP_Pcode]],DistanceToCamp[CP_Pcode],0)-1,0,1,1),"")</f>
        <v/>
      </c>
      <c r="AJ5" s="336" t="str">
        <f ca="1">IFERROR(OFFSET(DistanceToCamp[distance],MATCH(CampList[[#This Row],[CP_Pcode]],DistanceToCamp[CP_Pcode],0)-1,0,1,1),"")</f>
        <v/>
      </c>
      <c r="AK5" s="562" t="str">
        <f ca="1">IFERROR(INT(CampList[[#This Row],[Distance]]/5)+1,"")</f>
        <v/>
      </c>
      <c r="AL5" s="721"/>
      <c r="AM5" s="721"/>
      <c r="AN5" s="721"/>
      <c r="BD5" s="5"/>
      <c r="BE5" s="5"/>
    </row>
    <row r="6" spans="1:57" s="4" customFormat="1" ht="15.6" customHeight="1" x14ac:dyDescent="0.25">
      <c r="A6" s="550" t="s">
        <v>502</v>
      </c>
      <c r="B6" s="522" t="s">
        <v>380</v>
      </c>
      <c r="C6" s="522" t="s">
        <v>527</v>
      </c>
      <c r="D6" s="522" t="s">
        <v>180</v>
      </c>
      <c r="E6" s="522" t="s">
        <v>528</v>
      </c>
      <c r="F6" s="522" t="s">
        <v>529</v>
      </c>
      <c r="G6" s="520" t="s">
        <v>530</v>
      </c>
      <c r="H6" s="551" t="s">
        <v>614</v>
      </c>
      <c r="I6" s="551" t="s">
        <v>615</v>
      </c>
      <c r="J6" s="551" t="s">
        <v>614</v>
      </c>
      <c r="K6" s="552">
        <v>166773</v>
      </c>
      <c r="L6" s="569" t="s">
        <v>62</v>
      </c>
      <c r="M6" s="522" t="s">
        <v>61</v>
      </c>
      <c r="N6" s="553">
        <v>96.355270000000004</v>
      </c>
      <c r="O6" s="553">
        <v>25.656130000000001</v>
      </c>
      <c r="P6" s="554">
        <v>0</v>
      </c>
      <c r="Q6" s="504">
        <v>76</v>
      </c>
      <c r="R6" s="526">
        <v>344</v>
      </c>
      <c r="S6" s="333">
        <f>IF(CampList[[#This Row],[HH]]&gt;0,CampList[[#This Row],[Total]]/CampList[[#This Row],[HH]],"NA")</f>
        <v>4.5263157894736841</v>
      </c>
      <c r="T6" s="576" t="s">
        <v>513</v>
      </c>
      <c r="U6" s="557" t="s">
        <v>1204</v>
      </c>
      <c r="V6" s="522" t="s">
        <v>556</v>
      </c>
      <c r="W6" s="557" t="s">
        <v>862</v>
      </c>
      <c r="X6" s="558">
        <v>41275</v>
      </c>
      <c r="Y6" s="559">
        <v>2</v>
      </c>
      <c r="Z6" s="558" t="s">
        <v>462</v>
      </c>
      <c r="AA6" s="511" t="s">
        <v>848</v>
      </c>
      <c r="AB6" s="522"/>
      <c r="AC6" s="560">
        <v>42397</v>
      </c>
      <c r="AD6" s="518" t="s">
        <v>1412</v>
      </c>
      <c r="AE6" s="559" t="s">
        <v>1100</v>
      </c>
      <c r="AF6" s="530">
        <f>IF(CampList[[#This Row],[Type of Accomodation]]="camp",MAX(0,CampList[[#This Row],[HH]]-SUMIF(Table_Shelter[Pcode],CampList[[#This Row],[CP_Pcode]],Table_Shelter[HH Covered])),0)</f>
        <v>56</v>
      </c>
      <c r="AG6" s="520"/>
      <c r="AH6" s="520">
        <f>MIN(CampList[[#This Row],[Shelter Gap]],CampList[[#This Row],[Land Status]])</f>
        <v>56</v>
      </c>
      <c r="AI6" s="520" t="str">
        <f ca="1">IFERROR(OFFSET(DistanceToCamp[Nearest Town],MATCH(CampList[[#This Row],[CP_Pcode]],DistanceToCamp[CP_Pcode],0)-1,0,1,1),"")</f>
        <v>Hpakant Town</v>
      </c>
      <c r="AJ6" s="336">
        <f ca="1">IFERROR(OFFSET(DistanceToCamp[distance],MATCH(CampList[[#This Row],[CP_Pcode]],DistanceToCamp[CP_Pcode],0)-1,0,1,1),"")</f>
        <v>6.4753396248436657</v>
      </c>
      <c r="AK6" s="562">
        <f ca="1">IFERROR(INT(CampList[[#This Row],[Distance]]/5)+1,"")</f>
        <v>2</v>
      </c>
      <c r="AL6" s="721"/>
      <c r="AM6" s="721"/>
      <c r="AN6" s="721"/>
      <c r="BD6" s="5"/>
      <c r="BE6" s="5"/>
    </row>
    <row r="7" spans="1:57" s="4" customFormat="1" ht="15.6" customHeight="1" x14ac:dyDescent="0.25">
      <c r="A7" s="550" t="s">
        <v>502</v>
      </c>
      <c r="B7" s="522" t="s">
        <v>380</v>
      </c>
      <c r="C7" s="522" t="s">
        <v>527</v>
      </c>
      <c r="D7" s="522" t="s">
        <v>180</v>
      </c>
      <c r="E7" s="522" t="s">
        <v>528</v>
      </c>
      <c r="F7" s="522" t="s">
        <v>529</v>
      </c>
      <c r="G7" s="520" t="s">
        <v>530</v>
      </c>
      <c r="H7" s="551" t="s">
        <v>614</v>
      </c>
      <c r="I7" s="551" t="s">
        <v>615</v>
      </c>
      <c r="J7" s="551" t="s">
        <v>614</v>
      </c>
      <c r="K7" s="552">
        <v>166773</v>
      </c>
      <c r="L7" s="522" t="s">
        <v>120</v>
      </c>
      <c r="M7" s="522" t="s">
        <v>119</v>
      </c>
      <c r="N7" s="553">
        <v>96.353070000000002</v>
      </c>
      <c r="O7" s="553">
        <v>25.655819999999999</v>
      </c>
      <c r="P7" s="554">
        <v>317</v>
      </c>
      <c r="Q7" s="504">
        <v>75</v>
      </c>
      <c r="R7" s="526">
        <v>404</v>
      </c>
      <c r="S7" s="333">
        <f>IF(CampList[[#This Row],[HH]]&gt;0,CampList[[#This Row],[Total]]/CampList[[#This Row],[HH]],"NA")</f>
        <v>5.3866666666666667</v>
      </c>
      <c r="T7" s="576" t="s">
        <v>513</v>
      </c>
      <c r="U7" s="557" t="s">
        <v>1204</v>
      </c>
      <c r="V7" s="522" t="s">
        <v>556</v>
      </c>
      <c r="W7" s="557" t="s">
        <v>862</v>
      </c>
      <c r="X7" s="558">
        <v>41275</v>
      </c>
      <c r="Y7" s="559"/>
      <c r="Z7" s="558" t="s">
        <v>1097</v>
      </c>
      <c r="AA7" s="510" t="s">
        <v>848</v>
      </c>
      <c r="AB7" s="522"/>
      <c r="AC7" s="574">
        <v>42397</v>
      </c>
      <c r="AD7" s="518" t="s">
        <v>1371</v>
      </c>
      <c r="AE7" s="559" t="s">
        <v>1100</v>
      </c>
      <c r="AF7" s="530">
        <f>IF(CampList[[#This Row],[Type of Accomodation]]="camp",MAX(0,CampList[[#This Row],[HH]]-SUMIF(Table_Shelter[Pcode],CampList[[#This Row],[CP_Pcode]],Table_Shelter[HH Covered])),0)</f>
        <v>63</v>
      </c>
      <c r="AG7" s="520"/>
      <c r="AH7" s="520">
        <f>MIN(CampList[[#This Row],[Shelter Gap]],CampList[[#This Row],[Land Status]])</f>
        <v>63</v>
      </c>
      <c r="AI7" s="520" t="str">
        <f ca="1">IFERROR(OFFSET(DistanceToCamp[Nearest Town],MATCH(CampList[[#This Row],[CP_Pcode]],DistanceToCamp[CP_Pcode],0)-1,0,1,1),"")</f>
        <v>Hpakant Town</v>
      </c>
      <c r="AJ7" s="336">
        <f ca="1">IFERROR(OFFSET(DistanceToCamp[distance],MATCH(CampList[[#This Row],[CP_Pcode]],DistanceToCamp[CP_Pcode],0)-1,0,1,1),"")</f>
        <v>6.3039408411778268</v>
      </c>
      <c r="AK7" s="562">
        <f ca="1">IFERROR(INT(CampList[[#This Row],[Distance]]/5)+1,"")</f>
        <v>2</v>
      </c>
      <c r="AL7" s="721"/>
      <c r="AM7" s="721"/>
      <c r="AN7" s="721"/>
      <c r="BD7" s="5"/>
      <c r="BE7" s="5"/>
    </row>
    <row r="8" spans="1:57" s="4" customFormat="1" ht="15.6" customHeight="1" x14ac:dyDescent="0.25">
      <c r="A8" s="490" t="s">
        <v>502</v>
      </c>
      <c r="B8" s="530" t="s">
        <v>380</v>
      </c>
      <c r="C8" s="530" t="s">
        <v>527</v>
      </c>
      <c r="D8" s="530" t="s">
        <v>5</v>
      </c>
      <c r="E8" s="530" t="s">
        <v>531</v>
      </c>
      <c r="F8" s="530" t="s">
        <v>5</v>
      </c>
      <c r="G8" s="530" t="s">
        <v>532</v>
      </c>
      <c r="H8" s="530" t="s">
        <v>639</v>
      </c>
      <c r="I8" s="593" t="s">
        <v>640</v>
      </c>
      <c r="J8" s="530"/>
      <c r="K8" s="530"/>
      <c r="L8" s="530" t="s">
        <v>6</v>
      </c>
      <c r="M8" s="530" t="s">
        <v>4</v>
      </c>
      <c r="N8" s="503">
        <v>97.238829999999993</v>
      </c>
      <c r="O8" s="503">
        <v>24.260719999999999</v>
      </c>
      <c r="P8" s="564"/>
      <c r="Q8" s="506">
        <v>274</v>
      </c>
      <c r="R8" s="527">
        <v>1349</v>
      </c>
      <c r="S8" s="333">
        <f>IF(CampList[[#This Row],[HH]]&gt;0,CampList[[#This Row],[Total]]/CampList[[#This Row],[HH]],"NA")</f>
        <v>4.9233576642335768</v>
      </c>
      <c r="T8" s="594" t="s">
        <v>513</v>
      </c>
      <c r="U8" s="556" t="s">
        <v>1204</v>
      </c>
      <c r="V8" s="491" t="s">
        <v>556</v>
      </c>
      <c r="W8" s="503" t="s">
        <v>808</v>
      </c>
      <c r="X8" s="572">
        <v>40848</v>
      </c>
      <c r="Y8" s="566">
        <v>2</v>
      </c>
      <c r="Z8" s="566" t="s">
        <v>1096</v>
      </c>
      <c r="AA8" s="506" t="s">
        <v>848</v>
      </c>
      <c r="AB8" s="594"/>
      <c r="AC8" s="574">
        <v>42397</v>
      </c>
      <c r="AD8" s="705" t="s">
        <v>1387</v>
      </c>
      <c r="AE8" s="592" t="s">
        <v>1100</v>
      </c>
      <c r="AF8" s="593">
        <f>IF(CampList[[#This Row],[Type of Accomodation]]="camp",MAX(0,CampList[[#This Row],[HH]]-SUMIF(Table_Shelter[Pcode],CampList[[#This Row],[CP_Pcode]],Table_Shelter[HH Covered])),0)</f>
        <v>104</v>
      </c>
      <c r="AG8" s="530">
        <v>20</v>
      </c>
      <c r="AH8" s="593">
        <f>MIN(CampList[[#This Row],[Shelter Gap]],CampList[[#This Row],[Land Status]])</f>
        <v>20</v>
      </c>
      <c r="AI8" s="593" t="str">
        <f ca="1">IFERROR(OFFSET(DistanceToCamp[Nearest Town],MATCH(CampList[[#This Row],[CP_Pcode]],DistanceToCamp[CP_Pcode],0)-1,0,1,1),"")</f>
        <v>Bhamo Town</v>
      </c>
      <c r="AJ8" s="336">
        <f ca="1">IFERROR(OFFSET(DistanceToCamp[distance],MATCH(CampList[[#This Row],[CP_Pcode]],DistanceToCamp[CP_Pcode],0)-1,0,1,1),"")</f>
        <v>0.78440046838596356</v>
      </c>
      <c r="AK8" s="595">
        <f ca="1">IFERROR(INT(CampList[[#This Row],[Distance]]/5)+1,"")</f>
        <v>1</v>
      </c>
      <c r="AL8" s="721"/>
      <c r="AM8" s="721"/>
      <c r="AN8" s="721"/>
      <c r="BD8" s="5"/>
      <c r="BE8" s="5"/>
    </row>
    <row r="9" spans="1:57" s="4" customFormat="1" ht="15.6" customHeight="1" x14ac:dyDescent="0.25">
      <c r="A9" s="550" t="s">
        <v>502</v>
      </c>
      <c r="B9" s="522" t="s">
        <v>380</v>
      </c>
      <c r="C9" s="522" t="s">
        <v>527</v>
      </c>
      <c r="D9" s="522" t="s">
        <v>180</v>
      </c>
      <c r="E9" s="522" t="s">
        <v>528</v>
      </c>
      <c r="F9" s="522" t="s">
        <v>529</v>
      </c>
      <c r="G9" s="520" t="s">
        <v>530</v>
      </c>
      <c r="H9" s="551" t="s">
        <v>605</v>
      </c>
      <c r="I9" s="551" t="s">
        <v>606</v>
      </c>
      <c r="J9" s="551"/>
      <c r="K9" s="552"/>
      <c r="L9" s="522" t="s">
        <v>41</v>
      </c>
      <c r="M9" s="522" t="s">
        <v>40</v>
      </c>
      <c r="N9" s="553">
        <v>96.345569999999995</v>
      </c>
      <c r="O9" s="553">
        <v>25.635300000000001</v>
      </c>
      <c r="P9" s="554">
        <v>0</v>
      </c>
      <c r="Q9" s="504">
        <v>67</v>
      </c>
      <c r="R9" s="526">
        <v>350</v>
      </c>
      <c r="S9" s="333">
        <f>IF(CampList[[#This Row],[HH]]&gt;0,CampList[[#This Row],[Total]]/CampList[[#This Row],[HH]],"NA")</f>
        <v>5.2238805970149258</v>
      </c>
      <c r="T9" s="576" t="s">
        <v>513</v>
      </c>
      <c r="U9" s="557" t="s">
        <v>1204</v>
      </c>
      <c r="V9" s="522" t="s">
        <v>556</v>
      </c>
      <c r="W9" s="557" t="s">
        <v>808</v>
      </c>
      <c r="X9" s="558">
        <v>41275</v>
      </c>
      <c r="Y9" s="559">
        <v>1</v>
      </c>
      <c r="Z9" s="558" t="s">
        <v>507</v>
      </c>
      <c r="AA9" s="516" t="s">
        <v>848</v>
      </c>
      <c r="AB9" s="522"/>
      <c r="AC9" s="560">
        <v>42291</v>
      </c>
      <c r="AD9" s="518" t="s">
        <v>1332</v>
      </c>
      <c r="AE9" s="559" t="s">
        <v>1100</v>
      </c>
      <c r="AF9" s="530">
        <f>IF(CampList[[#This Row],[Type of Accomodation]]="camp",MAX(0,CampList[[#This Row],[HH]]-SUMIF(Table_Shelter[Pcode],CampList[[#This Row],[CP_Pcode]],Table_Shelter[HH Covered])),0)</f>
        <v>7</v>
      </c>
      <c r="AG9" s="520"/>
      <c r="AH9" s="520">
        <f>MIN(CampList[[#This Row],[Shelter Gap]],CampList[[#This Row],[Land Status]])</f>
        <v>7</v>
      </c>
      <c r="AI9" s="520" t="str">
        <f ca="1">IFERROR(OFFSET(DistanceToCamp[Nearest Town],MATCH(CampList[[#This Row],[CP_Pcode]],DistanceToCamp[CP_Pcode],0)-1,0,1,1),"")</f>
        <v>Hpakant Town</v>
      </c>
      <c r="AJ9" s="336">
        <f ca="1">IFERROR(OFFSET(DistanceToCamp[distance],MATCH(CampList[[#This Row],[CP_Pcode]],DistanceToCamp[CP_Pcode],0)-1,0,1,1),"")</f>
        <v>4.1842484710239098</v>
      </c>
      <c r="AK9" s="562">
        <f ca="1">IFERROR(INT(CampList[[#This Row],[Distance]]/5)+1,"")</f>
        <v>1</v>
      </c>
      <c r="AL9" s="721"/>
      <c r="AM9" s="721"/>
      <c r="AN9" s="721"/>
      <c r="BD9" s="5"/>
      <c r="BE9" s="5"/>
    </row>
    <row r="10" spans="1:57" s="4" customFormat="1" ht="15.6" customHeight="1" x14ac:dyDescent="0.25">
      <c r="A10" s="550" t="s">
        <v>502</v>
      </c>
      <c r="B10" s="522" t="s">
        <v>380</v>
      </c>
      <c r="C10" s="522" t="s">
        <v>527</v>
      </c>
      <c r="D10" s="522" t="s">
        <v>180</v>
      </c>
      <c r="E10" s="522" t="s">
        <v>528</v>
      </c>
      <c r="F10" s="522" t="s">
        <v>529</v>
      </c>
      <c r="G10" s="520" t="s">
        <v>530</v>
      </c>
      <c r="H10" s="551" t="s">
        <v>605</v>
      </c>
      <c r="I10" s="551" t="s">
        <v>606</v>
      </c>
      <c r="J10" s="551" t="s">
        <v>609</v>
      </c>
      <c r="K10" s="552" t="s">
        <v>610</v>
      </c>
      <c r="L10" s="522" t="s">
        <v>43</v>
      </c>
      <c r="M10" s="522" t="s">
        <v>42</v>
      </c>
      <c r="N10" s="553">
        <v>96.317350000000005</v>
      </c>
      <c r="O10" s="553">
        <v>25.616509000000001</v>
      </c>
      <c r="P10" s="554">
        <v>264</v>
      </c>
      <c r="Q10" s="504">
        <v>14</v>
      </c>
      <c r="R10" s="526">
        <v>83</v>
      </c>
      <c r="S10" s="333">
        <f>IF(CampList[[#This Row],[HH]]&gt;0,CampList[[#This Row],[Total]]/CampList[[#This Row],[HH]],"NA")</f>
        <v>5.9285714285714288</v>
      </c>
      <c r="T10" s="576" t="s">
        <v>513</v>
      </c>
      <c r="U10" s="557" t="s">
        <v>1204</v>
      </c>
      <c r="V10" s="522" t="s">
        <v>556</v>
      </c>
      <c r="W10" s="503" t="s">
        <v>808</v>
      </c>
      <c r="X10" s="558">
        <v>41275</v>
      </c>
      <c r="Y10" s="559">
        <v>1</v>
      </c>
      <c r="Z10" s="558" t="s">
        <v>507</v>
      </c>
      <c r="AA10" s="516" t="s">
        <v>848</v>
      </c>
      <c r="AB10" s="522"/>
      <c r="AC10" s="560">
        <v>42291</v>
      </c>
      <c r="AD10" s="518" t="s">
        <v>1332</v>
      </c>
      <c r="AE10" s="559" t="s">
        <v>1100</v>
      </c>
      <c r="AF10" s="530">
        <f>IF(CampList[[#This Row],[Type of Accomodation]]="camp",MAX(0,CampList[[#This Row],[HH]]-SUMIF(Table_Shelter[Pcode],CampList[[#This Row],[CP_Pcode]],Table_Shelter[HH Covered])),0)</f>
        <v>4</v>
      </c>
      <c r="AG10" s="520"/>
      <c r="AH10" s="520">
        <f>MIN(CampList[[#This Row],[Shelter Gap]],CampList[[#This Row],[Land Status]])</f>
        <v>4</v>
      </c>
      <c r="AI10" s="520" t="str">
        <f ca="1">IFERROR(OFFSET(DistanceToCamp[Nearest Town],MATCH(CampList[[#This Row],[CP_Pcode]],DistanceToCamp[CP_Pcode],0)-1,0,1,1),"")</f>
        <v>Hpakant Town</v>
      </c>
      <c r="AJ10" s="336">
        <f ca="1">IFERROR(OFFSET(DistanceToCamp[distance],MATCH(CampList[[#This Row],[CP_Pcode]],DistanceToCamp[CP_Pcode],0)-1,0,1,1),"")</f>
        <v>0.66733171900141897</v>
      </c>
      <c r="AK10" s="562">
        <f ca="1">IFERROR(INT(CampList[[#This Row],[Distance]]/5)+1,"")</f>
        <v>1</v>
      </c>
      <c r="AL10" s="721"/>
      <c r="AM10" s="721"/>
      <c r="AN10" s="721"/>
      <c r="BD10" s="5"/>
      <c r="BE10" s="5"/>
    </row>
    <row r="11" spans="1:57" s="4" customFormat="1" ht="15.6" hidden="1" customHeight="1" x14ac:dyDescent="0.25">
      <c r="A11" s="550" t="s">
        <v>849</v>
      </c>
      <c r="B11" s="522" t="s">
        <v>380</v>
      </c>
      <c r="C11" s="522" t="s">
        <v>527</v>
      </c>
      <c r="D11" s="522" t="s">
        <v>180</v>
      </c>
      <c r="E11" s="522" t="s">
        <v>528</v>
      </c>
      <c r="F11" s="522" t="s">
        <v>529</v>
      </c>
      <c r="G11" s="520" t="s">
        <v>530</v>
      </c>
      <c r="H11" s="551" t="s">
        <v>614</v>
      </c>
      <c r="I11" s="551" t="s">
        <v>615</v>
      </c>
      <c r="J11" s="551" t="s">
        <v>616</v>
      </c>
      <c r="K11" s="552">
        <v>166775</v>
      </c>
      <c r="L11" s="522" t="s">
        <v>39</v>
      </c>
      <c r="M11" s="522" t="s">
        <v>38</v>
      </c>
      <c r="N11" s="563"/>
      <c r="O11" s="563"/>
      <c r="P11" s="564"/>
      <c r="Q11" s="504">
        <v>0</v>
      </c>
      <c r="R11" s="526">
        <v>0</v>
      </c>
      <c r="S11" s="333" t="str">
        <f>IF(CampList[[#This Row],[HH]]&gt;0,CampList[[#This Row],[Total]]/CampList[[#This Row],[HH]],"NA")</f>
        <v>NA</v>
      </c>
      <c r="T11" s="556" t="s">
        <v>513</v>
      </c>
      <c r="U11" s="557" t="s">
        <v>1204</v>
      </c>
      <c r="V11" s="522" t="s">
        <v>556</v>
      </c>
      <c r="W11" s="557"/>
      <c r="X11" s="565"/>
      <c r="Y11" s="566"/>
      <c r="Z11" s="557"/>
      <c r="AA11" s="510"/>
      <c r="AB11" s="522"/>
      <c r="AC11" s="567"/>
      <c r="AD11" s="518" t="s">
        <v>603</v>
      </c>
      <c r="AE11" s="566" t="s">
        <v>1014</v>
      </c>
      <c r="AF11" s="530">
        <f>IF(CampList[[#This Row],[Type of Accomodation]]="camp",MAX(0,CampList[[#This Row],[HH]]-SUMIF(Table_Shelter[Pcode],CampList[[#This Row],[CP_Pcode]],Table_Shelter[HH Covered])),0)</f>
        <v>0</v>
      </c>
      <c r="AG11" s="520"/>
      <c r="AH11" s="520">
        <f>MIN(CampList[[#This Row],[Shelter Gap]],CampList[[#This Row],[Land Status]])</f>
        <v>0</v>
      </c>
      <c r="AI11" s="520" t="str">
        <f ca="1">IFERROR(OFFSET(DistanceToCamp[Nearest Town],MATCH(CampList[[#This Row],[CP_Pcode]],DistanceToCamp[CP_Pcode],0)-1,0,1,1),"")</f>
        <v/>
      </c>
      <c r="AJ11" s="336" t="str">
        <f ca="1">IFERROR(OFFSET(DistanceToCamp[distance],MATCH(CampList[[#This Row],[CP_Pcode]],DistanceToCamp[CP_Pcode],0)-1,0,1,1),"")</f>
        <v/>
      </c>
      <c r="AK11" s="562" t="str">
        <f ca="1">IFERROR(INT(CampList[[#This Row],[Distance]]/5)+1,"")</f>
        <v/>
      </c>
      <c r="AL11" s="721"/>
      <c r="AM11" s="721"/>
      <c r="AN11" s="721"/>
      <c r="BD11" s="5"/>
      <c r="BE11" s="5"/>
    </row>
    <row r="12" spans="1:57" s="4" customFormat="1" ht="15.6" customHeight="1" x14ac:dyDescent="0.25">
      <c r="A12" s="550" t="s">
        <v>502</v>
      </c>
      <c r="B12" s="522" t="s">
        <v>380</v>
      </c>
      <c r="C12" s="522" t="s">
        <v>527</v>
      </c>
      <c r="D12" s="522" t="s">
        <v>5</v>
      </c>
      <c r="E12" s="522" t="s">
        <v>531</v>
      </c>
      <c r="F12" s="522" t="s">
        <v>5</v>
      </c>
      <c r="G12" s="520" t="s">
        <v>532</v>
      </c>
      <c r="H12" s="551" t="s">
        <v>639</v>
      </c>
      <c r="I12" s="551" t="s">
        <v>640</v>
      </c>
      <c r="J12" s="551"/>
      <c r="K12" s="552"/>
      <c r="L12" s="569" t="s">
        <v>514</v>
      </c>
      <c r="M12" s="522" t="s">
        <v>377</v>
      </c>
      <c r="N12" s="553">
        <v>97.252650000000003</v>
      </c>
      <c r="O12" s="553">
        <v>24.260466999999998</v>
      </c>
      <c r="P12" s="554">
        <v>0</v>
      </c>
      <c r="Q12" s="504">
        <v>12</v>
      </c>
      <c r="R12" s="526">
        <v>52</v>
      </c>
      <c r="S12" s="333">
        <f>IF(CampList[[#This Row],[HH]]&gt;0,CampList[[#This Row],[Total]]/CampList[[#This Row],[HH]],"NA")</f>
        <v>4.333333333333333</v>
      </c>
      <c r="T12" s="576" t="s">
        <v>513</v>
      </c>
      <c r="U12" s="557" t="s">
        <v>1204</v>
      </c>
      <c r="V12" s="522" t="s">
        <v>556</v>
      </c>
      <c r="W12" s="557" t="s">
        <v>808</v>
      </c>
      <c r="X12" s="558">
        <v>40787</v>
      </c>
      <c r="Y12" s="559">
        <v>1</v>
      </c>
      <c r="Z12" s="558" t="s">
        <v>462</v>
      </c>
      <c r="AA12" s="511" t="s">
        <v>848</v>
      </c>
      <c r="AB12" s="522"/>
      <c r="AC12" s="574">
        <v>42397</v>
      </c>
      <c r="AD12" s="518" t="s">
        <v>1413</v>
      </c>
      <c r="AE12" s="559" t="s">
        <v>1100</v>
      </c>
      <c r="AF12" s="530">
        <f>IF(CampList[[#This Row],[Type of Accomodation]]="camp",MAX(0,CampList[[#This Row],[HH]]-SUMIF(Table_Shelter[Pcode],CampList[[#This Row],[CP_Pcode]],Table_Shelter[HH Covered])),0)</f>
        <v>0</v>
      </c>
      <c r="AG12" s="520"/>
      <c r="AH12" s="520">
        <f>MIN(CampList[[#This Row],[Shelter Gap]],CampList[[#This Row],[Land Status]])</f>
        <v>0</v>
      </c>
      <c r="AI12" s="520" t="str">
        <f ca="1">IFERROR(OFFSET(DistanceToCamp[Nearest Town],MATCH(CampList[[#This Row],[CP_Pcode]],DistanceToCamp[CP_Pcode],0)-1,0,1,1),"")</f>
        <v>Bhamo Town</v>
      </c>
      <c r="AJ12" s="336">
        <f ca="1">IFERROR(OFFSET(DistanceToCamp[distance],MATCH(CampList[[#This Row],[CP_Pcode]],DistanceToCamp[CP_Pcode],0)-1,0,1,1),"")</f>
        <v>1.9489261822960435</v>
      </c>
      <c r="AK12" s="562">
        <f ca="1">IFERROR(INT(CampList[[#This Row],[Distance]]/5)+1,"")</f>
        <v>1</v>
      </c>
      <c r="AL12" s="721"/>
      <c r="AM12" s="721"/>
      <c r="AN12" s="721"/>
      <c r="BD12" s="5"/>
      <c r="BE12" s="5"/>
    </row>
    <row r="13" spans="1:57" s="4" customFormat="1" ht="15.6" hidden="1" customHeight="1" x14ac:dyDescent="0.25">
      <c r="A13" s="550" t="s">
        <v>849</v>
      </c>
      <c r="B13" s="522" t="s">
        <v>380</v>
      </c>
      <c r="C13" s="522" t="s">
        <v>527</v>
      </c>
      <c r="D13" s="522" t="s">
        <v>180</v>
      </c>
      <c r="E13" s="522" t="s">
        <v>528</v>
      </c>
      <c r="F13" s="522" t="s">
        <v>529</v>
      </c>
      <c r="G13" s="520" t="s">
        <v>530</v>
      </c>
      <c r="H13" s="551" t="s">
        <v>614</v>
      </c>
      <c r="I13" s="551" t="s">
        <v>615</v>
      </c>
      <c r="J13" s="551" t="s">
        <v>762</v>
      </c>
      <c r="K13" s="552">
        <v>216877</v>
      </c>
      <c r="L13" s="522" t="s">
        <v>48</v>
      </c>
      <c r="M13" s="522" t="s">
        <v>47</v>
      </c>
      <c r="N13" s="553">
        <v>96.339870000000005</v>
      </c>
      <c r="O13" s="553">
        <v>25.655989999999999</v>
      </c>
      <c r="P13" s="564"/>
      <c r="Q13" s="504">
        <v>0</v>
      </c>
      <c r="R13" s="526">
        <v>0</v>
      </c>
      <c r="S13" s="333" t="str">
        <f>IF(CampList[[#This Row],[HH]]&gt;0,CampList[[#This Row],[Total]]/CampList[[#This Row],[HH]],"NA")</f>
        <v>NA</v>
      </c>
      <c r="T13" s="556" t="s">
        <v>513</v>
      </c>
      <c r="U13" s="557" t="s">
        <v>1204</v>
      </c>
      <c r="V13" s="522" t="s">
        <v>556</v>
      </c>
      <c r="W13" s="557"/>
      <c r="X13" s="565"/>
      <c r="Y13" s="566"/>
      <c r="Z13" s="557"/>
      <c r="AA13" s="510"/>
      <c r="AB13" s="522"/>
      <c r="AC13" s="567"/>
      <c r="AD13" s="518" t="s">
        <v>603</v>
      </c>
      <c r="AE13" s="566" t="s">
        <v>1014</v>
      </c>
      <c r="AF13" s="530">
        <f>IF(CampList[[#This Row],[Type of Accomodation]]="camp",MAX(0,CampList[[#This Row],[HH]]-SUMIF(Table_Shelter[Pcode],CampList[[#This Row],[CP_Pcode]],Table_Shelter[HH Covered])),0)</f>
        <v>0</v>
      </c>
      <c r="AG13" s="520"/>
      <c r="AH13" s="520">
        <f>MIN(CampList[[#This Row],[Shelter Gap]],CampList[[#This Row],[Land Status]])</f>
        <v>0</v>
      </c>
      <c r="AI13" s="520" t="str">
        <f ca="1">IFERROR(OFFSET(DistanceToCamp[Nearest Town],MATCH(CampList[[#This Row],[CP_Pcode]],DistanceToCamp[CP_Pcode],0)-1,0,1,1),"")</f>
        <v/>
      </c>
      <c r="AJ13" s="336" t="str">
        <f ca="1">IFERROR(OFFSET(DistanceToCamp[distance],MATCH(CampList[[#This Row],[CP_Pcode]],DistanceToCamp[CP_Pcode],0)-1,0,1,1),"")</f>
        <v/>
      </c>
      <c r="AK13" s="562" t="str">
        <f ca="1">IFERROR(INT(CampList[[#This Row],[Distance]]/5)+1,"")</f>
        <v/>
      </c>
      <c r="AL13" s="721"/>
      <c r="AM13" s="721"/>
      <c r="AN13" s="721"/>
      <c r="BD13" s="5"/>
      <c r="BE13" s="5"/>
    </row>
    <row r="14" spans="1:57" s="4" customFormat="1" ht="15.6" hidden="1" customHeight="1" x14ac:dyDescent="0.25">
      <c r="A14" s="550" t="s">
        <v>849</v>
      </c>
      <c r="B14" s="522" t="s">
        <v>380</v>
      </c>
      <c r="C14" s="522" t="s">
        <v>527</v>
      </c>
      <c r="D14" s="522" t="s">
        <v>180</v>
      </c>
      <c r="E14" s="522" t="s">
        <v>528</v>
      </c>
      <c r="F14" s="522" t="s">
        <v>529</v>
      </c>
      <c r="G14" s="520" t="s">
        <v>530</v>
      </c>
      <c r="H14" s="551" t="s">
        <v>605</v>
      </c>
      <c r="I14" s="551" t="s">
        <v>606</v>
      </c>
      <c r="J14" s="551" t="s">
        <v>701</v>
      </c>
      <c r="K14" s="552" t="s">
        <v>702</v>
      </c>
      <c r="L14" s="522" t="s">
        <v>50</v>
      </c>
      <c r="M14" s="522" t="s">
        <v>49</v>
      </c>
      <c r="N14" s="563"/>
      <c r="O14" s="563"/>
      <c r="P14" s="564"/>
      <c r="Q14" s="504">
        <v>0</v>
      </c>
      <c r="R14" s="526">
        <v>0</v>
      </c>
      <c r="S14" s="333" t="str">
        <f>IF(CampList[[#This Row],[HH]]&gt;0,CampList[[#This Row],[Total]]/CampList[[#This Row],[HH]],"NA")</f>
        <v>NA</v>
      </c>
      <c r="T14" s="556" t="s">
        <v>513</v>
      </c>
      <c r="U14" s="557" t="s">
        <v>1204</v>
      </c>
      <c r="V14" s="522" t="s">
        <v>556</v>
      </c>
      <c r="W14" s="557"/>
      <c r="X14" s="565"/>
      <c r="Y14" s="566"/>
      <c r="Z14" s="557"/>
      <c r="AA14" s="510"/>
      <c r="AB14" s="522"/>
      <c r="AC14" s="567"/>
      <c r="AD14" s="518" t="s">
        <v>603</v>
      </c>
      <c r="AE14" s="566" t="s">
        <v>1014</v>
      </c>
      <c r="AF14" s="530">
        <f>IF(CampList[[#This Row],[Type of Accomodation]]="camp",MAX(0,CampList[[#This Row],[HH]]-SUMIF(Table_Shelter[Pcode],CampList[[#This Row],[CP_Pcode]],Table_Shelter[HH Covered])),0)</f>
        <v>0</v>
      </c>
      <c r="AG14" s="520"/>
      <c r="AH14" s="520">
        <f>MIN(CampList[[#This Row],[Shelter Gap]],CampList[[#This Row],[Land Status]])</f>
        <v>0</v>
      </c>
      <c r="AI14" s="520" t="str">
        <f ca="1">IFERROR(OFFSET(DistanceToCamp[Nearest Town],MATCH(CampList[[#This Row],[CP_Pcode]],DistanceToCamp[CP_Pcode],0)-1,0,1,1),"")</f>
        <v/>
      </c>
      <c r="AJ14" s="336" t="str">
        <f ca="1">IFERROR(OFFSET(DistanceToCamp[distance],MATCH(CampList[[#This Row],[CP_Pcode]],DistanceToCamp[CP_Pcode],0)-1,0,1,1),"")</f>
        <v/>
      </c>
      <c r="AK14" s="562" t="str">
        <f ca="1">IFERROR(INT(CampList[[#This Row],[Distance]]/5)+1,"")</f>
        <v/>
      </c>
      <c r="AL14" s="721"/>
      <c r="AM14" s="721"/>
      <c r="AN14" s="721"/>
      <c r="BD14" s="5"/>
      <c r="BE14" s="5"/>
    </row>
    <row r="15" spans="1:57" s="4" customFormat="1" ht="15.6" hidden="1" customHeight="1" x14ac:dyDescent="0.25">
      <c r="A15" s="550" t="s">
        <v>849</v>
      </c>
      <c r="B15" s="522" t="s">
        <v>380</v>
      </c>
      <c r="C15" s="522" t="s">
        <v>527</v>
      </c>
      <c r="D15" s="522" t="s">
        <v>5</v>
      </c>
      <c r="E15" s="522" t="s">
        <v>531</v>
      </c>
      <c r="F15" s="522" t="s">
        <v>151</v>
      </c>
      <c r="G15" s="520" t="s">
        <v>541</v>
      </c>
      <c r="H15" s="551"/>
      <c r="I15" s="551"/>
      <c r="J15" s="551"/>
      <c r="K15" s="552"/>
      <c r="L15" s="522" t="s">
        <v>888</v>
      </c>
      <c r="M15" s="522" t="s">
        <v>886</v>
      </c>
      <c r="N15" s="563"/>
      <c r="O15" s="563"/>
      <c r="P15" s="564"/>
      <c r="Q15" s="504">
        <v>0</v>
      </c>
      <c r="R15" s="526">
        <v>0</v>
      </c>
      <c r="S15" s="333" t="str">
        <f>IF(CampList[[#This Row],[HH]]&gt;0,CampList[[#This Row],[Total]]/CampList[[#This Row],[HH]],"NA")</f>
        <v>NA</v>
      </c>
      <c r="T15" s="556" t="s">
        <v>513</v>
      </c>
      <c r="U15" s="557" t="s">
        <v>1204</v>
      </c>
      <c r="V15" s="522" t="s">
        <v>556</v>
      </c>
      <c r="W15" s="557"/>
      <c r="X15" s="565"/>
      <c r="Y15" s="566"/>
      <c r="Z15" s="557"/>
      <c r="AA15" s="511" t="s">
        <v>848</v>
      </c>
      <c r="AB15" s="522"/>
      <c r="AC15" s="560">
        <v>41701</v>
      </c>
      <c r="AD15" s="518" t="s">
        <v>1017</v>
      </c>
      <c r="AE15" s="566" t="s">
        <v>1014</v>
      </c>
      <c r="AF15" s="530">
        <f>IF(CampList[[#This Row],[Type of Accomodation]]="camp",MAX(0,CampList[[#This Row],[HH]]-SUMIF(Table_Shelter[Pcode],CampList[[#This Row],[CP_Pcode]],Table_Shelter[HH Covered])),0)</f>
        <v>0</v>
      </c>
      <c r="AG15" s="520"/>
      <c r="AH15" s="520">
        <f>MIN(CampList[[#This Row],[Shelter Gap]],CampList[[#This Row],[Land Status]])</f>
        <v>0</v>
      </c>
      <c r="AI15" s="520" t="str">
        <f ca="1">IFERROR(OFFSET(DistanceToCamp[Nearest Town],MATCH(CampList[[#This Row],[CP_Pcode]],DistanceToCamp[CP_Pcode],0)-1,0,1,1),"")</f>
        <v/>
      </c>
      <c r="AJ15" s="336" t="str">
        <f ca="1">IFERROR(OFFSET(DistanceToCamp[distance],MATCH(CampList[[#This Row],[CP_Pcode]],DistanceToCamp[CP_Pcode],0)-1,0,1,1),"")</f>
        <v/>
      </c>
      <c r="AK15" s="562" t="str">
        <f ca="1">IFERROR(INT(CampList[[#This Row],[Distance]]/5)+1,"")</f>
        <v/>
      </c>
      <c r="AL15" s="721"/>
      <c r="AM15" s="721"/>
      <c r="AN15" s="721"/>
      <c r="BD15" s="5"/>
      <c r="BE15" s="5"/>
    </row>
    <row r="16" spans="1:57" s="4" customFormat="1" ht="15.6" hidden="1" customHeight="1" x14ac:dyDescent="0.25">
      <c r="A16" s="550" t="s">
        <v>849</v>
      </c>
      <c r="B16" s="522" t="s">
        <v>380</v>
      </c>
      <c r="C16" s="522" t="s">
        <v>527</v>
      </c>
      <c r="D16" s="522" t="s">
        <v>5</v>
      </c>
      <c r="E16" s="522" t="s">
        <v>531</v>
      </c>
      <c r="F16" s="522" t="s">
        <v>151</v>
      </c>
      <c r="G16" s="520" t="s">
        <v>541</v>
      </c>
      <c r="H16" s="551"/>
      <c r="I16" s="551"/>
      <c r="J16" s="551"/>
      <c r="K16" s="552"/>
      <c r="L16" s="522" t="s">
        <v>883</v>
      </c>
      <c r="M16" s="522" t="s">
        <v>887</v>
      </c>
      <c r="N16" s="563"/>
      <c r="O16" s="563"/>
      <c r="P16" s="564"/>
      <c r="Q16" s="504">
        <v>0</v>
      </c>
      <c r="R16" s="526">
        <v>0</v>
      </c>
      <c r="S16" s="333" t="str">
        <f>IF(CampList[[#This Row],[HH]]&gt;0,CampList[[#This Row],[Total]]/CampList[[#This Row],[HH]],"NA")</f>
        <v>NA</v>
      </c>
      <c r="T16" s="556" t="s">
        <v>513</v>
      </c>
      <c r="U16" s="557" t="s">
        <v>1204</v>
      </c>
      <c r="V16" s="522" t="s">
        <v>12</v>
      </c>
      <c r="W16" s="557" t="s">
        <v>862</v>
      </c>
      <c r="X16" s="565"/>
      <c r="Y16" s="566"/>
      <c r="Z16" s="557"/>
      <c r="AA16" s="511" t="s">
        <v>848</v>
      </c>
      <c r="AB16" s="522"/>
      <c r="AC16" s="560">
        <v>42090</v>
      </c>
      <c r="AD16" s="518" t="s">
        <v>1251</v>
      </c>
      <c r="AE16" s="566" t="s">
        <v>1100</v>
      </c>
      <c r="AF16" s="530">
        <f>IF(CampList[[#This Row],[Type of Accomodation]]="camp",MAX(0,CampList[[#This Row],[HH]]-SUMIF(Table_Shelter[Pcode],CampList[[#This Row],[CP_Pcode]],Table_Shelter[HH Covered])),0)</f>
        <v>0</v>
      </c>
      <c r="AG16" s="520"/>
      <c r="AH16" s="520">
        <f>MIN(CampList[[#This Row],[Shelter Gap]],CampList[[#This Row],[Land Status]])</f>
        <v>0</v>
      </c>
      <c r="AI16" s="520" t="str">
        <f ca="1">IFERROR(OFFSET(DistanceToCamp[Nearest Town],MATCH(CampList[[#This Row],[CP_Pcode]],DistanceToCamp[CP_Pcode],0)-1,0,1,1),"")</f>
        <v/>
      </c>
      <c r="AJ16" s="336" t="str">
        <f ca="1">IFERROR(OFFSET(DistanceToCamp[distance],MATCH(CampList[[#This Row],[CP_Pcode]],DistanceToCamp[CP_Pcode],0)-1,0,1,1),"")</f>
        <v/>
      </c>
      <c r="AK16" s="562" t="str">
        <f ca="1">IFERROR(INT(CampList[[#This Row],[Distance]]/5)+1,"")</f>
        <v/>
      </c>
      <c r="AL16" s="721"/>
      <c r="AM16" s="721"/>
      <c r="AN16" s="721"/>
      <c r="BD16" s="5"/>
      <c r="BE16" s="5"/>
    </row>
    <row r="17" spans="1:57" s="4" customFormat="1" ht="15.6" hidden="1" customHeight="1" x14ac:dyDescent="0.25">
      <c r="A17" s="550" t="s">
        <v>849</v>
      </c>
      <c r="B17" s="522" t="s">
        <v>380</v>
      </c>
      <c r="C17" s="522" t="s">
        <v>527</v>
      </c>
      <c r="D17" s="522" t="s">
        <v>5</v>
      </c>
      <c r="E17" s="522" t="s">
        <v>531</v>
      </c>
      <c r="F17" s="522" t="s">
        <v>151</v>
      </c>
      <c r="G17" s="520" t="s">
        <v>541</v>
      </c>
      <c r="H17" s="551"/>
      <c r="I17" s="551"/>
      <c r="J17" s="551"/>
      <c r="K17" s="552"/>
      <c r="L17" s="522" t="s">
        <v>884</v>
      </c>
      <c r="M17" s="522" t="s">
        <v>885</v>
      </c>
      <c r="N17" s="563"/>
      <c r="O17" s="563"/>
      <c r="P17" s="564"/>
      <c r="Q17" s="504">
        <v>0</v>
      </c>
      <c r="R17" s="526">
        <v>0</v>
      </c>
      <c r="S17" s="555" t="str">
        <f>IF(CampList[[#This Row],[HH]]&gt;0,CampList[[#This Row],[Total]]/CampList[[#This Row],[HH]],"NA")</f>
        <v>NA</v>
      </c>
      <c r="T17" s="556" t="s">
        <v>513</v>
      </c>
      <c r="U17" s="557" t="s">
        <v>1204</v>
      </c>
      <c r="V17" s="522" t="s">
        <v>556</v>
      </c>
      <c r="W17" s="557"/>
      <c r="X17" s="565"/>
      <c r="Y17" s="566"/>
      <c r="Z17" s="557"/>
      <c r="AA17" s="511" t="s">
        <v>848</v>
      </c>
      <c r="AB17" s="522"/>
      <c r="AC17" s="560">
        <v>41701</v>
      </c>
      <c r="AD17" s="518" t="s">
        <v>1017</v>
      </c>
      <c r="AE17" s="566" t="s">
        <v>1014</v>
      </c>
      <c r="AF17" s="530">
        <f>IF(CampList[[#This Row],[Type of Accomodation]]="camp",MAX(0,CampList[[#This Row],[HH]]-SUMIF(Table_Shelter[Pcode],CampList[[#This Row],[CP_Pcode]],Table_Shelter[HH Covered])),0)</f>
        <v>0</v>
      </c>
      <c r="AG17" s="520"/>
      <c r="AH17" s="520">
        <f>MIN(CampList[[#This Row],[Shelter Gap]],CampList[[#This Row],[Land Status]])</f>
        <v>0</v>
      </c>
      <c r="AI17" s="520" t="str">
        <f ca="1">IFERROR(OFFSET(DistanceToCamp[Nearest Town],MATCH(CampList[[#This Row],[CP_Pcode]],DistanceToCamp[CP_Pcode],0)-1,0,1,1),"")</f>
        <v/>
      </c>
      <c r="AJ17" s="561" t="str">
        <f ca="1">IFERROR(OFFSET(DistanceToCamp[distance],MATCH(CampList[[#This Row],[CP_Pcode]],DistanceToCamp[CP_Pcode],0)-1,0,1,1),"")</f>
        <v/>
      </c>
      <c r="AK17" s="562" t="str">
        <f ca="1">IFERROR(INT(CampList[[#This Row],[Distance]]/5)+1,"")</f>
        <v/>
      </c>
      <c r="AL17" s="721"/>
      <c r="AM17" s="721"/>
      <c r="AN17" s="721"/>
      <c r="BD17" s="5"/>
      <c r="BE17" s="5"/>
    </row>
    <row r="18" spans="1:57" s="4" customFormat="1" ht="15.6" customHeight="1" thickBot="1" x14ac:dyDescent="0.3">
      <c r="A18" s="550" t="s">
        <v>502</v>
      </c>
      <c r="B18" s="522" t="s">
        <v>380</v>
      </c>
      <c r="C18" s="522" t="s">
        <v>527</v>
      </c>
      <c r="D18" s="522" t="s">
        <v>180</v>
      </c>
      <c r="E18" s="522" t="s">
        <v>528</v>
      </c>
      <c r="F18" s="522" t="s">
        <v>529</v>
      </c>
      <c r="G18" s="520" t="s">
        <v>530</v>
      </c>
      <c r="H18" s="551" t="s">
        <v>614</v>
      </c>
      <c r="I18" s="551" t="s">
        <v>615</v>
      </c>
      <c r="J18" s="551" t="s">
        <v>616</v>
      </c>
      <c r="K18" s="552">
        <v>166775</v>
      </c>
      <c r="L18" s="569" t="s">
        <v>52</v>
      </c>
      <c r="M18" s="522" t="s">
        <v>51</v>
      </c>
      <c r="N18" s="553">
        <v>96.346469999999997</v>
      </c>
      <c r="O18" s="553">
        <v>25.647649999999999</v>
      </c>
      <c r="P18" s="554">
        <v>0</v>
      </c>
      <c r="Q18" s="504">
        <v>35</v>
      </c>
      <c r="R18" s="526">
        <v>214</v>
      </c>
      <c r="S18" s="333">
        <f>IF(CampList[[#This Row],[HH]]&gt;0,CampList[[#This Row],[Total]]/CampList[[#This Row],[HH]],"NA")</f>
        <v>6.1142857142857139</v>
      </c>
      <c r="T18" s="576" t="s">
        <v>513</v>
      </c>
      <c r="U18" s="557" t="s">
        <v>1204</v>
      </c>
      <c r="V18" s="522" t="s">
        <v>556</v>
      </c>
      <c r="W18" s="557" t="s">
        <v>862</v>
      </c>
      <c r="X18" s="558">
        <v>41275</v>
      </c>
      <c r="Y18" s="559">
        <v>2</v>
      </c>
      <c r="Z18" s="558" t="s">
        <v>462</v>
      </c>
      <c r="AA18" s="510" t="s">
        <v>848</v>
      </c>
      <c r="AB18" s="522"/>
      <c r="AC18" s="574">
        <v>42397</v>
      </c>
      <c r="AD18" s="518" t="s">
        <v>1414</v>
      </c>
      <c r="AE18" s="559" t="s">
        <v>1100</v>
      </c>
      <c r="AF18" s="530">
        <f>IF(CampList[[#This Row],[Type of Accomodation]]="camp",MAX(0,CampList[[#This Row],[HH]]-SUMIF(Table_Shelter[Pcode],CampList[[#This Row],[CP_Pcode]],Table_Shelter[HH Covered])),0)</f>
        <v>15</v>
      </c>
      <c r="AG18" s="520"/>
      <c r="AH18" s="520">
        <f>MIN(CampList[[#This Row],[Shelter Gap]],CampList[[#This Row],[Land Status]])</f>
        <v>15</v>
      </c>
      <c r="AI18" s="520" t="str">
        <f ca="1">IFERROR(OFFSET(DistanceToCamp[Nearest Town],MATCH(CampList[[#This Row],[CP_Pcode]],DistanceToCamp[CP_Pcode],0)-1,0,1,1),"")</f>
        <v>Hpakant Town</v>
      </c>
      <c r="AJ18" s="336">
        <f ca="1">IFERROR(OFFSET(DistanceToCamp[distance],MATCH(CampList[[#This Row],[CP_Pcode]],DistanceToCamp[CP_Pcode],0)-1,0,1,1),"")</f>
        <v>5.184483270539272</v>
      </c>
      <c r="AK18" s="562">
        <f ca="1">IFERROR(INT(CampList[[#This Row],[Distance]]/5)+1,"")</f>
        <v>2</v>
      </c>
      <c r="AL18" s="721"/>
      <c r="AM18" s="721"/>
      <c r="AN18" s="721"/>
      <c r="BD18" s="5"/>
      <c r="BE18" s="5"/>
    </row>
    <row r="19" spans="1:57" s="4" customFormat="1" ht="15.6" hidden="1" customHeight="1" x14ac:dyDescent="0.3">
      <c r="A19" s="550" t="s">
        <v>849</v>
      </c>
      <c r="B19" s="522" t="s">
        <v>380</v>
      </c>
      <c r="C19" s="522" t="s">
        <v>527</v>
      </c>
      <c r="D19" s="522" t="s">
        <v>180</v>
      </c>
      <c r="E19" s="522" t="s">
        <v>528</v>
      </c>
      <c r="F19" s="522" t="s">
        <v>529</v>
      </c>
      <c r="G19" s="520" t="s">
        <v>530</v>
      </c>
      <c r="H19" s="551" t="s">
        <v>620</v>
      </c>
      <c r="I19" s="551" t="s">
        <v>621</v>
      </c>
      <c r="J19" s="551" t="s">
        <v>622</v>
      </c>
      <c r="K19" s="552">
        <v>166817</v>
      </c>
      <c r="L19" s="522" t="s">
        <v>58</v>
      </c>
      <c r="M19" s="522" t="s">
        <v>57</v>
      </c>
      <c r="N19" s="553">
        <v>96.673805000000002</v>
      </c>
      <c r="O19" s="553">
        <v>25.728653000000001</v>
      </c>
      <c r="P19" s="564"/>
      <c r="Q19" s="504">
        <v>0</v>
      </c>
      <c r="R19" s="526">
        <v>0</v>
      </c>
      <c r="S19" s="333" t="str">
        <f>IF(CampList[[#This Row],[HH]]&gt;0,CampList[[#This Row],[Total]]/CampList[[#This Row],[HH]],"NA")</f>
        <v>NA</v>
      </c>
      <c r="T19" s="576" t="s">
        <v>513</v>
      </c>
      <c r="U19" s="557" t="s">
        <v>1204</v>
      </c>
      <c r="V19" s="522" t="s">
        <v>556</v>
      </c>
      <c r="W19" s="557" t="s">
        <v>862</v>
      </c>
      <c r="X19" s="565"/>
      <c r="Y19" s="566">
        <v>1</v>
      </c>
      <c r="Z19" s="558" t="s">
        <v>507</v>
      </c>
      <c r="AA19" s="516" t="s">
        <v>848</v>
      </c>
      <c r="AB19" s="522"/>
      <c r="AC19" s="560">
        <v>42096</v>
      </c>
      <c r="AD19" s="518" t="s">
        <v>1319</v>
      </c>
      <c r="AE19" s="566" t="s">
        <v>1100</v>
      </c>
      <c r="AF19" s="530">
        <f>IF(CampList[[#This Row],[Type of Accomodation]]="camp",MAX(0,CampList[[#This Row],[HH]]-SUMIF(Table_Shelter[Pcode],CampList[[#This Row],[CP_Pcode]],Table_Shelter[HH Covered])),0)</f>
        <v>0</v>
      </c>
      <c r="AG19" s="520"/>
      <c r="AH19" s="520">
        <f>MIN(CampList[[#This Row],[Shelter Gap]],CampList[[#This Row],[Land Status]])</f>
        <v>0</v>
      </c>
      <c r="AI19" s="520" t="str">
        <f ca="1">IFERROR(OFFSET(DistanceToCamp[Nearest Town],MATCH(CampList[[#This Row],[CP_Pcode]],DistanceToCamp[CP_Pcode],0)-1,0,1,1),"")</f>
        <v>Kamaing Town</v>
      </c>
      <c r="AJ19" s="336">
        <f ca="1">IFERROR(OFFSET(DistanceToCamp[distance],MATCH(CampList[[#This Row],[CP_Pcode]],DistanceToCamp[CP_Pcode],0)-1,0,1,1),"")</f>
        <v>23.222739740353646</v>
      </c>
      <c r="AK19" s="562">
        <f ca="1">IFERROR(INT(CampList[[#This Row],[Distance]]/5)+1,"")</f>
        <v>5</v>
      </c>
      <c r="AL19" s="721"/>
      <c r="AM19" s="721"/>
      <c r="AN19" s="721"/>
      <c r="BD19" s="5"/>
      <c r="BE19" s="5"/>
    </row>
    <row r="20" spans="1:57" s="4" customFormat="1" ht="15.6" hidden="1" customHeight="1" x14ac:dyDescent="0.3">
      <c r="A20" s="550" t="s">
        <v>849</v>
      </c>
      <c r="B20" s="522" t="s">
        <v>380</v>
      </c>
      <c r="C20" s="522" t="s">
        <v>527</v>
      </c>
      <c r="D20" s="522" t="s">
        <v>180</v>
      </c>
      <c r="E20" s="522" t="s">
        <v>528</v>
      </c>
      <c r="F20" s="522" t="s">
        <v>529</v>
      </c>
      <c r="G20" s="520" t="s">
        <v>530</v>
      </c>
      <c r="H20" s="551" t="s">
        <v>614</v>
      </c>
      <c r="I20" s="551" t="s">
        <v>615</v>
      </c>
      <c r="J20" s="551" t="s">
        <v>617</v>
      </c>
      <c r="K20" s="552">
        <v>216880</v>
      </c>
      <c r="L20" s="522" t="s">
        <v>60</v>
      </c>
      <c r="M20" s="522" t="s">
        <v>59</v>
      </c>
      <c r="N20" s="553">
        <v>96.353070000000002</v>
      </c>
      <c r="O20" s="553">
        <v>25.668469999999999</v>
      </c>
      <c r="P20" s="554">
        <v>256</v>
      </c>
      <c r="Q20" s="504">
        <v>0</v>
      </c>
      <c r="R20" s="526">
        <v>0</v>
      </c>
      <c r="S20" s="333" t="str">
        <f>IF(CampList[[#This Row],[HH]]&gt;0,CampList[[#This Row],[Total]]/CampList[[#This Row],[HH]],"NA")</f>
        <v>NA</v>
      </c>
      <c r="T20" s="556" t="s">
        <v>513</v>
      </c>
      <c r="U20" s="557" t="s">
        <v>1204</v>
      </c>
      <c r="V20" s="522" t="s">
        <v>556</v>
      </c>
      <c r="W20" s="557" t="s">
        <v>862</v>
      </c>
      <c r="X20" s="558">
        <v>41275</v>
      </c>
      <c r="Y20" s="559"/>
      <c r="Z20" s="558"/>
      <c r="AA20" s="510" t="s">
        <v>847</v>
      </c>
      <c r="AB20" s="522"/>
      <c r="AC20" s="560">
        <v>41774</v>
      </c>
      <c r="AD20" s="518" t="s">
        <v>1053</v>
      </c>
      <c r="AE20" s="559" t="s">
        <v>1014</v>
      </c>
      <c r="AF20" s="530">
        <f>IF(CampList[[#This Row],[Type of Accomodation]]="camp",MAX(0,CampList[[#This Row],[HH]]-SUMIF(Table_Shelter[Pcode],CampList[[#This Row],[CP_Pcode]],Table_Shelter[HH Covered])),0)</f>
        <v>0</v>
      </c>
      <c r="AG20" s="520"/>
      <c r="AH20" s="520">
        <f>MIN(CampList[[#This Row],[Shelter Gap]],CampList[[#This Row],[Land Status]])</f>
        <v>0</v>
      </c>
      <c r="AI20" s="520" t="str">
        <f ca="1">IFERROR(OFFSET(DistanceToCamp[Nearest Town],MATCH(CampList[[#This Row],[CP_Pcode]],DistanceToCamp[CP_Pcode],0)-1,0,1,1),"")</f>
        <v/>
      </c>
      <c r="AJ20" s="336" t="str">
        <f ca="1">IFERROR(OFFSET(DistanceToCamp[distance],MATCH(CampList[[#This Row],[CP_Pcode]],DistanceToCamp[CP_Pcode],0)-1,0,1,1),"")</f>
        <v/>
      </c>
      <c r="AK20" s="562" t="str">
        <f ca="1">IFERROR(INT(CampList[[#This Row],[Distance]]/5)+1,"")</f>
        <v/>
      </c>
      <c r="AL20" s="721"/>
      <c r="AM20" s="721"/>
      <c r="AN20" s="721"/>
      <c r="BD20" s="5"/>
      <c r="BE20" s="5"/>
    </row>
    <row r="21" spans="1:57" s="4" customFormat="1" ht="15.6" hidden="1" customHeight="1" thickBot="1" x14ac:dyDescent="0.3">
      <c r="A21" s="550" t="s">
        <v>849</v>
      </c>
      <c r="B21" s="522" t="s">
        <v>380</v>
      </c>
      <c r="C21" s="522" t="s">
        <v>527</v>
      </c>
      <c r="D21" s="522" t="s">
        <v>237</v>
      </c>
      <c r="E21" s="522" t="s">
        <v>533</v>
      </c>
      <c r="F21" s="522" t="s">
        <v>310</v>
      </c>
      <c r="G21" s="520" t="s">
        <v>534</v>
      </c>
      <c r="H21" s="551" t="s">
        <v>720</v>
      </c>
      <c r="I21" s="520"/>
      <c r="J21" s="520"/>
      <c r="K21" s="568"/>
      <c r="L21" s="522" t="s">
        <v>358</v>
      </c>
      <c r="M21" s="522" t="s">
        <v>357</v>
      </c>
      <c r="N21" s="553">
        <v>97.837778</v>
      </c>
      <c r="O21" s="553">
        <v>25.273333000000001</v>
      </c>
      <c r="P21" s="564"/>
      <c r="Q21" s="504">
        <v>0</v>
      </c>
      <c r="R21" s="526">
        <v>0</v>
      </c>
      <c r="S21" s="333" t="str">
        <f>IF(CampList[[#This Row],[HH]]&gt;0,CampList[[#This Row],[Total]]/CampList[[#This Row],[HH]],"NA")</f>
        <v>NA</v>
      </c>
      <c r="T21" s="556" t="s">
        <v>515</v>
      </c>
      <c r="U21" s="557" t="s">
        <v>1204</v>
      </c>
      <c r="V21" s="522" t="s">
        <v>556</v>
      </c>
      <c r="W21" s="557"/>
      <c r="X21" s="565"/>
      <c r="Y21" s="566"/>
      <c r="Z21" s="557"/>
      <c r="AA21" s="512"/>
      <c r="AB21" s="522"/>
      <c r="AC21" s="567"/>
      <c r="AD21" s="518"/>
      <c r="AE21" s="566" t="s">
        <v>1014</v>
      </c>
      <c r="AF21" s="530">
        <f>IF(CampList[[#This Row],[Type of Accomodation]]="camp",MAX(0,CampList[[#This Row],[HH]]-SUMIF(Table_Shelter[Pcode],CampList[[#This Row],[CP_Pcode]],Table_Shelter[HH Covered])),0)</f>
        <v>0</v>
      </c>
      <c r="AG21" s="520"/>
      <c r="AH21" s="520">
        <f>MIN(CampList[[#This Row],[Shelter Gap]],CampList[[#This Row],[Land Status]])</f>
        <v>0</v>
      </c>
      <c r="AI21" s="520" t="str">
        <f ca="1">IFERROR(OFFSET(DistanceToCamp[Nearest Town],MATCH(CampList[[#This Row],[CP_Pcode]],DistanceToCamp[CP_Pcode],0)-1,0,1,1),"")</f>
        <v/>
      </c>
      <c r="AJ21" s="336" t="str">
        <f ca="1">IFERROR(OFFSET(DistanceToCamp[distance],MATCH(CampList[[#This Row],[CP_Pcode]],DistanceToCamp[CP_Pcode],0)-1,0,1,1),"")</f>
        <v/>
      </c>
      <c r="AK21" s="562" t="str">
        <f ca="1">IFERROR(INT(CampList[[#This Row],[Distance]]/5)+1,"")</f>
        <v/>
      </c>
      <c r="AL21" s="721"/>
      <c r="AM21" s="721"/>
      <c r="AN21" s="721"/>
      <c r="BD21" s="5"/>
      <c r="BE21" s="5"/>
    </row>
    <row r="22" spans="1:57" s="4" customFormat="1" ht="15.6" customHeight="1" thickBot="1" x14ac:dyDescent="0.3">
      <c r="A22" s="684" t="s">
        <v>502</v>
      </c>
      <c r="B22" s="530" t="s">
        <v>380</v>
      </c>
      <c r="C22" s="530" t="s">
        <v>527</v>
      </c>
      <c r="D22" s="530" t="s">
        <v>237</v>
      </c>
      <c r="E22" s="530" t="s">
        <v>533</v>
      </c>
      <c r="F22" s="530" t="s">
        <v>310</v>
      </c>
      <c r="G22" s="530" t="s">
        <v>534</v>
      </c>
      <c r="H22" s="530" t="s">
        <v>720</v>
      </c>
      <c r="I22" s="593" t="s">
        <v>774</v>
      </c>
      <c r="J22" s="530" t="s">
        <v>775</v>
      </c>
      <c r="K22" s="530"/>
      <c r="L22" s="530" t="s">
        <v>334</v>
      </c>
      <c r="M22" s="530" t="s">
        <v>333</v>
      </c>
      <c r="N22" s="503">
        <v>97.915833000000006</v>
      </c>
      <c r="O22" s="503">
        <v>25.220278</v>
      </c>
      <c r="P22" s="564">
        <v>2404</v>
      </c>
      <c r="Q22" s="805">
        <v>155</v>
      </c>
      <c r="R22" s="806">
        <v>640</v>
      </c>
      <c r="S22" s="333">
        <f>IF(CampList[[#This Row],[HH]]&gt;0,CampList[[#This Row],[Total]]/CampList[[#This Row],[HH]],"NA")</f>
        <v>4.129032258064516</v>
      </c>
      <c r="T22" s="594" t="s">
        <v>515</v>
      </c>
      <c r="U22" s="556" t="s">
        <v>1204</v>
      </c>
      <c r="V22" s="491" t="s">
        <v>556</v>
      </c>
      <c r="W22" s="503" t="s">
        <v>863</v>
      </c>
      <c r="X22" s="572">
        <v>40848</v>
      </c>
      <c r="Y22" s="566">
        <v>3</v>
      </c>
      <c r="Z22" s="566" t="s">
        <v>1097</v>
      </c>
      <c r="AA22" s="506" t="s">
        <v>848</v>
      </c>
      <c r="AB22" s="594"/>
      <c r="AC22" s="560">
        <v>42397</v>
      </c>
      <c r="AD22" s="705" t="s">
        <v>1370</v>
      </c>
      <c r="AE22" s="592" t="s">
        <v>1084</v>
      </c>
      <c r="AF22" s="593">
        <f>IF(CampList[[#This Row],[Type of Accomodation]]="camp",MAX(0,CampList[[#This Row],[HH]]-SUMIF(Table_Shelter[Pcode],CampList[[#This Row],[CP_Pcode]],Table_Shelter[HH Covered])),0)</f>
        <v>0</v>
      </c>
      <c r="AG22" s="530"/>
      <c r="AH22" s="593">
        <f>MIN(CampList[[#This Row],[Shelter Gap]],CampList[[#This Row],[Land Status]])</f>
        <v>0</v>
      </c>
      <c r="AI22" s="593" t="str">
        <f ca="1">IFERROR(OFFSET(DistanceToCamp[Nearest Town],MATCH(CampList[[#This Row],[CP_Pcode]],DistanceToCamp[CP_Pcode],0)-1,0,1,1),"")</f>
        <v>Sadung Town</v>
      </c>
      <c r="AJ22" s="336">
        <f ca="1">IFERROR(OFFSET(DistanceToCamp[distance],MATCH(CampList[[#This Row],[CP_Pcode]],DistanceToCamp[CP_Pcode],0)-1,0,1,1),"")</f>
        <v>18.198335991626355</v>
      </c>
      <c r="AK22" s="595">
        <f ca="1">IFERROR(INT(CampList[[#This Row],[Distance]]/5)+1,"")</f>
        <v>4</v>
      </c>
      <c r="AL22" s="721"/>
      <c r="AM22" s="721"/>
      <c r="AN22" s="721"/>
      <c r="BD22" s="5"/>
      <c r="BE22" s="5"/>
    </row>
    <row r="23" spans="1:57" s="4" customFormat="1" ht="15.6" customHeight="1" x14ac:dyDescent="0.25">
      <c r="A23" s="550" t="s">
        <v>502</v>
      </c>
      <c r="B23" s="522" t="s">
        <v>380</v>
      </c>
      <c r="C23" s="522" t="s">
        <v>527</v>
      </c>
      <c r="D23" s="522" t="s">
        <v>5</v>
      </c>
      <c r="E23" s="522" t="s">
        <v>531</v>
      </c>
      <c r="F23" s="551" t="s">
        <v>151</v>
      </c>
      <c r="G23" s="551" t="s">
        <v>541</v>
      </c>
      <c r="H23" s="551" t="s">
        <v>741</v>
      </c>
      <c r="I23" s="551" t="s">
        <v>742</v>
      </c>
      <c r="J23" s="551" t="s">
        <v>741</v>
      </c>
      <c r="K23" s="552" t="s">
        <v>741</v>
      </c>
      <c r="L23" s="569" t="s">
        <v>188</v>
      </c>
      <c r="M23" s="522" t="s">
        <v>187</v>
      </c>
      <c r="N23" s="553">
        <v>97.609832999999995</v>
      </c>
      <c r="O23" s="553">
        <v>24.002433</v>
      </c>
      <c r="P23" s="554">
        <v>854</v>
      </c>
      <c r="Q23" s="504">
        <v>245</v>
      </c>
      <c r="R23" s="526">
        <v>1232</v>
      </c>
      <c r="S23" s="333">
        <f>IF(CampList[[#This Row],[HH]]&gt;0,CampList[[#This Row],[Total]]/CampList[[#This Row],[HH]],"NA")</f>
        <v>5.0285714285714285</v>
      </c>
      <c r="T23" s="576" t="s">
        <v>515</v>
      </c>
      <c r="U23" s="557" t="s">
        <v>1204</v>
      </c>
      <c r="V23" s="522" t="s">
        <v>556</v>
      </c>
      <c r="W23" s="557" t="s">
        <v>862</v>
      </c>
      <c r="X23" s="558">
        <v>40817</v>
      </c>
      <c r="Y23" s="559">
        <v>2</v>
      </c>
      <c r="Z23" s="558" t="s">
        <v>1096</v>
      </c>
      <c r="AA23" s="511" t="s">
        <v>848</v>
      </c>
      <c r="AB23" s="522"/>
      <c r="AC23" s="574">
        <v>42397</v>
      </c>
      <c r="AD23" s="518" t="s">
        <v>1388</v>
      </c>
      <c r="AE23" s="559" t="s">
        <v>1085</v>
      </c>
      <c r="AF23" s="530">
        <f>IF(CampList[[#This Row],[Type of Accomodation]]="camp",MAX(0,CampList[[#This Row],[HH]]-SUMIF(Table_Shelter[Pcode],CampList[[#This Row],[CP_Pcode]],Table_Shelter[HH Covered])),0)</f>
        <v>55</v>
      </c>
      <c r="AG23" s="520"/>
      <c r="AH23" s="520">
        <f>MIN(CampList[[#This Row],[Shelter Gap]],CampList[[#This Row],[Land Status]])</f>
        <v>55</v>
      </c>
      <c r="AI23" s="520" t="str">
        <f ca="1">IFERROR(OFFSET(DistanceToCamp[Nearest Town],MATCH(CampList[[#This Row],[CP_Pcode]],DistanceToCamp[CP_Pcode],0)-1,0,1,1),"")</f>
        <v>Namhkan Town</v>
      </c>
      <c r="AJ23" s="336">
        <f ca="1">IFERROR(OFFSET(DistanceToCamp[distance],MATCH(CampList[[#This Row],[CP_Pcode]],DistanceToCamp[CP_Pcode],0)-1,0,1,1),"")</f>
        <v>19.796407430638478</v>
      </c>
      <c r="AK23" s="562">
        <f ca="1">IFERROR(INT(CampList[[#This Row],[Distance]]/5)+1,"")</f>
        <v>4</v>
      </c>
      <c r="AL23" s="721"/>
      <c r="AM23" s="721"/>
      <c r="AN23" s="721"/>
      <c r="BD23" s="5"/>
      <c r="BE23" s="5"/>
    </row>
    <row r="24" spans="1:57" s="4" customFormat="1" ht="15.6" customHeight="1" x14ac:dyDescent="0.25">
      <c r="A24" s="550" t="s">
        <v>502</v>
      </c>
      <c r="B24" s="520" t="s">
        <v>380</v>
      </c>
      <c r="C24" s="520" t="s">
        <v>527</v>
      </c>
      <c r="D24" s="520" t="s">
        <v>5</v>
      </c>
      <c r="E24" s="520" t="s">
        <v>531</v>
      </c>
      <c r="F24" s="520" t="s">
        <v>151</v>
      </c>
      <c r="G24" s="520" t="s">
        <v>541</v>
      </c>
      <c r="H24" s="520" t="s">
        <v>741</v>
      </c>
      <c r="I24" s="520" t="s">
        <v>742</v>
      </c>
      <c r="J24" s="520" t="s">
        <v>741</v>
      </c>
      <c r="K24" s="520" t="s">
        <v>741</v>
      </c>
      <c r="L24" s="520" t="s">
        <v>1041</v>
      </c>
      <c r="M24" s="520" t="s">
        <v>1042</v>
      </c>
      <c r="N24" s="553">
        <v>97.608249999999998</v>
      </c>
      <c r="O24" s="553">
        <v>24.000250000000001</v>
      </c>
      <c r="P24" s="527"/>
      <c r="Q24" s="506">
        <v>219</v>
      </c>
      <c r="R24" s="527">
        <v>891</v>
      </c>
      <c r="S24" s="333">
        <f>IF(CampList[[#This Row],[HH]]&gt;0,CampList[[#This Row],[Total]]/CampList[[#This Row],[HH]],"NA")</f>
        <v>4.0684931506849313</v>
      </c>
      <c r="T24" s="576" t="s">
        <v>515</v>
      </c>
      <c r="U24" s="557" t="s">
        <v>1204</v>
      </c>
      <c r="V24" s="522" t="s">
        <v>556</v>
      </c>
      <c r="W24" s="522" t="s">
        <v>862</v>
      </c>
      <c r="X24" s="572"/>
      <c r="Y24" s="528"/>
      <c r="Z24" s="558" t="s">
        <v>1096</v>
      </c>
      <c r="AA24" s="515" t="s">
        <v>848</v>
      </c>
      <c r="AB24" s="520"/>
      <c r="AC24" s="574">
        <v>42397</v>
      </c>
      <c r="AD24" s="518" t="s">
        <v>1389</v>
      </c>
      <c r="AE24" s="528" t="s">
        <v>1085</v>
      </c>
      <c r="AF24" s="530">
        <f>IF(CampList[[#This Row],[Type of Accomodation]]="camp",MAX(0,CampList[[#This Row],[HH]]-SUMIF(Table_Shelter[Pcode],CampList[[#This Row],[CP_Pcode]],Table_Shelter[HH Covered])),0)</f>
        <v>99</v>
      </c>
      <c r="AG24" s="520"/>
      <c r="AH24" s="520">
        <f>MIN(CampList[[#This Row],[Shelter Gap]],CampList[[#This Row],[Land Status]])</f>
        <v>99</v>
      </c>
      <c r="AI24" s="520" t="str">
        <f ca="1">IFERROR(OFFSET(DistanceToCamp[Nearest Town],MATCH(CampList[[#This Row],[CP_Pcode]],DistanceToCamp[CP_Pcode],0)-1,0,1,1),"")</f>
        <v>Namhkan Town</v>
      </c>
      <c r="AJ24" s="336">
        <f ca="1">IFERROR(OFFSET(DistanceToCamp[distance],MATCH(CampList[[#This Row],[CP_Pcode]],DistanceToCamp[CP_Pcode],0)-1,0,1,1),"")</f>
        <v>19.631786732140053</v>
      </c>
      <c r="AK24" s="562">
        <f ca="1">IFERROR(INT(CampList[[#This Row],[Distance]]/5)+1,"")</f>
        <v>4</v>
      </c>
      <c r="AL24" s="721"/>
      <c r="AM24" s="721"/>
      <c r="AN24" s="721"/>
      <c r="BD24" s="5"/>
      <c r="BE24" s="5"/>
    </row>
    <row r="25" spans="1:57" s="4" customFormat="1" ht="15.6" customHeight="1" x14ac:dyDescent="0.25">
      <c r="A25" s="550" t="s">
        <v>502</v>
      </c>
      <c r="B25" s="522" t="s">
        <v>380</v>
      </c>
      <c r="C25" s="522" t="s">
        <v>527</v>
      </c>
      <c r="D25" s="522" t="s">
        <v>180</v>
      </c>
      <c r="E25" s="522" t="s">
        <v>528</v>
      </c>
      <c r="F25" s="522" t="s">
        <v>529</v>
      </c>
      <c r="G25" s="520" t="s">
        <v>530</v>
      </c>
      <c r="H25" s="551" t="s">
        <v>600</v>
      </c>
      <c r="I25" s="551" t="s">
        <v>601</v>
      </c>
      <c r="J25" s="551" t="s">
        <v>600</v>
      </c>
      <c r="K25" s="552">
        <v>166783</v>
      </c>
      <c r="L25" s="522" t="s">
        <v>72</v>
      </c>
      <c r="M25" s="522" t="s">
        <v>71</v>
      </c>
      <c r="N25" s="553">
        <v>96.283377000000002</v>
      </c>
      <c r="O25" s="553">
        <v>25.582065</v>
      </c>
      <c r="P25" s="554">
        <v>0</v>
      </c>
      <c r="Q25" s="504">
        <v>6</v>
      </c>
      <c r="R25" s="526">
        <v>30</v>
      </c>
      <c r="S25" s="333">
        <f>IF(CampList[[#This Row],[HH]]&gt;0,CampList[[#This Row],[Total]]/CampList[[#This Row],[HH]],"NA")</f>
        <v>5</v>
      </c>
      <c r="T25" s="576" t="s">
        <v>513</v>
      </c>
      <c r="U25" s="557" t="s">
        <v>1204</v>
      </c>
      <c r="V25" s="522" t="s">
        <v>556</v>
      </c>
      <c r="W25" s="503" t="s">
        <v>808</v>
      </c>
      <c r="X25" s="558">
        <v>41487</v>
      </c>
      <c r="Y25" s="559">
        <v>1</v>
      </c>
      <c r="Z25" s="558" t="s">
        <v>507</v>
      </c>
      <c r="AA25" s="516" t="s">
        <v>848</v>
      </c>
      <c r="AB25" s="522"/>
      <c r="AC25" s="560">
        <v>42291</v>
      </c>
      <c r="AD25" s="518" t="s">
        <v>1329</v>
      </c>
      <c r="AE25" s="559" t="s">
        <v>1100</v>
      </c>
      <c r="AF25" s="530">
        <f>IF(CampList[[#This Row],[Type of Accomodation]]="camp",MAX(0,CampList[[#This Row],[HH]]-SUMIF(Table_Shelter[Pcode],CampList[[#This Row],[CP_Pcode]],Table_Shelter[HH Covered])),0)</f>
        <v>0</v>
      </c>
      <c r="AG25" s="520"/>
      <c r="AH25" s="520">
        <f>MIN(CampList[[#This Row],[Shelter Gap]],CampList[[#This Row],[Land Status]])</f>
        <v>0</v>
      </c>
      <c r="AI25" s="520" t="str">
        <f ca="1">IFERROR(OFFSET(DistanceToCamp[Nearest Town],MATCH(CampList[[#This Row],[CP_Pcode]],DistanceToCamp[CP_Pcode],0)-1,0,1,1),"")</f>
        <v>Hpakant Town</v>
      </c>
      <c r="AJ25" s="336">
        <f ca="1">IFERROR(OFFSET(DistanceToCamp[distance],MATCH(CampList[[#This Row],[CP_Pcode]],DistanceToCamp[CP_Pcode],0)-1,0,1,1),"")</f>
        <v>4.4704963044882238</v>
      </c>
      <c r="AK25" s="562">
        <f ca="1">IFERROR(INT(CampList[[#This Row],[Distance]]/5)+1,"")</f>
        <v>1</v>
      </c>
      <c r="AL25" s="721"/>
      <c r="AM25" s="721"/>
      <c r="AN25" s="721"/>
      <c r="BD25" s="5"/>
      <c r="BE25" s="5"/>
    </row>
    <row r="26" spans="1:57" s="4" customFormat="1" ht="15.6" hidden="1" customHeight="1" x14ac:dyDescent="0.25">
      <c r="A26" s="550" t="s">
        <v>849</v>
      </c>
      <c r="B26" s="522" t="s">
        <v>380</v>
      </c>
      <c r="C26" s="522" t="s">
        <v>527</v>
      </c>
      <c r="D26" s="522" t="s">
        <v>180</v>
      </c>
      <c r="E26" s="522" t="s">
        <v>528</v>
      </c>
      <c r="F26" s="522" t="s">
        <v>529</v>
      </c>
      <c r="G26" s="520" t="s">
        <v>530</v>
      </c>
      <c r="H26" s="520"/>
      <c r="I26" s="520"/>
      <c r="J26" s="520"/>
      <c r="K26" s="568"/>
      <c r="L26" s="522" t="s">
        <v>70</v>
      </c>
      <c r="M26" s="522" t="s">
        <v>69</v>
      </c>
      <c r="N26" s="563"/>
      <c r="O26" s="563"/>
      <c r="P26" s="564"/>
      <c r="Q26" s="504">
        <v>0</v>
      </c>
      <c r="R26" s="526">
        <v>0</v>
      </c>
      <c r="S26" s="333" t="str">
        <f>IF(CampList[[#This Row],[HH]]&gt;0,CampList[[#This Row],[Total]]/CampList[[#This Row],[HH]],"NA")</f>
        <v>NA</v>
      </c>
      <c r="T26" s="556" t="s">
        <v>513</v>
      </c>
      <c r="U26" s="557" t="s">
        <v>1204</v>
      </c>
      <c r="V26" s="522" t="s">
        <v>556</v>
      </c>
      <c r="W26" s="557"/>
      <c r="X26" s="565"/>
      <c r="Y26" s="566"/>
      <c r="Z26" s="557"/>
      <c r="AA26" s="510"/>
      <c r="AB26" s="522"/>
      <c r="AC26" s="567"/>
      <c r="AD26" s="518" t="s">
        <v>603</v>
      </c>
      <c r="AE26" s="566" t="s">
        <v>1014</v>
      </c>
      <c r="AF26" s="530">
        <f>IF(CampList[[#This Row],[Type of Accomodation]]="camp",MAX(0,CampList[[#This Row],[HH]]-SUMIF(Table_Shelter[Pcode],CampList[[#This Row],[CP_Pcode]],Table_Shelter[HH Covered])),0)</f>
        <v>0</v>
      </c>
      <c r="AG26" s="520"/>
      <c r="AH26" s="520">
        <f>MIN(CampList[[#This Row],[Shelter Gap]],CampList[[#This Row],[Land Status]])</f>
        <v>0</v>
      </c>
      <c r="AI26" s="520" t="str">
        <f ca="1">IFERROR(OFFSET(DistanceToCamp[Nearest Town],MATCH(CampList[[#This Row],[CP_Pcode]],DistanceToCamp[CP_Pcode],0)-1,0,1,1),"")</f>
        <v/>
      </c>
      <c r="AJ26" s="336" t="str">
        <f ca="1">IFERROR(OFFSET(DistanceToCamp[distance],MATCH(CampList[[#This Row],[CP_Pcode]],DistanceToCamp[CP_Pcode],0)-1,0,1,1),"")</f>
        <v/>
      </c>
      <c r="AK26" s="562" t="str">
        <f ca="1">IFERROR(INT(CampList[[#This Row],[Distance]]/5)+1,"")</f>
        <v/>
      </c>
      <c r="AL26" s="721"/>
      <c r="AM26" s="721"/>
      <c r="AN26" s="721"/>
      <c r="BD26" s="5"/>
      <c r="BE26" s="5"/>
    </row>
    <row r="27" spans="1:57" s="4" customFormat="1" ht="15.6" customHeight="1" x14ac:dyDescent="0.25">
      <c r="A27" s="550" t="s">
        <v>502</v>
      </c>
      <c r="B27" s="522" t="s">
        <v>380</v>
      </c>
      <c r="C27" s="522" t="s">
        <v>527</v>
      </c>
      <c r="D27" s="522" t="s">
        <v>237</v>
      </c>
      <c r="E27" s="522" t="s">
        <v>533</v>
      </c>
      <c r="F27" s="522" t="s">
        <v>27</v>
      </c>
      <c r="G27" s="520" t="s">
        <v>536</v>
      </c>
      <c r="H27" s="577" t="s">
        <v>796</v>
      </c>
      <c r="I27" s="577" t="s">
        <v>797</v>
      </c>
      <c r="J27" s="571"/>
      <c r="K27" s="582"/>
      <c r="L27" s="522" t="s">
        <v>28</v>
      </c>
      <c r="M27" s="522" t="s">
        <v>30</v>
      </c>
      <c r="N27" s="563">
        <v>98.131550000000004</v>
      </c>
      <c r="O27" s="563">
        <v>25.889410000000002</v>
      </c>
      <c r="P27" s="554">
        <v>304</v>
      </c>
      <c r="Q27" s="504">
        <v>108</v>
      </c>
      <c r="R27" s="526">
        <v>518</v>
      </c>
      <c r="S27" s="333">
        <f>IF(CampList[[#This Row],[HH]]&gt;0,CampList[[#This Row],[Total]]/CampList[[#This Row],[HH]],"NA")</f>
        <v>4.7962962962962967</v>
      </c>
      <c r="T27" s="576" t="s">
        <v>513</v>
      </c>
      <c r="U27" s="557" t="s">
        <v>1204</v>
      </c>
      <c r="V27" s="522" t="s">
        <v>556</v>
      </c>
      <c r="W27" s="557" t="s">
        <v>808</v>
      </c>
      <c r="X27" s="558">
        <v>41244</v>
      </c>
      <c r="Y27" s="559">
        <v>1</v>
      </c>
      <c r="Z27" s="558" t="s">
        <v>507</v>
      </c>
      <c r="AA27" s="516" t="s">
        <v>848</v>
      </c>
      <c r="AB27" s="522"/>
      <c r="AC27" s="560">
        <v>42387</v>
      </c>
      <c r="AD27" s="518" t="s">
        <v>1401</v>
      </c>
      <c r="AE27" s="559" t="s">
        <v>1084</v>
      </c>
      <c r="AF27" s="530">
        <f>IF(CampList[[#This Row],[Type of Accomodation]]="camp",MAX(0,CampList[[#This Row],[HH]]-SUMIF(Table_Shelter[Pcode],CampList[[#This Row],[CP_Pcode]],Table_Shelter[HH Covered])),0)</f>
        <v>1</v>
      </c>
      <c r="AG27" s="520"/>
      <c r="AH27" s="520">
        <f>MIN(CampList[[#This Row],[Shelter Gap]],CampList[[#This Row],[Land Status]])</f>
        <v>1</v>
      </c>
      <c r="AI27" s="520" t="str">
        <f ca="1">IFERROR(OFFSET(DistanceToCamp[Nearest Town],MATCH(CampList[[#This Row],[CP_Pcode]],DistanceToCamp[CP_Pcode],0)-1,0,1,1),"")</f>
        <v>Chipwi Town</v>
      </c>
      <c r="AJ27" s="336">
        <f ca="1">IFERROR(OFFSET(DistanceToCamp[distance],MATCH(CampList[[#This Row],[CP_Pcode]],DistanceToCamp[CP_Pcode],0)-1,0,1,1),"")</f>
        <v>0.15809623370782155</v>
      </c>
      <c r="AK27" s="562">
        <f ca="1">IFERROR(INT(CampList[[#This Row],[Distance]]/5)+1,"")</f>
        <v>1</v>
      </c>
      <c r="AL27" s="721"/>
      <c r="AM27" s="721"/>
      <c r="AN27" s="721"/>
      <c r="BD27" s="5"/>
      <c r="BE27" s="5"/>
    </row>
    <row r="28" spans="1:57" s="4" customFormat="1" ht="15.6" hidden="1" customHeight="1" x14ac:dyDescent="0.25">
      <c r="A28" s="550" t="s">
        <v>849</v>
      </c>
      <c r="B28" s="522" t="s">
        <v>380</v>
      </c>
      <c r="C28" s="522" t="s">
        <v>527</v>
      </c>
      <c r="D28" s="522" t="s">
        <v>5</v>
      </c>
      <c r="E28" s="522" t="s">
        <v>531</v>
      </c>
      <c r="F28" s="522" t="s">
        <v>5</v>
      </c>
      <c r="G28" s="520" t="s">
        <v>532</v>
      </c>
      <c r="H28" s="520"/>
      <c r="I28" s="520"/>
      <c r="J28" s="520"/>
      <c r="K28" s="568"/>
      <c r="L28" s="569" t="s">
        <v>10</v>
      </c>
      <c r="M28" s="522" t="s">
        <v>9</v>
      </c>
      <c r="N28" s="563"/>
      <c r="O28" s="563"/>
      <c r="P28" s="338"/>
      <c r="Q28" s="504">
        <v>0</v>
      </c>
      <c r="R28" s="526">
        <v>0</v>
      </c>
      <c r="S28" s="333" t="str">
        <f>IF(CampList[[#This Row],[HH]]&gt;0,CampList[[#This Row],[Total]]/CampList[[#This Row],[HH]],"NA")</f>
        <v>NA</v>
      </c>
      <c r="T28" s="556" t="s">
        <v>513</v>
      </c>
      <c r="U28" s="557" t="s">
        <v>1204</v>
      </c>
      <c r="V28" s="518" t="s">
        <v>12</v>
      </c>
      <c r="W28" s="557"/>
      <c r="X28" s="565"/>
      <c r="Y28" s="339"/>
      <c r="Z28" s="557"/>
      <c r="AA28" s="507"/>
      <c r="AB28" s="522" t="s">
        <v>1264</v>
      </c>
      <c r="AC28" s="587">
        <v>41666</v>
      </c>
      <c r="AD28" s="519" t="s">
        <v>946</v>
      </c>
      <c r="AE28" s="566" t="s">
        <v>1014</v>
      </c>
      <c r="AF28" s="530">
        <f>IF(CampList[[#This Row],[Type of Accomodation]]="camp",MAX(0,CampList[[#This Row],[HH]]-SUMIF(Table_Shelter[Pcode],CampList[[#This Row],[CP_Pcode]],Table_Shelter[HH Covered])),0)</f>
        <v>0</v>
      </c>
      <c r="AG28" s="520"/>
      <c r="AH28" s="520">
        <f>MIN(CampList[[#This Row],[Shelter Gap]],CampList[[#This Row],[Land Status]])</f>
        <v>0</v>
      </c>
      <c r="AI28" s="520" t="str">
        <f ca="1">IFERROR(OFFSET(DistanceToCamp[Nearest Town],MATCH(CampList[[#This Row],[CP_Pcode]],DistanceToCamp[CP_Pcode],0)-1,0,1,1),"")</f>
        <v/>
      </c>
      <c r="AJ28" s="336" t="str">
        <f ca="1">IFERROR(OFFSET(DistanceToCamp[distance],MATCH(CampList[[#This Row],[CP_Pcode]],DistanceToCamp[CP_Pcode],0)-1,0,1,1),"")</f>
        <v/>
      </c>
      <c r="AK28" s="562" t="str">
        <f ca="1">IFERROR(INT(CampList[[#This Row],[Distance]]/5)+1,"")</f>
        <v/>
      </c>
      <c r="AL28" s="721"/>
      <c r="AM28" s="721"/>
      <c r="AN28" s="721"/>
      <c r="BD28" s="5"/>
      <c r="BE28" s="5"/>
    </row>
    <row r="29" spans="1:57" s="4" customFormat="1" ht="15.6" customHeight="1" x14ac:dyDescent="0.25">
      <c r="A29" s="490" t="s">
        <v>502</v>
      </c>
      <c r="B29" s="520" t="s">
        <v>380</v>
      </c>
      <c r="C29" s="520" t="s">
        <v>527</v>
      </c>
      <c r="D29" s="520" t="s">
        <v>5</v>
      </c>
      <c r="E29" s="520" t="s">
        <v>531</v>
      </c>
      <c r="F29" s="735" t="s">
        <v>185</v>
      </c>
      <c r="G29" s="735" t="s">
        <v>535</v>
      </c>
      <c r="H29" s="735" t="s">
        <v>1218</v>
      </c>
      <c r="I29" s="735" t="s">
        <v>1346</v>
      </c>
      <c r="J29" s="589"/>
      <c r="K29" s="589"/>
      <c r="L29" s="520" t="s">
        <v>1347</v>
      </c>
      <c r="M29" s="520" t="s">
        <v>1348</v>
      </c>
      <c r="N29" s="742">
        <v>97.461271999999994</v>
      </c>
      <c r="O29" s="742">
        <v>24.613976000000001</v>
      </c>
      <c r="P29" s="564"/>
      <c r="Q29" s="707"/>
      <c r="R29" s="527">
        <v>49</v>
      </c>
      <c r="S29" s="333" t="str">
        <f>IF(CampList[[#This Row],[HH]]&gt;0,CampList[[#This Row],[Total]]/CampList[[#This Row],[HH]],"NA")</f>
        <v>NA</v>
      </c>
      <c r="T29" s="576" t="s">
        <v>513</v>
      </c>
      <c r="U29" s="556" t="s">
        <v>1204</v>
      </c>
      <c r="V29" s="556" t="s">
        <v>993</v>
      </c>
      <c r="W29" s="522" t="s">
        <v>862</v>
      </c>
      <c r="X29" s="590"/>
      <c r="Y29" s="559"/>
      <c r="Z29" s="558"/>
      <c r="AA29" s="513"/>
      <c r="AB29" s="520"/>
      <c r="AC29" s="727">
        <v>42317</v>
      </c>
      <c r="AD29" s="523" t="s">
        <v>1356</v>
      </c>
      <c r="AE29" s="592"/>
      <c r="AF29" s="593">
        <f>IF(CampList[[#This Row],[Type of Accomodation]]="camp",MAX(0,CampList[[#This Row],[HH]]-SUMIF(Table_Shelter[Pcode],CampList[[#This Row],[CP_Pcode]],Table_Shelter[HH Covered])),0)</f>
        <v>0</v>
      </c>
      <c r="AG29" s="520"/>
      <c r="AH29" s="593">
        <f>MIN(CampList[[#This Row],[Shelter Gap]],CampList[[#This Row],[Land Status]])</f>
        <v>0</v>
      </c>
      <c r="AI29" s="593" t="str">
        <f ca="1">IFERROR(OFFSET(DistanceToCamp[Nearest Town],MATCH(CampList[[#This Row],[CP_Pcode]],DistanceToCamp[CP_Pcode],0)-1,0,1,1),"")</f>
        <v/>
      </c>
      <c r="AJ29" s="336" t="str">
        <f ca="1">IFERROR(OFFSET(DistanceToCamp[distance],MATCH(CampList[[#This Row],[CP_Pcode]],DistanceToCamp[CP_Pcode],0)-1,0,1,1),"")</f>
        <v/>
      </c>
      <c r="AK29" s="595" t="str">
        <f ca="1">IFERROR(INT(CampList[[#This Row],[Distance]]/5)+1,"")</f>
        <v/>
      </c>
      <c r="AL29" s="721"/>
      <c r="AM29" s="721"/>
      <c r="AN29" s="721"/>
      <c r="BD29" s="5"/>
      <c r="BE29" s="5"/>
    </row>
    <row r="30" spans="1:57" s="4" customFormat="1" ht="15.6" customHeight="1" x14ac:dyDescent="0.25">
      <c r="A30" s="550" t="s">
        <v>502</v>
      </c>
      <c r="B30" s="522" t="s">
        <v>380</v>
      </c>
      <c r="C30" s="522" t="s">
        <v>527</v>
      </c>
      <c r="D30" s="522" t="s">
        <v>180</v>
      </c>
      <c r="E30" s="522" t="s">
        <v>528</v>
      </c>
      <c r="F30" s="522" t="s">
        <v>529</v>
      </c>
      <c r="G30" s="520" t="s">
        <v>530</v>
      </c>
      <c r="H30" s="551" t="s">
        <v>605</v>
      </c>
      <c r="I30" s="551" t="s">
        <v>606</v>
      </c>
      <c r="J30" s="551"/>
      <c r="K30" s="552"/>
      <c r="L30" s="522" t="s">
        <v>76</v>
      </c>
      <c r="M30" s="522" t="s">
        <v>75</v>
      </c>
      <c r="N30" s="553">
        <v>96.35257</v>
      </c>
      <c r="O30" s="553">
        <v>25.637309999999999</v>
      </c>
      <c r="P30" s="554">
        <v>277.60000000000002</v>
      </c>
      <c r="Q30" s="504">
        <v>65</v>
      </c>
      <c r="R30" s="526">
        <v>347</v>
      </c>
      <c r="S30" s="333">
        <f>IF(CampList[[#This Row],[HH]]&gt;0,CampList[[#This Row],[Total]]/CampList[[#This Row],[HH]],"NA")</f>
        <v>5.3384615384615381</v>
      </c>
      <c r="T30" s="576" t="s">
        <v>513</v>
      </c>
      <c r="U30" s="557" t="s">
        <v>1204</v>
      </c>
      <c r="V30" s="522" t="s">
        <v>556</v>
      </c>
      <c r="W30" s="503" t="s">
        <v>808</v>
      </c>
      <c r="X30" s="558">
        <v>41275</v>
      </c>
      <c r="Y30" s="559">
        <v>1</v>
      </c>
      <c r="Z30" s="558" t="s">
        <v>507</v>
      </c>
      <c r="AA30" s="516" t="s">
        <v>848</v>
      </c>
      <c r="AB30" s="522"/>
      <c r="AC30" s="560">
        <v>42291</v>
      </c>
      <c r="AD30" s="518" t="s">
        <v>1330</v>
      </c>
      <c r="AE30" s="559" t="s">
        <v>1100</v>
      </c>
      <c r="AF30" s="530">
        <f>IF(CampList[[#This Row],[Type of Accomodation]]="camp",MAX(0,CampList[[#This Row],[HH]]-SUMIF(Table_Shelter[Pcode],CampList[[#This Row],[CP_Pcode]],Table_Shelter[HH Covered])),0)</f>
        <v>0</v>
      </c>
      <c r="AG30" s="520"/>
      <c r="AH30" s="520">
        <f>MIN(CampList[[#This Row],[Shelter Gap]],CampList[[#This Row],[Land Status]])</f>
        <v>0</v>
      </c>
      <c r="AI30" s="520" t="str">
        <f ca="1">IFERROR(OFFSET(DistanceToCamp[Nearest Town],MATCH(CampList[[#This Row],[CP_Pcode]],DistanceToCamp[CP_Pcode],0)-1,0,1,1),"")</f>
        <v>Hpakant Town</v>
      </c>
      <c r="AJ30" s="336">
        <f ca="1">IFERROR(OFFSET(DistanceToCamp[distance],MATCH(CampList[[#This Row],[CP_Pcode]],DistanceToCamp[CP_Pcode],0)-1,0,1,1),"")</f>
        <v>4.8862832644478198</v>
      </c>
      <c r="AK30" s="562">
        <f ca="1">IFERROR(INT(CampList[[#This Row],[Distance]]/5)+1,"")</f>
        <v>1</v>
      </c>
      <c r="AL30" s="721"/>
      <c r="AM30" s="721"/>
      <c r="AN30" s="721"/>
      <c r="BD30" s="5"/>
      <c r="BE30" s="5"/>
    </row>
    <row r="31" spans="1:57" s="4" customFormat="1" ht="15.6" customHeight="1" x14ac:dyDescent="0.25">
      <c r="A31" s="550" t="s">
        <v>502</v>
      </c>
      <c r="B31" s="522" t="s">
        <v>380</v>
      </c>
      <c r="C31" s="522" t="s">
        <v>527</v>
      </c>
      <c r="D31" s="522" t="s">
        <v>237</v>
      </c>
      <c r="E31" s="522" t="s">
        <v>533</v>
      </c>
      <c r="F31" s="522" t="s">
        <v>237</v>
      </c>
      <c r="G31" s="520" t="s">
        <v>537</v>
      </c>
      <c r="H31" s="551" t="s">
        <v>673</v>
      </c>
      <c r="I31" s="551" t="s">
        <v>674</v>
      </c>
      <c r="J31" s="551" t="s">
        <v>680</v>
      </c>
      <c r="K31" s="552" t="s">
        <v>681</v>
      </c>
      <c r="L31" s="522" t="s">
        <v>243</v>
      </c>
      <c r="M31" s="522" t="s">
        <v>242</v>
      </c>
      <c r="N31" s="553">
        <v>97.384729629629604</v>
      </c>
      <c r="O31" s="553">
        <v>25.4002701851852</v>
      </c>
      <c r="P31" s="554">
        <v>0</v>
      </c>
      <c r="Q31" s="504">
        <v>6</v>
      </c>
      <c r="R31" s="526">
        <v>28</v>
      </c>
      <c r="S31" s="333">
        <f>IF(CampList[[#This Row],[HH]]&gt;0,CampList[[#This Row],[Total]]/CampList[[#This Row],[HH]],"NA")</f>
        <v>4.666666666666667</v>
      </c>
      <c r="T31" s="576" t="s">
        <v>513</v>
      </c>
      <c r="U31" s="557" t="s">
        <v>1204</v>
      </c>
      <c r="V31" s="522" t="s">
        <v>556</v>
      </c>
      <c r="W31" s="557" t="s">
        <v>808</v>
      </c>
      <c r="X31" s="558">
        <v>40695</v>
      </c>
      <c r="Y31" s="559"/>
      <c r="Z31" s="558" t="s">
        <v>462</v>
      </c>
      <c r="AA31" s="510" t="s">
        <v>847</v>
      </c>
      <c r="AB31" s="522"/>
      <c r="AC31" s="560"/>
      <c r="AD31" s="518" t="s">
        <v>603</v>
      </c>
      <c r="AE31" s="559" t="s">
        <v>1100</v>
      </c>
      <c r="AF31" s="530">
        <f>IF(CampList[[#This Row],[Type of Accomodation]]="camp",MAX(0,CampList[[#This Row],[HH]]-SUMIF(Table_Shelter[Pcode],CampList[[#This Row],[CP_Pcode]],Table_Shelter[HH Covered])),0)</f>
        <v>3</v>
      </c>
      <c r="AG31" s="520"/>
      <c r="AH31" s="520">
        <f>MIN(CampList[[#This Row],[Shelter Gap]],CampList[[#This Row],[Land Status]])</f>
        <v>3</v>
      </c>
      <c r="AI31" s="520" t="str">
        <f ca="1">IFERROR(OFFSET(DistanceToCamp[Nearest Town],MATCH(CampList[[#This Row],[CP_Pcode]],DistanceToCamp[CP_Pcode],0)-1,0,1,1),"")</f>
        <v>Myitkyina Town</v>
      </c>
      <c r="AJ31" s="336">
        <f ca="1">IFERROR(OFFSET(DistanceToCamp[distance],MATCH(CampList[[#This Row],[CP_Pcode]],DistanceToCamp[CP_Pcode],0)-1,0,1,1),"")</f>
        <v>1.5295244799681529</v>
      </c>
      <c r="AK31" s="562">
        <f ca="1">IFERROR(INT(CampList[[#This Row],[Distance]]/5)+1,"")</f>
        <v>1</v>
      </c>
      <c r="AL31" s="721"/>
      <c r="AM31" s="721"/>
      <c r="AN31" s="721"/>
      <c r="BD31" s="5"/>
      <c r="BE31" s="5"/>
    </row>
    <row r="32" spans="1:57" s="4" customFormat="1" ht="15.6" customHeight="1" thickBot="1" x14ac:dyDescent="0.3">
      <c r="A32" s="550" t="s">
        <v>502</v>
      </c>
      <c r="B32" s="522" t="s">
        <v>380</v>
      </c>
      <c r="C32" s="522" t="s">
        <v>527</v>
      </c>
      <c r="D32" s="522" t="s">
        <v>237</v>
      </c>
      <c r="E32" s="522" t="s">
        <v>533</v>
      </c>
      <c r="F32" s="522" t="s">
        <v>237</v>
      </c>
      <c r="G32" s="520" t="s">
        <v>537</v>
      </c>
      <c r="H32" s="551" t="s">
        <v>673</v>
      </c>
      <c r="I32" s="551" t="s">
        <v>674</v>
      </c>
      <c r="J32" s="551" t="s">
        <v>680</v>
      </c>
      <c r="K32" s="552" t="s">
        <v>681</v>
      </c>
      <c r="L32" s="522" t="s">
        <v>245</v>
      </c>
      <c r="M32" s="522" t="s">
        <v>244</v>
      </c>
      <c r="N32" s="553">
        <v>97.382997575757599</v>
      </c>
      <c r="O32" s="553">
        <v>25.3959740909091</v>
      </c>
      <c r="P32" s="554">
        <v>0</v>
      </c>
      <c r="Q32" s="504">
        <v>6</v>
      </c>
      <c r="R32" s="526">
        <v>39</v>
      </c>
      <c r="S32" s="333">
        <f>IF(CampList[[#This Row],[HH]]&gt;0,CampList[[#This Row],[Total]]/CampList[[#This Row],[HH]],"NA")</f>
        <v>6.5</v>
      </c>
      <c r="T32" s="576" t="s">
        <v>513</v>
      </c>
      <c r="U32" s="557" t="s">
        <v>1204</v>
      </c>
      <c r="V32" s="522" t="s">
        <v>556</v>
      </c>
      <c r="W32" s="557" t="s">
        <v>808</v>
      </c>
      <c r="X32" s="558">
        <v>40695</v>
      </c>
      <c r="Y32" s="559"/>
      <c r="Z32" s="558" t="s">
        <v>462</v>
      </c>
      <c r="AA32" s="510" t="s">
        <v>847</v>
      </c>
      <c r="AB32" s="522"/>
      <c r="AC32" s="560"/>
      <c r="AD32" s="518" t="s">
        <v>603</v>
      </c>
      <c r="AE32" s="559" t="s">
        <v>1100</v>
      </c>
      <c r="AF32" s="530">
        <f>IF(CampList[[#This Row],[Type of Accomodation]]="camp",MAX(0,CampList[[#This Row],[HH]]-SUMIF(Table_Shelter[Pcode],CampList[[#This Row],[CP_Pcode]],Table_Shelter[HH Covered])),0)</f>
        <v>0</v>
      </c>
      <c r="AG32" s="520"/>
      <c r="AH32" s="520">
        <f>MIN(CampList[[#This Row],[Shelter Gap]],CampList[[#This Row],[Land Status]])</f>
        <v>0</v>
      </c>
      <c r="AI32" s="520" t="str">
        <f ca="1">IFERROR(OFFSET(DistanceToCamp[Nearest Town],MATCH(CampList[[#This Row],[CP_Pcode]],DistanceToCamp[CP_Pcode],0)-1,0,1,1),"")</f>
        <v>Myitkyina Town</v>
      </c>
      <c r="AJ32" s="336">
        <f ca="1">IFERROR(OFFSET(DistanceToCamp[distance],MATCH(CampList[[#This Row],[CP_Pcode]],DistanceToCamp[CP_Pcode],0)-1,0,1,1),"")</f>
        <v>1.1985969617964649</v>
      </c>
      <c r="AK32" s="562">
        <f ca="1">IFERROR(INT(CampList[[#This Row],[Distance]]/5)+1,"")</f>
        <v>1</v>
      </c>
      <c r="AL32" s="721"/>
      <c r="AM32" s="721"/>
      <c r="AN32" s="721"/>
      <c r="BD32" s="5"/>
      <c r="BE32" s="5"/>
    </row>
    <row r="33" spans="1:57" s="4" customFormat="1" ht="15.6" customHeight="1" thickBot="1" x14ac:dyDescent="0.3">
      <c r="A33" s="550" t="s">
        <v>502</v>
      </c>
      <c r="B33" s="522" t="s">
        <v>380</v>
      </c>
      <c r="C33" s="522" t="s">
        <v>527</v>
      </c>
      <c r="D33" s="522" t="s">
        <v>237</v>
      </c>
      <c r="E33" s="522" t="s">
        <v>533</v>
      </c>
      <c r="F33" s="522" t="s">
        <v>237</v>
      </c>
      <c r="G33" s="520" t="s">
        <v>537</v>
      </c>
      <c r="H33" s="551" t="s">
        <v>673</v>
      </c>
      <c r="I33" s="551" t="s">
        <v>674</v>
      </c>
      <c r="J33" s="551" t="s">
        <v>680</v>
      </c>
      <c r="K33" s="552" t="s">
        <v>681</v>
      </c>
      <c r="L33" s="569" t="s">
        <v>247</v>
      </c>
      <c r="M33" s="522" t="s">
        <v>246</v>
      </c>
      <c r="N33" s="553">
        <v>97.381325000000004</v>
      </c>
      <c r="O33" s="553">
        <v>25.396492500000001</v>
      </c>
      <c r="P33" s="554">
        <v>0</v>
      </c>
      <c r="Q33" s="730">
        <v>50</v>
      </c>
      <c r="R33" s="731">
        <v>236</v>
      </c>
      <c r="S33" s="333">
        <f>IF(CampList[[#This Row],[HH]]&gt;0,CampList[[#This Row],[Total]]/CampList[[#This Row],[HH]],"NA")</f>
        <v>4.72</v>
      </c>
      <c r="T33" s="576" t="s">
        <v>513</v>
      </c>
      <c r="U33" s="557" t="s">
        <v>1204</v>
      </c>
      <c r="V33" s="522" t="s">
        <v>556</v>
      </c>
      <c r="W33" s="557" t="s">
        <v>808</v>
      </c>
      <c r="X33" s="558">
        <v>40695</v>
      </c>
      <c r="Y33" s="559">
        <v>2</v>
      </c>
      <c r="Z33" s="558" t="s">
        <v>462</v>
      </c>
      <c r="AA33" s="511" t="s">
        <v>848</v>
      </c>
      <c r="AB33" s="522"/>
      <c r="AC33" s="574">
        <v>42397</v>
      </c>
      <c r="AD33" s="518" t="s">
        <v>1416</v>
      </c>
      <c r="AE33" s="559" t="s">
        <v>1100</v>
      </c>
      <c r="AF33" s="530">
        <f>IF(CampList[[#This Row],[Type of Accomodation]]="camp",MAX(0,CampList[[#This Row],[HH]]-SUMIF(Table_Shelter[Pcode],CampList[[#This Row],[CP_Pcode]],Table_Shelter[HH Covered])),0)</f>
        <v>47</v>
      </c>
      <c r="AG33" s="520"/>
      <c r="AH33" s="520">
        <f>MIN(CampList[[#This Row],[Shelter Gap]],CampList[[#This Row],[Land Status]])</f>
        <v>47</v>
      </c>
      <c r="AI33" s="520" t="str">
        <f ca="1">IFERROR(OFFSET(DistanceToCamp[Nearest Town],MATCH(CampList[[#This Row],[CP_Pcode]],DistanceToCamp[CP_Pcode],0)-1,0,1,1),"")</f>
        <v>Myitkyina Town</v>
      </c>
      <c r="AJ33" s="561">
        <f ca="1">IFERROR(OFFSET(DistanceToCamp[distance],MATCH(CampList[[#This Row],[CP_Pcode]],DistanceToCamp[CP_Pcode],0)-1,0,1,1),"")</f>
        <v>1.3510454549069482</v>
      </c>
      <c r="AK33" s="562">
        <f ca="1">IFERROR(INT(CampList[[#This Row],[Distance]]/5)+1,"")</f>
        <v>1</v>
      </c>
      <c r="AL33" s="721"/>
      <c r="AM33" s="721"/>
      <c r="AN33" s="721"/>
      <c r="BD33" s="5"/>
      <c r="BE33" s="5"/>
    </row>
    <row r="34" spans="1:57" s="4" customFormat="1" ht="15.6" customHeight="1" x14ac:dyDescent="0.25">
      <c r="A34" s="490" t="s">
        <v>502</v>
      </c>
      <c r="B34" s="530" t="s">
        <v>380</v>
      </c>
      <c r="C34" s="530" t="s">
        <v>527</v>
      </c>
      <c r="D34" s="530" t="s">
        <v>5</v>
      </c>
      <c r="E34" s="530" t="s">
        <v>531</v>
      </c>
      <c r="F34" s="530" t="s">
        <v>185</v>
      </c>
      <c r="G34" s="530" t="s">
        <v>535</v>
      </c>
      <c r="H34" s="530" t="s">
        <v>727</v>
      </c>
      <c r="I34" s="593" t="s">
        <v>728</v>
      </c>
      <c r="J34" s="530" t="s">
        <v>576</v>
      </c>
      <c r="K34" s="530"/>
      <c r="L34" s="530" t="s">
        <v>192</v>
      </c>
      <c r="M34" s="530" t="s">
        <v>191</v>
      </c>
      <c r="N34" s="503">
        <v>97.537099999999995</v>
      </c>
      <c r="O34" s="503">
        <v>24.461033</v>
      </c>
      <c r="P34" s="564">
        <v>360</v>
      </c>
      <c r="Q34" s="807">
        <v>116</v>
      </c>
      <c r="R34" s="807">
        <v>595</v>
      </c>
      <c r="S34" s="555">
        <f>IF(CampList[[#This Row],[HH]]&gt;0,CampList[[#This Row],[Total]]/CampList[[#This Row],[HH]],"NA")</f>
        <v>5.1293103448275863</v>
      </c>
      <c r="T34" s="594" t="s">
        <v>515</v>
      </c>
      <c r="U34" s="556" t="s">
        <v>1204</v>
      </c>
      <c r="V34" s="491" t="s">
        <v>556</v>
      </c>
      <c r="W34" s="503" t="s">
        <v>863</v>
      </c>
      <c r="X34" s="572">
        <v>40756</v>
      </c>
      <c r="Y34" s="566">
        <v>4</v>
      </c>
      <c r="Z34" s="566" t="s">
        <v>1097</v>
      </c>
      <c r="AA34" s="506" t="s">
        <v>848</v>
      </c>
      <c r="AB34" s="594"/>
      <c r="AC34" s="574">
        <v>42397</v>
      </c>
      <c r="AD34" s="705" t="s">
        <v>1372</v>
      </c>
      <c r="AE34" s="592" t="s">
        <v>1085</v>
      </c>
      <c r="AF34" s="593">
        <f>IF(CampList[[#This Row],[Type of Accomodation]]="camp",MAX(0,CampList[[#This Row],[HH]]-SUMIF(Table_Shelter[Pcode],CampList[[#This Row],[CP_Pcode]],Table_Shelter[HH Covered])),0)</f>
        <v>0</v>
      </c>
      <c r="AG34" s="530"/>
      <c r="AH34" s="593">
        <f>MIN(CampList[[#This Row],[Shelter Gap]],CampList[[#This Row],[Land Status]])</f>
        <v>0</v>
      </c>
      <c r="AI34" s="593" t="str">
        <f ca="1">IFERROR(OFFSET(DistanceToCamp[Nearest Town],MATCH(CampList[[#This Row],[CP_Pcode]],DistanceToCamp[CP_Pcode],0)-1,0,1,1),"")</f>
        <v>Dawthponeyan  Town</v>
      </c>
      <c r="AJ34" s="561">
        <f ca="1">IFERROR(OFFSET(DistanceToCamp[distance],MATCH(CampList[[#This Row],[CP_Pcode]],DistanceToCamp[CP_Pcode],0)-1,0,1,1),"")</f>
        <v>18.65617244319267</v>
      </c>
      <c r="AK34" s="595">
        <f ca="1">IFERROR(INT(CampList[[#This Row],[Distance]]/5)+1,"")</f>
        <v>4</v>
      </c>
      <c r="AL34" s="721"/>
      <c r="AM34" s="721"/>
      <c r="AN34" s="721"/>
      <c r="BD34" s="5"/>
      <c r="BE34" s="5"/>
    </row>
    <row r="35" spans="1:57" s="4" customFormat="1" ht="15.6" hidden="1" customHeight="1" x14ac:dyDescent="0.25">
      <c r="A35" s="550" t="s">
        <v>849</v>
      </c>
      <c r="B35" s="522" t="s">
        <v>380</v>
      </c>
      <c r="C35" s="522" t="s">
        <v>527</v>
      </c>
      <c r="D35" s="522" t="s">
        <v>180</v>
      </c>
      <c r="E35" s="522" t="s">
        <v>528</v>
      </c>
      <c r="F35" s="522" t="s">
        <v>529</v>
      </c>
      <c r="G35" s="520" t="s">
        <v>530</v>
      </c>
      <c r="H35" s="551" t="s">
        <v>600</v>
      </c>
      <c r="I35" s="551" t="s">
        <v>601</v>
      </c>
      <c r="J35" s="551" t="s">
        <v>600</v>
      </c>
      <c r="K35" s="552">
        <v>166783</v>
      </c>
      <c r="L35" s="522" t="s">
        <v>78</v>
      </c>
      <c r="M35" s="522" t="s">
        <v>77</v>
      </c>
      <c r="N35" s="563"/>
      <c r="O35" s="563"/>
      <c r="P35" s="564"/>
      <c r="Q35" s="504">
        <v>0</v>
      </c>
      <c r="R35" s="526">
        <v>0</v>
      </c>
      <c r="S35" s="555" t="str">
        <f>IF(CampList[[#This Row],[HH]]&gt;0,CampList[[#This Row],[Total]]/CampList[[#This Row],[HH]],"NA")</f>
        <v>NA</v>
      </c>
      <c r="T35" s="556" t="s">
        <v>513</v>
      </c>
      <c r="U35" s="557" t="s">
        <v>1204</v>
      </c>
      <c r="V35" s="522" t="s">
        <v>556</v>
      </c>
      <c r="W35" s="557" t="s">
        <v>862</v>
      </c>
      <c r="X35" s="565"/>
      <c r="Y35" s="566"/>
      <c r="Z35" s="557"/>
      <c r="AA35" s="511" t="s">
        <v>848</v>
      </c>
      <c r="AB35" s="522"/>
      <c r="AC35" s="560">
        <v>41774</v>
      </c>
      <c r="AD35" s="518" t="s">
        <v>1055</v>
      </c>
      <c r="AE35" s="566" t="s">
        <v>1014</v>
      </c>
      <c r="AF35" s="530">
        <f>IF(CampList[[#This Row],[Type of Accomodation]]="camp",MAX(0,CampList[[#This Row],[HH]]-SUMIF(Table_Shelter[Pcode],CampList[[#This Row],[CP_Pcode]],Table_Shelter[HH Covered])),0)</f>
        <v>0</v>
      </c>
      <c r="AG35" s="520"/>
      <c r="AH35" s="520">
        <f>MIN(CampList[[#This Row],[Shelter Gap]],CampList[[#This Row],[Land Status]])</f>
        <v>0</v>
      </c>
      <c r="AI35" s="520" t="str">
        <f ca="1">IFERROR(OFFSET(DistanceToCamp[Nearest Town],MATCH(CampList[[#This Row],[CP_Pcode]],DistanceToCamp[CP_Pcode],0)-1,0,1,1),"")</f>
        <v/>
      </c>
      <c r="AJ35" s="561" t="str">
        <f ca="1">IFERROR(OFFSET(DistanceToCamp[distance],MATCH(CampList[[#This Row],[CP_Pcode]],DistanceToCamp[CP_Pcode],0)-1,0,1,1),"")</f>
        <v/>
      </c>
      <c r="AK35" s="562" t="str">
        <f ca="1">IFERROR(INT(CampList[[#This Row],[Distance]]/5)+1,"")</f>
        <v/>
      </c>
      <c r="AL35" s="721"/>
      <c r="AM35" s="721"/>
      <c r="AN35" s="721"/>
      <c r="BD35" s="5"/>
      <c r="BE35" s="5"/>
    </row>
    <row r="36" spans="1:57" s="4" customFormat="1" ht="15.6" hidden="1" customHeight="1" x14ac:dyDescent="0.25">
      <c r="A36" s="550" t="s">
        <v>849</v>
      </c>
      <c r="B36" s="522" t="s">
        <v>380</v>
      </c>
      <c r="C36" s="522" t="s">
        <v>527</v>
      </c>
      <c r="D36" s="522" t="s">
        <v>180</v>
      </c>
      <c r="E36" s="522" t="s">
        <v>528</v>
      </c>
      <c r="F36" s="522" t="s">
        <v>529</v>
      </c>
      <c r="G36" s="218" t="s">
        <v>530</v>
      </c>
      <c r="H36" s="551" t="s">
        <v>600</v>
      </c>
      <c r="I36" s="551" t="s">
        <v>601</v>
      </c>
      <c r="J36" s="551" t="s">
        <v>600</v>
      </c>
      <c r="K36" s="552">
        <v>166783</v>
      </c>
      <c r="L36" s="522" t="s">
        <v>82</v>
      </c>
      <c r="M36" s="219" t="s">
        <v>81</v>
      </c>
      <c r="N36" s="563"/>
      <c r="O36" s="563"/>
      <c r="P36" s="564"/>
      <c r="Q36" s="504">
        <v>0</v>
      </c>
      <c r="R36" s="526">
        <v>0</v>
      </c>
      <c r="S36" s="333" t="str">
        <f>IF(CampList[[#This Row],[HH]]&gt;0,CampList[[#This Row],[Total]]/CampList[[#This Row],[HH]],"NA")</f>
        <v>NA</v>
      </c>
      <c r="T36" s="556" t="s">
        <v>513</v>
      </c>
      <c r="U36" s="334" t="s">
        <v>1204</v>
      </c>
      <c r="V36" s="219" t="s">
        <v>556</v>
      </c>
      <c r="W36" s="557"/>
      <c r="X36" s="565"/>
      <c r="Y36" s="566"/>
      <c r="Z36" s="557"/>
      <c r="AA36" s="510" t="s">
        <v>847</v>
      </c>
      <c r="AB36" s="522"/>
      <c r="AC36" s="560">
        <v>41663</v>
      </c>
      <c r="AD36" s="518" t="s">
        <v>945</v>
      </c>
      <c r="AE36" s="566" t="s">
        <v>1014</v>
      </c>
      <c r="AF36" s="233">
        <f>IF(CampList[[#This Row],[Type of Accomodation]]="camp",MAX(0,CampList[[#This Row],[HH]]-SUMIF(Table_Shelter[Pcode],CampList[[#This Row],[CP_Pcode]],Table_Shelter[HH Covered])),0)</f>
        <v>0</v>
      </c>
      <c r="AG36" s="218"/>
      <c r="AH36" s="218">
        <f>MIN(CampList[[#This Row],[Shelter Gap]],CampList[[#This Row],[Land Status]])</f>
        <v>0</v>
      </c>
      <c r="AI36" s="218" t="str">
        <f ca="1">IFERROR(OFFSET(DistanceToCamp[Nearest Town],MATCH(CampList[[#This Row],[CP_Pcode]],DistanceToCamp[CP_Pcode],0)-1,0,1,1),"")</f>
        <v/>
      </c>
      <c r="AJ36" s="336" t="str">
        <f ca="1">IFERROR(OFFSET(DistanceToCamp[distance],MATCH(CampList[[#This Row],[CP_Pcode]],DistanceToCamp[CP_Pcode],0)-1,0,1,1),"")</f>
        <v/>
      </c>
      <c r="AK36" s="337" t="str">
        <f ca="1">IFERROR(INT(CampList[[#This Row],[Distance]]/5)+1,"")</f>
        <v/>
      </c>
      <c r="AL36" s="721"/>
      <c r="AM36" s="721"/>
      <c r="AN36" s="721"/>
      <c r="BD36" s="5"/>
      <c r="BE36" s="5"/>
    </row>
    <row r="37" spans="1:57" s="4" customFormat="1" ht="15.6" hidden="1" customHeight="1" x14ac:dyDescent="0.25">
      <c r="A37" s="550" t="s">
        <v>849</v>
      </c>
      <c r="B37" s="520" t="s">
        <v>555</v>
      </c>
      <c r="C37" s="520" t="s">
        <v>538</v>
      </c>
      <c r="D37" s="520" t="s">
        <v>230</v>
      </c>
      <c r="E37" s="520" t="s">
        <v>539</v>
      </c>
      <c r="F37" s="520" t="s">
        <v>146</v>
      </c>
      <c r="G37" s="218" t="s">
        <v>546</v>
      </c>
      <c r="H37" s="520" t="s">
        <v>936</v>
      </c>
      <c r="I37" s="520"/>
      <c r="J37" s="520" t="s">
        <v>936</v>
      </c>
      <c r="K37" s="520"/>
      <c r="L37" s="520" t="s">
        <v>937</v>
      </c>
      <c r="M37" s="219" t="s">
        <v>938</v>
      </c>
      <c r="N37" s="503"/>
      <c r="O37" s="503"/>
      <c r="P37" s="527"/>
      <c r="Q37" s="504">
        <v>0</v>
      </c>
      <c r="R37" s="526">
        <v>0</v>
      </c>
      <c r="S37" s="333" t="str">
        <f>IF(CampList[[#This Row],[HH]]&gt;0,CampList[[#This Row],[Total]]/CampList[[#This Row],[HH]],"NA")</f>
        <v>NA</v>
      </c>
      <c r="T37" s="556" t="s">
        <v>515</v>
      </c>
      <c r="U37" s="334" t="s">
        <v>1204</v>
      </c>
      <c r="V37" s="219" t="s">
        <v>556</v>
      </c>
      <c r="W37" s="522" t="s">
        <v>862</v>
      </c>
      <c r="X37" s="572"/>
      <c r="Y37" s="528"/>
      <c r="Z37" s="522"/>
      <c r="AA37" s="513" t="s">
        <v>848</v>
      </c>
      <c r="AB37" s="520"/>
      <c r="AC37" s="560">
        <v>41289</v>
      </c>
      <c r="AD37" s="520" t="s">
        <v>942</v>
      </c>
      <c r="AE37" s="528" t="s">
        <v>1014</v>
      </c>
      <c r="AF37" s="233">
        <f>IF(CampList[[#This Row],[Type of Accomodation]]="camp",MAX(0,CampList[[#This Row],[HH]]-SUMIF(Table_Shelter[Pcode],CampList[[#This Row],[CP_Pcode]],Table_Shelter[HH Covered])),0)</f>
        <v>0</v>
      </c>
      <c r="AG37" s="218"/>
      <c r="AH37" s="218">
        <f>MIN(CampList[[#This Row],[Shelter Gap]],CampList[[#This Row],[Land Status]])</f>
        <v>0</v>
      </c>
      <c r="AI37" s="218" t="str">
        <f ca="1">IFERROR(OFFSET(DistanceToCamp[Nearest Town],MATCH(CampList[[#This Row],[CP_Pcode]],DistanceToCamp[CP_Pcode],0)-1,0,1,1),"")</f>
        <v/>
      </c>
      <c r="AJ37" s="336" t="str">
        <f ca="1">IFERROR(OFFSET(DistanceToCamp[distance],MATCH(CampList[[#This Row],[CP_Pcode]],DistanceToCamp[CP_Pcode],0)-1,0,1,1),"")</f>
        <v/>
      </c>
      <c r="AK37" s="337" t="str">
        <f ca="1">IFERROR(INT(CampList[[#This Row],[Distance]]/5)+1,"")</f>
        <v/>
      </c>
      <c r="AL37" s="721"/>
      <c r="AM37" s="721"/>
      <c r="AN37" s="721"/>
      <c r="BD37" s="5"/>
      <c r="BE37" s="5"/>
    </row>
    <row r="38" spans="1:57" s="4" customFormat="1" ht="15.6" hidden="1" customHeight="1" x14ac:dyDescent="0.25">
      <c r="A38" s="550" t="s">
        <v>849</v>
      </c>
      <c r="B38" s="520" t="s">
        <v>555</v>
      </c>
      <c r="C38" s="520" t="s">
        <v>538</v>
      </c>
      <c r="D38" s="520" t="s">
        <v>230</v>
      </c>
      <c r="E38" s="520" t="s">
        <v>539</v>
      </c>
      <c r="F38" s="520" t="s">
        <v>146</v>
      </c>
      <c r="G38" s="218" t="s">
        <v>546</v>
      </c>
      <c r="H38" s="520" t="s">
        <v>936</v>
      </c>
      <c r="I38" s="520"/>
      <c r="J38" s="520" t="s">
        <v>936</v>
      </c>
      <c r="K38" s="520"/>
      <c r="L38" s="520" t="s">
        <v>939</v>
      </c>
      <c r="M38" s="219" t="s">
        <v>940</v>
      </c>
      <c r="N38" s="503"/>
      <c r="O38" s="503"/>
      <c r="P38" s="527"/>
      <c r="Q38" s="504">
        <v>0</v>
      </c>
      <c r="R38" s="526">
        <v>0</v>
      </c>
      <c r="S38" s="333" t="str">
        <f>IF(CampList[[#This Row],[HH]]&gt;0,CampList[[#This Row],[Total]]/CampList[[#This Row],[HH]],"NA")</f>
        <v>NA</v>
      </c>
      <c r="T38" s="556" t="s">
        <v>515</v>
      </c>
      <c r="U38" s="334" t="s">
        <v>1204</v>
      </c>
      <c r="V38" s="219" t="s">
        <v>556</v>
      </c>
      <c r="W38" s="522" t="s">
        <v>862</v>
      </c>
      <c r="X38" s="572"/>
      <c r="Y38" s="528"/>
      <c r="Z38" s="522"/>
      <c r="AA38" s="513" t="s">
        <v>848</v>
      </c>
      <c r="AB38" s="520"/>
      <c r="AC38" s="560">
        <v>41289</v>
      </c>
      <c r="AD38" s="520" t="s">
        <v>943</v>
      </c>
      <c r="AE38" s="528" t="s">
        <v>1014</v>
      </c>
      <c r="AF38" s="233">
        <f>IF(CampList[[#This Row],[Type of Accomodation]]="camp",MAX(0,CampList[[#This Row],[HH]]-SUMIF(Table_Shelter[Pcode],CampList[[#This Row],[CP_Pcode]],Table_Shelter[HH Covered])),0)</f>
        <v>0</v>
      </c>
      <c r="AG38" s="520"/>
      <c r="AH38" s="218">
        <f>MIN(CampList[[#This Row],[Shelter Gap]],CampList[[#This Row],[Land Status]])</f>
        <v>0</v>
      </c>
      <c r="AI38" s="218" t="str">
        <f ca="1">IFERROR(OFFSET(DistanceToCamp[Nearest Town],MATCH(CampList[[#This Row],[CP_Pcode]],DistanceToCamp[CP_Pcode],0)-1,0,1,1),"")</f>
        <v/>
      </c>
      <c r="AJ38" s="336" t="str">
        <f ca="1">IFERROR(OFFSET(DistanceToCamp[distance],MATCH(CampList[[#This Row],[CP_Pcode]],DistanceToCamp[CP_Pcode],0)-1,0,1,1),"")</f>
        <v/>
      </c>
      <c r="AK38" s="337" t="str">
        <f ca="1">IFERROR(INT(CampList[[#This Row],[Distance]]/5)+1,"")</f>
        <v/>
      </c>
      <c r="AL38" s="721"/>
      <c r="AM38" s="721"/>
      <c r="AN38" s="721"/>
      <c r="BD38" s="5"/>
      <c r="BE38" s="5"/>
    </row>
    <row r="39" spans="1:57" s="4" customFormat="1" ht="15.6" hidden="1" customHeight="1" x14ac:dyDescent="0.25">
      <c r="A39" s="550" t="s">
        <v>849</v>
      </c>
      <c r="B39" s="219" t="s">
        <v>380</v>
      </c>
      <c r="C39" s="219" t="s">
        <v>527</v>
      </c>
      <c r="D39" s="522" t="s">
        <v>237</v>
      </c>
      <c r="E39" s="522" t="s">
        <v>533</v>
      </c>
      <c r="F39" s="522" t="s">
        <v>27</v>
      </c>
      <c r="G39" s="218" t="s">
        <v>536</v>
      </c>
      <c r="H39" s="520"/>
      <c r="I39" s="522"/>
      <c r="J39" s="522"/>
      <c r="K39" s="568"/>
      <c r="L39" s="522" t="s">
        <v>32</v>
      </c>
      <c r="M39" s="219" t="s">
        <v>31</v>
      </c>
      <c r="N39" s="563"/>
      <c r="O39" s="563"/>
      <c r="P39" s="564"/>
      <c r="Q39" s="104"/>
      <c r="R39" s="232"/>
      <c r="S39" s="333" t="str">
        <f>IF(CampList[[#This Row],[HH]]&gt;0,CampList[[#This Row],[Total]]/CampList[[#This Row],[HH]],"NA")</f>
        <v>NA</v>
      </c>
      <c r="T39" s="556" t="s">
        <v>513</v>
      </c>
      <c r="U39" s="334" t="s">
        <v>1204</v>
      </c>
      <c r="V39" s="219" t="s">
        <v>556</v>
      </c>
      <c r="W39" s="557" t="s">
        <v>862</v>
      </c>
      <c r="X39" s="565"/>
      <c r="Y39" s="566"/>
      <c r="Z39" s="558" t="s">
        <v>1097</v>
      </c>
      <c r="AA39" s="511" t="s">
        <v>848</v>
      </c>
      <c r="AB39" s="219"/>
      <c r="AC39" s="560">
        <v>42096</v>
      </c>
      <c r="AD39" s="518" t="s">
        <v>1253</v>
      </c>
      <c r="AE39" s="566" t="s">
        <v>1084</v>
      </c>
      <c r="AF39" s="233">
        <f>IF(CampList[[#This Row],[Type of Accomodation]]="camp",MAX(0,CampList[[#This Row],[HH]]-SUMIF(Table_Shelter[Pcode],CampList[[#This Row],[CP_Pcode]],Table_Shelter[HH Covered])),0)</f>
        <v>0</v>
      </c>
      <c r="AG39" s="218"/>
      <c r="AH39" s="218">
        <f>MIN(CampList[[#This Row],[Shelter Gap]],CampList[[#This Row],[Land Status]])</f>
        <v>0</v>
      </c>
      <c r="AI39" s="218" t="str">
        <f ca="1">IFERROR(OFFSET(DistanceToCamp[Nearest Town],MATCH(CampList[[#This Row],[CP_Pcode]],DistanceToCamp[CP_Pcode],0)-1,0,1,1),"")</f>
        <v/>
      </c>
      <c r="AJ39" s="561" t="str">
        <f ca="1">IFERROR(OFFSET(DistanceToCamp[distance],MATCH(CampList[[#This Row],[CP_Pcode]],DistanceToCamp[CP_Pcode],0)-1,0,1,1),"")</f>
        <v/>
      </c>
      <c r="AK39" s="337" t="str">
        <f ca="1">IFERROR(INT(CampList[[#This Row],[Distance]]/5)+1,"")</f>
        <v/>
      </c>
      <c r="AL39" s="721"/>
      <c r="AM39" s="721"/>
      <c r="AN39" s="721"/>
      <c r="BD39" s="5"/>
      <c r="BE39" s="5"/>
    </row>
    <row r="40" spans="1:57" s="4" customFormat="1" ht="15.6" customHeight="1" x14ac:dyDescent="0.25">
      <c r="A40" s="585" t="s">
        <v>502</v>
      </c>
      <c r="B40" s="219" t="s">
        <v>380</v>
      </c>
      <c r="C40" s="522" t="s">
        <v>527</v>
      </c>
      <c r="D40" s="522" t="s">
        <v>237</v>
      </c>
      <c r="E40" s="522" t="s">
        <v>533</v>
      </c>
      <c r="F40" s="522" t="s">
        <v>310</v>
      </c>
      <c r="G40" s="218" t="s">
        <v>534</v>
      </c>
      <c r="H40" s="577" t="s">
        <v>626</v>
      </c>
      <c r="I40" s="520" t="s">
        <v>627</v>
      </c>
      <c r="J40" s="577" t="s">
        <v>626</v>
      </c>
      <c r="K40" s="578">
        <v>165735</v>
      </c>
      <c r="L40" s="522" t="s">
        <v>313</v>
      </c>
      <c r="M40" s="219" t="s">
        <v>312</v>
      </c>
      <c r="N40" s="553">
        <v>97.404195925926004</v>
      </c>
      <c r="O40" s="553">
        <v>25.321710740740698</v>
      </c>
      <c r="P40" s="554">
        <v>0</v>
      </c>
      <c r="Q40" s="504">
        <v>111</v>
      </c>
      <c r="R40" s="526">
        <v>511</v>
      </c>
      <c r="S40" s="333">
        <f>IF(CampList[[#This Row],[HH]]&gt;0,CampList[[#This Row],[Total]]/CampList[[#This Row],[HH]],"NA")</f>
        <v>4.6036036036036032</v>
      </c>
      <c r="T40" s="576" t="s">
        <v>513</v>
      </c>
      <c r="U40" s="334" t="s">
        <v>1204</v>
      </c>
      <c r="V40" s="219" t="s">
        <v>556</v>
      </c>
      <c r="W40" s="557" t="s">
        <v>862</v>
      </c>
      <c r="X40" s="558">
        <v>40695</v>
      </c>
      <c r="Y40" s="559">
        <v>2</v>
      </c>
      <c r="Z40" s="558" t="s">
        <v>507</v>
      </c>
      <c r="AA40" s="516" t="s">
        <v>848</v>
      </c>
      <c r="AB40" s="219"/>
      <c r="AC40" s="574">
        <v>42387</v>
      </c>
      <c r="AD40" s="518" t="s">
        <v>1402</v>
      </c>
      <c r="AE40" s="559" t="s">
        <v>1100</v>
      </c>
      <c r="AF40" s="233">
        <f>IF(CampList[[#This Row],[Type of Accomodation]]="camp",MAX(0,CampList[[#This Row],[HH]]-SUMIF(Table_Shelter[Pcode],CampList[[#This Row],[CP_Pcode]],Table_Shelter[HH Covered])),0)</f>
        <v>6</v>
      </c>
      <c r="AG40" s="218"/>
      <c r="AH40" s="218">
        <f>MIN(CampList[[#This Row],[Shelter Gap]],CampList[[#This Row],[Land Status]])</f>
        <v>6</v>
      </c>
      <c r="AI40" s="218" t="str">
        <f ca="1">IFERROR(OFFSET(DistanceToCamp[Nearest Town],MATCH(CampList[[#This Row],[CP_Pcode]],DistanceToCamp[CP_Pcode],0)-1,0,1,1),"")</f>
        <v>Waingmaw Town</v>
      </c>
      <c r="AJ40" s="561">
        <f ca="1">IFERROR(OFFSET(DistanceToCamp[distance],MATCH(CampList[[#This Row],[CP_Pcode]],DistanceToCamp[CP_Pcode],0)-1,0,1,1),"")</f>
        <v>5.0655036329811631</v>
      </c>
      <c r="AK40" s="337">
        <f ca="1">IFERROR(INT(CampList[[#This Row],[Distance]]/5)+1,"")</f>
        <v>2</v>
      </c>
      <c r="AL40" s="721"/>
      <c r="AM40" s="721"/>
      <c r="AN40" s="721"/>
      <c r="BD40" s="5"/>
      <c r="BE40" s="5"/>
    </row>
    <row r="41" spans="1:57" s="4" customFormat="1" ht="15.6" customHeight="1" x14ac:dyDescent="0.25">
      <c r="A41" s="585" t="s">
        <v>502</v>
      </c>
      <c r="B41" s="522" t="s">
        <v>380</v>
      </c>
      <c r="C41" s="522" t="s">
        <v>527</v>
      </c>
      <c r="D41" s="522" t="s">
        <v>237</v>
      </c>
      <c r="E41" s="522" t="s">
        <v>533</v>
      </c>
      <c r="F41" s="522" t="s">
        <v>310</v>
      </c>
      <c r="G41" s="520" t="s">
        <v>534</v>
      </c>
      <c r="H41" s="577" t="s">
        <v>1144</v>
      </c>
      <c r="I41" s="520" t="s">
        <v>1266</v>
      </c>
      <c r="J41" s="571"/>
      <c r="K41" s="582"/>
      <c r="L41" s="569" t="s">
        <v>336</v>
      </c>
      <c r="M41" s="522" t="s">
        <v>335</v>
      </c>
      <c r="N41" s="553">
        <v>97.807182999999995</v>
      </c>
      <c r="O41" s="553">
        <v>25.200333000000001</v>
      </c>
      <c r="P41" s="554">
        <v>1023</v>
      </c>
      <c r="Q41" s="504">
        <v>154</v>
      </c>
      <c r="R41" s="526">
        <v>1153</v>
      </c>
      <c r="S41" s="333">
        <f>IF(CampList[[#This Row],[HH]]&gt;0,CampList[[#This Row],[Total]]/CampList[[#This Row],[HH]],"NA")</f>
        <v>7.4870129870129869</v>
      </c>
      <c r="T41" s="576" t="s">
        <v>515</v>
      </c>
      <c r="U41" s="557" t="s">
        <v>1204</v>
      </c>
      <c r="V41" s="522" t="s">
        <v>556</v>
      </c>
      <c r="W41" s="522" t="s">
        <v>862</v>
      </c>
      <c r="X41" s="558">
        <v>40878</v>
      </c>
      <c r="Y41" s="559">
        <v>3</v>
      </c>
      <c r="Z41" s="558" t="s">
        <v>462</v>
      </c>
      <c r="AA41" s="511" t="s">
        <v>848</v>
      </c>
      <c r="AB41" s="522"/>
      <c r="AC41" s="574">
        <v>42397</v>
      </c>
      <c r="AD41" s="518" t="s">
        <v>1415</v>
      </c>
      <c r="AE41" s="559" t="s">
        <v>1084</v>
      </c>
      <c r="AF41" s="530">
        <f>IF(CampList[[#This Row],[Type of Accomodation]]="camp",MAX(0,CampList[[#This Row],[HH]]-SUMIF(Table_Shelter[Pcode],CampList[[#This Row],[CP_Pcode]],Table_Shelter[HH Covered])),0)</f>
        <v>54</v>
      </c>
      <c r="AG41" s="520"/>
      <c r="AH41" s="520">
        <f>MIN(CampList[[#This Row],[Shelter Gap]],CampList[[#This Row],[Land Status]])</f>
        <v>54</v>
      </c>
      <c r="AI41" s="520" t="str">
        <f ca="1">IFERROR(OFFSET(DistanceToCamp[Nearest Town],MATCH(CampList[[#This Row],[CP_Pcode]],DistanceToCamp[CP_Pcode],0)-1,0,1,1),"")</f>
        <v>Sadung Town</v>
      </c>
      <c r="AJ41" s="561">
        <f ca="1">IFERROR(OFFSET(DistanceToCamp[distance],MATCH(CampList[[#This Row],[CP_Pcode]],DistanceToCamp[CP_Pcode],0)-1,0,1,1),"")</f>
        <v>21.287604662770121</v>
      </c>
      <c r="AK41" s="562">
        <f ca="1">IFERROR(INT(CampList[[#This Row],[Distance]]/5)+1,"")</f>
        <v>5</v>
      </c>
      <c r="AL41" s="721"/>
      <c r="AM41" s="721"/>
      <c r="AN41" s="721"/>
      <c r="BD41" s="5"/>
      <c r="BE41" s="5"/>
    </row>
    <row r="42" spans="1:57" s="4" customFormat="1" ht="15.6" customHeight="1" x14ac:dyDescent="0.25">
      <c r="A42" s="550" t="s">
        <v>502</v>
      </c>
      <c r="B42" s="219" t="s">
        <v>380</v>
      </c>
      <c r="C42" s="522" t="s">
        <v>527</v>
      </c>
      <c r="D42" s="522" t="s">
        <v>180</v>
      </c>
      <c r="E42" s="522" t="s">
        <v>528</v>
      </c>
      <c r="F42" s="522" t="s">
        <v>529</v>
      </c>
      <c r="G42" s="218" t="s">
        <v>530</v>
      </c>
      <c r="H42" s="522" t="s">
        <v>1139</v>
      </c>
      <c r="I42" s="520" t="s">
        <v>1269</v>
      </c>
      <c r="J42" s="522"/>
      <c r="K42" s="552"/>
      <c r="L42" s="569" t="s">
        <v>88</v>
      </c>
      <c r="M42" s="219" t="s">
        <v>87</v>
      </c>
      <c r="N42" s="553">
        <v>96.705960000000005</v>
      </c>
      <c r="O42" s="553">
        <v>25.51352</v>
      </c>
      <c r="P42" s="554">
        <v>0</v>
      </c>
      <c r="Q42" s="504">
        <v>12</v>
      </c>
      <c r="R42" s="526">
        <v>52</v>
      </c>
      <c r="S42" s="333">
        <f>IF(CampList[[#This Row],[HH]]&gt;0,CampList[[#This Row],[Total]]/CampList[[#This Row],[HH]],"NA")</f>
        <v>4.333333333333333</v>
      </c>
      <c r="T42" s="576" t="s">
        <v>513</v>
      </c>
      <c r="U42" s="334" t="s">
        <v>1204</v>
      </c>
      <c r="V42" s="219" t="s">
        <v>556</v>
      </c>
      <c r="W42" s="522" t="s">
        <v>808</v>
      </c>
      <c r="X42" s="558">
        <v>41183</v>
      </c>
      <c r="Y42" s="559">
        <v>1</v>
      </c>
      <c r="Z42" s="558" t="s">
        <v>462</v>
      </c>
      <c r="AA42" s="511" t="s">
        <v>848</v>
      </c>
      <c r="AB42" s="219"/>
      <c r="AC42" s="574">
        <v>42397</v>
      </c>
      <c r="AD42" s="518" t="s">
        <v>1417</v>
      </c>
      <c r="AE42" s="559" t="s">
        <v>1100</v>
      </c>
      <c r="AF42" s="233">
        <f>IF(CampList[[#This Row],[Type of Accomodation]]="camp",MAX(0,CampList[[#This Row],[HH]]-SUMIF(Table_Shelter[Pcode],CampList[[#This Row],[CP_Pcode]],Table_Shelter[HH Covered])),0)</f>
        <v>12</v>
      </c>
      <c r="AG42" s="520"/>
      <c r="AH42" s="218">
        <f>MIN(CampList[[#This Row],[Shelter Gap]],CampList[[#This Row],[Land Status]])</f>
        <v>12</v>
      </c>
      <c r="AI42" s="218" t="str">
        <f ca="1">IFERROR(OFFSET(DistanceToCamp[Nearest Town],MATCH(CampList[[#This Row],[CP_Pcode]],DistanceToCamp[CP_Pcode],0)-1,0,1,1),"")</f>
        <v>Kamaing Town</v>
      </c>
      <c r="AJ42" s="561">
        <f ca="1">IFERROR(OFFSET(DistanceToCamp[distance],MATCH(CampList[[#This Row],[CP_Pcode]],DistanceToCamp[CP_Pcode],0)-1,0,1,1),"")</f>
        <v>1.1537462444167914</v>
      </c>
      <c r="AK42" s="337">
        <f ca="1">IFERROR(INT(CampList[[#This Row],[Distance]]/5)+1,"")</f>
        <v>1</v>
      </c>
      <c r="AL42" s="721"/>
      <c r="AM42" s="721"/>
      <c r="AN42" s="721"/>
      <c r="BD42" s="5"/>
      <c r="BE42" s="5"/>
    </row>
    <row r="43" spans="1:57" s="4" customFormat="1" ht="15.6" customHeight="1" x14ac:dyDescent="0.25">
      <c r="A43" s="550" t="s">
        <v>502</v>
      </c>
      <c r="B43" s="522" t="s">
        <v>380</v>
      </c>
      <c r="C43" s="522" t="s">
        <v>527</v>
      </c>
      <c r="D43" s="522" t="s">
        <v>180</v>
      </c>
      <c r="E43" s="522" t="s">
        <v>528</v>
      </c>
      <c r="F43" s="522" t="s">
        <v>529</v>
      </c>
      <c r="G43" s="218" t="s">
        <v>530</v>
      </c>
      <c r="H43" s="551" t="s">
        <v>605</v>
      </c>
      <c r="I43" s="551" t="s">
        <v>606</v>
      </c>
      <c r="J43" s="551" t="s">
        <v>609</v>
      </c>
      <c r="K43" s="552" t="s">
        <v>610</v>
      </c>
      <c r="L43" s="522" t="s">
        <v>44</v>
      </c>
      <c r="M43" s="522" t="s">
        <v>45</v>
      </c>
      <c r="N43" s="553">
        <v>96.316564</v>
      </c>
      <c r="O43" s="553">
        <v>25.615960999999999</v>
      </c>
      <c r="P43" s="554">
        <v>281</v>
      </c>
      <c r="Q43" s="504">
        <v>13</v>
      </c>
      <c r="R43" s="526">
        <v>75</v>
      </c>
      <c r="S43" s="333">
        <f>IF(CampList[[#This Row],[HH]]&gt;0,CampList[[#This Row],[Total]]/CampList[[#This Row],[HH]],"NA")</f>
        <v>5.7692307692307692</v>
      </c>
      <c r="T43" s="576" t="s">
        <v>513</v>
      </c>
      <c r="U43" s="334" t="s">
        <v>1204</v>
      </c>
      <c r="V43" s="522" t="s">
        <v>556</v>
      </c>
      <c r="W43" s="522" t="s">
        <v>808</v>
      </c>
      <c r="X43" s="558">
        <v>41122</v>
      </c>
      <c r="Y43" s="559">
        <v>1</v>
      </c>
      <c r="Z43" s="558" t="s">
        <v>507</v>
      </c>
      <c r="AA43" s="516" t="s">
        <v>848</v>
      </c>
      <c r="AB43" s="522"/>
      <c r="AC43" s="574">
        <v>42317</v>
      </c>
      <c r="AD43" s="518" t="s">
        <v>1341</v>
      </c>
      <c r="AE43" s="559" t="s">
        <v>1100</v>
      </c>
      <c r="AF43" s="233">
        <f>IF(CampList[[#This Row],[Type of Accomodation]]="camp",MAX(0,CampList[[#This Row],[HH]]-SUMIF(Table_Shelter[Pcode],CampList[[#This Row],[CP_Pcode]],Table_Shelter[HH Covered])),0)</f>
        <v>0</v>
      </c>
      <c r="AG43" s="520"/>
      <c r="AH43" s="218">
        <f>MIN(CampList[[#This Row],[Shelter Gap]],CampList[[#This Row],[Land Status]])</f>
        <v>0</v>
      </c>
      <c r="AI43" s="218" t="str">
        <f ca="1">IFERROR(OFFSET(DistanceToCamp[Nearest Town],MATCH(CampList[[#This Row],[CP_Pcode]],DistanceToCamp[CP_Pcode],0)-1,0,1,1),"")</f>
        <v>Hpakant Town</v>
      </c>
      <c r="AJ43" s="336">
        <f ca="1">IFERROR(OFFSET(DistanceToCamp[distance],MATCH(CampList[[#This Row],[CP_Pcode]],DistanceToCamp[CP_Pcode],0)-1,0,1,1),"")</f>
        <v>0.56771790814545575</v>
      </c>
      <c r="AK43" s="337">
        <f ca="1">IFERROR(INT(CampList[[#This Row],[Distance]]/5)+1,"")</f>
        <v>1</v>
      </c>
      <c r="AL43" s="721"/>
      <c r="AM43" s="721"/>
      <c r="AN43" s="721"/>
      <c r="BD43" s="5"/>
      <c r="BE43" s="5"/>
    </row>
    <row r="44" spans="1:57" s="4" customFormat="1" ht="15.6" hidden="1" customHeight="1" x14ac:dyDescent="0.25">
      <c r="A44" s="550" t="s">
        <v>849</v>
      </c>
      <c r="B44" s="522" t="s">
        <v>380</v>
      </c>
      <c r="C44" s="522" t="s">
        <v>527</v>
      </c>
      <c r="D44" s="522" t="s">
        <v>180</v>
      </c>
      <c r="E44" s="522" t="s">
        <v>528</v>
      </c>
      <c r="F44" s="522" t="s">
        <v>529</v>
      </c>
      <c r="G44" s="218" t="s">
        <v>530</v>
      </c>
      <c r="H44" s="551" t="s">
        <v>605</v>
      </c>
      <c r="I44" s="551" t="s">
        <v>606</v>
      </c>
      <c r="J44" s="551" t="s">
        <v>609</v>
      </c>
      <c r="K44" s="552" t="s">
        <v>610</v>
      </c>
      <c r="L44" s="522" t="s">
        <v>56</v>
      </c>
      <c r="M44" s="522" t="s">
        <v>55</v>
      </c>
      <c r="N44" s="563"/>
      <c r="O44" s="563"/>
      <c r="P44" s="564"/>
      <c r="Q44" s="504">
        <v>0</v>
      </c>
      <c r="R44" s="526">
        <v>0</v>
      </c>
      <c r="S44" s="333" t="str">
        <f>IF(CampList[[#This Row],[HH]]&gt;0,CampList[[#This Row],[Total]]/CampList[[#This Row],[HH]],"NA")</f>
        <v>NA</v>
      </c>
      <c r="T44" s="556" t="s">
        <v>513</v>
      </c>
      <c r="U44" s="334" t="s">
        <v>1204</v>
      </c>
      <c r="V44" s="522" t="s">
        <v>556</v>
      </c>
      <c r="W44" s="557"/>
      <c r="X44" s="565"/>
      <c r="Y44" s="566"/>
      <c r="Z44" s="557"/>
      <c r="AA44" s="510"/>
      <c r="AB44" s="522"/>
      <c r="AC44" s="567"/>
      <c r="AD44" s="518"/>
      <c r="AE44" s="566" t="s">
        <v>1014</v>
      </c>
      <c r="AF44" s="530">
        <f>IF(CampList[[#This Row],[Type of Accomodation]]="camp",MAX(0,CampList[[#This Row],[HH]]-SUMIF(Table_Shelter[Pcode],CampList[[#This Row],[CP_Pcode]],Table_Shelter[HH Covered])),0)</f>
        <v>0</v>
      </c>
      <c r="AG44" s="520"/>
      <c r="AH44" s="218">
        <f>MIN(CampList[[#This Row],[Shelter Gap]],CampList[[#This Row],[Land Status]])</f>
        <v>0</v>
      </c>
      <c r="AI44" s="218" t="str">
        <f ca="1">IFERROR(OFFSET(DistanceToCamp[Nearest Town],MATCH(CampList[[#This Row],[CP_Pcode]],DistanceToCamp[CP_Pcode],0)-1,0,1,1),"")</f>
        <v/>
      </c>
      <c r="AJ44" s="561" t="str">
        <f ca="1">IFERROR(OFFSET(DistanceToCamp[distance],MATCH(CampList[[#This Row],[CP_Pcode]],DistanceToCamp[CP_Pcode],0)-1,0,1,1),"")</f>
        <v/>
      </c>
      <c r="AK44" s="562" t="str">
        <f ca="1">IFERROR(INT(CampList[[#This Row],[Distance]]/5)+1,"")</f>
        <v/>
      </c>
      <c r="AL44" s="721"/>
      <c r="AM44" s="721"/>
      <c r="AN44" s="721"/>
      <c r="BD44" s="5"/>
      <c r="BE44" s="5"/>
    </row>
    <row r="45" spans="1:57" s="4" customFormat="1" ht="15.6" customHeight="1" x14ac:dyDescent="0.25">
      <c r="A45" s="550" t="s">
        <v>502</v>
      </c>
      <c r="B45" s="520" t="s">
        <v>380</v>
      </c>
      <c r="C45" s="520" t="s">
        <v>527</v>
      </c>
      <c r="D45" s="520" t="s">
        <v>180</v>
      </c>
      <c r="E45" s="520" t="s">
        <v>528</v>
      </c>
      <c r="F45" s="520" t="s">
        <v>180</v>
      </c>
      <c r="G45" s="218" t="s">
        <v>553</v>
      </c>
      <c r="H45" s="520" t="s">
        <v>1140</v>
      </c>
      <c r="I45" s="520" t="s">
        <v>1268</v>
      </c>
      <c r="J45" s="520"/>
      <c r="K45" s="520"/>
      <c r="L45" s="520" t="s">
        <v>1170</v>
      </c>
      <c r="M45" s="520" t="s">
        <v>1172</v>
      </c>
      <c r="N45" s="503">
        <v>96.52534</v>
      </c>
      <c r="O45" s="503">
        <v>24.996279999999999</v>
      </c>
      <c r="P45" s="564"/>
      <c r="Q45" s="506">
        <v>36</v>
      </c>
      <c r="R45" s="527">
        <v>153</v>
      </c>
      <c r="S45" s="333">
        <f>IF(CampList[[#This Row],[HH]]&gt;0,CampList[[#This Row],[Total]]/CampList[[#This Row],[HH]],"NA")</f>
        <v>4.25</v>
      </c>
      <c r="T45" s="576" t="s">
        <v>513</v>
      </c>
      <c r="U45" s="334" t="s">
        <v>1204</v>
      </c>
      <c r="V45" s="518" t="s">
        <v>12</v>
      </c>
      <c r="W45" s="522"/>
      <c r="X45" s="572"/>
      <c r="Y45" s="566"/>
      <c r="Z45" s="557"/>
      <c r="AA45" s="515" t="s">
        <v>848</v>
      </c>
      <c r="AB45" s="520"/>
      <c r="AC45" s="574">
        <v>42082</v>
      </c>
      <c r="AD45" s="520" t="s">
        <v>1252</v>
      </c>
      <c r="AE45" s="559"/>
      <c r="AF45" s="593">
        <f>IF(CampList[[#This Row],[Type of Accomodation]]="camp",MAX(0,CampList[[#This Row],[HH]]-SUMIF(Table_Shelter[Pcode],CampList[[#This Row],[CP_Pcode]],Table_Shelter[HH Covered])),0)</f>
        <v>0</v>
      </c>
      <c r="AG45" s="218"/>
      <c r="AH45" s="218">
        <f>MIN(CampList[[#This Row],[Shelter Gap]],CampList[[#This Row],[Land Status]])</f>
        <v>0</v>
      </c>
      <c r="AI45" s="218" t="str">
        <f ca="1">IFERROR(OFFSET(DistanceToCamp[Nearest Town],MATCH(CampList[[#This Row],[CP_Pcode]],DistanceToCamp[CP_Pcode],0)-1,0,1,1),"")</f>
        <v/>
      </c>
      <c r="AJ45" s="561" t="str">
        <f ca="1">IFERROR(OFFSET(DistanceToCamp[distance],MATCH(CampList[[#This Row],[CP_Pcode]],DistanceToCamp[CP_Pcode],0)-1,0,1,1),"")</f>
        <v/>
      </c>
      <c r="AK45" s="562" t="str">
        <f ca="1">IFERROR(INT(CampList[[#This Row],[Distance]]/5)+1,"")</f>
        <v/>
      </c>
      <c r="AL45" s="721"/>
      <c r="AM45" s="721"/>
      <c r="AN45" s="721"/>
      <c r="BD45" s="5"/>
      <c r="BE45" s="5"/>
    </row>
    <row r="46" spans="1:57" s="4" customFormat="1" ht="15.6" customHeight="1" x14ac:dyDescent="0.25">
      <c r="A46" s="550" t="s">
        <v>502</v>
      </c>
      <c r="B46" s="522" t="s">
        <v>380</v>
      </c>
      <c r="C46" s="522" t="s">
        <v>527</v>
      </c>
      <c r="D46" s="522" t="s">
        <v>5</v>
      </c>
      <c r="E46" s="522" t="s">
        <v>531</v>
      </c>
      <c r="F46" s="522" t="s">
        <v>5</v>
      </c>
      <c r="G46" s="218" t="s">
        <v>532</v>
      </c>
      <c r="H46" s="551" t="s">
        <v>639</v>
      </c>
      <c r="I46" s="551" t="s">
        <v>640</v>
      </c>
      <c r="J46" s="522"/>
      <c r="K46" s="568"/>
      <c r="L46" s="569" t="s">
        <v>12</v>
      </c>
      <c r="M46" s="219" t="s">
        <v>11</v>
      </c>
      <c r="N46" s="563">
        <v>97.228835000000004</v>
      </c>
      <c r="O46" s="563">
        <v>24.263786</v>
      </c>
      <c r="P46" s="564"/>
      <c r="Q46" s="504">
        <v>211</v>
      </c>
      <c r="R46" s="526">
        <v>989</v>
      </c>
      <c r="S46" s="333">
        <f>IF(CampList[[#This Row],[HH]]&gt;0,CampList[[#This Row],[Total]]/CampList[[#This Row],[HH]],"NA")</f>
        <v>4.6872037914691944</v>
      </c>
      <c r="T46" s="576" t="s">
        <v>513</v>
      </c>
      <c r="U46" s="334" t="s">
        <v>1204</v>
      </c>
      <c r="V46" s="518" t="s">
        <v>12</v>
      </c>
      <c r="W46" s="522" t="s">
        <v>808</v>
      </c>
      <c r="X46" s="565"/>
      <c r="Y46" s="566"/>
      <c r="Z46" s="557"/>
      <c r="AA46" s="511" t="s">
        <v>848</v>
      </c>
      <c r="AB46" s="522"/>
      <c r="AC46" s="587">
        <v>42317</v>
      </c>
      <c r="AD46" s="518" t="s">
        <v>1353</v>
      </c>
      <c r="AE46" s="566" t="s">
        <v>1100</v>
      </c>
      <c r="AF46" s="233">
        <f>IF(CampList[[#This Row],[Type of Accomodation]]="camp",MAX(0,CampList[[#This Row],[HH]]-SUMIF(Table_Shelter[Pcode],CampList[[#This Row],[CP_Pcode]],Table_Shelter[HH Covered])),0)</f>
        <v>0</v>
      </c>
      <c r="AG46" s="218"/>
      <c r="AH46" s="218">
        <f>MIN(CampList[[#This Row],[Shelter Gap]],CampList[[#This Row],[Land Status]])</f>
        <v>0</v>
      </c>
      <c r="AI46" s="218" t="str">
        <f ca="1">IFERROR(OFFSET(DistanceToCamp[Nearest Town],MATCH(CampList[[#This Row],[CP_Pcode]],DistanceToCamp[CP_Pcode],0)-1,0,1,1),"")</f>
        <v>Bhamo Town</v>
      </c>
      <c r="AJ46" s="561">
        <f ca="1">IFERROR(OFFSET(DistanceToCamp[distance],MATCH(CampList[[#This Row],[CP_Pcode]],DistanceToCamp[CP_Pcode],0)-1,0,1,1),"")</f>
        <v>1.1354007641426449</v>
      </c>
      <c r="AK46" s="562">
        <f ca="1">IFERROR(INT(CampList[[#This Row],[Distance]]/5)+1,"")</f>
        <v>1</v>
      </c>
      <c r="AL46" s="721"/>
      <c r="AM46" s="721"/>
      <c r="AN46" s="721"/>
      <c r="BD46" s="5"/>
      <c r="BE46" s="5"/>
    </row>
    <row r="47" spans="1:57" s="4" customFormat="1" ht="15.6" customHeight="1" x14ac:dyDescent="0.25">
      <c r="A47" s="332" t="s">
        <v>502</v>
      </c>
      <c r="B47" s="219" t="s">
        <v>380</v>
      </c>
      <c r="C47" s="522" t="s">
        <v>527</v>
      </c>
      <c r="D47" s="522" t="s">
        <v>5</v>
      </c>
      <c r="E47" s="522" t="s">
        <v>531</v>
      </c>
      <c r="F47" s="522" t="s">
        <v>151</v>
      </c>
      <c r="G47" s="218" t="s">
        <v>541</v>
      </c>
      <c r="H47" s="551" t="s">
        <v>652</v>
      </c>
      <c r="I47" s="551" t="s">
        <v>653</v>
      </c>
      <c r="J47" s="522"/>
      <c r="K47" s="568"/>
      <c r="L47" s="522" t="s">
        <v>12</v>
      </c>
      <c r="M47" s="219" t="s">
        <v>391</v>
      </c>
      <c r="N47" s="563">
        <v>97.298055000000005</v>
      </c>
      <c r="O47" s="563">
        <v>24.118618999999999</v>
      </c>
      <c r="P47" s="564"/>
      <c r="Q47" s="504">
        <v>76</v>
      </c>
      <c r="R47" s="526">
        <v>256</v>
      </c>
      <c r="S47" s="333">
        <f>IF(CampList[[#This Row],[HH]]&gt;0,CampList[[#This Row],[Total]]/CampList[[#This Row],[HH]],"NA")</f>
        <v>3.3684210526315788</v>
      </c>
      <c r="T47" s="576" t="s">
        <v>513</v>
      </c>
      <c r="U47" s="334" t="s">
        <v>1204</v>
      </c>
      <c r="V47" s="518" t="s">
        <v>12</v>
      </c>
      <c r="W47" s="522" t="s">
        <v>808</v>
      </c>
      <c r="X47" s="565"/>
      <c r="Y47" s="566"/>
      <c r="Z47" s="557"/>
      <c r="AA47" s="511" t="s">
        <v>848</v>
      </c>
      <c r="AB47" s="219"/>
      <c r="AC47" s="587">
        <v>42317</v>
      </c>
      <c r="AD47" s="518" t="s">
        <v>1355</v>
      </c>
      <c r="AE47" s="566" t="s">
        <v>1100</v>
      </c>
      <c r="AF47" s="233">
        <f>IF(CampList[[#This Row],[Type of Accomodation]]="camp",MAX(0,CampList[[#This Row],[HH]]-SUMIF(Table_Shelter[Pcode],CampList[[#This Row],[CP_Pcode]],Table_Shelter[HH Covered])),0)</f>
        <v>0</v>
      </c>
      <c r="AG47" s="218"/>
      <c r="AH47" s="218">
        <f>MIN(CampList[[#This Row],[Shelter Gap]],CampList[[#This Row],[Land Status]])</f>
        <v>0</v>
      </c>
      <c r="AI47" s="218" t="str">
        <f ca="1">IFERROR(OFFSET(DistanceToCamp[Nearest Town],MATCH(CampList[[#This Row],[CP_Pcode]],DistanceToCamp[CP_Pcode],0)-1,0,1,1),"")</f>
        <v>Mansi Town</v>
      </c>
      <c r="AJ47" s="561">
        <f ca="1">IFERROR(OFFSET(DistanceToCamp[distance],MATCH(CampList[[#This Row],[CP_Pcode]],DistanceToCamp[CP_Pcode],0)-1,0,1,1),"")</f>
        <v>0.51447052329458698</v>
      </c>
      <c r="AK47" s="562">
        <f ca="1">IFERROR(INT(CampList[[#This Row],[Distance]]/5)+1,"")</f>
        <v>1</v>
      </c>
      <c r="AL47" s="721"/>
      <c r="AM47" s="721"/>
      <c r="AN47" s="721"/>
      <c r="BD47" s="5"/>
      <c r="BE47" s="5"/>
    </row>
    <row r="48" spans="1:57" s="4" customFormat="1" ht="15.6" customHeight="1" x14ac:dyDescent="0.25">
      <c r="A48" s="550" t="s">
        <v>502</v>
      </c>
      <c r="B48" s="522" t="s">
        <v>380</v>
      </c>
      <c r="C48" s="522" t="s">
        <v>527</v>
      </c>
      <c r="D48" s="522" t="s">
        <v>5</v>
      </c>
      <c r="E48" s="522" t="s">
        <v>531</v>
      </c>
      <c r="F48" s="522" t="s">
        <v>185</v>
      </c>
      <c r="G48" s="218" t="s">
        <v>535</v>
      </c>
      <c r="H48" s="577" t="s">
        <v>664</v>
      </c>
      <c r="I48" s="577" t="s">
        <v>665</v>
      </c>
      <c r="J48" s="522"/>
      <c r="K48" s="568"/>
      <c r="L48" s="569" t="s">
        <v>12</v>
      </c>
      <c r="M48" s="219" t="s">
        <v>392</v>
      </c>
      <c r="N48" s="563">
        <v>97.348405</v>
      </c>
      <c r="O48" s="563">
        <v>24.251232000000002</v>
      </c>
      <c r="P48" s="564"/>
      <c r="Q48" s="104">
        <v>320</v>
      </c>
      <c r="R48" s="232">
        <v>1125</v>
      </c>
      <c r="S48" s="333">
        <f>IF(CampList[[#This Row],[HH]]&gt;0,CampList[[#This Row],[Total]]/CampList[[#This Row],[HH]],"NA")</f>
        <v>3.515625</v>
      </c>
      <c r="T48" s="576" t="s">
        <v>513</v>
      </c>
      <c r="U48" s="334" t="s">
        <v>1204</v>
      </c>
      <c r="V48" s="518" t="s">
        <v>12</v>
      </c>
      <c r="W48" s="522" t="s">
        <v>808</v>
      </c>
      <c r="X48" s="565"/>
      <c r="Y48" s="566"/>
      <c r="Z48" s="557"/>
      <c r="AA48" s="510" t="s">
        <v>847</v>
      </c>
      <c r="AB48" s="522"/>
      <c r="AC48" s="587">
        <v>42317</v>
      </c>
      <c r="AD48" s="518" t="s">
        <v>1354</v>
      </c>
      <c r="AE48" s="566" t="s">
        <v>1100</v>
      </c>
      <c r="AF48" s="233">
        <f>IF(CampList[[#This Row],[Type of Accomodation]]="camp",MAX(0,CampList[[#This Row],[HH]]-SUMIF(Table_Shelter[Pcode],CampList[[#This Row],[CP_Pcode]],Table_Shelter[HH Covered])),0)</f>
        <v>0</v>
      </c>
      <c r="AG48" s="218"/>
      <c r="AH48" s="218">
        <f>MIN(CampList[[#This Row],[Shelter Gap]],CampList[[#This Row],[Land Status]])</f>
        <v>0</v>
      </c>
      <c r="AI48" s="218" t="str">
        <f ca="1">IFERROR(OFFSET(DistanceToCamp[Nearest Town],MATCH(CampList[[#This Row],[CP_Pcode]],DistanceToCamp[CP_Pcode],0)-1,0,1,1),"")</f>
        <v>Momauk Town</v>
      </c>
      <c r="AJ48" s="561">
        <f ca="1">IFERROR(OFFSET(DistanceToCamp[distance],MATCH(CampList[[#This Row],[CP_Pcode]],DistanceToCamp[CP_Pcode],0)-1,0,1,1),"")</f>
        <v>0.60629049139006752</v>
      </c>
      <c r="AK48" s="337">
        <f ca="1">IFERROR(INT(CampList[[#This Row],[Distance]]/5)+1,"")</f>
        <v>1</v>
      </c>
      <c r="AL48" s="721"/>
      <c r="AM48" s="721"/>
      <c r="AN48" s="721"/>
      <c r="BD48" s="5"/>
      <c r="BE48" s="5"/>
    </row>
    <row r="49" spans="1:57" s="4" customFormat="1" ht="15.6" customHeight="1" x14ac:dyDescent="0.25">
      <c r="A49" s="585" t="s">
        <v>502</v>
      </c>
      <c r="B49" s="522" t="s">
        <v>380</v>
      </c>
      <c r="C49" s="522" t="s">
        <v>527</v>
      </c>
      <c r="D49" s="522" t="s">
        <v>5</v>
      </c>
      <c r="E49" s="522" t="s">
        <v>531</v>
      </c>
      <c r="F49" s="522" t="s">
        <v>302</v>
      </c>
      <c r="G49" s="218" t="s">
        <v>542</v>
      </c>
      <c r="H49" s="577" t="s">
        <v>623</v>
      </c>
      <c r="I49" s="577" t="s">
        <v>624</v>
      </c>
      <c r="J49" s="522"/>
      <c r="K49" s="568"/>
      <c r="L49" s="522" t="s">
        <v>12</v>
      </c>
      <c r="M49" s="219" t="s">
        <v>394</v>
      </c>
      <c r="N49" s="563">
        <v>96.793177</v>
      </c>
      <c r="O49" s="563">
        <v>24.224830999999998</v>
      </c>
      <c r="P49" s="564"/>
      <c r="Q49" s="104">
        <v>9</v>
      </c>
      <c r="R49" s="232">
        <v>30</v>
      </c>
      <c r="S49" s="333">
        <f>IF(CampList[[#This Row],[HH]]&gt;0,CampList[[#This Row],[Total]]/CampList[[#This Row],[HH]],"NA")</f>
        <v>3.3333333333333335</v>
      </c>
      <c r="T49" s="576" t="s">
        <v>513</v>
      </c>
      <c r="U49" s="334" t="s">
        <v>1204</v>
      </c>
      <c r="V49" s="683" t="s">
        <v>12</v>
      </c>
      <c r="W49" s="522" t="s">
        <v>808</v>
      </c>
      <c r="X49" s="565"/>
      <c r="Y49" s="566"/>
      <c r="Z49" s="557"/>
      <c r="AA49" s="510" t="s">
        <v>847</v>
      </c>
      <c r="AB49" s="522"/>
      <c r="AC49" s="574"/>
      <c r="AD49" s="683"/>
      <c r="AE49" s="566" t="s">
        <v>1100</v>
      </c>
      <c r="AF49" s="233">
        <f>IF(CampList[[#This Row],[Type of Accomodation]]="camp",MAX(0,CampList[[#This Row],[HH]]-SUMIF(Table_Shelter[Pcode],CampList[[#This Row],[CP_Pcode]],Table_Shelter[HH Covered])),0)</f>
        <v>0</v>
      </c>
      <c r="AG49" s="218"/>
      <c r="AH49" s="218">
        <f>MIN(CampList[[#This Row],[Shelter Gap]],CampList[[#This Row],[Land Status]])</f>
        <v>0</v>
      </c>
      <c r="AI49" s="218" t="str">
        <f ca="1">IFERROR(OFFSET(DistanceToCamp[Nearest Town],MATCH(CampList[[#This Row],[CP_Pcode]],DistanceToCamp[CP_Pcode],0)-1,0,1,1),"")</f>
        <v>Shwegu Town</v>
      </c>
      <c r="AJ49" s="561">
        <f ca="1">IFERROR(OFFSET(DistanceToCamp[distance],MATCH(CampList[[#This Row],[CP_Pcode]],DistanceToCamp[CP_Pcode],0)-1,0,1,1),"")</f>
        <v>2.3794331620169178</v>
      </c>
      <c r="AK49" s="337">
        <f ca="1">IFERROR(INT(CampList[[#This Row],[Distance]]/5)+1,"")</f>
        <v>1</v>
      </c>
      <c r="AL49" s="721"/>
      <c r="AM49" s="721"/>
      <c r="AN49" s="721"/>
      <c r="BD49" s="5"/>
      <c r="BE49" s="5"/>
    </row>
    <row r="50" spans="1:57" s="4" customFormat="1" ht="15.6" customHeight="1" x14ac:dyDescent="0.25">
      <c r="A50" s="550" t="s">
        <v>502</v>
      </c>
      <c r="B50" s="522" t="s">
        <v>555</v>
      </c>
      <c r="C50" s="520" t="s">
        <v>538</v>
      </c>
      <c r="D50" s="520" t="s">
        <v>230</v>
      </c>
      <c r="E50" s="520" t="s">
        <v>544</v>
      </c>
      <c r="F50" s="520" t="s">
        <v>230</v>
      </c>
      <c r="G50" s="218" t="s">
        <v>545</v>
      </c>
      <c r="H50" s="520" t="s">
        <v>1079</v>
      </c>
      <c r="I50" s="520" t="s">
        <v>1080</v>
      </c>
      <c r="J50" s="520" t="s">
        <v>1081</v>
      </c>
      <c r="K50" s="568"/>
      <c r="L50" s="522" t="s">
        <v>169</v>
      </c>
      <c r="M50" s="219" t="s">
        <v>168</v>
      </c>
      <c r="N50" s="563">
        <v>98.116817999999995</v>
      </c>
      <c r="O50" s="563">
        <v>23.917631</v>
      </c>
      <c r="P50" s="564"/>
      <c r="Q50" s="504">
        <v>32</v>
      </c>
      <c r="R50" s="526"/>
      <c r="S50" s="333">
        <f>IF(CampList[[#This Row],[HH]]&gt;0,CampList[[#This Row],[Total]]/CampList[[#This Row],[HH]],"NA")</f>
        <v>0</v>
      </c>
      <c r="T50" s="576" t="s">
        <v>513</v>
      </c>
      <c r="U50" s="334" t="s">
        <v>1204</v>
      </c>
      <c r="V50" s="219" t="s">
        <v>12</v>
      </c>
      <c r="W50" s="522" t="s">
        <v>862</v>
      </c>
      <c r="X50" s="565"/>
      <c r="Y50" s="566"/>
      <c r="Z50" s="557"/>
      <c r="AA50" s="514"/>
      <c r="AB50" s="522"/>
      <c r="AC50" s="560">
        <v>41701</v>
      </c>
      <c r="AD50" s="518" t="s">
        <v>1018</v>
      </c>
      <c r="AE50" s="566" t="s">
        <v>1086</v>
      </c>
      <c r="AF50" s="233">
        <f>IF(CampList[[#This Row],[Type of Accomodation]]="camp",MAX(0,CampList[[#This Row],[HH]]-SUMIF(Table_Shelter[Pcode],CampList[[#This Row],[CP_Pcode]],Table_Shelter[HH Covered])),0)</f>
        <v>0</v>
      </c>
      <c r="AG50" s="520"/>
      <c r="AH50" s="218">
        <f>MIN(CampList[[#This Row],[Shelter Gap]],CampList[[#This Row],[Land Status]])</f>
        <v>0</v>
      </c>
      <c r="AI50" s="218" t="str">
        <f ca="1">IFERROR(OFFSET(DistanceToCamp[Nearest Town],MATCH(CampList[[#This Row],[CP_Pcode]],DistanceToCamp[CP_Pcode],0)-1,0,1,1),"")</f>
        <v>Pang Hseng (Kyu Koke) Town</v>
      </c>
      <c r="AJ50" s="561">
        <f ca="1">IFERROR(OFFSET(DistanceToCamp[distance],MATCH(CampList[[#This Row],[CP_Pcode]],DistanceToCamp[CP_Pcode],0)-1,0,1,1),"")</f>
        <v>18.405283544772924</v>
      </c>
      <c r="AK50" s="337">
        <f ca="1">IFERROR(INT(CampList[[#This Row],[Distance]]/5)+1,"")</f>
        <v>4</v>
      </c>
      <c r="AL50" s="721"/>
      <c r="AM50" s="721"/>
      <c r="AN50" s="721"/>
      <c r="BD50" s="5"/>
      <c r="BE50" s="5"/>
    </row>
    <row r="51" spans="1:57" s="4" customFormat="1" ht="15.6" customHeight="1" x14ac:dyDescent="0.25">
      <c r="A51" s="550" t="s">
        <v>502</v>
      </c>
      <c r="B51" s="522" t="s">
        <v>555</v>
      </c>
      <c r="C51" s="520" t="s">
        <v>538</v>
      </c>
      <c r="D51" s="522" t="s">
        <v>230</v>
      </c>
      <c r="E51" s="522" t="s">
        <v>539</v>
      </c>
      <c r="F51" s="522" t="s">
        <v>230</v>
      </c>
      <c r="G51" s="218" t="s">
        <v>540</v>
      </c>
      <c r="H51" s="577" t="s">
        <v>779</v>
      </c>
      <c r="I51" s="577" t="s">
        <v>780</v>
      </c>
      <c r="J51" s="577" t="s">
        <v>781</v>
      </c>
      <c r="K51" s="578">
        <v>208156</v>
      </c>
      <c r="L51" s="522" t="s">
        <v>231</v>
      </c>
      <c r="M51" s="522" t="s">
        <v>388</v>
      </c>
      <c r="N51" s="553">
        <v>98.115809999999996</v>
      </c>
      <c r="O51" s="553">
        <v>24.08738</v>
      </c>
      <c r="P51" s="564"/>
      <c r="Q51" s="504">
        <v>32</v>
      </c>
      <c r="R51" s="526">
        <v>187</v>
      </c>
      <c r="S51" s="333">
        <f>IF(CampList[[#This Row],[HH]]&gt;0,CampList[[#This Row],[Total]]/CampList[[#This Row],[HH]],"NA")</f>
        <v>5.84375</v>
      </c>
      <c r="T51" s="576" t="s">
        <v>515</v>
      </c>
      <c r="U51" s="334" t="s">
        <v>1204</v>
      </c>
      <c r="V51" s="219" t="s">
        <v>12</v>
      </c>
      <c r="W51" s="522" t="s">
        <v>862</v>
      </c>
      <c r="X51" s="565"/>
      <c r="Y51" s="566"/>
      <c r="Z51" s="557"/>
      <c r="AA51" s="512" t="s">
        <v>574</v>
      </c>
      <c r="AB51" s="522"/>
      <c r="AC51" s="560">
        <v>41701</v>
      </c>
      <c r="AD51" s="518" t="s">
        <v>1018</v>
      </c>
      <c r="AE51" s="566" t="s">
        <v>1100</v>
      </c>
      <c r="AF51" s="233">
        <f>IF(CampList[[#This Row],[Type of Accomodation]]="camp",MAX(0,CampList[[#This Row],[HH]]-SUMIF(Table_Shelter[Pcode],CampList[[#This Row],[CP_Pcode]],Table_Shelter[HH Covered])),0)</f>
        <v>0</v>
      </c>
      <c r="AG51" s="520"/>
      <c r="AH51" s="218">
        <f>MIN(CampList[[#This Row],[Shelter Gap]],CampList[[#This Row],[Land Status]])</f>
        <v>0</v>
      </c>
      <c r="AI51" s="218" t="str">
        <f ca="1">IFERROR(OFFSET(DistanceToCamp[Nearest Town],MATCH(CampList[[#This Row],[CP_Pcode]],DistanceToCamp[CP_Pcode],0)-1,0,1,1),"")</f>
        <v>Pang Hseng (Kyu Koke) Town</v>
      </c>
      <c r="AJ51" s="561">
        <f ca="1">IFERROR(OFFSET(DistanceToCamp[distance],MATCH(CampList[[#This Row],[CP_Pcode]],DistanceToCamp[CP_Pcode],0)-1,0,1,1),"")</f>
        <v>5.5919136174199959</v>
      </c>
      <c r="AK51" s="337">
        <f ca="1">IFERROR(INT(CampList[[#This Row],[Distance]]/5)+1,"")</f>
        <v>2</v>
      </c>
      <c r="AL51" s="721"/>
      <c r="AM51" s="721"/>
      <c r="AN51" s="721"/>
      <c r="BD51" s="5"/>
      <c r="BE51" s="5"/>
    </row>
    <row r="52" spans="1:57" s="4" customFormat="1" ht="15.6" customHeight="1" x14ac:dyDescent="0.25">
      <c r="A52" s="550" t="s">
        <v>502</v>
      </c>
      <c r="B52" s="522" t="s">
        <v>380</v>
      </c>
      <c r="C52" s="522" t="s">
        <v>527</v>
      </c>
      <c r="D52" s="522" t="s">
        <v>180</v>
      </c>
      <c r="E52" s="522" t="s">
        <v>528</v>
      </c>
      <c r="F52" s="522" t="s">
        <v>529</v>
      </c>
      <c r="G52" s="218" t="s">
        <v>530</v>
      </c>
      <c r="H52" s="551" t="s">
        <v>611</v>
      </c>
      <c r="I52" s="551" t="s">
        <v>612</v>
      </c>
      <c r="J52" s="551" t="s">
        <v>611</v>
      </c>
      <c r="K52" s="552">
        <v>166776</v>
      </c>
      <c r="L52" s="525" t="s">
        <v>1072</v>
      </c>
      <c r="M52" s="520" t="s">
        <v>1073</v>
      </c>
      <c r="N52" s="553">
        <v>96.312790000000007</v>
      </c>
      <c r="O52" s="553">
        <v>25.611160000000002</v>
      </c>
      <c r="P52" s="564"/>
      <c r="Q52" s="506">
        <v>116</v>
      </c>
      <c r="R52" s="527">
        <v>530</v>
      </c>
      <c r="S52" s="333">
        <f>IF(CampList[[#This Row],[HH]]&gt;0,CampList[[#This Row],[Total]]/CampList[[#This Row],[HH]],"NA")</f>
        <v>4.568965517241379</v>
      </c>
      <c r="T52" s="576" t="s">
        <v>513</v>
      </c>
      <c r="U52" s="334" t="s">
        <v>1204</v>
      </c>
      <c r="V52" s="522" t="s">
        <v>556</v>
      </c>
      <c r="W52" s="522" t="s">
        <v>808</v>
      </c>
      <c r="X52" s="572"/>
      <c r="Y52" s="566"/>
      <c r="Z52" s="557" t="s">
        <v>462</v>
      </c>
      <c r="AA52" s="515" t="s">
        <v>848</v>
      </c>
      <c r="AB52" s="520"/>
      <c r="AC52" s="560">
        <v>42291</v>
      </c>
      <c r="AD52" s="523" t="s">
        <v>1331</v>
      </c>
      <c r="AE52" s="566" t="s">
        <v>1100</v>
      </c>
      <c r="AF52" s="233">
        <f>IF(CampList[[#This Row],[Type of Accomodation]]="camp",MAX(0,CampList[[#This Row],[HH]]-SUMIF(Table_Shelter[Pcode],CampList[[#This Row],[CP_Pcode]],Table_Shelter[HH Covered])),0)</f>
        <v>116</v>
      </c>
      <c r="AG52" s="520"/>
      <c r="AH52" s="218">
        <f>MIN(CampList[[#This Row],[Shelter Gap]],CampList[[#This Row],[Land Status]])</f>
        <v>116</v>
      </c>
      <c r="AI52" s="218" t="str">
        <f ca="1">IFERROR(OFFSET(DistanceToCamp[Nearest Town],MATCH(CampList[[#This Row],[CP_Pcode]],DistanceToCamp[CP_Pcode],0)-1,0,1,1),"")</f>
        <v>Hpakant Town</v>
      </c>
      <c r="AJ52" s="561">
        <f ca="1">IFERROR(OFFSET(DistanceToCamp[distance],MATCH(CampList[[#This Row],[CP_Pcode]],DistanceToCamp[CP_Pcode],0)-1,0,1,1),"")</f>
        <v>0.19374952337076978</v>
      </c>
      <c r="AK52" s="337">
        <f ca="1">IFERROR(INT(CampList[[#This Row],[Distance]]/5)+1,"")</f>
        <v>1</v>
      </c>
      <c r="AL52" s="721"/>
      <c r="AM52" s="721"/>
      <c r="AN52" s="721"/>
      <c r="BD52" s="5"/>
      <c r="BE52" s="5"/>
    </row>
    <row r="53" spans="1:57" s="4" customFormat="1" ht="15.6" customHeight="1" x14ac:dyDescent="0.25">
      <c r="A53" s="550" t="s">
        <v>502</v>
      </c>
      <c r="B53" s="522" t="s">
        <v>380</v>
      </c>
      <c r="C53" s="522" t="s">
        <v>527</v>
      </c>
      <c r="D53" s="522" t="s">
        <v>237</v>
      </c>
      <c r="E53" s="522" t="s">
        <v>533</v>
      </c>
      <c r="F53" s="522" t="s">
        <v>27</v>
      </c>
      <c r="G53" s="520" t="s">
        <v>536</v>
      </c>
      <c r="H53" s="551" t="s">
        <v>798</v>
      </c>
      <c r="I53" s="551" t="s">
        <v>799</v>
      </c>
      <c r="J53" s="551" t="s">
        <v>800</v>
      </c>
      <c r="K53" s="552">
        <v>166355</v>
      </c>
      <c r="L53" s="569" t="s">
        <v>364</v>
      </c>
      <c r="M53" s="522" t="s">
        <v>29</v>
      </c>
      <c r="N53" s="563">
        <v>98.475719999999995</v>
      </c>
      <c r="O53" s="563">
        <v>25.754110000000001</v>
      </c>
      <c r="P53" s="554">
        <v>2785</v>
      </c>
      <c r="Q53" s="504">
        <v>154</v>
      </c>
      <c r="R53" s="526">
        <v>920</v>
      </c>
      <c r="S53" s="333">
        <f>IF(CampList[[#This Row],[HH]]&gt;0,CampList[[#This Row],[Total]]/CampList[[#This Row],[HH]],"NA")</f>
        <v>5.9740259740259738</v>
      </c>
      <c r="T53" s="576" t="s">
        <v>515</v>
      </c>
      <c r="U53" s="557" t="s">
        <v>1204</v>
      </c>
      <c r="V53" s="522" t="s">
        <v>556</v>
      </c>
      <c r="W53" s="557" t="s">
        <v>863</v>
      </c>
      <c r="X53" s="558">
        <v>41030</v>
      </c>
      <c r="Y53" s="559">
        <v>2</v>
      </c>
      <c r="Z53" s="558" t="s">
        <v>462</v>
      </c>
      <c r="AA53" s="516" t="s">
        <v>848</v>
      </c>
      <c r="AB53" s="522"/>
      <c r="AC53" s="574">
        <v>42397</v>
      </c>
      <c r="AD53" s="524" t="s">
        <v>1418</v>
      </c>
      <c r="AE53" s="559" t="s">
        <v>1084</v>
      </c>
      <c r="AF53" s="530">
        <f>IF(CampList[[#This Row],[Type of Accomodation]]="camp",MAX(0,CampList[[#This Row],[HH]]-SUMIF(Table_Shelter[Pcode],CampList[[#This Row],[CP_Pcode]],Table_Shelter[HH Covered])),0)</f>
        <v>154</v>
      </c>
      <c r="AG53" s="520"/>
      <c r="AH53" s="520">
        <f>MIN(CampList[[#This Row],[Shelter Gap]],CampList[[#This Row],[Land Status]])</f>
        <v>154</v>
      </c>
      <c r="AI53" s="520" t="str">
        <f ca="1">IFERROR(OFFSET(DistanceToCamp[Nearest Town],MATCH(CampList[[#This Row],[CP_Pcode]],DistanceToCamp[CP_Pcode],0)-1,0,1,1),"")</f>
        <v>Pang War Town</v>
      </c>
      <c r="AJ53" s="561">
        <f ca="1">IFERROR(OFFSET(DistanceToCamp[distance],MATCH(CampList[[#This Row],[CP_Pcode]],DistanceToCamp[CP_Pcode],0)-1,0,1,1),"")</f>
        <v>19.834999342466848</v>
      </c>
      <c r="AK53" s="562">
        <f ca="1">IFERROR(INT(CampList[[#This Row],[Distance]]/5)+1,"")</f>
        <v>4</v>
      </c>
      <c r="AL53" s="721"/>
      <c r="AM53" s="721"/>
      <c r="AN53" s="721"/>
      <c r="BD53" s="5"/>
      <c r="BE53" s="5"/>
    </row>
    <row r="54" spans="1:57" s="4" customFormat="1" ht="15.6" customHeight="1" x14ac:dyDescent="0.25">
      <c r="A54" s="490" t="s">
        <v>502</v>
      </c>
      <c r="B54" s="530" t="s">
        <v>380</v>
      </c>
      <c r="C54" s="530" t="s">
        <v>527</v>
      </c>
      <c r="D54" s="530" t="s">
        <v>5</v>
      </c>
      <c r="E54" s="530" t="s">
        <v>531</v>
      </c>
      <c r="F54" s="530" t="s">
        <v>185</v>
      </c>
      <c r="G54" s="530" t="s">
        <v>535</v>
      </c>
      <c r="H54" s="530" t="s">
        <v>736</v>
      </c>
      <c r="I54" s="593" t="s">
        <v>737</v>
      </c>
      <c r="J54" s="530" t="s">
        <v>738</v>
      </c>
      <c r="K54" s="530">
        <v>167223</v>
      </c>
      <c r="L54" s="530" t="s">
        <v>194</v>
      </c>
      <c r="M54" s="530" t="s">
        <v>193</v>
      </c>
      <c r="N54" s="503">
        <v>97.573126000000002</v>
      </c>
      <c r="O54" s="503">
        <v>24.661905999999998</v>
      </c>
      <c r="P54" s="564">
        <v>415</v>
      </c>
      <c r="Q54" s="506">
        <v>614</v>
      </c>
      <c r="R54" s="527">
        <v>2915</v>
      </c>
      <c r="S54" s="333">
        <f>IF(CampList[[#This Row],[HH]]&gt;0,CampList[[#This Row],[Total]]/CampList[[#This Row],[HH]],"NA")</f>
        <v>4.7475570032573291</v>
      </c>
      <c r="T54" s="594" t="s">
        <v>515</v>
      </c>
      <c r="U54" s="556" t="s">
        <v>1204</v>
      </c>
      <c r="V54" s="491" t="s">
        <v>556</v>
      </c>
      <c r="W54" s="503" t="s">
        <v>862</v>
      </c>
      <c r="X54" s="572">
        <v>40695</v>
      </c>
      <c r="Y54" s="566">
        <v>5</v>
      </c>
      <c r="Z54" s="566" t="s">
        <v>1097</v>
      </c>
      <c r="AA54" s="506" t="s">
        <v>574</v>
      </c>
      <c r="AB54" s="594"/>
      <c r="AC54" s="574">
        <v>42397</v>
      </c>
      <c r="AD54" s="705" t="s">
        <v>1373</v>
      </c>
      <c r="AE54" s="592" t="s">
        <v>1085</v>
      </c>
      <c r="AF54" s="593">
        <f>IF(CampList[[#This Row],[Type of Accomodation]]="camp",MAX(0,CampList[[#This Row],[HH]]-SUMIF(Table_Shelter[Pcode],CampList[[#This Row],[CP_Pcode]],Table_Shelter[HH Covered])),0)</f>
        <v>0</v>
      </c>
      <c r="AG54" s="530"/>
      <c r="AH54" s="593">
        <f>MIN(CampList[[#This Row],[Shelter Gap]],CampList[[#This Row],[Land Status]])</f>
        <v>0</v>
      </c>
      <c r="AI54" s="593" t="str">
        <f ca="1">IFERROR(OFFSET(DistanceToCamp[Nearest Town],MATCH(CampList[[#This Row],[CP_Pcode]],DistanceToCamp[CP_Pcode],0)-1,0,1,1),"")</f>
        <v>Laiza town</v>
      </c>
      <c r="AJ54" s="561">
        <f ca="1">IFERROR(OFFSET(DistanceToCamp[distance],MATCH(CampList[[#This Row],[CP_Pcode]],DistanceToCamp[CP_Pcode],0)-1,0,1,1),"")</f>
        <v>10.953347686331073</v>
      </c>
      <c r="AK54" s="595">
        <f ca="1">IFERROR(INT(CampList[[#This Row],[Distance]]/5)+1,"")</f>
        <v>3</v>
      </c>
      <c r="AL54" s="721"/>
      <c r="AM54" s="721"/>
      <c r="AN54" s="721"/>
      <c r="BD54" s="5"/>
      <c r="BE54" s="5"/>
    </row>
    <row r="55" spans="1:57" s="4" customFormat="1" ht="15.6" customHeight="1" x14ac:dyDescent="0.25">
      <c r="A55" s="550" t="s">
        <v>502</v>
      </c>
      <c r="B55" s="522" t="s">
        <v>380</v>
      </c>
      <c r="C55" s="522" t="s">
        <v>527</v>
      </c>
      <c r="D55" s="522" t="s">
        <v>5</v>
      </c>
      <c r="E55" s="522" t="s">
        <v>531</v>
      </c>
      <c r="F55" s="522" t="s">
        <v>5</v>
      </c>
      <c r="G55" s="520" t="s">
        <v>532</v>
      </c>
      <c r="H55" s="551" t="s">
        <v>639</v>
      </c>
      <c r="I55" s="551" t="s">
        <v>640</v>
      </c>
      <c r="J55" s="551" t="s">
        <v>645</v>
      </c>
      <c r="K55" s="552" t="s">
        <v>646</v>
      </c>
      <c r="L55" s="569" t="s">
        <v>14</v>
      </c>
      <c r="M55" s="522" t="s">
        <v>13</v>
      </c>
      <c r="N55" s="553">
        <v>97.236919999999998</v>
      </c>
      <c r="O55" s="553">
        <v>24.24766</v>
      </c>
      <c r="P55" s="554">
        <v>0</v>
      </c>
      <c r="Q55" s="504">
        <v>43</v>
      </c>
      <c r="R55" s="526">
        <v>237</v>
      </c>
      <c r="S55" s="555">
        <f>IF(CampList[[#This Row],[HH]]&gt;0,CampList[[#This Row],[Total]]/CampList[[#This Row],[HH]],"NA")</f>
        <v>5.5116279069767442</v>
      </c>
      <c r="T55" s="576" t="s">
        <v>513</v>
      </c>
      <c r="U55" s="557" t="s">
        <v>1204</v>
      </c>
      <c r="V55" s="522" t="s">
        <v>556</v>
      </c>
      <c r="W55" s="557" t="s">
        <v>808</v>
      </c>
      <c r="X55" s="558">
        <v>40878</v>
      </c>
      <c r="Y55" s="559">
        <v>1</v>
      </c>
      <c r="Z55" s="558" t="s">
        <v>462</v>
      </c>
      <c r="AA55" s="510" t="s">
        <v>848</v>
      </c>
      <c r="AB55" s="522"/>
      <c r="AC55" s="574">
        <v>42397</v>
      </c>
      <c r="AD55" s="518" t="s">
        <v>1419</v>
      </c>
      <c r="AE55" s="559" t="s">
        <v>1100</v>
      </c>
      <c r="AF55" s="530">
        <f>IF(CampList[[#This Row],[Type of Accomodation]]="camp",MAX(0,CampList[[#This Row],[HH]]-SUMIF(Table_Shelter[Pcode],CampList[[#This Row],[CP_Pcode]],Table_Shelter[HH Covered])),0)</f>
        <v>5</v>
      </c>
      <c r="AG55" s="520"/>
      <c r="AH55" s="520">
        <f>MIN(CampList[[#This Row],[Shelter Gap]],CampList[[#This Row],[Land Status]])</f>
        <v>5</v>
      </c>
      <c r="AI55" s="520" t="str">
        <f ca="1">IFERROR(OFFSET(DistanceToCamp[Nearest Town],MATCH(CampList[[#This Row],[CP_Pcode]],DistanceToCamp[CP_Pcode],0)-1,0,1,1),"")</f>
        <v>Bhamo Town</v>
      </c>
      <c r="AJ55" s="561">
        <f ca="1">IFERROR(OFFSET(DistanceToCamp[distance],MATCH(CampList[[#This Row],[CP_Pcode]],DistanceToCamp[CP_Pcode],0)-1,0,1,1),"")</f>
        <v>0.84749304721635399</v>
      </c>
      <c r="AK55" s="562">
        <f ca="1">IFERROR(INT(CampList[[#This Row],[Distance]]/5)+1,"")</f>
        <v>1</v>
      </c>
      <c r="AL55" s="721"/>
      <c r="AM55" s="721"/>
      <c r="AN55" s="721"/>
      <c r="BD55" s="5"/>
      <c r="BE55" s="5"/>
    </row>
    <row r="56" spans="1:57" s="4" customFormat="1" ht="15.6" customHeight="1" x14ac:dyDescent="0.25">
      <c r="A56" s="585" t="s">
        <v>502</v>
      </c>
      <c r="B56" s="219" t="s">
        <v>380</v>
      </c>
      <c r="C56" s="520" t="s">
        <v>527</v>
      </c>
      <c r="D56" s="520" t="s">
        <v>237</v>
      </c>
      <c r="E56" s="520" t="s">
        <v>533</v>
      </c>
      <c r="F56" s="520" t="s">
        <v>310</v>
      </c>
      <c r="G56" s="218" t="s">
        <v>534</v>
      </c>
      <c r="H56" s="520" t="s">
        <v>729</v>
      </c>
      <c r="I56" s="520" t="s">
        <v>730</v>
      </c>
      <c r="J56" s="520"/>
      <c r="K56" s="582"/>
      <c r="L56" s="522" t="s">
        <v>818</v>
      </c>
      <c r="M56" s="219" t="s">
        <v>819</v>
      </c>
      <c r="N56" s="553">
        <v>97.541793999999996</v>
      </c>
      <c r="O56" s="553">
        <v>24.752471</v>
      </c>
      <c r="P56" s="564"/>
      <c r="Q56" s="503"/>
      <c r="R56" s="528">
        <v>1047</v>
      </c>
      <c r="S56" s="333" t="str">
        <f>IF(CampList[[#This Row],[HH]]&gt;0,CampList[[#This Row],[Total]]/CampList[[#This Row],[HH]],"NA")</f>
        <v>NA</v>
      </c>
      <c r="T56" s="576" t="s">
        <v>515</v>
      </c>
      <c r="U56" s="334" t="s">
        <v>1204</v>
      </c>
      <c r="V56" s="219" t="s">
        <v>993</v>
      </c>
      <c r="W56" s="334" t="s">
        <v>808</v>
      </c>
      <c r="X56" s="565"/>
      <c r="Y56" s="566"/>
      <c r="Z56" s="557"/>
      <c r="AA56" s="511" t="s">
        <v>574</v>
      </c>
      <c r="AB56" s="219"/>
      <c r="AC56" s="335">
        <v>41899</v>
      </c>
      <c r="AD56" s="522" t="s">
        <v>1122</v>
      </c>
      <c r="AE56" s="566" t="s">
        <v>1085</v>
      </c>
      <c r="AF56" s="233">
        <f>IF(CampList[[#This Row],[Type of Accomodation]]="camp",MAX(0,CampList[[#This Row],[HH]]-SUMIF(Table_Shelter[Pcode],CampList[[#This Row],[CP_Pcode]],Table_Shelter[HH Covered])),0)</f>
        <v>0</v>
      </c>
      <c r="AG56" s="218"/>
      <c r="AH56" s="218">
        <f>MIN(CampList[[#This Row],[Shelter Gap]],CampList[[#This Row],[Land Status]])</f>
        <v>0</v>
      </c>
      <c r="AI56" s="218" t="str">
        <f ca="1">IFERROR(OFFSET(DistanceToCamp[Nearest Town],MATCH(CampList[[#This Row],[CP_Pcode]],DistanceToCamp[CP_Pcode],0)-1,0,1,1),"")</f>
        <v>Laiza town</v>
      </c>
      <c r="AJ56" s="336">
        <f ca="1">IFERROR(OFFSET(DistanceToCamp[distance],MATCH(CampList[[#This Row],[CP_Pcode]],DistanceToCamp[CP_Pcode],0)-1,0,1,1),"")</f>
        <v>2.3307568207764655</v>
      </c>
      <c r="AK56" s="337">
        <f ca="1">IFERROR(INT(CampList[[#This Row],[Distance]]/5)+1,"")</f>
        <v>1</v>
      </c>
      <c r="AL56" s="721"/>
      <c r="AM56" s="721"/>
      <c r="AN56" s="721"/>
      <c r="BD56" s="5"/>
      <c r="BE56" s="5"/>
    </row>
    <row r="57" spans="1:57" s="4" customFormat="1" ht="15.6" hidden="1" customHeight="1" x14ac:dyDescent="0.25">
      <c r="A57" s="550" t="s">
        <v>849</v>
      </c>
      <c r="B57" s="522" t="s">
        <v>380</v>
      </c>
      <c r="C57" s="522" t="s">
        <v>527</v>
      </c>
      <c r="D57" s="522" t="s">
        <v>5</v>
      </c>
      <c r="E57" s="522" t="s">
        <v>531</v>
      </c>
      <c r="F57" s="522" t="s">
        <v>151</v>
      </c>
      <c r="G57" s="520" t="s">
        <v>541</v>
      </c>
      <c r="H57" s="551"/>
      <c r="I57" s="551"/>
      <c r="J57" s="551"/>
      <c r="K57" s="552"/>
      <c r="L57" s="522" t="s">
        <v>890</v>
      </c>
      <c r="M57" s="522" t="s">
        <v>889</v>
      </c>
      <c r="N57" s="553"/>
      <c r="O57" s="575"/>
      <c r="P57" s="564"/>
      <c r="Q57" s="504">
        <v>0</v>
      </c>
      <c r="R57" s="526">
        <v>0</v>
      </c>
      <c r="S57" s="333" t="str">
        <f>IF(CampList[[#This Row],[HH]]&gt;0,CampList[[#This Row],[Total]]/CampList[[#This Row],[HH]],"NA")</f>
        <v>NA</v>
      </c>
      <c r="T57" s="556" t="s">
        <v>513</v>
      </c>
      <c r="U57" s="557" t="s">
        <v>1204</v>
      </c>
      <c r="V57" s="522" t="s">
        <v>862</v>
      </c>
      <c r="W57" s="557"/>
      <c r="X57" s="565"/>
      <c r="Y57" s="566"/>
      <c r="Z57" s="557"/>
      <c r="AA57" s="511" t="s">
        <v>848</v>
      </c>
      <c r="AB57" s="522"/>
      <c r="AC57" s="560">
        <v>41677</v>
      </c>
      <c r="AD57" s="518" t="s">
        <v>950</v>
      </c>
      <c r="AE57" s="566" t="s">
        <v>1014</v>
      </c>
      <c r="AF57" s="530">
        <f>IF(CampList[[#This Row],[Type of Accomodation]]="camp",MAX(0,CampList[[#This Row],[HH]]-SUMIF(Table_Shelter[Pcode],CampList[[#This Row],[CP_Pcode]],Table_Shelter[HH Covered])),0)</f>
        <v>0</v>
      </c>
      <c r="AG57" s="520"/>
      <c r="AH57" s="520">
        <f>MIN(CampList[[#This Row],[Shelter Gap]],CampList[[#This Row],[Land Status]])</f>
        <v>0</v>
      </c>
      <c r="AI57" s="520" t="str">
        <f ca="1">IFERROR(OFFSET(DistanceToCamp[Nearest Town],MATCH(CampList[[#This Row],[CP_Pcode]],DistanceToCamp[CP_Pcode],0)-1,0,1,1),"")</f>
        <v/>
      </c>
      <c r="AJ57" s="561" t="str">
        <f ca="1">IFERROR(OFFSET(DistanceToCamp[distance],MATCH(CampList[[#This Row],[CP_Pcode]],DistanceToCamp[CP_Pcode],0)-1,0,1,1),"")</f>
        <v/>
      </c>
      <c r="AK57" s="562" t="str">
        <f ca="1">IFERROR(INT(CampList[[#This Row],[Distance]]/5)+1,"")</f>
        <v/>
      </c>
      <c r="AL57" s="721"/>
      <c r="AM57" s="721"/>
      <c r="AN57" s="721"/>
      <c r="BD57" s="5"/>
      <c r="BE57" s="5"/>
    </row>
    <row r="58" spans="1:57" s="4" customFormat="1" ht="15.6" customHeight="1" x14ac:dyDescent="0.25">
      <c r="A58" s="550" t="s">
        <v>502</v>
      </c>
      <c r="B58" s="520" t="s">
        <v>380</v>
      </c>
      <c r="C58" s="520" t="s">
        <v>527</v>
      </c>
      <c r="D58" s="520" t="s">
        <v>300</v>
      </c>
      <c r="E58" s="520" t="s">
        <v>548</v>
      </c>
      <c r="F58" s="520" t="s">
        <v>300</v>
      </c>
      <c r="G58" s="520" t="s">
        <v>554</v>
      </c>
      <c r="H58" s="520" t="s">
        <v>1036</v>
      </c>
      <c r="I58" s="520" t="s">
        <v>1037</v>
      </c>
      <c r="J58" s="520" t="s">
        <v>1047</v>
      </c>
      <c r="K58" s="520">
        <v>217032</v>
      </c>
      <c r="L58" s="520" t="s">
        <v>1048</v>
      </c>
      <c r="M58" s="520" t="s">
        <v>1050</v>
      </c>
      <c r="N58" s="503">
        <v>97.561105999999995</v>
      </c>
      <c r="O58" s="503">
        <v>27.248964999999998</v>
      </c>
      <c r="P58" s="527">
        <v>398</v>
      </c>
      <c r="Q58" s="506">
        <v>10</v>
      </c>
      <c r="R58" s="527">
        <v>56</v>
      </c>
      <c r="S58" s="333">
        <f>IF(CampList[[#This Row],[HH]]&gt;0,CampList[[#This Row],[Total]]/CampList[[#This Row],[HH]],"NA")</f>
        <v>5.6</v>
      </c>
      <c r="T58" s="576" t="s">
        <v>513</v>
      </c>
      <c r="U58" s="557" t="s">
        <v>1204</v>
      </c>
      <c r="V58" s="522" t="s">
        <v>12</v>
      </c>
      <c r="W58" s="522" t="s">
        <v>862</v>
      </c>
      <c r="X58" s="572">
        <v>41487</v>
      </c>
      <c r="Y58" s="528"/>
      <c r="Z58" s="522"/>
      <c r="AA58" s="515" t="s">
        <v>848</v>
      </c>
      <c r="AB58" s="520"/>
      <c r="AC58" s="560">
        <v>41736</v>
      </c>
      <c r="AD58" s="520" t="s">
        <v>1049</v>
      </c>
      <c r="AE58" s="528" t="s">
        <v>1086</v>
      </c>
      <c r="AF58" s="530">
        <f>IF(CampList[[#This Row],[Type of Accomodation]]="camp",MAX(0,CampList[[#This Row],[HH]]-SUMIF(Table_Shelter[Pcode],CampList[[#This Row],[CP_Pcode]],Table_Shelter[HH Covered])),0)</f>
        <v>0</v>
      </c>
      <c r="AG58" s="520"/>
      <c r="AH58" s="520">
        <f>MIN(CampList[[#This Row],[Shelter Gap]],CampList[[#This Row],[Land Status]])</f>
        <v>0</v>
      </c>
      <c r="AI58" s="520" t="str">
        <f ca="1">IFERROR(OFFSET(DistanceToCamp[Nearest Town],MATCH(CampList[[#This Row],[CP_Pcode]],DistanceToCamp[CP_Pcode],0)-1,0,1,1),"")</f>
        <v>Machanbaw Town</v>
      </c>
      <c r="AJ58" s="561">
        <f ca="1">IFERROR(OFFSET(DistanceToCamp[distance],MATCH(CampList[[#This Row],[CP_Pcode]],DistanceToCamp[CP_Pcode],0)-1,0,1,1),"")</f>
        <v>4.789460146835963</v>
      </c>
      <c r="AK58" s="562">
        <f ca="1">IFERROR(INT(CampList[[#This Row],[Distance]]/5)+1,"")</f>
        <v>1</v>
      </c>
      <c r="AL58" s="721"/>
      <c r="AM58" s="721"/>
      <c r="AN58" s="721"/>
      <c r="BD58" s="5"/>
      <c r="BE58" s="5"/>
    </row>
    <row r="59" spans="1:57" s="4" customFormat="1" ht="15.6" customHeight="1" x14ac:dyDescent="0.25">
      <c r="A59" s="550" t="s">
        <v>502</v>
      </c>
      <c r="B59" s="522" t="s">
        <v>380</v>
      </c>
      <c r="C59" s="522" t="s">
        <v>527</v>
      </c>
      <c r="D59" s="522" t="s">
        <v>237</v>
      </c>
      <c r="E59" s="522" t="s">
        <v>533</v>
      </c>
      <c r="F59" s="522" t="s">
        <v>237</v>
      </c>
      <c r="G59" s="520" t="s">
        <v>537</v>
      </c>
      <c r="H59" s="551" t="s">
        <v>673</v>
      </c>
      <c r="I59" s="551" t="s">
        <v>674</v>
      </c>
      <c r="J59" s="520"/>
      <c r="K59" s="568"/>
      <c r="L59" s="569" t="s">
        <v>253</v>
      </c>
      <c r="M59" s="522" t="s">
        <v>252</v>
      </c>
      <c r="N59" s="583">
        <v>97.373361000000003</v>
      </c>
      <c r="O59" s="583">
        <v>25.403476999999999</v>
      </c>
      <c r="P59" s="554">
        <v>0</v>
      </c>
      <c r="Q59" s="504">
        <v>203</v>
      </c>
      <c r="R59" s="526">
        <v>1072</v>
      </c>
      <c r="S59" s="555">
        <f>IF(CampList[[#This Row],[HH]]&gt;0,CampList[[#This Row],[Total]]/CampList[[#This Row],[HH]],"NA")</f>
        <v>5.2807881773399012</v>
      </c>
      <c r="T59" s="576" t="s">
        <v>513</v>
      </c>
      <c r="U59" s="557" t="s">
        <v>1204</v>
      </c>
      <c r="V59" s="522" t="s">
        <v>556</v>
      </c>
      <c r="W59" s="557" t="s">
        <v>808</v>
      </c>
      <c r="X59" s="558">
        <v>40725</v>
      </c>
      <c r="Y59" s="559">
        <v>2</v>
      </c>
      <c r="Z59" s="558" t="s">
        <v>462</v>
      </c>
      <c r="AA59" s="511" t="s">
        <v>848</v>
      </c>
      <c r="AB59" s="522"/>
      <c r="AC59" s="574">
        <v>42397</v>
      </c>
      <c r="AD59" s="518" t="s">
        <v>1420</v>
      </c>
      <c r="AE59" s="559" t="s">
        <v>1100</v>
      </c>
      <c r="AF59" s="530">
        <f>IF(CampList[[#This Row],[Type of Accomodation]]="camp",MAX(0,CampList[[#This Row],[HH]]-SUMIF(Table_Shelter[Pcode],CampList[[#This Row],[CP_Pcode]],Table_Shelter[HH Covered])),0)</f>
        <v>43</v>
      </c>
      <c r="AG59" s="520"/>
      <c r="AH59" s="520">
        <f>MIN(CampList[[#This Row],[Shelter Gap]],CampList[[#This Row],[Land Status]])</f>
        <v>43</v>
      </c>
      <c r="AI59" s="520" t="str">
        <f ca="1">IFERROR(OFFSET(DistanceToCamp[Nearest Town],MATCH(CampList[[#This Row],[CP_Pcode]],DistanceToCamp[CP_Pcode],0)-1,0,1,1),"")</f>
        <v>Myitkyina Town</v>
      </c>
      <c r="AJ59" s="561">
        <f ca="1">IFERROR(OFFSET(DistanceToCamp[distance],MATCH(CampList[[#This Row],[CP_Pcode]],DistanceToCamp[CP_Pcode],0)-1,0,1,1),"")</f>
        <v>2.4647367211404561</v>
      </c>
      <c r="AK59" s="562">
        <f ca="1">IFERROR(INT(CampList[[#This Row],[Distance]]/5)+1,"")</f>
        <v>1</v>
      </c>
      <c r="AL59" s="721"/>
      <c r="AM59" s="721"/>
      <c r="AN59" s="721"/>
      <c r="BD59" s="5"/>
      <c r="BE59" s="5"/>
    </row>
    <row r="60" spans="1:57" s="4" customFormat="1" ht="15.6" customHeight="1" x14ac:dyDescent="0.25">
      <c r="A60" s="490" t="s">
        <v>502</v>
      </c>
      <c r="B60" s="530" t="s">
        <v>380</v>
      </c>
      <c r="C60" s="530" t="s">
        <v>527</v>
      </c>
      <c r="D60" s="530" t="s">
        <v>237</v>
      </c>
      <c r="E60" s="530" t="s">
        <v>533</v>
      </c>
      <c r="F60" s="530" t="s">
        <v>237</v>
      </c>
      <c r="G60" s="530" t="s">
        <v>537</v>
      </c>
      <c r="H60" s="530" t="s">
        <v>673</v>
      </c>
      <c r="I60" s="593" t="s">
        <v>674</v>
      </c>
      <c r="J60" s="530" t="s">
        <v>675</v>
      </c>
      <c r="K60" s="530"/>
      <c r="L60" s="530" t="s">
        <v>255</v>
      </c>
      <c r="M60" s="530" t="s">
        <v>254</v>
      </c>
      <c r="N60" s="503">
        <v>97.379594999999995</v>
      </c>
      <c r="O60" s="503">
        <v>25.401061110000001</v>
      </c>
      <c r="P60" s="564"/>
      <c r="Q60" s="506">
        <v>109</v>
      </c>
      <c r="R60" s="527">
        <v>487</v>
      </c>
      <c r="S60" s="333">
        <f>IF(CampList[[#This Row],[HH]]&gt;0,CampList[[#This Row],[Total]]/CampList[[#This Row],[HH]],"NA")</f>
        <v>4.4678899082568808</v>
      </c>
      <c r="T60" s="594" t="s">
        <v>513</v>
      </c>
      <c r="U60" s="556" t="s">
        <v>1204</v>
      </c>
      <c r="V60" s="491" t="s">
        <v>556</v>
      </c>
      <c r="W60" s="503" t="s">
        <v>808</v>
      </c>
      <c r="X60" s="572">
        <v>40725</v>
      </c>
      <c r="Y60" s="566">
        <v>3</v>
      </c>
      <c r="Z60" s="566" t="s">
        <v>1097</v>
      </c>
      <c r="AA60" s="506" t="s">
        <v>848</v>
      </c>
      <c r="AB60" s="594"/>
      <c r="AC60" s="574">
        <v>42397</v>
      </c>
      <c r="AD60" s="705" t="s">
        <v>1374</v>
      </c>
      <c r="AE60" s="592" t="s">
        <v>1100</v>
      </c>
      <c r="AF60" s="593">
        <f>IF(CampList[[#This Row],[Type of Accomodation]]="camp",MAX(0,CampList[[#This Row],[HH]]-SUMIF(Table_Shelter[Pcode],CampList[[#This Row],[CP_Pcode]],Table_Shelter[HH Covered])),0)</f>
        <v>29</v>
      </c>
      <c r="AG60" s="530"/>
      <c r="AH60" s="593">
        <f>MIN(CampList[[#This Row],[Shelter Gap]],CampList[[#This Row],[Land Status]])</f>
        <v>29</v>
      </c>
      <c r="AI60" s="593" t="str">
        <f ca="1">IFERROR(OFFSET(DistanceToCamp[Nearest Town],MATCH(CampList[[#This Row],[CP_Pcode]],DistanceToCamp[CP_Pcode],0)-1,0,1,1),"")</f>
        <v>Myitkyina Town</v>
      </c>
      <c r="AJ60" s="561">
        <f ca="1">IFERROR(OFFSET(DistanceToCamp[distance],MATCH(CampList[[#This Row],[CP_Pcode]],DistanceToCamp[CP_Pcode],0)-1,0,1,1),"")</f>
        <v>1.8563710010113432</v>
      </c>
      <c r="AK60" s="595">
        <f ca="1">IFERROR(INT(CampList[[#This Row],[Distance]]/5)+1,"")</f>
        <v>1</v>
      </c>
      <c r="AL60" s="721"/>
      <c r="AM60" s="721"/>
      <c r="AN60" s="721"/>
      <c r="BD60" s="5"/>
      <c r="BE60" s="5"/>
    </row>
    <row r="61" spans="1:57" s="4" customFormat="1" ht="15.6" customHeight="1" x14ac:dyDescent="0.25">
      <c r="A61" s="490" t="s">
        <v>502</v>
      </c>
      <c r="B61" s="530" t="s">
        <v>380</v>
      </c>
      <c r="C61" s="530" t="s">
        <v>527</v>
      </c>
      <c r="D61" s="530" t="s">
        <v>5</v>
      </c>
      <c r="E61" s="530" t="s">
        <v>531</v>
      </c>
      <c r="F61" s="530" t="s">
        <v>185</v>
      </c>
      <c r="G61" s="530" t="s">
        <v>535</v>
      </c>
      <c r="H61" s="530" t="s">
        <v>1142</v>
      </c>
      <c r="I61" s="593" t="s">
        <v>1275</v>
      </c>
      <c r="J61" s="530"/>
      <c r="K61" s="530"/>
      <c r="L61" s="530" t="s">
        <v>196</v>
      </c>
      <c r="M61" s="530" t="s">
        <v>195</v>
      </c>
      <c r="N61" s="503">
        <v>97.568331999999998</v>
      </c>
      <c r="O61" s="503">
        <v>24.688338999999999</v>
      </c>
      <c r="P61" s="564">
        <v>314</v>
      </c>
      <c r="Q61" s="506">
        <v>1695</v>
      </c>
      <c r="R61" s="527">
        <v>8848</v>
      </c>
      <c r="S61" s="333">
        <f>IF(CampList[[#This Row],[HH]]&gt;0,CampList[[#This Row],[Total]]/CampList[[#This Row],[HH]],"NA")</f>
        <v>5.2200589970501472</v>
      </c>
      <c r="T61" s="594" t="s">
        <v>515</v>
      </c>
      <c r="U61" s="556" t="s">
        <v>1204</v>
      </c>
      <c r="V61" s="491" t="s">
        <v>556</v>
      </c>
      <c r="W61" s="503" t="s">
        <v>862</v>
      </c>
      <c r="X61" s="572">
        <v>41061</v>
      </c>
      <c r="Y61" s="566">
        <v>7</v>
      </c>
      <c r="Z61" s="566" t="s">
        <v>1097</v>
      </c>
      <c r="AA61" s="506" t="s">
        <v>848</v>
      </c>
      <c r="AB61" s="594"/>
      <c r="AC61" s="574">
        <v>42397</v>
      </c>
      <c r="AD61" s="705" t="s">
        <v>1375</v>
      </c>
      <c r="AE61" s="592" t="s">
        <v>1085</v>
      </c>
      <c r="AF61" s="593">
        <f>IF(CampList[[#This Row],[Type of Accomodation]]="camp",MAX(0,CampList[[#This Row],[HH]]-SUMIF(Table_Shelter[Pcode],CampList[[#This Row],[CP_Pcode]],Table_Shelter[HH Covered])),0)</f>
        <v>500</v>
      </c>
      <c r="AG61" s="530"/>
      <c r="AH61" s="593">
        <f>MIN(CampList[[#This Row],[Shelter Gap]],CampList[[#This Row],[Land Status]])</f>
        <v>500</v>
      </c>
      <c r="AI61" s="593" t="str">
        <f ca="1">IFERROR(OFFSET(DistanceToCamp[Nearest Town],MATCH(CampList[[#This Row],[CP_Pcode]],DistanceToCamp[CP_Pcode],0)-1,0,1,1),"")</f>
        <v>Laiza town</v>
      </c>
      <c r="AJ61" s="336">
        <f ca="1">IFERROR(OFFSET(DistanceToCamp[distance],MATCH(CampList[[#This Row],[CP_Pcode]],DistanceToCamp[CP_Pcode],0)-1,0,1,1),"")</f>
        <v>7.985347533011188</v>
      </c>
      <c r="AK61" s="595">
        <f ca="1">IFERROR(INT(CampList[[#This Row],[Distance]]/5)+1,"")</f>
        <v>2</v>
      </c>
      <c r="AL61" s="721"/>
      <c r="AM61" s="721"/>
      <c r="AN61" s="721"/>
      <c r="BD61" s="5"/>
      <c r="BE61" s="5"/>
    </row>
    <row r="62" spans="1:57" s="4" customFormat="1" ht="15.6" hidden="1" customHeight="1" x14ac:dyDescent="0.25">
      <c r="A62" s="332" t="s">
        <v>849</v>
      </c>
      <c r="B62" s="219" t="s">
        <v>380</v>
      </c>
      <c r="C62" s="522" t="s">
        <v>527</v>
      </c>
      <c r="D62" s="522" t="s">
        <v>5</v>
      </c>
      <c r="E62" s="522" t="s">
        <v>531</v>
      </c>
      <c r="F62" s="522" t="s">
        <v>5</v>
      </c>
      <c r="G62" s="218" t="s">
        <v>532</v>
      </c>
      <c r="H62" s="520"/>
      <c r="I62" s="520"/>
      <c r="J62" s="520"/>
      <c r="K62" s="568"/>
      <c r="L62" s="569" t="s">
        <v>16</v>
      </c>
      <c r="M62" s="219" t="s">
        <v>15</v>
      </c>
      <c r="N62" s="553">
        <v>97.221556500999995</v>
      </c>
      <c r="O62" s="553">
        <v>24.262418020999998</v>
      </c>
      <c r="P62" s="564"/>
      <c r="Q62" s="504">
        <v>0</v>
      </c>
      <c r="R62" s="526">
        <v>0</v>
      </c>
      <c r="S62" s="333" t="str">
        <f>IF(CampList[[#This Row],[HH]]&gt;0,CampList[[#This Row],[Total]]/CampList[[#This Row],[HH]],"NA")</f>
        <v>NA</v>
      </c>
      <c r="T62" s="556" t="s">
        <v>513</v>
      </c>
      <c r="U62" s="334" t="s">
        <v>1204</v>
      </c>
      <c r="V62" s="522" t="s">
        <v>556</v>
      </c>
      <c r="W62" s="334"/>
      <c r="X62" s="565"/>
      <c r="Y62" s="566"/>
      <c r="Z62" s="557"/>
      <c r="AA62" s="510" t="s">
        <v>848</v>
      </c>
      <c r="AB62" s="219"/>
      <c r="AC62" s="574">
        <v>41661</v>
      </c>
      <c r="AD62" s="518" t="s">
        <v>944</v>
      </c>
      <c r="AE62" s="566" t="s">
        <v>1014</v>
      </c>
      <c r="AF62" s="233">
        <f>IF(CampList[[#This Row],[Type of Accomodation]]="camp",MAX(0,CampList[[#This Row],[HH]]-SUMIF(Table_Shelter[Pcode],CampList[[#This Row],[CP_Pcode]],Table_Shelter[HH Covered])),0)</f>
        <v>0</v>
      </c>
      <c r="AG62" s="218"/>
      <c r="AH62" s="218">
        <f>MIN(CampList[[#This Row],[Shelter Gap]],CampList[[#This Row],[Land Status]])</f>
        <v>0</v>
      </c>
      <c r="AI62" s="218" t="str">
        <f ca="1">IFERROR(OFFSET(DistanceToCamp[Nearest Town],MATCH(CampList[[#This Row],[CP_Pcode]],DistanceToCamp[CP_Pcode],0)-1,0,1,1),"")</f>
        <v/>
      </c>
      <c r="AJ62" s="561" t="str">
        <f ca="1">IFERROR(OFFSET(DistanceToCamp[distance],MATCH(CampList[[#This Row],[CP_Pcode]],DistanceToCamp[CP_Pcode],0)-1,0,1,1),"")</f>
        <v/>
      </c>
      <c r="AK62" s="337" t="str">
        <f ca="1">IFERROR(INT(CampList[[#This Row],[Distance]]/5)+1,"")</f>
        <v/>
      </c>
      <c r="AL62" s="721"/>
      <c r="AM62" s="721"/>
      <c r="AN62" s="721"/>
      <c r="BD62" s="5"/>
      <c r="BE62" s="5"/>
    </row>
    <row r="63" spans="1:57" s="4" customFormat="1" ht="15.6" customHeight="1" x14ac:dyDescent="0.25">
      <c r="A63" s="332" t="s">
        <v>502</v>
      </c>
      <c r="B63" s="522" t="s">
        <v>380</v>
      </c>
      <c r="C63" s="522" t="s">
        <v>527</v>
      </c>
      <c r="D63" s="522" t="s">
        <v>5</v>
      </c>
      <c r="E63" s="522" t="s">
        <v>531</v>
      </c>
      <c r="F63" s="522" t="s">
        <v>185</v>
      </c>
      <c r="G63" s="218" t="s">
        <v>535</v>
      </c>
      <c r="H63" s="520" t="s">
        <v>1083</v>
      </c>
      <c r="I63" s="522" t="s">
        <v>1082</v>
      </c>
      <c r="J63" s="522" t="s">
        <v>1083</v>
      </c>
      <c r="K63" s="568">
        <v>167060</v>
      </c>
      <c r="L63" s="569" t="s">
        <v>523</v>
      </c>
      <c r="M63" s="522" t="s">
        <v>524</v>
      </c>
      <c r="N63" s="588">
        <v>97.343406999999999</v>
      </c>
      <c r="O63" s="563">
        <v>24.377054000000001</v>
      </c>
      <c r="P63" s="564"/>
      <c r="Q63" s="504">
        <v>4</v>
      </c>
      <c r="R63" s="526">
        <v>26</v>
      </c>
      <c r="S63" s="333">
        <f>IF(CampList[[#This Row],[HH]]&gt;0,CampList[[#This Row],[Total]]/CampList[[#This Row],[HH]],"NA")</f>
        <v>6.5</v>
      </c>
      <c r="T63" s="576" t="s">
        <v>513</v>
      </c>
      <c r="U63" s="334" t="s">
        <v>1204</v>
      </c>
      <c r="V63" s="219" t="s">
        <v>12</v>
      </c>
      <c r="W63" s="557" t="s">
        <v>862</v>
      </c>
      <c r="X63" s="565"/>
      <c r="Y63" s="566"/>
      <c r="Z63" s="557"/>
      <c r="AA63" s="510" t="s">
        <v>847</v>
      </c>
      <c r="AB63" s="522"/>
      <c r="AC63" s="560">
        <v>41701</v>
      </c>
      <c r="AD63" s="518" t="s">
        <v>1018</v>
      </c>
      <c r="AE63" s="566" t="s">
        <v>1100</v>
      </c>
      <c r="AF63" s="233">
        <f>IF(CampList[[#This Row],[Type of Accomodation]]="camp",MAX(0,CampList[[#This Row],[HH]]-SUMIF(Table_Shelter[Pcode],CampList[[#This Row],[CP_Pcode]],Table_Shelter[HH Covered])),0)</f>
        <v>0</v>
      </c>
      <c r="AG63" s="218"/>
      <c r="AH63" s="218">
        <f>MIN(CampList[[#This Row],[Shelter Gap]],CampList[[#This Row],[Land Status]])</f>
        <v>0</v>
      </c>
      <c r="AI63" s="218" t="str">
        <f ca="1">IFERROR(OFFSET(DistanceToCamp[Nearest Town],MATCH(CampList[[#This Row],[CP_Pcode]],DistanceToCamp[CP_Pcode],0)-1,0,1,1),"")</f>
        <v>Momauk Town</v>
      </c>
      <c r="AJ63" s="561">
        <f ca="1">IFERROR(OFFSET(DistanceToCamp[distance],MATCH(CampList[[#This Row],[CP_Pcode]],DistanceToCamp[CP_Pcode],0)-1,0,1,1),"")</f>
        <v>13.446032768350749</v>
      </c>
      <c r="AK63" s="337">
        <f ca="1">IFERROR(INT(CampList[[#This Row],[Distance]]/5)+1,"")</f>
        <v>3</v>
      </c>
      <c r="AL63" s="721"/>
      <c r="AM63" s="721"/>
      <c r="AN63" s="721"/>
      <c r="BD63" s="5"/>
      <c r="BE63" s="5"/>
    </row>
    <row r="64" spans="1:57" s="4" customFormat="1" ht="15.6" customHeight="1" x14ac:dyDescent="0.25">
      <c r="A64" s="332" t="s">
        <v>502</v>
      </c>
      <c r="B64" s="522" t="s">
        <v>555</v>
      </c>
      <c r="C64" s="520" t="s">
        <v>538</v>
      </c>
      <c r="D64" s="520" t="s">
        <v>230</v>
      </c>
      <c r="E64" s="520" t="s">
        <v>539</v>
      </c>
      <c r="F64" s="520" t="s">
        <v>146</v>
      </c>
      <c r="G64" s="218" t="s">
        <v>546</v>
      </c>
      <c r="H64" s="580" t="s">
        <v>771</v>
      </c>
      <c r="I64" s="520" t="s">
        <v>772</v>
      </c>
      <c r="J64" s="580" t="s">
        <v>773</v>
      </c>
      <c r="K64" s="581">
        <v>208557</v>
      </c>
      <c r="L64" s="522" t="s">
        <v>372</v>
      </c>
      <c r="M64" s="522" t="s">
        <v>382</v>
      </c>
      <c r="N64" s="563">
        <v>97.848529999999997</v>
      </c>
      <c r="O64" s="563">
        <v>23.4008</v>
      </c>
      <c r="P64" s="554">
        <v>0</v>
      </c>
      <c r="Q64" s="504">
        <v>87</v>
      </c>
      <c r="R64" s="526">
        <v>488</v>
      </c>
      <c r="S64" s="333">
        <f>IF(CampList[[#This Row],[HH]]&gt;0,CampList[[#This Row],[Total]]/CampList[[#This Row],[HH]],"NA")</f>
        <v>5.6091954022988508</v>
      </c>
      <c r="T64" s="576" t="s">
        <v>513</v>
      </c>
      <c r="U64" s="334" t="s">
        <v>1204</v>
      </c>
      <c r="V64" s="219" t="s">
        <v>556</v>
      </c>
      <c r="W64" s="557" t="s">
        <v>862</v>
      </c>
      <c r="X64" s="558">
        <v>41275</v>
      </c>
      <c r="Y64" s="559"/>
      <c r="Z64" s="558" t="s">
        <v>462</v>
      </c>
      <c r="AA64" s="511" t="s">
        <v>848</v>
      </c>
      <c r="AB64" s="522"/>
      <c r="AC64" s="560">
        <v>42180</v>
      </c>
      <c r="AD64" s="518" t="s">
        <v>1276</v>
      </c>
      <c r="AE64" s="559" t="s">
        <v>1086</v>
      </c>
      <c r="AF64" s="233">
        <f>IF(CampList[[#This Row],[Type of Accomodation]]="camp",MAX(0,CampList[[#This Row],[HH]]-SUMIF(Table_Shelter[Pcode],CampList[[#This Row],[CP_Pcode]],Table_Shelter[HH Covered])),0)</f>
        <v>0</v>
      </c>
      <c r="AG64" s="520"/>
      <c r="AH64" s="218">
        <f>MIN(CampList[[#This Row],[Shelter Gap]],CampList[[#This Row],[Land Status]])</f>
        <v>0</v>
      </c>
      <c r="AI64" s="218" t="str">
        <f ca="1">IFERROR(OFFSET(DistanceToCamp[Nearest Town],MATCH(CampList[[#This Row],[CP_Pcode]],DistanceToCamp[CP_Pcode],0)-1,0,1,1),"")</f>
        <v>Kutkai Town</v>
      </c>
      <c r="AJ64" s="561">
        <f ca="1">IFERROR(OFFSET(DistanceToCamp[distance],MATCH(CampList[[#This Row],[CP_Pcode]],DistanceToCamp[CP_Pcode],0)-1,0,1,1),"")</f>
        <v>11.65743881259678</v>
      </c>
      <c r="AK64" s="337">
        <f ca="1">IFERROR(INT(CampList[[#This Row],[Distance]]/5)+1,"")</f>
        <v>3</v>
      </c>
      <c r="AL64" s="721"/>
      <c r="AM64" s="721"/>
      <c r="AN64" s="721"/>
      <c r="BD64" s="5"/>
      <c r="BE64" s="5"/>
    </row>
    <row r="65" spans="1:57" s="4" customFormat="1" ht="15.6" customHeight="1" x14ac:dyDescent="0.25">
      <c r="A65" s="332" t="s">
        <v>502</v>
      </c>
      <c r="B65" s="520" t="s">
        <v>380</v>
      </c>
      <c r="C65" s="520" t="s">
        <v>527</v>
      </c>
      <c r="D65" s="520" t="s">
        <v>180</v>
      </c>
      <c r="E65" s="520" t="s">
        <v>528</v>
      </c>
      <c r="F65" s="520" t="s">
        <v>529</v>
      </c>
      <c r="G65" s="218" t="s">
        <v>530</v>
      </c>
      <c r="H65" s="520" t="s">
        <v>614</v>
      </c>
      <c r="I65" s="520" t="s">
        <v>1129</v>
      </c>
      <c r="J65" s="520" t="s">
        <v>762</v>
      </c>
      <c r="K65" s="568">
        <v>216877</v>
      </c>
      <c r="L65" s="525" t="s">
        <v>1127</v>
      </c>
      <c r="M65" s="520" t="s">
        <v>1128</v>
      </c>
      <c r="N65" s="591"/>
      <c r="O65" s="591"/>
      <c r="P65" s="527"/>
      <c r="Q65" s="506">
        <v>50</v>
      </c>
      <c r="R65" s="527">
        <v>226</v>
      </c>
      <c r="S65" s="333">
        <f>IF(CampList[[#This Row],[HH]]&gt;0,CampList[[#This Row],[Total]]/CampList[[#This Row],[HH]],"NA")</f>
        <v>4.5199999999999996</v>
      </c>
      <c r="T65" s="576" t="s">
        <v>513</v>
      </c>
      <c r="U65" s="334" t="s">
        <v>1204</v>
      </c>
      <c r="V65" s="219" t="s">
        <v>556</v>
      </c>
      <c r="W65" s="522" t="s">
        <v>862</v>
      </c>
      <c r="X65" s="590">
        <v>42019</v>
      </c>
      <c r="Y65" s="528"/>
      <c r="Z65" s="557" t="s">
        <v>462</v>
      </c>
      <c r="AA65" s="515" t="s">
        <v>848</v>
      </c>
      <c r="AB65" s="520"/>
      <c r="AC65" s="574">
        <v>42397</v>
      </c>
      <c r="AD65" s="523" t="s">
        <v>1421</v>
      </c>
      <c r="AE65" s="592"/>
      <c r="AF65" s="233">
        <f>IF(CampList[[#This Row],[Type of Accomodation]]="camp",MAX(0,CampList[[#This Row],[HH]]-SUMIF(Table_Shelter[Pcode],CampList[[#This Row],[CP_Pcode]],Table_Shelter[HH Covered])),0)</f>
        <v>0</v>
      </c>
      <c r="AG65" s="520"/>
      <c r="AH65" s="218">
        <f>MIN(CampList[[#This Row],[Shelter Gap]],CampList[[#This Row],[Land Status]])</f>
        <v>0</v>
      </c>
      <c r="AI65" s="218" t="str">
        <f ca="1">IFERROR(OFFSET(DistanceToCamp[Nearest Town],MATCH(CampList[[#This Row],[CP_Pcode]],DistanceToCamp[CP_Pcode],0)-1,0,1,1),"")</f>
        <v/>
      </c>
      <c r="AJ65" s="561" t="str">
        <f ca="1">IFERROR(OFFSET(DistanceToCamp[distance],MATCH(CampList[[#This Row],[CP_Pcode]],DistanceToCamp[CP_Pcode],0)-1,0,1,1),"")</f>
        <v/>
      </c>
      <c r="AK65" s="337" t="str">
        <f ca="1">IFERROR(INT(CampList[[#This Row],[Distance]]/5)+1,"")</f>
        <v/>
      </c>
      <c r="AL65" s="721"/>
      <c r="AM65" s="721"/>
      <c r="AN65" s="721"/>
      <c r="BD65" s="5"/>
      <c r="BE65" s="5"/>
    </row>
    <row r="66" spans="1:57" s="4" customFormat="1" ht="15.6" customHeight="1" x14ac:dyDescent="0.25">
      <c r="A66" s="550" t="s">
        <v>502</v>
      </c>
      <c r="B66" s="522" t="s">
        <v>555</v>
      </c>
      <c r="C66" s="520" t="s">
        <v>538</v>
      </c>
      <c r="D66" s="520" t="s">
        <v>230</v>
      </c>
      <c r="E66" s="520" t="s">
        <v>539</v>
      </c>
      <c r="F66" s="520" t="s">
        <v>146</v>
      </c>
      <c r="G66" s="520" t="s">
        <v>546</v>
      </c>
      <c r="H66" s="577" t="s">
        <v>731</v>
      </c>
      <c r="I66" s="577" t="s">
        <v>732</v>
      </c>
      <c r="J66" s="577" t="s">
        <v>733</v>
      </c>
      <c r="K66" s="578" t="s">
        <v>734</v>
      </c>
      <c r="L66" s="569" t="s">
        <v>369</v>
      </c>
      <c r="M66" s="522" t="s">
        <v>383</v>
      </c>
      <c r="N66" s="553">
        <v>97.926813999999993</v>
      </c>
      <c r="O66" s="553">
        <v>23.450914000000001</v>
      </c>
      <c r="P66" s="554">
        <v>4336</v>
      </c>
      <c r="Q66" s="504">
        <v>64</v>
      </c>
      <c r="R66" s="526">
        <v>305</v>
      </c>
      <c r="S66" s="333">
        <f>IF(CampList[[#This Row],[HH]]&gt;0,CampList[[#This Row],[Total]]/CampList[[#This Row],[HH]],"NA")</f>
        <v>4.765625</v>
      </c>
      <c r="T66" s="576" t="s">
        <v>513</v>
      </c>
      <c r="U66" s="557" t="s">
        <v>1204</v>
      </c>
      <c r="V66" s="522" t="s">
        <v>556</v>
      </c>
      <c r="W66" s="557" t="s">
        <v>808</v>
      </c>
      <c r="X66" s="558">
        <v>41244</v>
      </c>
      <c r="Y66" s="559">
        <v>2</v>
      </c>
      <c r="Z66" s="558" t="s">
        <v>462</v>
      </c>
      <c r="AA66" s="511" t="s">
        <v>848</v>
      </c>
      <c r="AB66" s="522"/>
      <c r="AC66" s="574">
        <v>42397</v>
      </c>
      <c r="AD66" s="518" t="s">
        <v>1362</v>
      </c>
      <c r="AE66" s="559" t="s">
        <v>1086</v>
      </c>
      <c r="AF66" s="530">
        <f>IF(CampList[[#This Row],[Type of Accomodation]]="camp",MAX(0,CampList[[#This Row],[HH]]-SUMIF(Table_Shelter[Pcode],CampList[[#This Row],[CP_Pcode]],Table_Shelter[HH Covered])),0)</f>
        <v>0</v>
      </c>
      <c r="AG66" s="520"/>
      <c r="AH66" s="520">
        <f>MIN(CampList[[#This Row],[Shelter Gap]],CampList[[#This Row],[Land Status]])</f>
        <v>0</v>
      </c>
      <c r="AI66" s="520" t="str">
        <f ca="1">IFERROR(OFFSET(DistanceToCamp[Nearest Town],MATCH(CampList[[#This Row],[CP_Pcode]],DistanceToCamp[CP_Pcode],0)-1,0,1,1),"")</f>
        <v>Kutkai Town</v>
      </c>
      <c r="AJ66" s="561">
        <f ca="1">IFERROR(OFFSET(DistanceToCamp[distance],MATCH(CampList[[#This Row],[CP_Pcode]],DistanceToCamp[CP_Pcode],0)-1,0,1,1),"")</f>
        <v>1.9281430163271129</v>
      </c>
      <c r="AK66" s="562">
        <f ca="1">IFERROR(INT(CampList[[#This Row],[Distance]]/5)+1,"")</f>
        <v>1</v>
      </c>
      <c r="AL66" s="721"/>
      <c r="AM66" s="721"/>
      <c r="AN66" s="721"/>
      <c r="BD66" s="5"/>
      <c r="BE66" s="5"/>
    </row>
    <row r="67" spans="1:57" s="4" customFormat="1" ht="15.6" customHeight="1" x14ac:dyDescent="0.25">
      <c r="A67" s="490" t="s">
        <v>502</v>
      </c>
      <c r="B67" s="530" t="s">
        <v>555</v>
      </c>
      <c r="C67" s="530" t="s">
        <v>538</v>
      </c>
      <c r="D67" s="530" t="s">
        <v>230</v>
      </c>
      <c r="E67" s="530" t="s">
        <v>539</v>
      </c>
      <c r="F67" s="530" t="s">
        <v>146</v>
      </c>
      <c r="G67" s="530" t="s">
        <v>546</v>
      </c>
      <c r="H67" s="530" t="s">
        <v>731</v>
      </c>
      <c r="I67" s="593" t="s">
        <v>732</v>
      </c>
      <c r="J67" s="530" t="s">
        <v>716</v>
      </c>
      <c r="K67" s="530" t="s">
        <v>735</v>
      </c>
      <c r="L67" s="530" t="s">
        <v>370</v>
      </c>
      <c r="M67" s="530" t="s">
        <v>384</v>
      </c>
      <c r="N67" s="503">
        <v>97.947360000000003</v>
      </c>
      <c r="O67" s="503">
        <v>23.460349999999998</v>
      </c>
      <c r="P67" s="564">
        <v>4430</v>
      </c>
      <c r="Q67" s="506">
        <v>31</v>
      </c>
      <c r="R67" s="527">
        <v>144</v>
      </c>
      <c r="S67" s="333">
        <f>IF(CampList[[#This Row],[HH]]&gt;0,CampList[[#This Row],[Total]]/CampList[[#This Row],[HH]],"NA")</f>
        <v>4.645161290322581</v>
      </c>
      <c r="T67" s="594" t="s">
        <v>513</v>
      </c>
      <c r="U67" s="556" t="s">
        <v>1204</v>
      </c>
      <c r="V67" s="491" t="s">
        <v>556</v>
      </c>
      <c r="W67" s="503" t="s">
        <v>808</v>
      </c>
      <c r="X67" s="572">
        <v>41244</v>
      </c>
      <c r="Y67" s="566"/>
      <c r="Z67" s="566" t="s">
        <v>1282</v>
      </c>
      <c r="AA67" s="506" t="s">
        <v>848</v>
      </c>
      <c r="AB67" s="594"/>
      <c r="AC67" s="560">
        <v>42397</v>
      </c>
      <c r="AD67" s="705" t="s">
        <v>1396</v>
      </c>
      <c r="AE67" s="592" t="s">
        <v>1086</v>
      </c>
      <c r="AF67" s="593">
        <f>IF(CampList[[#This Row],[Type of Accomodation]]="camp",MAX(0,CampList[[#This Row],[HH]]-SUMIF(Table_Shelter[Pcode],CampList[[#This Row],[CP_Pcode]],Table_Shelter[HH Covered])),0)</f>
        <v>0</v>
      </c>
      <c r="AG67" s="530"/>
      <c r="AH67" s="593">
        <f>MIN(CampList[[#This Row],[Shelter Gap]],CampList[[#This Row],[Land Status]])</f>
        <v>0</v>
      </c>
      <c r="AI67" s="593" t="str">
        <f ca="1">IFERROR(OFFSET(DistanceToCamp[Nearest Town],MATCH(CampList[[#This Row],[CP_Pcode]],DistanceToCamp[CP_Pcode],0)-1,0,1,1),"")</f>
        <v>Kutkai Town</v>
      </c>
      <c r="AJ67" s="561">
        <f ca="1">IFERROR(OFFSET(DistanceToCamp[distance],MATCH(CampList[[#This Row],[CP_Pcode]],DistanceToCamp[CP_Pcode],0)-1,0,1,1),"")</f>
        <v>0.42212558305526549</v>
      </c>
      <c r="AK67" s="595">
        <f ca="1">IFERROR(INT(CampList[[#This Row],[Distance]]/5)+1,"")</f>
        <v>1</v>
      </c>
      <c r="AL67" s="721"/>
      <c r="AM67" s="721"/>
      <c r="AN67" s="721"/>
      <c r="BD67" s="5"/>
      <c r="BE67" s="5"/>
    </row>
    <row r="68" spans="1:57" s="4" customFormat="1" ht="15.6" customHeight="1" x14ac:dyDescent="0.25">
      <c r="A68" s="332" t="s">
        <v>502</v>
      </c>
      <c r="B68" s="522" t="s">
        <v>380</v>
      </c>
      <c r="C68" s="522" t="s">
        <v>527</v>
      </c>
      <c r="D68" s="522" t="s">
        <v>237</v>
      </c>
      <c r="E68" s="522" t="s">
        <v>533</v>
      </c>
      <c r="F68" s="522" t="s">
        <v>237</v>
      </c>
      <c r="G68" s="218" t="s">
        <v>537</v>
      </c>
      <c r="H68" s="551" t="s">
        <v>673</v>
      </c>
      <c r="I68" s="551" t="s">
        <v>674</v>
      </c>
      <c r="J68" s="551" t="s">
        <v>687</v>
      </c>
      <c r="K68" s="552" t="s">
        <v>688</v>
      </c>
      <c r="L68" s="569" t="s">
        <v>257</v>
      </c>
      <c r="M68" s="219" t="s">
        <v>256</v>
      </c>
      <c r="N68" s="553">
        <v>97.405202777777802</v>
      </c>
      <c r="O68" s="553">
        <v>25.3660036111111</v>
      </c>
      <c r="P68" s="554">
        <v>0</v>
      </c>
      <c r="Q68" s="504">
        <v>45</v>
      </c>
      <c r="R68" s="526">
        <v>194</v>
      </c>
      <c r="S68" s="333">
        <f>IF(CampList[[#This Row],[HH]]&gt;0,CampList[[#This Row],[Total]]/CampList[[#This Row],[HH]],"NA")</f>
        <v>4.3111111111111109</v>
      </c>
      <c r="T68" s="576" t="s">
        <v>513</v>
      </c>
      <c r="U68" s="334" t="s">
        <v>1204</v>
      </c>
      <c r="V68" s="522" t="s">
        <v>556</v>
      </c>
      <c r="W68" s="557" t="s">
        <v>808</v>
      </c>
      <c r="X68" s="558">
        <v>40909</v>
      </c>
      <c r="Y68" s="559">
        <v>1</v>
      </c>
      <c r="Z68" s="558" t="s">
        <v>462</v>
      </c>
      <c r="AA68" s="511" t="s">
        <v>848</v>
      </c>
      <c r="AB68" s="522"/>
      <c r="AC68" s="574">
        <v>42397</v>
      </c>
      <c r="AD68" s="518" t="s">
        <v>1422</v>
      </c>
      <c r="AE68" s="559" t="s">
        <v>1100</v>
      </c>
      <c r="AF68" s="233">
        <f>IF(CampList[[#This Row],[Type of Accomodation]]="camp",MAX(0,CampList[[#This Row],[HH]]-SUMIF(Table_Shelter[Pcode],CampList[[#This Row],[CP_Pcode]],Table_Shelter[HH Covered])),0)</f>
        <v>40</v>
      </c>
      <c r="AG68" s="218"/>
      <c r="AH68" s="218">
        <f>MIN(CampList[[#This Row],[Shelter Gap]],CampList[[#This Row],[Land Status]])</f>
        <v>40</v>
      </c>
      <c r="AI68" s="218" t="str">
        <f ca="1">IFERROR(OFFSET(DistanceToCamp[Nearest Town],MATCH(CampList[[#This Row],[CP_Pcode]],DistanceToCamp[CP_Pcode],0)-1,0,1,1),"")</f>
        <v>Myitkyina Town</v>
      </c>
      <c r="AJ68" s="561">
        <f ca="1">IFERROR(OFFSET(DistanceToCamp[distance],MATCH(CampList[[#This Row],[CP_Pcode]],DistanceToCamp[CP_Pcode],0)-1,0,1,1),"")</f>
        <v>2.8164250706222882</v>
      </c>
      <c r="AK68" s="337">
        <f ca="1">IFERROR(INT(CampList[[#This Row],[Distance]]/5)+1,"")</f>
        <v>1</v>
      </c>
      <c r="AL68" s="721"/>
      <c r="AM68" s="721"/>
      <c r="AN68" s="721"/>
      <c r="BD68" s="5"/>
      <c r="BE68" s="5"/>
    </row>
    <row r="69" spans="1:57" s="4" customFormat="1" ht="15.6" customHeight="1" x14ac:dyDescent="0.25">
      <c r="A69" s="550" t="s">
        <v>502</v>
      </c>
      <c r="B69" s="522" t="s">
        <v>380</v>
      </c>
      <c r="C69" s="522" t="s">
        <v>527</v>
      </c>
      <c r="D69" s="522" t="s">
        <v>180</v>
      </c>
      <c r="E69" s="522" t="s">
        <v>528</v>
      </c>
      <c r="F69" s="522" t="s">
        <v>173</v>
      </c>
      <c r="G69" s="520" t="s">
        <v>547</v>
      </c>
      <c r="H69" s="551" t="s">
        <v>632</v>
      </c>
      <c r="I69" s="551" t="s">
        <v>633</v>
      </c>
      <c r="J69" s="571"/>
      <c r="K69" s="582"/>
      <c r="L69" s="569" t="s">
        <v>174</v>
      </c>
      <c r="M69" s="522" t="s">
        <v>172</v>
      </c>
      <c r="N69" s="553">
        <v>96.922619999999995</v>
      </c>
      <c r="O69" s="553">
        <v>25.305669999999999</v>
      </c>
      <c r="P69" s="554">
        <v>470</v>
      </c>
      <c r="Q69" s="504">
        <v>16</v>
      </c>
      <c r="R69" s="526">
        <v>69</v>
      </c>
      <c r="S69" s="333">
        <f>IF(CampList[[#This Row],[HH]]&gt;0,CampList[[#This Row],[Total]]/CampList[[#This Row],[HH]],"NA")</f>
        <v>4.3125</v>
      </c>
      <c r="T69" s="576" t="s">
        <v>513</v>
      </c>
      <c r="U69" s="557" t="s">
        <v>1204</v>
      </c>
      <c r="V69" s="522" t="s">
        <v>556</v>
      </c>
      <c r="W69" s="557" t="s">
        <v>808</v>
      </c>
      <c r="X69" s="558">
        <v>41030</v>
      </c>
      <c r="Y69" s="559">
        <v>1</v>
      </c>
      <c r="Z69" s="558" t="s">
        <v>462</v>
      </c>
      <c r="AA69" s="510" t="s">
        <v>848</v>
      </c>
      <c r="AB69" s="522"/>
      <c r="AC69" s="574">
        <v>42397</v>
      </c>
      <c r="AD69" s="518" t="s">
        <v>1423</v>
      </c>
      <c r="AE69" s="559" t="s">
        <v>1100</v>
      </c>
      <c r="AF69" s="530">
        <f>IF(CampList[[#This Row],[Type of Accomodation]]="camp",MAX(0,CampList[[#This Row],[HH]]-SUMIF(Table_Shelter[Pcode],CampList[[#This Row],[CP_Pcode]],Table_Shelter[HH Covered])),0)</f>
        <v>1</v>
      </c>
      <c r="AG69" s="520"/>
      <c r="AH69" s="520">
        <f>MIN(CampList[[#This Row],[Shelter Gap]],CampList[[#This Row],[Land Status]])</f>
        <v>1</v>
      </c>
      <c r="AI69" s="520" t="str">
        <f ca="1">IFERROR(OFFSET(DistanceToCamp[Nearest Town],MATCH(CampList[[#This Row],[CP_Pcode]],DistanceToCamp[CP_Pcode],0)-1,0,1,1),"")</f>
        <v>Mogaung Town</v>
      </c>
      <c r="AJ69" s="561">
        <f ca="1">IFERROR(OFFSET(DistanceToCamp[distance],MATCH(CampList[[#This Row],[CP_Pcode]],DistanceToCamp[CP_Pcode],0)-1,0,1,1),"")</f>
        <v>1.815139598767344</v>
      </c>
      <c r="AK69" s="562">
        <f ca="1">IFERROR(INT(CampList[[#This Row],[Distance]]/5)+1,"")</f>
        <v>1</v>
      </c>
      <c r="AL69" s="721"/>
      <c r="AM69" s="721"/>
      <c r="AN69" s="721"/>
      <c r="BD69" s="5"/>
      <c r="BE69" s="5"/>
    </row>
    <row r="70" spans="1:57" s="4" customFormat="1" ht="15.6" customHeight="1" x14ac:dyDescent="0.25">
      <c r="A70" s="332" t="s">
        <v>502</v>
      </c>
      <c r="B70" s="522" t="s">
        <v>380</v>
      </c>
      <c r="C70" s="522" t="s">
        <v>527</v>
      </c>
      <c r="D70" s="522" t="s">
        <v>300</v>
      </c>
      <c r="E70" s="522" t="s">
        <v>548</v>
      </c>
      <c r="F70" s="522" t="s">
        <v>144</v>
      </c>
      <c r="G70" s="218" t="s">
        <v>549</v>
      </c>
      <c r="H70" s="551" t="s">
        <v>788</v>
      </c>
      <c r="I70" s="551" t="s">
        <v>789</v>
      </c>
      <c r="J70" s="551" t="s">
        <v>145</v>
      </c>
      <c r="K70" s="552">
        <v>168236</v>
      </c>
      <c r="L70" s="522" t="s">
        <v>145</v>
      </c>
      <c r="M70" s="219" t="s">
        <v>143</v>
      </c>
      <c r="N70" s="563">
        <v>98.144502500000002</v>
      </c>
      <c r="O70" s="563">
        <v>26.890058</v>
      </c>
      <c r="P70" s="564">
        <v>1393</v>
      </c>
      <c r="Q70" s="104">
        <v>11</v>
      </c>
      <c r="R70" s="232">
        <v>17</v>
      </c>
      <c r="S70" s="333">
        <f>IF(CampList[[#This Row],[HH]]&gt;0,CampList[[#This Row],[Total]]/CampList[[#This Row],[HH]],"NA")</f>
        <v>1.5454545454545454</v>
      </c>
      <c r="T70" s="576" t="s">
        <v>513</v>
      </c>
      <c r="U70" s="334" t="s">
        <v>1204</v>
      </c>
      <c r="V70" s="522" t="s">
        <v>556</v>
      </c>
      <c r="W70" s="334" t="s">
        <v>862</v>
      </c>
      <c r="X70" s="565"/>
      <c r="Y70" s="566"/>
      <c r="Z70" s="557"/>
      <c r="AA70" s="510" t="s">
        <v>847</v>
      </c>
      <c r="AB70" s="522"/>
      <c r="AC70" s="560">
        <v>41646</v>
      </c>
      <c r="AD70" s="518" t="s">
        <v>896</v>
      </c>
      <c r="AE70" s="566" t="s">
        <v>1100</v>
      </c>
      <c r="AF70" s="233">
        <f>IF(CampList[[#This Row],[Type of Accomodation]]="camp",MAX(0,CampList[[#This Row],[HH]]-SUMIF(Table_Shelter[Pcode],CampList[[#This Row],[CP_Pcode]],Table_Shelter[HH Covered])),0)</f>
        <v>11</v>
      </c>
      <c r="AG70" s="218"/>
      <c r="AH70" s="218">
        <f>MIN(CampList[[#This Row],[Shelter Gap]],CampList[[#This Row],[Land Status]])</f>
        <v>11</v>
      </c>
      <c r="AI70" s="218" t="str">
        <f ca="1">IFERROR(OFFSET(DistanceToCamp[Nearest Town],MATCH(CampList[[#This Row],[CP_Pcode]],DistanceToCamp[CP_Pcode],0)-1,0,1,1),"")</f>
        <v>Khaunglanhpu Town</v>
      </c>
      <c r="AJ70" s="336">
        <f ca="1">IFERROR(OFFSET(DistanceToCamp[distance],MATCH(CampList[[#This Row],[CP_Pcode]],DistanceToCamp[CP_Pcode],0)-1,0,1,1),"")</f>
        <v>28.422357500443528</v>
      </c>
      <c r="AK70" s="337">
        <f ca="1">IFERROR(INT(CampList[[#This Row],[Distance]]/5)+1,"")</f>
        <v>6</v>
      </c>
      <c r="AL70" s="721"/>
      <c r="AM70" s="721"/>
      <c r="AN70" s="721"/>
      <c r="BD70" s="5"/>
      <c r="BE70" s="5"/>
    </row>
    <row r="71" spans="1:57" s="4" customFormat="1" ht="15.6" hidden="1" customHeight="1" x14ac:dyDescent="0.25">
      <c r="A71" s="550" t="s">
        <v>849</v>
      </c>
      <c r="B71" s="522" t="s">
        <v>380</v>
      </c>
      <c r="C71" s="522" t="s">
        <v>527</v>
      </c>
      <c r="D71" s="522" t="s">
        <v>5</v>
      </c>
      <c r="E71" s="522" t="s">
        <v>531</v>
      </c>
      <c r="F71" s="522" t="s">
        <v>151</v>
      </c>
      <c r="G71" s="218" t="s">
        <v>541</v>
      </c>
      <c r="H71" s="551" t="s">
        <v>743</v>
      </c>
      <c r="I71" s="551" t="s">
        <v>744</v>
      </c>
      <c r="J71" s="551"/>
      <c r="K71" s="552"/>
      <c r="L71" s="569" t="s">
        <v>518</v>
      </c>
      <c r="M71" s="522" t="s">
        <v>519</v>
      </c>
      <c r="N71" s="553">
        <v>97.601243999999994</v>
      </c>
      <c r="O71" s="553">
        <v>23.867713999999999</v>
      </c>
      <c r="P71" s="554">
        <v>755</v>
      </c>
      <c r="Q71" s="504">
        <v>0</v>
      </c>
      <c r="R71" s="526">
        <v>0</v>
      </c>
      <c r="S71" s="333" t="str">
        <f>IF(CampList[[#This Row],[HH]]&gt;0,CampList[[#This Row],[Total]]/CampList[[#This Row],[HH]],"NA")</f>
        <v>NA</v>
      </c>
      <c r="T71" s="556" t="s">
        <v>515</v>
      </c>
      <c r="U71" s="334" t="s">
        <v>1204</v>
      </c>
      <c r="V71" s="219" t="s">
        <v>556</v>
      </c>
      <c r="W71" s="557" t="s">
        <v>862</v>
      </c>
      <c r="X71" s="558">
        <v>41365</v>
      </c>
      <c r="Y71" s="559">
        <v>2</v>
      </c>
      <c r="Z71" s="558" t="s">
        <v>1096</v>
      </c>
      <c r="AA71" s="511" t="s">
        <v>848</v>
      </c>
      <c r="AB71" s="522"/>
      <c r="AC71" s="560">
        <v>41811</v>
      </c>
      <c r="AD71" s="518" t="s">
        <v>1107</v>
      </c>
      <c r="AE71" s="559" t="s">
        <v>1100</v>
      </c>
      <c r="AF71" s="233">
        <f>IF(CampList[[#This Row],[Type of Accomodation]]="camp",MAX(0,CampList[[#This Row],[HH]]-SUMIF(Table_Shelter[Pcode],CampList[[#This Row],[CP_Pcode]],Table_Shelter[HH Covered])),0)</f>
        <v>0</v>
      </c>
      <c r="AG71" s="218"/>
      <c r="AH71" s="218">
        <f>MIN(CampList[[#This Row],[Shelter Gap]],CampList[[#This Row],[Land Status]])</f>
        <v>0</v>
      </c>
      <c r="AI71" s="218" t="str">
        <f ca="1">IFERROR(OFFSET(DistanceToCamp[Nearest Town],MATCH(CampList[[#This Row],[CP_Pcode]],DistanceToCamp[CP_Pcode],0)-1,0,1,1),"")</f>
        <v/>
      </c>
      <c r="AJ71" s="336" t="str">
        <f ca="1">IFERROR(OFFSET(DistanceToCamp[distance],MATCH(CampList[[#This Row],[CP_Pcode]],DistanceToCamp[CP_Pcode],0)-1,0,1,1),"")</f>
        <v/>
      </c>
      <c r="AK71" s="337" t="str">
        <f ca="1">IFERROR(INT(CampList[[#This Row],[Distance]]/5)+1,"")</f>
        <v/>
      </c>
      <c r="AL71" s="721"/>
      <c r="AM71" s="721"/>
      <c r="AN71" s="721"/>
      <c r="BD71" s="5"/>
      <c r="BE71" s="5"/>
    </row>
    <row r="72" spans="1:57" s="4" customFormat="1" ht="15.6" hidden="1" customHeight="1" x14ac:dyDescent="0.25">
      <c r="A72" s="550" t="s">
        <v>849</v>
      </c>
      <c r="B72" s="522" t="s">
        <v>380</v>
      </c>
      <c r="C72" s="522" t="s">
        <v>527</v>
      </c>
      <c r="D72" s="522" t="s">
        <v>237</v>
      </c>
      <c r="E72" s="522" t="s">
        <v>533</v>
      </c>
      <c r="F72" s="522" t="s">
        <v>310</v>
      </c>
      <c r="G72" s="520" t="s">
        <v>534</v>
      </c>
      <c r="H72" s="551" t="s">
        <v>729</v>
      </c>
      <c r="I72" s="551" t="s">
        <v>730</v>
      </c>
      <c r="J72" s="551" t="s">
        <v>729</v>
      </c>
      <c r="K72" s="552">
        <v>165772</v>
      </c>
      <c r="L72" s="522" t="s">
        <v>1262</v>
      </c>
      <c r="M72" s="522" t="s">
        <v>314</v>
      </c>
      <c r="N72" s="553">
        <v>97.551507000000001</v>
      </c>
      <c r="O72" s="553">
        <v>24.747212999999999</v>
      </c>
      <c r="P72" s="554">
        <v>221</v>
      </c>
      <c r="Q72" s="508">
        <v>0</v>
      </c>
      <c r="R72" s="529">
        <v>0</v>
      </c>
      <c r="S72" s="333" t="str">
        <f>IF(CampList[[#This Row],[HH]]&gt;0,CampList[[#This Row],[Total]]/CampList[[#This Row],[HH]],"NA")</f>
        <v>NA</v>
      </c>
      <c r="T72" s="556" t="s">
        <v>515</v>
      </c>
      <c r="U72" s="557" t="s">
        <v>1204</v>
      </c>
      <c r="V72" s="522" t="s">
        <v>556</v>
      </c>
      <c r="W72" s="557" t="s">
        <v>862</v>
      </c>
      <c r="X72" s="558">
        <v>40695</v>
      </c>
      <c r="Y72" s="559">
        <v>3</v>
      </c>
      <c r="Z72" s="558" t="s">
        <v>1097</v>
      </c>
      <c r="AA72" s="511" t="s">
        <v>848</v>
      </c>
      <c r="AB72" s="522"/>
      <c r="AC72" s="560">
        <v>42180</v>
      </c>
      <c r="AD72" s="518" t="s">
        <v>1283</v>
      </c>
      <c r="AE72" s="559" t="s">
        <v>1085</v>
      </c>
      <c r="AF72" s="530">
        <f>IF(CampList[[#This Row],[Type of Accomodation]]="camp",MAX(0,CampList[[#This Row],[HH]]-SUMIF(Table_Shelter[Pcode],CampList[[#This Row],[CP_Pcode]],Table_Shelter[HH Covered])),0)</f>
        <v>0</v>
      </c>
      <c r="AG72" s="520">
        <v>0</v>
      </c>
      <c r="AH72" s="520">
        <f>MIN(CampList[[#This Row],[Shelter Gap]],CampList[[#This Row],[Land Status]])</f>
        <v>0</v>
      </c>
      <c r="AI72" s="520" t="str">
        <f ca="1">IFERROR(OFFSET(DistanceToCamp[Nearest Town],MATCH(CampList[[#This Row],[CP_Pcode]],DistanceToCamp[CP_Pcode],0)-1,0,1,1),"")</f>
        <v>Laiza town</v>
      </c>
      <c r="AJ72" s="561">
        <f ca="1">IFERROR(OFFSET(DistanceToCamp[distance],MATCH(CampList[[#This Row],[CP_Pcode]],DistanceToCamp[CP_Pcode],0)-1,0,1,1),"")</f>
        <v>1.857513522619473</v>
      </c>
      <c r="AK72" s="562">
        <f ca="1">IFERROR(INT(CampList[[#This Row],[Distance]]/5)+1,"")</f>
        <v>1</v>
      </c>
      <c r="AL72" s="721"/>
      <c r="AM72" s="721"/>
      <c r="AN72" s="721"/>
      <c r="BD72" s="5"/>
      <c r="BE72" s="5"/>
    </row>
    <row r="73" spans="1:57" s="4" customFormat="1" ht="15.6" customHeight="1" x14ac:dyDescent="0.25">
      <c r="A73" s="585" t="s">
        <v>502</v>
      </c>
      <c r="B73" s="219" t="s">
        <v>380</v>
      </c>
      <c r="C73" s="522" t="s">
        <v>527</v>
      </c>
      <c r="D73" s="522" t="s">
        <v>237</v>
      </c>
      <c r="E73" s="522" t="s">
        <v>533</v>
      </c>
      <c r="F73" s="522" t="s">
        <v>310</v>
      </c>
      <c r="G73" s="218" t="s">
        <v>534</v>
      </c>
      <c r="H73" s="577" t="s">
        <v>768</v>
      </c>
      <c r="I73" s="577" t="s">
        <v>769</v>
      </c>
      <c r="J73" s="577" t="s">
        <v>807</v>
      </c>
      <c r="K73" s="578">
        <v>165816</v>
      </c>
      <c r="L73" s="522" t="s">
        <v>340</v>
      </c>
      <c r="M73" s="219" t="s">
        <v>339</v>
      </c>
      <c r="N73" s="718">
        <v>97.718008999999995</v>
      </c>
      <c r="O73" s="718">
        <v>25.108011999999999</v>
      </c>
      <c r="P73" s="564"/>
      <c r="Q73" s="504">
        <v>355</v>
      </c>
      <c r="R73" s="526">
        <v>4450</v>
      </c>
      <c r="S73" s="333">
        <f>IF(CampList[[#This Row],[HH]]&gt;0,CampList[[#This Row],[Total]]/CampList[[#This Row],[HH]],"NA")</f>
        <v>12.535211267605634</v>
      </c>
      <c r="T73" s="576" t="s">
        <v>515</v>
      </c>
      <c r="U73" s="334" t="s">
        <v>1250</v>
      </c>
      <c r="V73" s="683" t="s">
        <v>1249</v>
      </c>
      <c r="W73" s="557" t="s">
        <v>808</v>
      </c>
      <c r="X73" s="565"/>
      <c r="Y73" s="566"/>
      <c r="Z73" s="557"/>
      <c r="AA73" s="512" t="s">
        <v>574</v>
      </c>
      <c r="AB73" s="219"/>
      <c r="AC73" s="574">
        <v>41803</v>
      </c>
      <c r="AD73" s="683" t="s">
        <v>1248</v>
      </c>
      <c r="AE73" s="566" t="s">
        <v>1100</v>
      </c>
      <c r="AF73" s="233">
        <f>IF(CampList[[#This Row],[Type of Accomodation]]="camp",MAX(0,CampList[[#This Row],[HH]]-SUMIF(Table_Shelter[Pcode],CampList[[#This Row],[CP_Pcode]],Table_Shelter[HH Covered])),0)</f>
        <v>0</v>
      </c>
      <c r="AG73" s="218"/>
      <c r="AH73" s="218">
        <f>MIN(CampList[[#This Row],[Shelter Gap]],CampList[[#This Row],[Land Status]])</f>
        <v>0</v>
      </c>
      <c r="AI73" s="218" t="str">
        <f ca="1">IFERROR(OFFSET(DistanceToCamp[Nearest Town],MATCH(CampList[[#This Row],[CP_Pcode]],DistanceToCamp[CP_Pcode],0)-1,0,1,1),"")</f>
        <v>Sadung Town</v>
      </c>
      <c r="AJ73" s="561">
        <f ca="1">IFERROR(OFFSET(DistanceToCamp[distance],MATCH(CampList[[#This Row],[CP_Pcode]],DistanceToCamp[CP_Pcode],0)-1,0,1,1),"")</f>
        <v>34.344689881690819</v>
      </c>
      <c r="AK73" s="337">
        <f ca="1">IFERROR(INT(CampList[[#This Row],[Distance]]/5)+1,"")</f>
        <v>7</v>
      </c>
      <c r="AL73" s="721"/>
      <c r="AM73" s="721"/>
      <c r="AN73" s="721"/>
      <c r="BD73" s="5"/>
      <c r="BE73" s="5"/>
    </row>
    <row r="74" spans="1:57" s="4" customFormat="1" ht="15.6" customHeight="1" x14ac:dyDescent="0.25">
      <c r="A74" s="550" t="s">
        <v>502</v>
      </c>
      <c r="B74" s="522" t="s">
        <v>380</v>
      </c>
      <c r="C74" s="522" t="s">
        <v>527</v>
      </c>
      <c r="D74" s="522" t="s">
        <v>237</v>
      </c>
      <c r="E74" s="522" t="s">
        <v>533</v>
      </c>
      <c r="F74" s="522" t="s">
        <v>27</v>
      </c>
      <c r="G74" s="520" t="s">
        <v>536</v>
      </c>
      <c r="H74" s="551" t="s">
        <v>793</v>
      </c>
      <c r="I74" s="551" t="s">
        <v>794</v>
      </c>
      <c r="J74" s="551" t="s">
        <v>795</v>
      </c>
      <c r="K74" s="552">
        <v>166337</v>
      </c>
      <c r="L74" s="522" t="s">
        <v>34</v>
      </c>
      <c r="M74" s="522" t="s">
        <v>33</v>
      </c>
      <c r="N74" s="553">
        <v>98.354146999999998</v>
      </c>
      <c r="O74" s="553">
        <v>25.708763000000001</v>
      </c>
      <c r="P74" s="564"/>
      <c r="Q74" s="504"/>
      <c r="R74" s="526"/>
      <c r="S74" s="333" t="str">
        <f>IF(CampList[[#This Row],[HH]]&gt;0,CampList[[#This Row],[Total]]/CampList[[#This Row],[HH]],"NA")</f>
        <v>NA</v>
      </c>
      <c r="T74" s="576" t="s">
        <v>513</v>
      </c>
      <c r="U74" s="557" t="s">
        <v>1204</v>
      </c>
      <c r="V74" s="518" t="s">
        <v>12</v>
      </c>
      <c r="W74" s="557" t="s">
        <v>862</v>
      </c>
      <c r="X74" s="565"/>
      <c r="Y74" s="566"/>
      <c r="Z74" s="557"/>
      <c r="AA74" s="507"/>
      <c r="AB74" s="522"/>
      <c r="AC74" s="584"/>
      <c r="AD74" s="518"/>
      <c r="AE74" s="566" t="s">
        <v>1084</v>
      </c>
      <c r="AF74" s="530">
        <f>IF(CampList[[#This Row],[Type of Accomodation]]="camp",MAX(0,CampList[[#This Row],[HH]]-SUMIF(Table_Shelter[Pcode],CampList[[#This Row],[CP_Pcode]],Table_Shelter[HH Covered])),0)</f>
        <v>0</v>
      </c>
      <c r="AG74" s="520"/>
      <c r="AH74" s="520">
        <f>MIN(CampList[[#This Row],[Shelter Gap]],CampList[[#This Row],[Land Status]])</f>
        <v>0</v>
      </c>
      <c r="AI74" s="520" t="str">
        <f ca="1">IFERROR(OFFSET(DistanceToCamp[Nearest Town],MATCH(CampList[[#This Row],[CP_Pcode]],DistanceToCamp[CP_Pcode],0)-1,0,1,1),"")</f>
        <v>Pang War Town</v>
      </c>
      <c r="AJ74" s="561">
        <f ca="1">IFERROR(OFFSET(DistanceToCamp[distance],MATCH(CampList[[#This Row],[CP_Pcode]],DistanceToCamp[CP_Pcode],0)-1,0,1,1),"")</f>
        <v>12.486065224161463</v>
      </c>
      <c r="AK74" s="562">
        <f ca="1">IFERROR(INT(CampList[[#This Row],[Distance]]/5)+1,"")</f>
        <v>3</v>
      </c>
      <c r="AL74" s="721"/>
      <c r="AM74" s="721"/>
      <c r="AN74" s="721"/>
      <c r="BD74" s="5"/>
      <c r="BE74" s="5"/>
    </row>
    <row r="75" spans="1:57" s="4" customFormat="1" ht="15.6" customHeight="1" x14ac:dyDescent="0.25">
      <c r="A75" s="490" t="s">
        <v>502</v>
      </c>
      <c r="B75" s="530" t="s">
        <v>380</v>
      </c>
      <c r="C75" s="530" t="s">
        <v>527</v>
      </c>
      <c r="D75" s="530" t="s">
        <v>5</v>
      </c>
      <c r="E75" s="530" t="s">
        <v>531</v>
      </c>
      <c r="F75" s="530" t="s">
        <v>151</v>
      </c>
      <c r="G75" s="530" t="s">
        <v>541</v>
      </c>
      <c r="H75" s="530" t="s">
        <v>745</v>
      </c>
      <c r="I75" s="593" t="s">
        <v>746</v>
      </c>
      <c r="J75" s="530" t="s">
        <v>747</v>
      </c>
      <c r="K75" s="530">
        <v>216948</v>
      </c>
      <c r="L75" s="530" t="s">
        <v>198</v>
      </c>
      <c r="M75" s="530" t="s">
        <v>197</v>
      </c>
      <c r="N75" s="503">
        <v>97.625617000000005</v>
      </c>
      <c r="O75" s="503">
        <v>24.056132999999999</v>
      </c>
      <c r="P75" s="564">
        <v>866</v>
      </c>
      <c r="Q75" s="506">
        <v>545</v>
      </c>
      <c r="R75" s="527">
        <v>2560</v>
      </c>
      <c r="S75" s="333">
        <f>IF(CampList[[#This Row],[HH]]&gt;0,CampList[[#This Row],[Total]]/CampList[[#This Row],[HH]],"NA")</f>
        <v>4.6972477064220186</v>
      </c>
      <c r="T75" s="594" t="s">
        <v>515</v>
      </c>
      <c r="U75" s="556" t="s">
        <v>1204</v>
      </c>
      <c r="V75" s="491" t="s">
        <v>556</v>
      </c>
      <c r="W75" s="503" t="s">
        <v>862</v>
      </c>
      <c r="X75" s="572">
        <v>40817</v>
      </c>
      <c r="Y75" s="566">
        <v>2</v>
      </c>
      <c r="Z75" s="566" t="s">
        <v>1096</v>
      </c>
      <c r="AA75" s="506" t="s">
        <v>848</v>
      </c>
      <c r="AB75" s="594"/>
      <c r="AC75" s="574">
        <v>42397</v>
      </c>
      <c r="AD75" s="705" t="s">
        <v>1390</v>
      </c>
      <c r="AE75" s="592" t="s">
        <v>1085</v>
      </c>
      <c r="AF75" s="593">
        <f>IF(CampList[[#This Row],[Type of Accomodation]]="camp",MAX(0,CampList[[#This Row],[HH]]-SUMIF(Table_Shelter[Pcode],CampList[[#This Row],[CP_Pcode]],Table_Shelter[HH Covered])),0)</f>
        <v>51</v>
      </c>
      <c r="AG75" s="530"/>
      <c r="AH75" s="593">
        <f>MIN(CampList[[#This Row],[Shelter Gap]],CampList[[#This Row],[Land Status]])</f>
        <v>51</v>
      </c>
      <c r="AI75" s="593" t="str">
        <f ca="1">IFERROR(OFFSET(DistanceToCamp[Nearest Town],MATCH(CampList[[#This Row],[CP_Pcode]],DistanceToCamp[CP_Pcode],0)-1,0,1,1),"")</f>
        <v>Lwegel Town</v>
      </c>
      <c r="AJ75" s="561">
        <f ca="1">IFERROR(OFFSET(DistanceToCamp[distance],MATCH(CampList[[#This Row],[CP_Pcode]],DistanceToCamp[CP_Pcode],0)-1,0,1,1),"")</f>
        <v>18.620903555062636</v>
      </c>
      <c r="AK75" s="595">
        <f ca="1">IFERROR(INT(CampList[[#This Row],[Distance]]/5)+1,"")</f>
        <v>4</v>
      </c>
      <c r="AL75" s="721"/>
      <c r="AM75" s="721"/>
      <c r="AN75" s="721"/>
      <c r="BD75" s="5"/>
      <c r="BE75" s="5"/>
    </row>
    <row r="76" spans="1:57" s="4" customFormat="1" ht="15.6" customHeight="1" x14ac:dyDescent="0.25">
      <c r="A76" s="585" t="s">
        <v>502</v>
      </c>
      <c r="B76" s="522" t="s">
        <v>380</v>
      </c>
      <c r="C76" s="522" t="s">
        <v>527</v>
      </c>
      <c r="D76" s="522" t="s">
        <v>5</v>
      </c>
      <c r="E76" s="522" t="s">
        <v>531</v>
      </c>
      <c r="F76" s="522" t="s">
        <v>302</v>
      </c>
      <c r="G76" s="218" t="s">
        <v>542</v>
      </c>
      <c r="H76" s="520"/>
      <c r="I76" s="522"/>
      <c r="J76" s="522"/>
      <c r="K76" s="568"/>
      <c r="L76" s="522" t="s">
        <v>304</v>
      </c>
      <c r="M76" s="219" t="s">
        <v>303</v>
      </c>
      <c r="N76" s="586"/>
      <c r="O76" s="586"/>
      <c r="P76" s="564"/>
      <c r="Q76" s="504">
        <v>375</v>
      </c>
      <c r="R76" s="526">
        <v>1691</v>
      </c>
      <c r="S76" s="333">
        <f>IF(CampList[[#This Row],[HH]]&gt;0,CampList[[#This Row],[Total]]/CampList[[#This Row],[HH]],"NA")</f>
        <v>4.5093333333333332</v>
      </c>
      <c r="T76" s="576" t="s">
        <v>515</v>
      </c>
      <c r="U76" s="334" t="s">
        <v>1204</v>
      </c>
      <c r="V76" s="219" t="s">
        <v>12</v>
      </c>
      <c r="W76" s="557" t="s">
        <v>862</v>
      </c>
      <c r="X76" s="565"/>
      <c r="Y76" s="566"/>
      <c r="Z76" s="557"/>
      <c r="AA76" s="512" t="s">
        <v>574</v>
      </c>
      <c r="AB76" s="522"/>
      <c r="AC76" s="560">
        <v>41701</v>
      </c>
      <c r="AD76" s="683" t="s">
        <v>1018</v>
      </c>
      <c r="AE76" s="566" t="s">
        <v>1100</v>
      </c>
      <c r="AF76" s="233">
        <f>IF(CampList[[#This Row],[Type of Accomodation]]="camp",MAX(0,CampList[[#This Row],[HH]]-SUMIF(Table_Shelter[Pcode],CampList[[#This Row],[CP_Pcode]],Table_Shelter[HH Covered])),0)</f>
        <v>0</v>
      </c>
      <c r="AG76" s="218"/>
      <c r="AH76" s="218">
        <f>MIN(CampList[[#This Row],[Shelter Gap]],CampList[[#This Row],[Land Status]])</f>
        <v>0</v>
      </c>
      <c r="AI76" s="218" t="str">
        <f ca="1">IFERROR(OFFSET(DistanceToCamp[Nearest Town],MATCH(CampList[[#This Row],[CP_Pcode]],DistanceToCamp[CP_Pcode],0)-1,0,1,1),"")</f>
        <v/>
      </c>
      <c r="AJ76" s="336" t="str">
        <f ca="1">IFERROR(OFFSET(DistanceToCamp[distance],MATCH(CampList[[#This Row],[CP_Pcode]],DistanceToCamp[CP_Pcode],0)-1,0,1,1),"")</f>
        <v/>
      </c>
      <c r="AK76" s="337" t="str">
        <f ca="1">IFERROR(INT(CampList[[#This Row],[Distance]]/5)+1,"")</f>
        <v/>
      </c>
      <c r="AL76" s="721"/>
      <c r="AM76" s="721"/>
      <c r="AN76" s="721"/>
      <c r="BD76" s="5"/>
      <c r="BE76" s="5"/>
    </row>
    <row r="77" spans="1:57" s="4" customFormat="1" ht="15.6" hidden="1" customHeight="1" x14ac:dyDescent="0.25">
      <c r="A77" s="550" t="s">
        <v>849</v>
      </c>
      <c r="B77" s="522" t="s">
        <v>380</v>
      </c>
      <c r="C77" s="522" t="s">
        <v>527</v>
      </c>
      <c r="D77" s="522" t="s">
        <v>237</v>
      </c>
      <c r="E77" s="522" t="s">
        <v>533</v>
      </c>
      <c r="F77" s="522" t="s">
        <v>363</v>
      </c>
      <c r="G77" s="520" t="s">
        <v>550</v>
      </c>
      <c r="H77" s="520"/>
      <c r="I77" s="522"/>
      <c r="J77" s="522"/>
      <c r="K77" s="568"/>
      <c r="L77" s="522" t="s">
        <v>35</v>
      </c>
      <c r="M77" s="522" t="s">
        <v>362</v>
      </c>
      <c r="N77" s="563"/>
      <c r="O77" s="563"/>
      <c r="P77" s="564"/>
      <c r="Q77" s="504">
        <v>0</v>
      </c>
      <c r="R77" s="526">
        <v>0</v>
      </c>
      <c r="S77" s="333" t="str">
        <f>IF(CampList[[#This Row],[HH]]&gt;0,CampList[[#This Row],[Total]]/CampList[[#This Row],[HH]],"NA")</f>
        <v>NA</v>
      </c>
      <c r="T77" s="556" t="s">
        <v>513</v>
      </c>
      <c r="U77" s="557" t="s">
        <v>1204</v>
      </c>
      <c r="V77" s="522" t="s">
        <v>556</v>
      </c>
      <c r="W77" s="557"/>
      <c r="X77" s="565"/>
      <c r="Y77" s="566"/>
      <c r="Z77" s="557"/>
      <c r="AA77" s="512"/>
      <c r="AB77" s="522"/>
      <c r="AC77" s="560">
        <v>41712</v>
      </c>
      <c r="AD77" s="518" t="s">
        <v>1030</v>
      </c>
      <c r="AE77" s="566" t="s">
        <v>1014</v>
      </c>
      <c r="AF77" s="530">
        <f>IF(CampList[[#This Row],[Type of Accomodation]]="camp",MAX(0,CampList[[#This Row],[HH]]-SUMIF(Table_Shelter[Pcode],CampList[[#This Row],[CP_Pcode]],Table_Shelter[HH Covered])),0)</f>
        <v>0</v>
      </c>
      <c r="AG77" s="520"/>
      <c r="AH77" s="520">
        <f>MIN(CampList[[#This Row],[Shelter Gap]],CampList[[#This Row],[Land Status]])</f>
        <v>0</v>
      </c>
      <c r="AI77" s="520" t="str">
        <f ca="1">IFERROR(OFFSET(DistanceToCamp[Nearest Town],MATCH(CampList[[#This Row],[CP_Pcode]],DistanceToCamp[CP_Pcode],0)-1,0,1,1),"")</f>
        <v/>
      </c>
      <c r="AJ77" s="561" t="str">
        <f ca="1">IFERROR(OFFSET(DistanceToCamp[distance],MATCH(CampList[[#This Row],[CP_Pcode]],DistanceToCamp[CP_Pcode],0)-1,0,1,1),"")</f>
        <v/>
      </c>
      <c r="AK77" s="562" t="str">
        <f ca="1">IFERROR(INT(CampList[[#This Row],[Distance]]/5)+1,"")</f>
        <v/>
      </c>
      <c r="AL77" s="721"/>
      <c r="AM77" s="721"/>
      <c r="AN77" s="721"/>
      <c r="BD77" s="5"/>
      <c r="BE77" s="5"/>
    </row>
    <row r="78" spans="1:57" s="4" customFormat="1" ht="15.6" customHeight="1" x14ac:dyDescent="0.25">
      <c r="A78" s="550" t="s">
        <v>502</v>
      </c>
      <c r="B78" s="522" t="s">
        <v>380</v>
      </c>
      <c r="C78" s="522" t="s">
        <v>527</v>
      </c>
      <c r="D78" s="522" t="s">
        <v>237</v>
      </c>
      <c r="E78" s="522" t="s">
        <v>533</v>
      </c>
      <c r="F78" s="522" t="s">
        <v>237</v>
      </c>
      <c r="G78" s="520" t="s">
        <v>537</v>
      </c>
      <c r="H78" s="551" t="s">
        <v>673</v>
      </c>
      <c r="I78" s="551" t="s">
        <v>674</v>
      </c>
      <c r="J78" s="551" t="s">
        <v>689</v>
      </c>
      <c r="K78" s="552" t="s">
        <v>690</v>
      </c>
      <c r="L78" s="569" t="s">
        <v>240</v>
      </c>
      <c r="M78" s="522" t="s">
        <v>239</v>
      </c>
      <c r="N78" s="553">
        <v>97.409035000000003</v>
      </c>
      <c r="O78" s="553">
        <v>25.362420757575801</v>
      </c>
      <c r="P78" s="554">
        <v>0</v>
      </c>
      <c r="Q78" s="504">
        <v>108</v>
      </c>
      <c r="R78" s="526">
        <v>605</v>
      </c>
      <c r="S78" s="333">
        <f>IF(CampList[[#This Row],[HH]]&gt;0,CampList[[#This Row],[Total]]/CampList[[#This Row],[HH]],"NA")</f>
        <v>5.6018518518518521</v>
      </c>
      <c r="T78" s="576" t="s">
        <v>513</v>
      </c>
      <c r="U78" s="557" t="s">
        <v>1204</v>
      </c>
      <c r="V78" s="522" t="s">
        <v>556</v>
      </c>
      <c r="W78" s="557" t="s">
        <v>808</v>
      </c>
      <c r="X78" s="558">
        <v>40603</v>
      </c>
      <c r="Y78" s="559">
        <v>2</v>
      </c>
      <c r="Z78" s="558" t="s">
        <v>462</v>
      </c>
      <c r="AA78" s="511" t="s">
        <v>848</v>
      </c>
      <c r="AB78" s="522"/>
      <c r="AC78" s="574">
        <v>42397</v>
      </c>
      <c r="AD78" s="518" t="s">
        <v>1424</v>
      </c>
      <c r="AE78" s="559" t="s">
        <v>1100</v>
      </c>
      <c r="AF78" s="530">
        <f>IF(CampList[[#This Row],[Type of Accomodation]]="camp",MAX(0,CampList[[#This Row],[HH]]-SUMIF(Table_Shelter[Pcode],CampList[[#This Row],[CP_Pcode]],Table_Shelter[HH Covered])),0)</f>
        <v>84</v>
      </c>
      <c r="AG78" s="520"/>
      <c r="AH78" s="520">
        <f>MIN(CampList[[#This Row],[Shelter Gap]],CampList[[#This Row],[Land Status]])</f>
        <v>84</v>
      </c>
      <c r="AI78" s="520" t="str">
        <f ca="1">IFERROR(OFFSET(DistanceToCamp[Nearest Town],MATCH(CampList[[#This Row],[CP_Pcode]],DistanceToCamp[CP_Pcode],0)-1,0,1,1),"")</f>
        <v>Myitkyina Town</v>
      </c>
      <c r="AJ78" s="561">
        <f ca="1">IFERROR(OFFSET(DistanceToCamp[distance],MATCH(CampList[[#This Row],[CP_Pcode]],DistanceToCamp[CP_Pcode],0)-1,0,1,1),"")</f>
        <v>3.3602711423118103</v>
      </c>
      <c r="AK78" s="562">
        <f ca="1">IFERROR(INT(CampList[[#This Row],[Distance]]/5)+1,"")</f>
        <v>1</v>
      </c>
      <c r="AL78" s="721"/>
      <c r="AM78" s="721"/>
      <c r="AN78" s="721"/>
      <c r="BD78" s="5"/>
      <c r="BE78" s="5"/>
    </row>
    <row r="79" spans="1:57" s="4" customFormat="1" ht="15.6" customHeight="1" x14ac:dyDescent="0.25">
      <c r="A79" s="550" t="s">
        <v>502</v>
      </c>
      <c r="B79" s="522" t="s">
        <v>380</v>
      </c>
      <c r="C79" s="522" t="s">
        <v>527</v>
      </c>
      <c r="D79" s="522" t="s">
        <v>237</v>
      </c>
      <c r="E79" s="522" t="s">
        <v>533</v>
      </c>
      <c r="F79" s="522" t="s">
        <v>237</v>
      </c>
      <c r="G79" s="520" t="s">
        <v>537</v>
      </c>
      <c r="H79" s="551" t="s">
        <v>673</v>
      </c>
      <c r="I79" s="551" t="s">
        <v>674</v>
      </c>
      <c r="J79" s="551" t="s">
        <v>689</v>
      </c>
      <c r="K79" s="552" t="s">
        <v>690</v>
      </c>
      <c r="L79" s="569" t="s">
        <v>285</v>
      </c>
      <c r="M79" s="522" t="s">
        <v>284</v>
      </c>
      <c r="N79" s="553">
        <v>97.403402307692303</v>
      </c>
      <c r="O79" s="553">
        <v>25.3510167948718</v>
      </c>
      <c r="P79" s="554">
        <v>0</v>
      </c>
      <c r="Q79" s="504">
        <v>163</v>
      </c>
      <c r="R79" s="526">
        <v>712</v>
      </c>
      <c r="S79" s="333">
        <f>IF(CampList[[#This Row],[HH]]&gt;0,CampList[[#This Row],[Total]]/CampList[[#This Row],[HH]],"NA")</f>
        <v>4.3680981595092021</v>
      </c>
      <c r="T79" s="576" t="s">
        <v>513</v>
      </c>
      <c r="U79" s="557" t="s">
        <v>1204</v>
      </c>
      <c r="V79" s="522" t="s">
        <v>556</v>
      </c>
      <c r="W79" s="557" t="s">
        <v>808</v>
      </c>
      <c r="X79" s="558">
        <v>40695</v>
      </c>
      <c r="Y79" s="559">
        <v>2</v>
      </c>
      <c r="Z79" s="558" t="s">
        <v>462</v>
      </c>
      <c r="AA79" s="511" t="s">
        <v>848</v>
      </c>
      <c r="AB79" s="522"/>
      <c r="AC79" s="574">
        <v>42397</v>
      </c>
      <c r="AD79" s="518" t="s">
        <v>1425</v>
      </c>
      <c r="AE79" s="559" t="s">
        <v>1100</v>
      </c>
      <c r="AF79" s="530">
        <f>IF(CampList[[#This Row],[Type of Accomodation]]="camp",MAX(0,CampList[[#This Row],[HH]]-SUMIF(Table_Shelter[Pcode],CampList[[#This Row],[CP_Pcode]],Table_Shelter[HH Covered])),0)</f>
        <v>38</v>
      </c>
      <c r="AG79" s="520"/>
      <c r="AH79" s="520">
        <f>MIN(CampList[[#This Row],[Shelter Gap]],CampList[[#This Row],[Land Status]])</f>
        <v>38</v>
      </c>
      <c r="AI79" s="520" t="str">
        <f ca="1">IFERROR(OFFSET(DistanceToCamp[Nearest Town],MATCH(CampList[[#This Row],[CP_Pcode]],DistanceToCamp[CP_Pcode],0)-1,0,1,1),"")</f>
        <v>Myitkyina Town</v>
      </c>
      <c r="AJ79" s="561">
        <f ca="1">IFERROR(OFFSET(DistanceToCamp[distance],MATCH(CampList[[#This Row],[CP_Pcode]],DistanceToCamp[CP_Pcode],0)-1,0,1,1),"")</f>
        <v>4.262018365878137</v>
      </c>
      <c r="AK79" s="562">
        <f ca="1">IFERROR(INT(CampList[[#This Row],[Distance]]/5)+1,"")</f>
        <v>1</v>
      </c>
      <c r="AL79" s="721"/>
      <c r="AM79" s="721"/>
      <c r="AN79" s="721"/>
      <c r="BD79" s="5"/>
      <c r="BE79" s="5"/>
    </row>
    <row r="80" spans="1:57" s="4" customFormat="1" ht="15.6" customHeight="1" x14ac:dyDescent="0.25">
      <c r="A80" s="550" t="s">
        <v>502</v>
      </c>
      <c r="B80" s="522" t="s">
        <v>380</v>
      </c>
      <c r="C80" s="522" t="s">
        <v>527</v>
      </c>
      <c r="D80" s="522" t="s">
        <v>237</v>
      </c>
      <c r="E80" s="522" t="s">
        <v>533</v>
      </c>
      <c r="F80" s="522" t="s">
        <v>27</v>
      </c>
      <c r="G80" s="520" t="s">
        <v>536</v>
      </c>
      <c r="H80" s="580" t="s">
        <v>808</v>
      </c>
      <c r="I80" s="520" t="s">
        <v>797</v>
      </c>
      <c r="J80" s="580" t="s">
        <v>809</v>
      </c>
      <c r="K80" s="581"/>
      <c r="L80" s="522" t="s">
        <v>365</v>
      </c>
      <c r="M80" s="522" t="s">
        <v>378</v>
      </c>
      <c r="N80" s="563">
        <v>98.129990000000006</v>
      </c>
      <c r="O80" s="563">
        <v>25.887339999999998</v>
      </c>
      <c r="P80" s="564">
        <v>259.10000000000002</v>
      </c>
      <c r="Q80" s="504">
        <v>144</v>
      </c>
      <c r="R80" s="526">
        <v>645</v>
      </c>
      <c r="S80" s="333">
        <f>IF(CampList[[#This Row],[HH]]&gt;0,CampList[[#This Row],[Total]]/CampList[[#This Row],[HH]],"NA")</f>
        <v>4.479166666666667</v>
      </c>
      <c r="T80" s="576" t="s">
        <v>513</v>
      </c>
      <c r="U80" s="557" t="s">
        <v>1204</v>
      </c>
      <c r="V80" s="522" t="s">
        <v>556</v>
      </c>
      <c r="W80" s="557" t="s">
        <v>862</v>
      </c>
      <c r="X80" s="558">
        <v>40940</v>
      </c>
      <c r="Y80" s="559">
        <v>1</v>
      </c>
      <c r="Z80" s="558" t="s">
        <v>507</v>
      </c>
      <c r="AA80" s="516" t="s">
        <v>848</v>
      </c>
      <c r="AB80" s="522"/>
      <c r="AC80" s="574">
        <v>42387</v>
      </c>
      <c r="AD80" s="518" t="s">
        <v>1386</v>
      </c>
      <c r="AE80" s="559" t="s">
        <v>1084</v>
      </c>
      <c r="AF80" s="530">
        <f>IF(CampList[[#This Row],[Type of Accomodation]]="camp",MAX(0,CampList[[#This Row],[HH]]-SUMIF(Table_Shelter[Pcode],CampList[[#This Row],[CP_Pcode]],Table_Shelter[HH Covered])),0)</f>
        <v>71</v>
      </c>
      <c r="AG80" s="520"/>
      <c r="AH80" s="520">
        <f>MIN(CampList[[#This Row],[Shelter Gap]],CampList[[#This Row],[Land Status]])</f>
        <v>71</v>
      </c>
      <c r="AI80" s="520"/>
      <c r="AJ80" s="561" t="str">
        <f ca="1">IFERROR(OFFSET(DistanceToCamp[distance],MATCH(CampList[[#This Row],[CP_Pcode]],DistanceToCamp[CP_Pcode],0)-1,0,1,1),"")</f>
        <v/>
      </c>
      <c r="AK80" s="562" t="str">
        <f ca="1">IFERROR(INT(CampList[[#This Row],[Distance]]/5)+1,"")</f>
        <v/>
      </c>
      <c r="AL80" s="721"/>
      <c r="AM80" s="721"/>
      <c r="AN80" s="721"/>
      <c r="BD80" s="5"/>
      <c r="BE80" s="5"/>
    </row>
    <row r="81" spans="1:57" s="4" customFormat="1" ht="15.6" customHeight="1" x14ac:dyDescent="0.25">
      <c r="A81" s="332" t="s">
        <v>502</v>
      </c>
      <c r="B81" s="219" t="s">
        <v>380</v>
      </c>
      <c r="C81" s="522" t="s">
        <v>527</v>
      </c>
      <c r="D81" s="522" t="s">
        <v>180</v>
      </c>
      <c r="E81" s="522" t="s">
        <v>528</v>
      </c>
      <c r="F81" s="522" t="s">
        <v>529</v>
      </c>
      <c r="G81" s="218" t="s">
        <v>530</v>
      </c>
      <c r="H81" s="520" t="s">
        <v>600</v>
      </c>
      <c r="I81" s="520" t="s">
        <v>601</v>
      </c>
      <c r="J81" s="551" t="s">
        <v>602</v>
      </c>
      <c r="K81" s="552">
        <v>166785</v>
      </c>
      <c r="L81" s="522" t="s">
        <v>90</v>
      </c>
      <c r="M81" s="219" t="s">
        <v>89</v>
      </c>
      <c r="N81" s="553">
        <v>96.269199999999998</v>
      </c>
      <c r="O81" s="553">
        <v>25.566510000000001</v>
      </c>
      <c r="P81" s="554">
        <v>278</v>
      </c>
      <c r="Q81" s="504">
        <v>25</v>
      </c>
      <c r="R81" s="526">
        <v>133</v>
      </c>
      <c r="S81" s="333">
        <f>IF(CampList[[#This Row],[HH]]&gt;0,CampList[[#This Row],[Total]]/CampList[[#This Row],[HH]],"NA")</f>
        <v>5.32</v>
      </c>
      <c r="T81" s="576" t="s">
        <v>513</v>
      </c>
      <c r="U81" s="334" t="s">
        <v>1204</v>
      </c>
      <c r="V81" s="522" t="s">
        <v>556</v>
      </c>
      <c r="W81" s="557" t="s">
        <v>862</v>
      </c>
      <c r="X81" s="558">
        <v>41275</v>
      </c>
      <c r="Y81" s="559">
        <v>1</v>
      </c>
      <c r="Z81" s="558" t="s">
        <v>507</v>
      </c>
      <c r="AA81" s="516" t="s">
        <v>848</v>
      </c>
      <c r="AB81" s="219"/>
      <c r="AC81" s="560">
        <v>42291</v>
      </c>
      <c r="AD81" s="518" t="s">
        <v>1329</v>
      </c>
      <c r="AE81" s="559" t="s">
        <v>1100</v>
      </c>
      <c r="AF81" s="233">
        <f>IF(CampList[[#This Row],[Type of Accomodation]]="camp",MAX(0,CampList[[#This Row],[HH]]-SUMIF(Table_Shelter[Pcode],CampList[[#This Row],[CP_Pcode]],Table_Shelter[HH Covered])),0)</f>
        <v>0</v>
      </c>
      <c r="AG81" s="218"/>
      <c r="AH81" s="218">
        <f>MIN(CampList[[#This Row],[Shelter Gap]],CampList[[#This Row],[Land Status]])</f>
        <v>0</v>
      </c>
      <c r="AI81" s="218" t="str">
        <f ca="1">IFERROR(OFFSET(DistanceToCamp[Nearest Town],MATCH(CampList[[#This Row],[CP_Pcode]],DistanceToCamp[CP_Pcode],0)-1,0,1,1),"")</f>
        <v>Hpakant Town</v>
      </c>
      <c r="AJ81" s="561">
        <f ca="1">IFERROR(OFFSET(DistanceToCamp[distance],MATCH(CampList[[#This Row],[CP_Pcode]],DistanceToCamp[CP_Pcode],0)-1,0,1,1),"")</f>
        <v>6.7094919928483892</v>
      </c>
      <c r="AK81" s="337">
        <f ca="1">IFERROR(INT(CampList[[#This Row],[Distance]]/5)+1,"")</f>
        <v>2</v>
      </c>
      <c r="AL81" s="721"/>
      <c r="AM81" s="721"/>
      <c r="AN81" s="721"/>
      <c r="BD81" s="5"/>
      <c r="BE81" s="5"/>
    </row>
    <row r="82" spans="1:57" s="4" customFormat="1" ht="15.6" customHeight="1" x14ac:dyDescent="0.25">
      <c r="A82" s="550" t="s">
        <v>502</v>
      </c>
      <c r="B82" s="522" t="s">
        <v>380</v>
      </c>
      <c r="C82" s="522" t="s">
        <v>527</v>
      </c>
      <c r="D82" s="522" t="s">
        <v>180</v>
      </c>
      <c r="E82" s="522" t="s">
        <v>528</v>
      </c>
      <c r="F82" s="522" t="s">
        <v>529</v>
      </c>
      <c r="G82" s="520" t="s">
        <v>530</v>
      </c>
      <c r="H82" s="522" t="s">
        <v>605</v>
      </c>
      <c r="I82" s="520" t="s">
        <v>606</v>
      </c>
      <c r="J82" s="522" t="s">
        <v>609</v>
      </c>
      <c r="K82" s="568" t="s">
        <v>610</v>
      </c>
      <c r="L82" s="522" t="s">
        <v>92</v>
      </c>
      <c r="M82" s="522" t="s">
        <v>91</v>
      </c>
      <c r="N82" s="553">
        <v>96.316400000000002</v>
      </c>
      <c r="O82" s="553">
        <v>25.61842</v>
      </c>
      <c r="P82" s="554">
        <v>250</v>
      </c>
      <c r="Q82" s="504">
        <v>15</v>
      </c>
      <c r="R82" s="526">
        <v>74</v>
      </c>
      <c r="S82" s="333">
        <f>IF(CampList[[#This Row],[HH]]&gt;0,CampList[[#This Row],[Total]]/CampList[[#This Row],[HH]],"NA")</f>
        <v>4.9333333333333336</v>
      </c>
      <c r="T82" s="576" t="s">
        <v>513</v>
      </c>
      <c r="U82" s="557" t="s">
        <v>1204</v>
      </c>
      <c r="V82" s="522" t="s">
        <v>556</v>
      </c>
      <c r="W82" s="522" t="s">
        <v>808</v>
      </c>
      <c r="X82" s="558">
        <v>41275</v>
      </c>
      <c r="Y82" s="559">
        <v>1</v>
      </c>
      <c r="Z82" s="558" t="s">
        <v>507</v>
      </c>
      <c r="AA82" s="516" t="s">
        <v>848</v>
      </c>
      <c r="AB82" s="522"/>
      <c r="AC82" s="560">
        <v>42235</v>
      </c>
      <c r="AD82" s="518" t="s">
        <v>1312</v>
      </c>
      <c r="AE82" s="559" t="s">
        <v>1100</v>
      </c>
      <c r="AF82" s="530">
        <f>IF(CampList[[#This Row],[Type of Accomodation]]="camp",MAX(0,CampList[[#This Row],[HH]]-SUMIF(Table_Shelter[Pcode],CampList[[#This Row],[CP_Pcode]],Table_Shelter[HH Covered])),0)</f>
        <v>0</v>
      </c>
      <c r="AG82" s="520"/>
      <c r="AH82" s="520">
        <f>MIN(CampList[[#This Row],[Shelter Gap]],CampList[[#This Row],[Land Status]])</f>
        <v>0</v>
      </c>
      <c r="AI82" s="520" t="str">
        <f ca="1">IFERROR(OFFSET(DistanceToCamp[Nearest Town],MATCH(CampList[[#This Row],[CP_Pcode]],DistanceToCamp[CP_Pcode],0)-1,0,1,1),"")</f>
        <v>Hpakant Town</v>
      </c>
      <c r="AJ82" s="561">
        <f ca="1">IFERROR(OFFSET(DistanceToCamp[distance],MATCH(CampList[[#This Row],[CP_Pcode]],DistanceToCamp[CP_Pcode],0)-1,0,1,1),"")</f>
        <v>0.75842119772531946</v>
      </c>
      <c r="AK82" s="562">
        <f ca="1">IFERROR(INT(CampList[[#This Row],[Distance]]/5)+1,"")</f>
        <v>1</v>
      </c>
      <c r="AL82" s="721"/>
      <c r="AM82" s="721"/>
      <c r="AN82" s="721"/>
      <c r="BD82" s="5"/>
      <c r="BE82" s="5"/>
    </row>
    <row r="83" spans="1:57" s="4" customFormat="1" ht="15.6" customHeight="1" x14ac:dyDescent="0.25">
      <c r="A83" s="550" t="s">
        <v>502</v>
      </c>
      <c r="B83" s="522" t="s">
        <v>380</v>
      </c>
      <c r="C83" s="522" t="s">
        <v>527</v>
      </c>
      <c r="D83" s="522" t="s">
        <v>5</v>
      </c>
      <c r="E83" s="522" t="s">
        <v>531</v>
      </c>
      <c r="F83" s="522" t="s">
        <v>5</v>
      </c>
      <c r="G83" s="520" t="s">
        <v>532</v>
      </c>
      <c r="H83" s="551" t="s">
        <v>639</v>
      </c>
      <c r="I83" s="551" t="s">
        <v>640</v>
      </c>
      <c r="J83" s="551"/>
      <c r="K83" s="552"/>
      <c r="L83" s="569" t="s">
        <v>18</v>
      </c>
      <c r="M83" s="522" t="s">
        <v>17</v>
      </c>
      <c r="N83" s="553">
        <v>97.240183461538507</v>
      </c>
      <c r="O83" s="553">
        <v>24.2631743589744</v>
      </c>
      <c r="P83" s="554">
        <v>0</v>
      </c>
      <c r="Q83" s="504">
        <v>116</v>
      </c>
      <c r="R83" s="526">
        <v>659</v>
      </c>
      <c r="S83" s="333">
        <f>IF(CampList[[#This Row],[HH]]&gt;0,CampList[[#This Row],[Total]]/CampList[[#This Row],[HH]],"NA")</f>
        <v>5.681034482758621</v>
      </c>
      <c r="T83" s="576" t="s">
        <v>513</v>
      </c>
      <c r="U83" s="557" t="s">
        <v>1204</v>
      </c>
      <c r="V83" s="522" t="s">
        <v>556</v>
      </c>
      <c r="W83" s="557" t="s">
        <v>808</v>
      </c>
      <c r="X83" s="558">
        <v>40695</v>
      </c>
      <c r="Y83" s="559">
        <v>2</v>
      </c>
      <c r="Z83" s="558" t="s">
        <v>507</v>
      </c>
      <c r="AA83" s="510" t="s">
        <v>848</v>
      </c>
      <c r="AB83" s="522"/>
      <c r="AC83" s="560">
        <v>42235</v>
      </c>
      <c r="AD83" s="518" t="s">
        <v>1311</v>
      </c>
      <c r="AE83" s="559" t="s">
        <v>1100</v>
      </c>
      <c r="AF83" s="530">
        <f>IF(CampList[[#This Row],[Type of Accomodation]]="camp",MAX(0,CampList[[#This Row],[HH]]-SUMIF(Table_Shelter[Pcode],CampList[[#This Row],[CP_Pcode]],Table_Shelter[HH Covered])),0)</f>
        <v>14</v>
      </c>
      <c r="AG83" s="520"/>
      <c r="AH83" s="520">
        <f>MIN(CampList[[#This Row],[Shelter Gap]],CampList[[#This Row],[Land Status]])</f>
        <v>14</v>
      </c>
      <c r="AI83" s="520" t="str">
        <f ca="1">IFERROR(OFFSET(DistanceToCamp[Nearest Town],MATCH(CampList[[#This Row],[CP_Pcode]],DistanceToCamp[CP_Pcode],0)-1,0,1,1),"")</f>
        <v>Bhamo Town</v>
      </c>
      <c r="AJ83" s="561">
        <f ca="1">IFERROR(OFFSET(DistanceToCamp[distance],MATCH(CampList[[#This Row],[CP_Pcode]],DistanceToCamp[CP_Pcode],0)-1,0,1,1),"")</f>
        <v>1.0876401420946245</v>
      </c>
      <c r="AK83" s="562">
        <f ca="1">IFERROR(INT(CampList[[#This Row],[Distance]]/5)+1,"")</f>
        <v>1</v>
      </c>
      <c r="AL83" s="721"/>
      <c r="AM83" s="721"/>
      <c r="AN83" s="721"/>
      <c r="BD83" s="5"/>
      <c r="BE83" s="5"/>
    </row>
    <row r="84" spans="1:57" s="4" customFormat="1" ht="15.6" customHeight="1" x14ac:dyDescent="0.25">
      <c r="A84" s="550" t="s">
        <v>502</v>
      </c>
      <c r="B84" s="522" t="s">
        <v>380</v>
      </c>
      <c r="C84" s="522" t="s">
        <v>527</v>
      </c>
      <c r="D84" s="522" t="s">
        <v>5</v>
      </c>
      <c r="E84" s="522" t="s">
        <v>531</v>
      </c>
      <c r="F84" s="522" t="s">
        <v>185</v>
      </c>
      <c r="G84" s="520" t="s">
        <v>535</v>
      </c>
      <c r="H84" s="551" t="s">
        <v>755</v>
      </c>
      <c r="I84" s="551" t="s">
        <v>756</v>
      </c>
      <c r="J84" s="520"/>
      <c r="K84" s="568"/>
      <c r="L84" s="569" t="s">
        <v>186</v>
      </c>
      <c r="M84" s="522" t="s">
        <v>184</v>
      </c>
      <c r="N84" s="553">
        <v>97.718582999999995</v>
      </c>
      <c r="O84" s="553">
        <v>24.200972</v>
      </c>
      <c r="P84" s="564"/>
      <c r="Q84" s="504">
        <v>29</v>
      </c>
      <c r="R84" s="526">
        <v>182</v>
      </c>
      <c r="S84" s="333">
        <f>IF(CampList[[#This Row],[HH]]&gt;0,CampList[[#This Row],[Total]]/CampList[[#This Row],[HH]],"NA")</f>
        <v>6.2758620689655169</v>
      </c>
      <c r="T84" s="576" t="s">
        <v>513</v>
      </c>
      <c r="U84" s="557" t="s">
        <v>1204</v>
      </c>
      <c r="V84" s="522" t="s">
        <v>556</v>
      </c>
      <c r="W84" s="557" t="s">
        <v>808</v>
      </c>
      <c r="X84" s="565"/>
      <c r="Y84" s="559">
        <v>1</v>
      </c>
      <c r="Z84" s="558" t="s">
        <v>462</v>
      </c>
      <c r="AA84" s="510" t="s">
        <v>848</v>
      </c>
      <c r="AB84" s="522"/>
      <c r="AC84" s="574">
        <v>42397</v>
      </c>
      <c r="AD84" s="518" t="s">
        <v>1419</v>
      </c>
      <c r="AE84" s="559" t="s">
        <v>1086</v>
      </c>
      <c r="AF84" s="530">
        <f>IF(CampList[[#This Row],[Type of Accomodation]]="camp",MAX(0,CampList[[#This Row],[HH]]-SUMIF(Table_Shelter[Pcode],CampList[[#This Row],[CP_Pcode]],Table_Shelter[HH Covered])),0)</f>
        <v>0</v>
      </c>
      <c r="AG84" s="520"/>
      <c r="AH84" s="520">
        <f>MIN(CampList[[#This Row],[Shelter Gap]],CampList[[#This Row],[Land Status]])</f>
        <v>0</v>
      </c>
      <c r="AI84" s="520" t="str">
        <f ca="1">IFERROR(OFFSET(DistanceToCamp[Nearest Town],MATCH(CampList[[#This Row],[CP_Pcode]],DistanceToCamp[CP_Pcode],0)-1,0,1,1),"")</f>
        <v>Lwegel Town</v>
      </c>
      <c r="AJ84" s="561">
        <f ca="1">IFERROR(OFFSET(DistanceToCamp[distance],MATCH(CampList[[#This Row],[CP_Pcode]],DistanceToCamp[CP_Pcode],0)-1,0,1,1),"")</f>
        <v>0.28829825866869707</v>
      </c>
      <c r="AK84" s="562">
        <f ca="1">IFERROR(INT(CampList[[#This Row],[Distance]]/5)+1,"")</f>
        <v>1</v>
      </c>
      <c r="AL84" s="721"/>
      <c r="AM84" s="721"/>
      <c r="AN84" s="721"/>
      <c r="BD84" s="5"/>
      <c r="BE84" s="5"/>
    </row>
    <row r="85" spans="1:57" s="4" customFormat="1" ht="15.6" customHeight="1" x14ac:dyDescent="0.25">
      <c r="A85" s="490" t="s">
        <v>502</v>
      </c>
      <c r="B85" s="530" t="s">
        <v>380</v>
      </c>
      <c r="C85" s="530" t="s">
        <v>527</v>
      </c>
      <c r="D85" s="530" t="s">
        <v>5</v>
      </c>
      <c r="E85" s="530" t="s">
        <v>531</v>
      </c>
      <c r="F85" s="530" t="s">
        <v>185</v>
      </c>
      <c r="G85" s="530" t="s">
        <v>535</v>
      </c>
      <c r="H85" s="530" t="s">
        <v>755</v>
      </c>
      <c r="I85" s="593" t="s">
        <v>756</v>
      </c>
      <c r="J85" s="530" t="s">
        <v>763</v>
      </c>
      <c r="K85" s="530"/>
      <c r="L85" s="530" t="s">
        <v>223</v>
      </c>
      <c r="M85" s="530" t="s">
        <v>222</v>
      </c>
      <c r="N85" s="503">
        <v>97.724566999999993</v>
      </c>
      <c r="O85" s="503">
        <v>24.205417000000001</v>
      </c>
      <c r="P85" s="564"/>
      <c r="Q85" s="506">
        <v>124</v>
      </c>
      <c r="R85" s="527">
        <v>544</v>
      </c>
      <c r="S85" s="333">
        <f>IF(CampList[[#This Row],[HH]]&gt;0,CampList[[#This Row],[Total]]/CampList[[#This Row],[HH]],"NA")</f>
        <v>4.387096774193548</v>
      </c>
      <c r="T85" s="594" t="s">
        <v>513</v>
      </c>
      <c r="U85" s="556" t="s">
        <v>1204</v>
      </c>
      <c r="V85" s="491" t="s">
        <v>556</v>
      </c>
      <c r="W85" s="503" t="s">
        <v>808</v>
      </c>
      <c r="X85" s="572">
        <v>40848</v>
      </c>
      <c r="Y85" s="566">
        <v>2</v>
      </c>
      <c r="Z85" s="566" t="s">
        <v>1096</v>
      </c>
      <c r="AA85" s="506" t="s">
        <v>848</v>
      </c>
      <c r="AB85" s="594"/>
      <c r="AC85" s="574">
        <v>42397</v>
      </c>
      <c r="AD85" s="705" t="s">
        <v>1391</v>
      </c>
      <c r="AE85" s="592" t="s">
        <v>1086</v>
      </c>
      <c r="AF85" s="593">
        <f>IF(CampList[[#This Row],[Type of Accomodation]]="camp",MAX(0,CampList[[#This Row],[HH]]-SUMIF(Table_Shelter[Pcode],CampList[[#This Row],[CP_Pcode]],Table_Shelter[HH Covered])),0)</f>
        <v>57</v>
      </c>
      <c r="AG85" s="530"/>
      <c r="AH85" s="593">
        <f>MIN(CampList[[#This Row],[Shelter Gap]],CampList[[#This Row],[Land Status]])</f>
        <v>57</v>
      </c>
      <c r="AI85" s="593" t="str">
        <f ca="1">IFERROR(OFFSET(DistanceToCamp[Nearest Town],MATCH(CampList[[#This Row],[CP_Pcode]],DistanceToCamp[CP_Pcode],0)-1,0,1,1),"")</f>
        <v>Lwegel Town</v>
      </c>
      <c r="AJ85" s="561">
        <f ca="1">IFERROR(OFFSET(DistanceToCamp[distance],MATCH(CampList[[#This Row],[CP_Pcode]],DistanceToCamp[CP_Pcode],0)-1,0,1,1),"")</f>
        <v>0.77978735578277303</v>
      </c>
      <c r="AK85" s="595">
        <f ca="1">IFERROR(INT(CampList[[#This Row],[Distance]]/5)+1,"")</f>
        <v>1</v>
      </c>
      <c r="AL85" s="721"/>
      <c r="AM85" s="721"/>
      <c r="AN85" s="721"/>
      <c r="BD85" s="5"/>
      <c r="BE85" s="5"/>
    </row>
    <row r="86" spans="1:57" s="4" customFormat="1" ht="15.6" customHeight="1" x14ac:dyDescent="0.25">
      <c r="A86" s="550" t="s">
        <v>502</v>
      </c>
      <c r="B86" s="522" t="s">
        <v>380</v>
      </c>
      <c r="C86" s="522" t="s">
        <v>527</v>
      </c>
      <c r="D86" s="522" t="s">
        <v>5</v>
      </c>
      <c r="E86" s="522" t="s">
        <v>531</v>
      </c>
      <c r="F86" s="522" t="s">
        <v>185</v>
      </c>
      <c r="G86" s="520" t="s">
        <v>535</v>
      </c>
      <c r="H86" s="551" t="s">
        <v>755</v>
      </c>
      <c r="I86" s="551" t="s">
        <v>756</v>
      </c>
      <c r="J86" s="551" t="s">
        <v>760</v>
      </c>
      <c r="K86" s="552" t="s">
        <v>761</v>
      </c>
      <c r="L86" s="569" t="s">
        <v>190</v>
      </c>
      <c r="M86" s="522" t="s">
        <v>189</v>
      </c>
      <c r="N86" s="553">
        <v>97.717133000000004</v>
      </c>
      <c r="O86" s="553">
        <v>24.200433</v>
      </c>
      <c r="P86" s="554">
        <v>0</v>
      </c>
      <c r="Q86" s="504">
        <v>188</v>
      </c>
      <c r="R86" s="526">
        <v>993</v>
      </c>
      <c r="S86" s="333">
        <f>IF(CampList[[#This Row],[HH]]&gt;0,CampList[[#This Row],[Total]]/CampList[[#This Row],[HH]],"NA")</f>
        <v>5.2819148936170217</v>
      </c>
      <c r="T86" s="576" t="s">
        <v>513</v>
      </c>
      <c r="U86" s="557" t="s">
        <v>1204</v>
      </c>
      <c r="V86" s="522" t="s">
        <v>556</v>
      </c>
      <c r="W86" s="557" t="s">
        <v>808</v>
      </c>
      <c r="X86" s="558">
        <v>41000</v>
      </c>
      <c r="Y86" s="559">
        <v>2</v>
      </c>
      <c r="Z86" s="558" t="s">
        <v>462</v>
      </c>
      <c r="AA86" s="510" t="s">
        <v>848</v>
      </c>
      <c r="AB86" s="522"/>
      <c r="AC86" s="574">
        <v>42397</v>
      </c>
      <c r="AD86" s="518" t="s">
        <v>1419</v>
      </c>
      <c r="AE86" s="559" t="s">
        <v>1086</v>
      </c>
      <c r="AF86" s="530">
        <f>IF(CampList[[#This Row],[Type of Accomodation]]="camp",MAX(0,CampList[[#This Row],[HH]]-SUMIF(Table_Shelter[Pcode],CampList[[#This Row],[CP_Pcode]],Table_Shelter[HH Covered])),0)</f>
        <v>106</v>
      </c>
      <c r="AG86" s="520"/>
      <c r="AH86" s="520">
        <f>MIN(CampList[[#This Row],[Shelter Gap]],CampList[[#This Row],[Land Status]])</f>
        <v>106</v>
      </c>
      <c r="AI86" s="520" t="str">
        <f ca="1">IFERROR(OFFSET(DistanceToCamp[Nearest Town],MATCH(CampList[[#This Row],[CP_Pcode]],DistanceToCamp[CP_Pcode],0)-1,0,1,1),"")</f>
        <v>Lwegel Town</v>
      </c>
      <c r="AJ86" s="336">
        <f ca="1">IFERROR(OFFSET(DistanceToCamp[distance],MATCH(CampList[[#This Row],[CP_Pcode]],DistanceToCamp[CP_Pcode],0)-1,0,1,1),"")</f>
        <v>0.38934692601696641</v>
      </c>
      <c r="AK86" s="562">
        <f ca="1">IFERROR(INT(CampList[[#This Row],[Distance]]/5)+1,"")</f>
        <v>1</v>
      </c>
      <c r="AL86" s="721"/>
      <c r="AM86" s="721"/>
      <c r="AN86" s="721"/>
      <c r="BD86" s="5"/>
      <c r="BE86" s="5"/>
    </row>
    <row r="87" spans="1:57" s="4" customFormat="1" ht="15.6" hidden="1" customHeight="1" x14ac:dyDescent="0.25">
      <c r="A87" s="550" t="s">
        <v>849</v>
      </c>
      <c r="B87" s="522" t="s">
        <v>380</v>
      </c>
      <c r="C87" s="522" t="s">
        <v>527</v>
      </c>
      <c r="D87" s="522" t="s">
        <v>5</v>
      </c>
      <c r="E87" s="522" t="s">
        <v>531</v>
      </c>
      <c r="F87" s="522" t="s">
        <v>151</v>
      </c>
      <c r="G87" s="520" t="s">
        <v>541</v>
      </c>
      <c r="H87" s="551" t="s">
        <v>739</v>
      </c>
      <c r="I87" s="551" t="s">
        <v>740</v>
      </c>
      <c r="J87" s="551"/>
      <c r="K87" s="552"/>
      <c r="L87" s="569" t="s">
        <v>158</v>
      </c>
      <c r="M87" s="522" t="s">
        <v>157</v>
      </c>
      <c r="N87" s="729">
        <v>97.585667000000001</v>
      </c>
      <c r="O87" s="729">
        <v>23.9055</v>
      </c>
      <c r="P87" s="554">
        <v>745</v>
      </c>
      <c r="Q87" s="504">
        <v>0</v>
      </c>
      <c r="R87" s="526">
        <v>0</v>
      </c>
      <c r="S87" s="333" t="str">
        <f>IF(CampList[[#This Row],[HH]]&gt;0,CampList[[#This Row],[Total]]/CampList[[#This Row],[HH]],"NA")</f>
        <v>NA</v>
      </c>
      <c r="T87" s="556" t="s">
        <v>515</v>
      </c>
      <c r="U87" s="334" t="s">
        <v>1204</v>
      </c>
      <c r="V87" s="219" t="s">
        <v>556</v>
      </c>
      <c r="W87" s="557" t="s">
        <v>863</v>
      </c>
      <c r="X87" s="558">
        <v>41122</v>
      </c>
      <c r="Y87" s="559">
        <v>2</v>
      </c>
      <c r="Z87" s="558" t="s">
        <v>1096</v>
      </c>
      <c r="AA87" s="511" t="s">
        <v>848</v>
      </c>
      <c r="AB87" s="522"/>
      <c r="AC87" s="560">
        <v>42235</v>
      </c>
      <c r="AD87" s="518" t="s">
        <v>1313</v>
      </c>
      <c r="AE87" s="559" t="s">
        <v>1085</v>
      </c>
      <c r="AF87" s="530">
        <f>IF(CampList[[#This Row],[Type of Accomodation]]="camp",MAX(0,CampList[[#This Row],[HH]]-SUMIF(Table_Shelter[Pcode],CampList[[#This Row],[CP_Pcode]],Table_Shelter[HH Covered])),0)</f>
        <v>0</v>
      </c>
      <c r="AG87" s="520"/>
      <c r="AH87" s="520">
        <f>MIN(CampList[[#This Row],[Shelter Gap]],CampList[[#This Row],[Land Status]])</f>
        <v>0</v>
      </c>
      <c r="AI87" s="520" t="str">
        <f ca="1">IFERROR(OFFSET(DistanceToCamp[Nearest Town],MATCH(CampList[[#This Row],[CP_Pcode]],DistanceToCamp[CP_Pcode],0)-1,0,1,1),"")</f>
        <v>Namhkan Town</v>
      </c>
      <c r="AJ87" s="561">
        <f ca="1">IFERROR(OFFSET(DistanceToCamp[distance],MATCH(CampList[[#This Row],[CP_Pcode]],DistanceToCamp[CP_Pcode],0)-1,0,1,1),"")</f>
        <v>12.392289083396149</v>
      </c>
      <c r="AK87" s="562">
        <f ca="1">IFERROR(INT(CampList[[#This Row],[Distance]]/5)+1,"")</f>
        <v>3</v>
      </c>
      <c r="AL87" s="721"/>
      <c r="AM87" s="721"/>
      <c r="AN87" s="721"/>
      <c r="BD87" s="5"/>
      <c r="BE87" s="5"/>
    </row>
    <row r="88" spans="1:57" s="4" customFormat="1" ht="15.6" customHeight="1" x14ac:dyDescent="0.25">
      <c r="A88" s="550" t="s">
        <v>502</v>
      </c>
      <c r="B88" s="522" t="s">
        <v>380</v>
      </c>
      <c r="C88" s="520" t="s">
        <v>527</v>
      </c>
      <c r="D88" s="520" t="s">
        <v>300</v>
      </c>
      <c r="E88" s="520" t="s">
        <v>548</v>
      </c>
      <c r="F88" s="520" t="s">
        <v>300</v>
      </c>
      <c r="G88" s="520" t="s">
        <v>554</v>
      </c>
      <c r="H88" s="530" t="s">
        <v>805</v>
      </c>
      <c r="I88" s="593" t="s">
        <v>806</v>
      </c>
      <c r="J88" s="530" t="s">
        <v>1286</v>
      </c>
      <c r="K88" s="552" t="s">
        <v>1287</v>
      </c>
      <c r="L88" s="229" t="s">
        <v>1279</v>
      </c>
      <c r="M88" s="520" t="s">
        <v>1278</v>
      </c>
      <c r="N88" s="26">
        <v>97.416121000000004</v>
      </c>
      <c r="O88" s="26">
        <v>27.337499999999999</v>
      </c>
      <c r="P88" s="564"/>
      <c r="Q88" s="506">
        <v>58</v>
      </c>
      <c r="R88" s="527">
        <v>224</v>
      </c>
      <c r="S88" s="333">
        <f>IF(CampList[[#This Row],[HH]]&gt;0,CampList[[#This Row],[Total]]/CampList[[#This Row],[HH]],"NA")</f>
        <v>3.8620689655172415</v>
      </c>
      <c r="T88" s="576" t="s">
        <v>513</v>
      </c>
      <c r="U88" s="557" t="s">
        <v>1204</v>
      </c>
      <c r="V88" s="522" t="s">
        <v>556</v>
      </c>
      <c r="W88" s="503" t="s">
        <v>808</v>
      </c>
      <c r="X88" s="572">
        <v>42180</v>
      </c>
      <c r="Y88" s="566"/>
      <c r="Z88" s="566" t="s">
        <v>462</v>
      </c>
      <c r="AA88" s="515" t="s">
        <v>848</v>
      </c>
      <c r="AB88" s="594"/>
      <c r="AC88" s="574">
        <v>42397</v>
      </c>
      <c r="AD88" s="705" t="s">
        <v>1426</v>
      </c>
      <c r="AE88" s="592"/>
      <c r="AF88" s="593">
        <f>IF(CampList[[#This Row],[Type of Accomodation]]="camp",MAX(0,CampList[[#This Row],[HH]]-SUMIF(Table_Shelter[Pcode],CampList[[#This Row],[CP_Pcode]],Table_Shelter[HH Covered])),0)</f>
        <v>0</v>
      </c>
      <c r="AG88" s="530"/>
      <c r="AH88" s="593">
        <f>MIN(CampList[[#This Row],[Shelter Gap]],CampList[[#This Row],[Land Status]])</f>
        <v>0</v>
      </c>
      <c r="AI88" s="593" t="str">
        <f ca="1">IFERROR(OFFSET(DistanceToCamp[Nearest Town],MATCH(CampList[[#This Row],[CP_Pcode]],DistanceToCamp[CP_Pcode],0)-1,0,1,1),"")</f>
        <v/>
      </c>
      <c r="AJ88" s="561" t="str">
        <f ca="1">IFERROR(OFFSET(DistanceToCamp[distance],MATCH(CampList[[#This Row],[CP_Pcode]],DistanceToCamp[CP_Pcode],0)-1,0,1,1),"")</f>
        <v/>
      </c>
      <c r="AK88" s="595" t="str">
        <f ca="1">IFERROR(INT(CampList[[#This Row],[Distance]]/5)+1,"")</f>
        <v/>
      </c>
      <c r="AL88" s="721"/>
      <c r="AM88" s="721"/>
      <c r="AN88" s="721"/>
      <c r="BD88" s="5"/>
      <c r="BE88" s="5"/>
    </row>
    <row r="89" spans="1:57" s="4" customFormat="1" ht="15.6" customHeight="1" x14ac:dyDescent="0.25">
      <c r="A89" s="490" t="s">
        <v>502</v>
      </c>
      <c r="B89" s="530" t="s">
        <v>380</v>
      </c>
      <c r="C89" s="530"/>
      <c r="D89" s="530"/>
      <c r="E89" s="530"/>
      <c r="F89" s="530" t="s">
        <v>173</v>
      </c>
      <c r="G89" s="530" t="s">
        <v>547</v>
      </c>
      <c r="H89" s="530" t="s">
        <v>634</v>
      </c>
      <c r="I89" s="593" t="s">
        <v>635</v>
      </c>
      <c r="J89" s="530" t="s">
        <v>636</v>
      </c>
      <c r="K89" s="530">
        <v>166676</v>
      </c>
      <c r="L89" s="530" t="s">
        <v>1288</v>
      </c>
      <c r="M89" s="530" t="s">
        <v>1291</v>
      </c>
      <c r="N89" s="503"/>
      <c r="O89" s="503"/>
      <c r="P89" s="564"/>
      <c r="Q89" s="506">
        <v>9</v>
      </c>
      <c r="R89" s="527">
        <v>39</v>
      </c>
      <c r="S89" s="333">
        <f>IF(CampList[[#This Row],[HH]]&gt;0,CampList[[#This Row],[Total]]/CampList[[#This Row],[HH]],"NA")</f>
        <v>4.333333333333333</v>
      </c>
      <c r="T89" s="594" t="s">
        <v>513</v>
      </c>
      <c r="U89" s="556" t="s">
        <v>1204</v>
      </c>
      <c r="V89" s="491" t="s">
        <v>556</v>
      </c>
      <c r="W89" s="503" t="s">
        <v>808</v>
      </c>
      <c r="X89" s="572">
        <v>42125</v>
      </c>
      <c r="Y89" s="566"/>
      <c r="Z89" s="566" t="s">
        <v>1097</v>
      </c>
      <c r="AA89" s="506" t="s">
        <v>847</v>
      </c>
      <c r="AB89" s="594"/>
      <c r="AC89" s="574">
        <v>42317</v>
      </c>
      <c r="AD89" s="705" t="s">
        <v>1349</v>
      </c>
      <c r="AE89" s="592"/>
      <c r="AF89" s="593">
        <f>IF(CampList[[#This Row],[Type of Accomodation]]="camp",MAX(0,CampList[[#This Row],[HH]]-SUMIF(Table_Shelter[Pcode],CampList[[#This Row],[CP_Pcode]],Table_Shelter[HH Covered])),0)</f>
        <v>9</v>
      </c>
      <c r="AG89" s="530"/>
      <c r="AH89" s="593">
        <f>MIN(CampList[[#This Row],[Shelter Gap]],CampList[[#This Row],[Land Status]])</f>
        <v>9</v>
      </c>
      <c r="AI89" s="593" t="str">
        <f ca="1">IFERROR(OFFSET(DistanceToCamp[Nearest Town],MATCH(CampList[[#This Row],[CP_Pcode]],DistanceToCamp[CP_Pcode],0)-1,0,1,1),"")</f>
        <v/>
      </c>
      <c r="AJ89" s="336" t="str">
        <f ca="1">IFERROR(OFFSET(DistanceToCamp[distance],MATCH(CampList[[#This Row],[CP_Pcode]],DistanceToCamp[CP_Pcode],0)-1,0,1,1),"")</f>
        <v/>
      </c>
      <c r="AK89" s="595" t="str">
        <f ca="1">IFERROR(INT(CampList[[#This Row],[Distance]]/5)+1,"")</f>
        <v/>
      </c>
      <c r="AL89" s="721"/>
      <c r="AM89" s="721"/>
      <c r="AN89" s="721"/>
      <c r="BD89" s="5"/>
      <c r="BE89" s="5"/>
    </row>
    <row r="90" spans="1:57" s="4" customFormat="1" ht="15.6" hidden="1" customHeight="1" x14ac:dyDescent="0.25">
      <c r="A90" s="332" t="s">
        <v>849</v>
      </c>
      <c r="B90" s="522" t="s">
        <v>380</v>
      </c>
      <c r="C90" s="522" t="s">
        <v>527</v>
      </c>
      <c r="D90" s="522" t="s">
        <v>180</v>
      </c>
      <c r="E90" s="522" t="s">
        <v>528</v>
      </c>
      <c r="F90" s="522" t="s">
        <v>529</v>
      </c>
      <c r="G90" s="218" t="s">
        <v>530</v>
      </c>
      <c r="H90" s="551" t="s">
        <v>600</v>
      </c>
      <c r="I90" s="551" t="s">
        <v>601</v>
      </c>
      <c r="J90" s="551" t="s">
        <v>710</v>
      </c>
      <c r="K90" s="552">
        <v>166790</v>
      </c>
      <c r="L90" s="522" t="s">
        <v>94</v>
      </c>
      <c r="M90" s="219" t="s">
        <v>93</v>
      </c>
      <c r="N90" s="563"/>
      <c r="O90" s="563"/>
      <c r="P90" s="564"/>
      <c r="Q90" s="504">
        <v>0</v>
      </c>
      <c r="R90" s="526">
        <v>0</v>
      </c>
      <c r="S90" s="333" t="str">
        <f>IF(CampList[[#This Row],[HH]]&gt;0,CampList[[#This Row],[Total]]/CampList[[#This Row],[HH]],"NA")</f>
        <v>NA</v>
      </c>
      <c r="T90" s="556" t="s">
        <v>513</v>
      </c>
      <c r="U90" s="334" t="s">
        <v>1204</v>
      </c>
      <c r="V90" s="522" t="s">
        <v>556</v>
      </c>
      <c r="W90" s="557"/>
      <c r="X90" s="565"/>
      <c r="Y90" s="566"/>
      <c r="Z90" s="557"/>
      <c r="AA90" s="507"/>
      <c r="AB90" s="522"/>
      <c r="AC90" s="567"/>
      <c r="AD90" s="518" t="s">
        <v>603</v>
      </c>
      <c r="AE90" s="566" t="s">
        <v>1014</v>
      </c>
      <c r="AF90" s="233">
        <f>IF(CampList[[#This Row],[Type of Accomodation]]="camp",MAX(0,CampList[[#This Row],[HH]]-SUMIF(Table_Shelter[Pcode],CampList[[#This Row],[CP_Pcode]],Table_Shelter[HH Covered])),0)</f>
        <v>0</v>
      </c>
      <c r="AG90" s="218"/>
      <c r="AH90" s="218">
        <f>MIN(CampList[[#This Row],[Shelter Gap]],CampList[[#This Row],[Land Status]])</f>
        <v>0</v>
      </c>
      <c r="AI90" s="218" t="str">
        <f ca="1">IFERROR(OFFSET(DistanceToCamp[Nearest Town],MATCH(CampList[[#This Row],[CP_Pcode]],DistanceToCamp[CP_Pcode],0)-1,0,1,1),"")</f>
        <v/>
      </c>
      <c r="AJ90" s="336" t="str">
        <f ca="1">IFERROR(OFFSET(DistanceToCamp[distance],MATCH(CampList[[#This Row],[CP_Pcode]],DistanceToCamp[CP_Pcode],0)-1,0,1,1),"")</f>
        <v/>
      </c>
      <c r="AK90" s="337" t="str">
        <f ca="1">IFERROR(INT(CampList[[#This Row],[Distance]]/5)+1,"")</f>
        <v/>
      </c>
      <c r="AL90" s="721"/>
      <c r="AM90" s="721"/>
      <c r="AN90" s="721"/>
      <c r="BD90" s="5"/>
      <c r="BE90" s="5"/>
    </row>
    <row r="91" spans="1:57" s="4" customFormat="1" ht="15.6" hidden="1" customHeight="1" x14ac:dyDescent="0.25">
      <c r="A91" s="550" t="s">
        <v>849</v>
      </c>
      <c r="B91" s="520" t="s">
        <v>380</v>
      </c>
      <c r="C91" s="520" t="s">
        <v>527</v>
      </c>
      <c r="D91" s="520" t="s">
        <v>300</v>
      </c>
      <c r="E91" s="520" t="s">
        <v>548</v>
      </c>
      <c r="F91" s="520" t="s">
        <v>899</v>
      </c>
      <c r="G91" s="520" t="s">
        <v>900</v>
      </c>
      <c r="H91" s="520"/>
      <c r="I91" s="520"/>
      <c r="J91" s="520"/>
      <c r="K91" s="520"/>
      <c r="L91" s="520" t="s">
        <v>901</v>
      </c>
      <c r="M91" s="522" t="s">
        <v>902</v>
      </c>
      <c r="N91" s="563">
        <v>97.586470000000006</v>
      </c>
      <c r="O91" s="563">
        <v>27.274059999999999</v>
      </c>
      <c r="P91" s="527">
        <v>403</v>
      </c>
      <c r="Q91" s="506">
        <v>0</v>
      </c>
      <c r="R91" s="527">
        <v>0</v>
      </c>
      <c r="S91" s="555" t="str">
        <f>IF(CampList[[#This Row],[HH]]&gt;0,CampList[[#This Row],[Total]]/CampList[[#This Row],[HH]],"NA")</f>
        <v>NA</v>
      </c>
      <c r="T91" s="556" t="s">
        <v>513</v>
      </c>
      <c r="U91" s="557" t="s">
        <v>1204</v>
      </c>
      <c r="V91" s="522" t="s">
        <v>556</v>
      </c>
      <c r="W91" s="522" t="s">
        <v>862</v>
      </c>
      <c r="X91" s="572">
        <v>41518</v>
      </c>
      <c r="Y91" s="528"/>
      <c r="Z91" s="579"/>
      <c r="AA91" s="515" t="s">
        <v>848</v>
      </c>
      <c r="AB91" s="576"/>
      <c r="AC91" s="560">
        <v>42180</v>
      </c>
      <c r="AD91" s="518" t="s">
        <v>1284</v>
      </c>
      <c r="AE91" s="528" t="s">
        <v>1086</v>
      </c>
      <c r="AF91" s="530">
        <f>IF(CampList[[#This Row],[Type of Accomodation]]="camp",MAX(0,CampList[[#This Row],[HH]]-SUMIF(Table_Shelter[Pcode],CampList[[#This Row],[CP_Pcode]],Table_Shelter[HH Covered])),0)</f>
        <v>0</v>
      </c>
      <c r="AG91" s="520"/>
      <c r="AH91" s="520">
        <f>MIN(CampList[[#This Row],[Shelter Gap]],CampList[[#This Row],[Land Status]])</f>
        <v>0</v>
      </c>
      <c r="AI91" s="520" t="str">
        <f ca="1">IFERROR(OFFSET(DistanceToCamp[Nearest Town],MATCH(CampList[[#This Row],[CP_Pcode]],DistanceToCamp[CP_Pcode],0)-1,0,1,1),"")</f>
        <v>Machanbaw Town</v>
      </c>
      <c r="AJ91" s="561">
        <f ca="1">IFERROR(OFFSET(DistanceToCamp[distance],MATCH(CampList[[#This Row],[CP_Pcode]],DistanceToCamp[CP_Pcode],0)-1,0,1,1),"")</f>
        <v>1.136583238544624</v>
      </c>
      <c r="AK91" s="562">
        <f ca="1">IFERROR(INT(CampList[[#This Row],[Distance]]/5)+1,"")</f>
        <v>1</v>
      </c>
      <c r="AL91" s="721"/>
      <c r="AM91" s="721"/>
      <c r="AN91" s="721"/>
      <c r="BD91" s="5"/>
      <c r="BE91" s="5"/>
    </row>
    <row r="92" spans="1:57" s="4" customFormat="1" ht="15.6" customHeight="1" x14ac:dyDescent="0.25">
      <c r="A92" s="585" t="s">
        <v>502</v>
      </c>
      <c r="B92" s="522" t="s">
        <v>380</v>
      </c>
      <c r="C92" s="522" t="s">
        <v>527</v>
      </c>
      <c r="D92" s="522" t="s">
        <v>237</v>
      </c>
      <c r="E92" s="522" t="s">
        <v>533</v>
      </c>
      <c r="F92" s="522" t="s">
        <v>310</v>
      </c>
      <c r="G92" s="520" t="s">
        <v>534</v>
      </c>
      <c r="H92" s="577" t="s">
        <v>721</v>
      </c>
      <c r="I92" s="577" t="s">
        <v>722</v>
      </c>
      <c r="J92" s="577" t="s">
        <v>723</v>
      </c>
      <c r="K92" s="578">
        <v>165730</v>
      </c>
      <c r="L92" s="569" t="s">
        <v>320</v>
      </c>
      <c r="M92" s="522" t="s">
        <v>319</v>
      </c>
      <c r="N92" s="553">
        <v>97.451965000000001</v>
      </c>
      <c r="O92" s="553">
        <v>25.356632000000001</v>
      </c>
      <c r="P92" s="554">
        <v>0</v>
      </c>
      <c r="Q92" s="504">
        <v>25</v>
      </c>
      <c r="R92" s="526">
        <v>138</v>
      </c>
      <c r="S92" s="333">
        <f>IF(CampList[[#This Row],[HH]]&gt;0,CampList[[#This Row],[Total]]/CampList[[#This Row],[HH]],"NA")</f>
        <v>5.52</v>
      </c>
      <c r="T92" s="576" t="s">
        <v>513</v>
      </c>
      <c r="U92" s="557" t="s">
        <v>1204</v>
      </c>
      <c r="V92" s="522" t="s">
        <v>556</v>
      </c>
      <c r="W92" s="522" t="s">
        <v>808</v>
      </c>
      <c r="X92" s="558">
        <v>41030</v>
      </c>
      <c r="Y92" s="559">
        <v>1</v>
      </c>
      <c r="Z92" s="558" t="s">
        <v>462</v>
      </c>
      <c r="AA92" s="511" t="s">
        <v>848</v>
      </c>
      <c r="AB92" s="522"/>
      <c r="AC92" s="574">
        <v>42397</v>
      </c>
      <c r="AD92" s="518" t="s">
        <v>1427</v>
      </c>
      <c r="AE92" s="559" t="s">
        <v>1100</v>
      </c>
      <c r="AF92" s="530">
        <f>IF(CampList[[#This Row],[Type of Accomodation]]="camp",MAX(0,CampList[[#This Row],[HH]]-SUMIF(Table_Shelter[Pcode],CampList[[#This Row],[CP_Pcode]],Table_Shelter[HH Covered])),0)</f>
        <v>0</v>
      </c>
      <c r="AG92" s="520"/>
      <c r="AH92" s="520">
        <f>MIN(CampList[[#This Row],[Shelter Gap]],CampList[[#This Row],[Land Status]])</f>
        <v>0</v>
      </c>
      <c r="AI92" s="520" t="str">
        <f ca="1">IFERROR(OFFSET(DistanceToCamp[Nearest Town],MATCH(CampList[[#This Row],[CP_Pcode]],DistanceToCamp[CP_Pcode],0)-1,0,1,1),"")</f>
        <v>Waingmaw Town</v>
      </c>
      <c r="AJ92" s="561">
        <f ca="1">IFERROR(OFFSET(DistanceToCamp[distance],MATCH(CampList[[#This Row],[CP_Pcode]],DistanceToCamp[CP_Pcode],0)-1,0,1,1),"")</f>
        <v>1.1134935940025397</v>
      </c>
      <c r="AK92" s="562">
        <f ca="1">IFERROR(INT(CampList[[#This Row],[Distance]]/5)+1,"")</f>
        <v>1</v>
      </c>
      <c r="AL92" s="721"/>
      <c r="AM92" s="721"/>
      <c r="AN92" s="721"/>
      <c r="BD92" s="5"/>
      <c r="BE92" s="5"/>
    </row>
    <row r="93" spans="1:57" s="4" customFormat="1" ht="15.6" customHeight="1" x14ac:dyDescent="0.25">
      <c r="A93" s="684" t="s">
        <v>502</v>
      </c>
      <c r="B93" s="530" t="s">
        <v>380</v>
      </c>
      <c r="C93" s="530" t="s">
        <v>527</v>
      </c>
      <c r="D93" s="530" t="s">
        <v>237</v>
      </c>
      <c r="E93" s="530" t="s">
        <v>533</v>
      </c>
      <c r="F93" s="530" t="s">
        <v>310</v>
      </c>
      <c r="G93" s="530" t="s">
        <v>534</v>
      </c>
      <c r="H93" s="530" t="s">
        <v>757</v>
      </c>
      <c r="I93" s="593" t="s">
        <v>758</v>
      </c>
      <c r="J93" s="530" t="s">
        <v>759</v>
      </c>
      <c r="K93" s="530">
        <v>165790</v>
      </c>
      <c r="L93" s="530" t="s">
        <v>322</v>
      </c>
      <c r="M93" s="530" t="s">
        <v>321</v>
      </c>
      <c r="N93" s="503">
        <v>97.715230000000005</v>
      </c>
      <c r="O93" s="503">
        <v>24.980250000000002</v>
      </c>
      <c r="P93" s="564">
        <v>984</v>
      </c>
      <c r="Q93" s="506">
        <v>608</v>
      </c>
      <c r="R93" s="527">
        <v>2636</v>
      </c>
      <c r="S93" s="333">
        <f>IF(CampList[[#This Row],[HH]]&gt;0,CampList[[#This Row],[Total]]/CampList[[#This Row],[HH]],"NA")</f>
        <v>4.3355263157894735</v>
      </c>
      <c r="T93" s="594" t="s">
        <v>515</v>
      </c>
      <c r="U93" s="556" t="s">
        <v>1204</v>
      </c>
      <c r="V93" s="491" t="s">
        <v>556</v>
      </c>
      <c r="W93" s="503" t="s">
        <v>862</v>
      </c>
      <c r="X93" s="572">
        <v>40695</v>
      </c>
      <c r="Y93" s="566">
        <v>5</v>
      </c>
      <c r="Z93" s="566" t="s">
        <v>1097</v>
      </c>
      <c r="AA93" s="506" t="s">
        <v>848</v>
      </c>
      <c r="AB93" s="594"/>
      <c r="AC93" s="574">
        <v>42397</v>
      </c>
      <c r="AD93" s="705" t="s">
        <v>1376</v>
      </c>
      <c r="AE93" s="592" t="s">
        <v>1085</v>
      </c>
      <c r="AF93" s="593">
        <f>IF(CampList[[#This Row],[Type of Accomodation]]="camp",MAX(0,CampList[[#This Row],[HH]]-SUMIF(Table_Shelter[Pcode],CampList[[#This Row],[CP_Pcode]],Table_Shelter[HH Covered])),0)</f>
        <v>4</v>
      </c>
      <c r="AG93" s="530"/>
      <c r="AH93" s="593">
        <f>MIN(CampList[[#This Row],[Shelter Gap]],CampList[[#This Row],[Land Status]])</f>
        <v>4</v>
      </c>
      <c r="AI93" s="593" t="str">
        <f ca="1">IFERROR(OFFSET(DistanceToCamp[Nearest Town],MATCH(CampList[[#This Row],[CP_Pcode]],DistanceToCamp[CP_Pcode],0)-1,0,1,1),"")</f>
        <v>Laiza town</v>
      </c>
      <c r="AJ93" s="561">
        <f ca="1">IFERROR(OFFSET(DistanceToCamp[distance],MATCH(CampList[[#This Row],[CP_Pcode]],DistanceToCamp[CP_Pcode],0)-1,0,1,1),"")</f>
        <v>28.888856599204185</v>
      </c>
      <c r="AK93" s="595">
        <f ca="1">IFERROR(INT(CampList[[#This Row],[Distance]]/5)+1,"")</f>
        <v>6</v>
      </c>
      <c r="AL93" s="721"/>
      <c r="AM93" s="721"/>
      <c r="AN93" s="721"/>
      <c r="BD93" s="5"/>
      <c r="BE93" s="5"/>
    </row>
    <row r="94" spans="1:57" s="4" customFormat="1" ht="15.6" customHeight="1" x14ac:dyDescent="0.25">
      <c r="A94" s="550" t="s">
        <v>502</v>
      </c>
      <c r="B94" s="522" t="s">
        <v>380</v>
      </c>
      <c r="C94" s="522" t="s">
        <v>527</v>
      </c>
      <c r="D94" s="522" t="s">
        <v>5</v>
      </c>
      <c r="E94" s="522" t="s">
        <v>531</v>
      </c>
      <c r="F94" s="522" t="s">
        <v>185</v>
      </c>
      <c r="G94" s="520" t="s">
        <v>535</v>
      </c>
      <c r="H94" s="551" t="s">
        <v>1141</v>
      </c>
      <c r="I94" s="551" t="s">
        <v>1274</v>
      </c>
      <c r="J94" s="551"/>
      <c r="K94" s="552"/>
      <c r="L94" s="569" t="s">
        <v>200</v>
      </c>
      <c r="M94" s="522" t="s">
        <v>199</v>
      </c>
      <c r="N94" s="563">
        <v>97.409474000000003</v>
      </c>
      <c r="O94" s="563">
        <v>24.441697000000001</v>
      </c>
      <c r="P94" s="564"/>
      <c r="Q94" s="504">
        <v>2</v>
      </c>
      <c r="R94" s="526">
        <v>9</v>
      </c>
      <c r="S94" s="333">
        <f>IF(CampList[[#This Row],[HH]]&gt;0,CampList[[#This Row],[Total]]/CampList[[#This Row],[HH]],"NA")</f>
        <v>4.5</v>
      </c>
      <c r="T94" s="576" t="s">
        <v>513</v>
      </c>
      <c r="U94" s="557" t="s">
        <v>1204</v>
      </c>
      <c r="V94" s="518" t="s">
        <v>12</v>
      </c>
      <c r="W94" s="557" t="s">
        <v>862</v>
      </c>
      <c r="X94" s="565"/>
      <c r="Y94" s="566"/>
      <c r="Z94" s="557"/>
      <c r="AA94" s="510" t="s">
        <v>847</v>
      </c>
      <c r="AB94" s="522"/>
      <c r="AC94" s="560">
        <v>41803</v>
      </c>
      <c r="AD94" s="518" t="s">
        <v>1075</v>
      </c>
      <c r="AE94" s="566" t="s">
        <v>1100</v>
      </c>
      <c r="AF94" s="530">
        <f>IF(CampList[[#This Row],[Type of Accomodation]]="camp",MAX(0,CampList[[#This Row],[HH]]-SUMIF(Table_Shelter[Pcode],CampList[[#This Row],[CP_Pcode]],Table_Shelter[HH Covered])),0)</f>
        <v>0</v>
      </c>
      <c r="AG94" s="530"/>
      <c r="AH94" s="520">
        <f>MIN(CampList[[#This Row],[Shelter Gap]],CampList[[#This Row],[Land Status]])</f>
        <v>0</v>
      </c>
      <c r="AI94" s="520" t="str">
        <f ca="1">IFERROR(OFFSET(DistanceToCamp[Nearest Town],MATCH(CampList[[#This Row],[CP_Pcode]],DistanceToCamp[CP_Pcode],0)-1,0,1,1),"")</f>
        <v>Dawthponeyan  Town</v>
      </c>
      <c r="AJ94" s="561">
        <f ca="1">IFERROR(OFFSET(DistanceToCamp[distance],MATCH(CampList[[#This Row],[CP_Pcode]],DistanceToCamp[CP_Pcode],0)-1,0,1,1),"")</f>
        <v>19.860265975801305</v>
      </c>
      <c r="AK94" s="562">
        <f ca="1">IFERROR(INT(CampList[[#This Row],[Distance]]/5)+1,"")</f>
        <v>4</v>
      </c>
      <c r="AL94" s="721"/>
      <c r="AM94" s="721"/>
      <c r="AN94" s="721"/>
      <c r="BD94" s="5"/>
      <c r="BE94" s="5"/>
    </row>
    <row r="95" spans="1:57" s="4" customFormat="1" ht="15.6" customHeight="1" x14ac:dyDescent="0.25">
      <c r="A95" s="585" t="s">
        <v>502</v>
      </c>
      <c r="B95" s="522" t="s">
        <v>380</v>
      </c>
      <c r="C95" s="522" t="s">
        <v>527</v>
      </c>
      <c r="D95" s="522" t="s">
        <v>237</v>
      </c>
      <c r="E95" s="522" t="s">
        <v>533</v>
      </c>
      <c r="F95" s="522" t="s">
        <v>310</v>
      </c>
      <c r="G95" s="520" t="s">
        <v>534</v>
      </c>
      <c r="H95" s="577" t="s">
        <v>695</v>
      </c>
      <c r="I95" s="577" t="s">
        <v>696</v>
      </c>
      <c r="J95" s="577" t="s">
        <v>695</v>
      </c>
      <c r="K95" s="578">
        <v>165740</v>
      </c>
      <c r="L95" s="522" t="s">
        <v>328</v>
      </c>
      <c r="M95" s="522" t="s">
        <v>327</v>
      </c>
      <c r="N95" s="553">
        <v>97.433419259259296</v>
      </c>
      <c r="O95" s="553">
        <v>25.424529444444399</v>
      </c>
      <c r="P95" s="554">
        <v>0</v>
      </c>
      <c r="Q95" s="504">
        <v>135</v>
      </c>
      <c r="R95" s="526">
        <v>729</v>
      </c>
      <c r="S95" s="555">
        <f>IF(CampList[[#This Row],[HH]]&gt;0,CampList[[#This Row],[Total]]/CampList[[#This Row],[HH]],"NA")</f>
        <v>5.4</v>
      </c>
      <c r="T95" s="576" t="s">
        <v>513</v>
      </c>
      <c r="U95" s="557" t="s">
        <v>1204</v>
      </c>
      <c r="V95" s="522" t="s">
        <v>556</v>
      </c>
      <c r="W95" s="557" t="s">
        <v>862</v>
      </c>
      <c r="X95" s="558">
        <v>41456</v>
      </c>
      <c r="Y95" s="559">
        <v>1</v>
      </c>
      <c r="Z95" s="558" t="s">
        <v>507</v>
      </c>
      <c r="AA95" s="516" t="s">
        <v>848</v>
      </c>
      <c r="AB95" s="522"/>
      <c r="AC95" s="574">
        <v>42387</v>
      </c>
      <c r="AD95" s="518" t="s">
        <v>1403</v>
      </c>
      <c r="AE95" s="559" t="s">
        <v>1100</v>
      </c>
      <c r="AF95" s="530">
        <f>IF(CampList[[#This Row],[Type of Accomodation]]="camp",MAX(0,CampList[[#This Row],[HH]]-SUMIF(Table_Shelter[Pcode],CampList[[#This Row],[CP_Pcode]],Table_Shelter[HH Covered])),0)</f>
        <v>28</v>
      </c>
      <c r="AG95" s="530"/>
      <c r="AH95" s="520">
        <f>MIN(CampList[[#This Row],[Shelter Gap]],CampList[[#This Row],[Land Status]])</f>
        <v>28</v>
      </c>
      <c r="AI95" s="520" t="str">
        <f ca="1">IFERROR(OFFSET(DistanceToCamp[Nearest Town],MATCH(CampList[[#This Row],[CP_Pcode]],DistanceToCamp[CP_Pcode],0)-1,0,1,1),"")</f>
        <v>Myitkyina Town</v>
      </c>
      <c r="AJ95" s="561">
        <f ca="1">IFERROR(OFFSET(DistanceToCamp[distance],MATCH(CampList[[#This Row],[CP_Pcode]],DistanceToCamp[CP_Pcode],0)-1,0,1,1),"")</f>
        <v>5.9727739497559158</v>
      </c>
      <c r="AK95" s="562">
        <f ca="1">IFERROR(INT(CampList[[#This Row],[Distance]]/5)+1,"")</f>
        <v>2</v>
      </c>
      <c r="AL95" s="721"/>
      <c r="AM95" s="721"/>
      <c r="AN95" s="721"/>
      <c r="BD95" s="5"/>
      <c r="BE95" s="5"/>
    </row>
    <row r="96" spans="1:57" s="4" customFormat="1" ht="15.6" customHeight="1" x14ac:dyDescent="0.25">
      <c r="A96" s="684" t="s">
        <v>502</v>
      </c>
      <c r="B96" s="530" t="s">
        <v>380</v>
      </c>
      <c r="C96" s="530" t="s">
        <v>527</v>
      </c>
      <c r="D96" s="530" t="s">
        <v>237</v>
      </c>
      <c r="E96" s="530" t="s">
        <v>533</v>
      </c>
      <c r="F96" s="530" t="s">
        <v>310</v>
      </c>
      <c r="G96" s="530" t="s">
        <v>534</v>
      </c>
      <c r="H96" s="530" t="s">
        <v>695</v>
      </c>
      <c r="I96" s="593" t="s">
        <v>696</v>
      </c>
      <c r="J96" s="530" t="s">
        <v>695</v>
      </c>
      <c r="K96" s="530">
        <v>165740</v>
      </c>
      <c r="L96" s="530" t="s">
        <v>330</v>
      </c>
      <c r="M96" s="530" t="s">
        <v>329</v>
      </c>
      <c r="N96" s="503">
        <v>97.437782499999997</v>
      </c>
      <c r="O96" s="503">
        <v>25.415667500000001</v>
      </c>
      <c r="P96" s="564"/>
      <c r="Q96" s="506">
        <v>227</v>
      </c>
      <c r="R96" s="527">
        <v>1221</v>
      </c>
      <c r="S96" s="333">
        <f>IF(CampList[[#This Row],[HH]]&gt;0,CampList[[#This Row],[Total]]/CampList[[#This Row],[HH]],"NA")</f>
        <v>5.3788546255506606</v>
      </c>
      <c r="T96" s="594" t="s">
        <v>513</v>
      </c>
      <c r="U96" s="556" t="s">
        <v>1204</v>
      </c>
      <c r="V96" s="491" t="s">
        <v>556</v>
      </c>
      <c r="W96" s="503" t="s">
        <v>808</v>
      </c>
      <c r="X96" s="572">
        <v>41426</v>
      </c>
      <c r="Y96" s="566">
        <v>4</v>
      </c>
      <c r="Z96" s="566" t="s">
        <v>1097</v>
      </c>
      <c r="AA96" s="506" t="s">
        <v>848</v>
      </c>
      <c r="AB96" s="594"/>
      <c r="AC96" s="574">
        <v>42397</v>
      </c>
      <c r="AD96" s="705" t="s">
        <v>1377</v>
      </c>
      <c r="AE96" s="592" t="s">
        <v>1100</v>
      </c>
      <c r="AF96" s="593">
        <f>IF(CampList[[#This Row],[Type of Accomodation]]="camp",MAX(0,CampList[[#This Row],[HH]]-SUMIF(Table_Shelter[Pcode],CampList[[#This Row],[CP_Pcode]],Table_Shelter[HH Covered])),0)</f>
        <v>17</v>
      </c>
      <c r="AG96" s="530"/>
      <c r="AH96" s="593">
        <f>MIN(CampList[[#This Row],[Shelter Gap]],CampList[[#This Row],[Land Status]])</f>
        <v>17</v>
      </c>
      <c r="AI96" s="593" t="str">
        <f ca="1">IFERROR(OFFSET(DistanceToCamp[Nearest Town],MATCH(CampList[[#This Row],[CP_Pcode]],DistanceToCamp[CP_Pcode],0)-1,0,1,1),"")</f>
        <v>Myitkyina Town</v>
      </c>
      <c r="AJ96" s="561">
        <f ca="1">IFERROR(OFFSET(DistanceToCamp[distance],MATCH(CampList[[#This Row],[CP_Pcode]],DistanceToCamp[CP_Pcode],0)-1,0,1,1),"")</f>
        <v>5.7019834469756479</v>
      </c>
      <c r="AK96" s="595">
        <f ca="1">IFERROR(INT(CampList[[#This Row],[Distance]]/5)+1,"")</f>
        <v>2</v>
      </c>
      <c r="AL96" s="721"/>
      <c r="AM96" s="721"/>
      <c r="AN96" s="721"/>
      <c r="BD96" s="5"/>
      <c r="BE96" s="5"/>
    </row>
    <row r="97" spans="1:57" s="4" customFormat="1" ht="15.6" customHeight="1" x14ac:dyDescent="0.25">
      <c r="A97" s="585" t="s">
        <v>502</v>
      </c>
      <c r="B97" s="522" t="s">
        <v>380</v>
      </c>
      <c r="C97" s="522" t="s">
        <v>527</v>
      </c>
      <c r="D97" s="522" t="s">
        <v>237</v>
      </c>
      <c r="E97" s="522" t="s">
        <v>533</v>
      </c>
      <c r="F97" s="522" t="s">
        <v>310</v>
      </c>
      <c r="G97" s="218" t="s">
        <v>534</v>
      </c>
      <c r="H97" s="577" t="s">
        <v>695</v>
      </c>
      <c r="I97" s="577" t="s">
        <v>696</v>
      </c>
      <c r="J97" s="577" t="s">
        <v>695</v>
      </c>
      <c r="K97" s="578">
        <v>165740</v>
      </c>
      <c r="L97" s="569" t="s">
        <v>324</v>
      </c>
      <c r="M97" s="219" t="s">
        <v>323</v>
      </c>
      <c r="N97" s="553">
        <v>97.434855869565197</v>
      </c>
      <c r="O97" s="553">
        <v>25.4118005797101</v>
      </c>
      <c r="P97" s="554">
        <v>0</v>
      </c>
      <c r="Q97" s="504">
        <v>428</v>
      </c>
      <c r="R97" s="526">
        <v>2219</v>
      </c>
      <c r="S97" s="333">
        <f>IF(CampList[[#This Row],[HH]]&gt;0,CampList[[#This Row],[Total]]/CampList[[#This Row],[HH]],"NA")</f>
        <v>5.1845794392523361</v>
      </c>
      <c r="T97" s="576" t="s">
        <v>513</v>
      </c>
      <c r="U97" s="334" t="s">
        <v>1204</v>
      </c>
      <c r="V97" s="219" t="s">
        <v>556</v>
      </c>
      <c r="W97" s="557" t="s">
        <v>862</v>
      </c>
      <c r="X97" s="558">
        <v>41061</v>
      </c>
      <c r="Y97" s="559">
        <v>3</v>
      </c>
      <c r="Z97" s="558" t="s">
        <v>462</v>
      </c>
      <c r="AA97" s="511" t="s">
        <v>848</v>
      </c>
      <c r="AB97" s="522"/>
      <c r="AC97" s="574">
        <v>42397</v>
      </c>
      <c r="AD97" s="518" t="s">
        <v>1428</v>
      </c>
      <c r="AE97" s="559" t="s">
        <v>1100</v>
      </c>
      <c r="AF97" s="233">
        <f>IF(CampList[[#This Row],[Type of Accomodation]]="camp",MAX(0,CampList[[#This Row],[HH]]-SUMIF(Table_Shelter[Pcode],CampList[[#This Row],[CP_Pcode]],Table_Shelter[HH Covered])),0)</f>
        <v>0</v>
      </c>
      <c r="AG97" s="218"/>
      <c r="AH97" s="218">
        <f>MIN(CampList[[#This Row],[Shelter Gap]],CampList[[#This Row],[Land Status]])</f>
        <v>0</v>
      </c>
      <c r="AI97" s="218" t="str">
        <f ca="1">IFERROR(OFFSET(DistanceToCamp[Nearest Town],MATCH(CampList[[#This Row],[CP_Pcode]],DistanceToCamp[CP_Pcode],0)-1,0,1,1),"")</f>
        <v>Myitkyina Town</v>
      </c>
      <c r="AJ97" s="561">
        <f ca="1">IFERROR(OFFSET(DistanceToCamp[distance],MATCH(CampList[[#This Row],[CP_Pcode]],DistanceToCamp[CP_Pcode],0)-1,0,1,1),"")</f>
        <v>5.2238983299151851</v>
      </c>
      <c r="AK97" s="337">
        <f ca="1">IFERROR(INT(CampList[[#This Row],[Distance]]/5)+1,"")</f>
        <v>2</v>
      </c>
      <c r="AL97" s="721"/>
      <c r="AM97" s="721"/>
      <c r="AN97" s="721"/>
      <c r="BD97" s="5"/>
      <c r="BE97" s="5"/>
    </row>
    <row r="98" spans="1:57" s="4" customFormat="1" ht="15.6" customHeight="1" x14ac:dyDescent="0.25">
      <c r="A98" s="585" t="s">
        <v>502</v>
      </c>
      <c r="B98" s="522" t="s">
        <v>380</v>
      </c>
      <c r="C98" s="522" t="s">
        <v>527</v>
      </c>
      <c r="D98" s="522" t="s">
        <v>237</v>
      </c>
      <c r="E98" s="522" t="s">
        <v>533</v>
      </c>
      <c r="F98" s="522" t="s">
        <v>310</v>
      </c>
      <c r="G98" s="218" t="s">
        <v>534</v>
      </c>
      <c r="H98" s="577" t="s">
        <v>695</v>
      </c>
      <c r="I98" s="577" t="s">
        <v>696</v>
      </c>
      <c r="J98" s="577" t="s">
        <v>695</v>
      </c>
      <c r="K98" s="578">
        <v>165740</v>
      </c>
      <c r="L98" s="569" t="s">
        <v>326</v>
      </c>
      <c r="M98" s="219" t="s">
        <v>325</v>
      </c>
      <c r="N98" s="553">
        <v>97.426536944444507</v>
      </c>
      <c r="O98" s="553">
        <v>25.409612685185198</v>
      </c>
      <c r="P98" s="554">
        <v>0</v>
      </c>
      <c r="Q98" s="504">
        <v>48</v>
      </c>
      <c r="R98" s="526">
        <v>199</v>
      </c>
      <c r="S98" s="333">
        <f>IF(CampList[[#This Row],[HH]]&gt;0,CampList[[#This Row],[Total]]/CampList[[#This Row],[HH]],"NA")</f>
        <v>4.145833333333333</v>
      </c>
      <c r="T98" s="576" t="s">
        <v>513</v>
      </c>
      <c r="U98" s="334" t="s">
        <v>1204</v>
      </c>
      <c r="V98" s="219" t="s">
        <v>556</v>
      </c>
      <c r="W98" s="557" t="s">
        <v>808</v>
      </c>
      <c r="X98" s="558">
        <v>40878</v>
      </c>
      <c r="Y98" s="559">
        <v>1</v>
      </c>
      <c r="Z98" s="558" t="s">
        <v>462</v>
      </c>
      <c r="AA98" s="511" t="s">
        <v>848</v>
      </c>
      <c r="AB98" s="522"/>
      <c r="AC98" s="574">
        <v>42397</v>
      </c>
      <c r="AD98" s="518" t="s">
        <v>1428</v>
      </c>
      <c r="AE98" s="559" t="s">
        <v>1100</v>
      </c>
      <c r="AF98" s="233">
        <f>IF(CampList[[#This Row],[Type of Accomodation]]="camp",MAX(0,CampList[[#This Row],[HH]]-SUMIF(Table_Shelter[Pcode],CampList[[#This Row],[CP_Pcode]],Table_Shelter[HH Covered])),0)</f>
        <v>8</v>
      </c>
      <c r="AG98" s="218"/>
      <c r="AH98" s="218">
        <f>MIN(CampList[[#This Row],[Shelter Gap]],CampList[[#This Row],[Land Status]])</f>
        <v>8</v>
      </c>
      <c r="AI98" s="218" t="str">
        <f ca="1">IFERROR(OFFSET(DistanceToCamp[Nearest Town],MATCH(CampList[[#This Row],[CP_Pcode]],DistanceToCamp[CP_Pcode],0)-1,0,1,1),"")</f>
        <v>Myitkyina Town</v>
      </c>
      <c r="AJ98" s="561">
        <f ca="1">IFERROR(OFFSET(DistanceToCamp[distance],MATCH(CampList[[#This Row],[CP_Pcode]],DistanceToCamp[CP_Pcode],0)-1,0,1,1),"")</f>
        <v>4.3887485673235673</v>
      </c>
      <c r="AK98" s="337">
        <f ca="1">IFERROR(INT(CampList[[#This Row],[Distance]]/5)+1,"")</f>
        <v>1</v>
      </c>
      <c r="AL98" s="721"/>
      <c r="AM98" s="721"/>
      <c r="AN98" s="721"/>
      <c r="BD98" s="5"/>
      <c r="BE98" s="5"/>
    </row>
    <row r="99" spans="1:57" s="4" customFormat="1" ht="15.6" customHeight="1" x14ac:dyDescent="0.25">
      <c r="A99" s="550" t="s">
        <v>502</v>
      </c>
      <c r="B99" s="520" t="s">
        <v>380</v>
      </c>
      <c r="C99" s="520" t="s">
        <v>527</v>
      </c>
      <c r="D99" s="520" t="s">
        <v>5</v>
      </c>
      <c r="E99" s="520" t="s">
        <v>531</v>
      </c>
      <c r="F99" s="520" t="s">
        <v>151</v>
      </c>
      <c r="G99" s="520" t="s">
        <v>541</v>
      </c>
      <c r="H99" s="589" t="s">
        <v>891</v>
      </c>
      <c r="I99" s="589">
        <v>167301</v>
      </c>
      <c r="J99" s="589" t="s">
        <v>891</v>
      </c>
      <c r="K99" s="589"/>
      <c r="L99" s="525" t="s">
        <v>891</v>
      </c>
      <c r="M99" s="522" t="s">
        <v>892</v>
      </c>
      <c r="N99" s="563">
        <v>97.225881000000001</v>
      </c>
      <c r="O99" s="563">
        <v>23.972453000000002</v>
      </c>
      <c r="P99" s="564">
        <v>466</v>
      </c>
      <c r="Q99" s="504">
        <v>372</v>
      </c>
      <c r="R99" s="526">
        <v>1443</v>
      </c>
      <c r="S99" s="333">
        <f>IF(CampList[[#This Row],[HH]]&gt;0,CampList[[#This Row],[Total]]/CampList[[#This Row],[HH]],"NA")</f>
        <v>3.879032258064516</v>
      </c>
      <c r="T99" s="576" t="s">
        <v>513</v>
      </c>
      <c r="U99" s="557" t="s">
        <v>1204</v>
      </c>
      <c r="V99" s="522" t="s">
        <v>556</v>
      </c>
      <c r="W99" s="522" t="s">
        <v>862</v>
      </c>
      <c r="X99" s="590"/>
      <c r="Y99" s="559">
        <v>2</v>
      </c>
      <c r="Z99" s="558" t="s">
        <v>462</v>
      </c>
      <c r="AA99" s="516" t="s">
        <v>848</v>
      </c>
      <c r="AB99" s="520"/>
      <c r="AC99" s="574">
        <v>42397</v>
      </c>
      <c r="AD99" s="518" t="s">
        <v>1429</v>
      </c>
      <c r="AE99" s="559" t="s">
        <v>1100</v>
      </c>
      <c r="AF99" s="530">
        <f>IF(CampList[[#This Row],[Type of Accomodation]]="camp",MAX(0,CampList[[#This Row],[HH]]-SUMIF(Table_Shelter[Pcode],CampList[[#This Row],[CP_Pcode]],Table_Shelter[HH Covered])),0)</f>
        <v>148</v>
      </c>
      <c r="AG99" s="520"/>
      <c r="AH99" s="520">
        <f>MIN(CampList[[#This Row],[Shelter Gap]],CampList[[#This Row],[Land Status]])</f>
        <v>148</v>
      </c>
      <c r="AI99" s="520" t="str">
        <f ca="1">IFERROR(OFFSET(DistanceToCamp[Nearest Town],MATCH(CampList[[#This Row],[CP_Pcode]],DistanceToCamp[CP_Pcode],0)-1,0,1,1),"")</f>
        <v>Mansi Town</v>
      </c>
      <c r="AJ99" s="561">
        <f ca="1">IFERROR(OFFSET(DistanceToCamp[distance],MATCH(CampList[[#This Row],[CP_Pcode]],DistanceToCamp[CP_Pcode],0)-1,0,1,1),"")</f>
        <v>17.731070777343263</v>
      </c>
      <c r="AK99" s="562">
        <f ca="1">IFERROR(INT(CampList[[#This Row],[Distance]]/5)+1,"")</f>
        <v>4</v>
      </c>
      <c r="AL99" s="721"/>
      <c r="AM99" s="721"/>
      <c r="AN99" s="721"/>
      <c r="BD99" s="5"/>
      <c r="BE99" s="5"/>
    </row>
    <row r="100" spans="1:57" s="4" customFormat="1" ht="15.6" customHeight="1" x14ac:dyDescent="0.25">
      <c r="A100" s="341" t="s">
        <v>502</v>
      </c>
      <c r="B100" s="520" t="s">
        <v>380</v>
      </c>
      <c r="C100" s="520" t="s">
        <v>527</v>
      </c>
      <c r="D100" s="520" t="s">
        <v>5</v>
      </c>
      <c r="E100" s="520" t="s">
        <v>531</v>
      </c>
      <c r="F100" s="520" t="s">
        <v>151</v>
      </c>
      <c r="G100" s="520" t="s">
        <v>541</v>
      </c>
      <c r="H100" s="520" t="s">
        <v>891</v>
      </c>
      <c r="I100" s="520">
        <v>167301</v>
      </c>
      <c r="J100" s="520" t="s">
        <v>891</v>
      </c>
      <c r="K100" s="520"/>
      <c r="L100" s="525" t="s">
        <v>949</v>
      </c>
      <c r="M100" s="522" t="s">
        <v>948</v>
      </c>
      <c r="N100" s="563">
        <v>97.227057000000002</v>
      </c>
      <c r="O100" s="563">
        <v>23.976571</v>
      </c>
      <c r="P100" s="527">
        <v>478</v>
      </c>
      <c r="Q100" s="506">
        <v>123</v>
      </c>
      <c r="R100" s="527">
        <v>582</v>
      </c>
      <c r="S100" s="333">
        <f>IF(CampList[[#This Row],[HH]]&gt;0,CampList[[#This Row],[Total]]/CampList[[#This Row],[HH]],"NA")</f>
        <v>4.7317073170731705</v>
      </c>
      <c r="T100" s="576" t="s">
        <v>513</v>
      </c>
      <c r="U100" s="557" t="s">
        <v>1204</v>
      </c>
      <c r="V100" s="522" t="s">
        <v>556</v>
      </c>
      <c r="W100" s="522" t="s">
        <v>862</v>
      </c>
      <c r="X100" s="572"/>
      <c r="Y100" s="528">
        <v>2</v>
      </c>
      <c r="Z100" s="558" t="s">
        <v>1096</v>
      </c>
      <c r="AA100" s="515" t="s">
        <v>848</v>
      </c>
      <c r="AB100" s="520"/>
      <c r="AC100" s="574">
        <v>42397</v>
      </c>
      <c r="AD100" s="523" t="s">
        <v>1392</v>
      </c>
      <c r="AE100" s="528" t="s">
        <v>1100</v>
      </c>
      <c r="AF100" s="530">
        <f>IF(CampList[[#This Row],[Type of Accomodation]]="camp",MAX(0,CampList[[#This Row],[HH]]-SUMIF(Table_Shelter[Pcode],CampList[[#This Row],[CP_Pcode]],Table_Shelter[HH Covered])),0)</f>
        <v>73</v>
      </c>
      <c r="AG100" s="520"/>
      <c r="AH100" s="520">
        <f>MIN(CampList[[#This Row],[Shelter Gap]],CampList[[#This Row],[Land Status]])</f>
        <v>73</v>
      </c>
      <c r="AI100" s="520" t="str">
        <f ca="1">IFERROR(OFFSET(DistanceToCamp[Nearest Town],MATCH(CampList[[#This Row],[CP_Pcode]],DistanceToCamp[CP_Pcode],0)-1,0,1,1),"")</f>
        <v>Kamaing Town</v>
      </c>
      <c r="AJ100" s="561">
        <f ca="1">IFERROR(OFFSET(DistanceToCamp[distance],MATCH(CampList[[#This Row],[CP_Pcode]],DistanceToCamp[CP_Pcode],0)-1,0,1,1),"")</f>
        <v>12.257552920582597</v>
      </c>
      <c r="AK100" s="562">
        <f ca="1">IFERROR(INT(CampList[[#This Row],[Distance]]/5)+1,"")</f>
        <v>3</v>
      </c>
      <c r="AL100" s="721"/>
      <c r="AM100" s="721"/>
      <c r="AN100" s="721"/>
      <c r="BD100" s="5"/>
      <c r="BE100" s="5"/>
    </row>
    <row r="101" spans="1:57" s="4" customFormat="1" ht="15.6" customHeight="1" x14ac:dyDescent="0.25">
      <c r="A101" s="550" t="s">
        <v>502</v>
      </c>
      <c r="B101" s="522" t="s">
        <v>380</v>
      </c>
      <c r="C101" s="522" t="s">
        <v>527</v>
      </c>
      <c r="D101" s="522" t="s">
        <v>237</v>
      </c>
      <c r="E101" s="522" t="s">
        <v>533</v>
      </c>
      <c r="F101" s="522" t="s">
        <v>237</v>
      </c>
      <c r="G101" s="520" t="s">
        <v>537</v>
      </c>
      <c r="H101" s="551" t="s">
        <v>673</v>
      </c>
      <c r="I101" s="551" t="s">
        <v>674</v>
      </c>
      <c r="J101" s="571"/>
      <c r="K101" s="582"/>
      <c r="L101" s="569" t="s">
        <v>259</v>
      </c>
      <c r="M101" s="522" t="s">
        <v>258</v>
      </c>
      <c r="N101" s="553">
        <v>97.4113064583333</v>
      </c>
      <c r="O101" s="553">
        <v>25.360463124999999</v>
      </c>
      <c r="P101" s="554">
        <v>0</v>
      </c>
      <c r="Q101" s="504">
        <v>72</v>
      </c>
      <c r="R101" s="526">
        <v>375</v>
      </c>
      <c r="S101" s="333">
        <f>IF(CampList[[#This Row],[HH]]&gt;0,CampList[[#This Row],[Total]]/CampList[[#This Row],[HH]],"NA")</f>
        <v>5.208333333333333</v>
      </c>
      <c r="T101" s="576" t="s">
        <v>513</v>
      </c>
      <c r="U101" s="557" t="s">
        <v>1204</v>
      </c>
      <c r="V101" s="522" t="s">
        <v>556</v>
      </c>
      <c r="W101" s="557" t="s">
        <v>808</v>
      </c>
      <c r="X101" s="558">
        <v>40756</v>
      </c>
      <c r="Y101" s="559">
        <v>2</v>
      </c>
      <c r="Z101" s="558" t="s">
        <v>462</v>
      </c>
      <c r="AA101" s="511" t="s">
        <v>848</v>
      </c>
      <c r="AB101" s="522"/>
      <c r="AC101" s="574">
        <v>42397</v>
      </c>
      <c r="AD101" s="518" t="s">
        <v>1424</v>
      </c>
      <c r="AE101" s="559" t="s">
        <v>1100</v>
      </c>
      <c r="AF101" s="530">
        <f>IF(CampList[[#This Row],[Type of Accomodation]]="camp",MAX(0,CampList[[#This Row],[HH]]-SUMIF(Table_Shelter[Pcode],CampList[[#This Row],[CP_Pcode]],Table_Shelter[HH Covered])),0)</f>
        <v>52</v>
      </c>
      <c r="AG101" s="520"/>
      <c r="AH101" s="520">
        <f>MIN(CampList[[#This Row],[Shelter Gap]],CampList[[#This Row],[Land Status]])</f>
        <v>52</v>
      </c>
      <c r="AI101" s="520" t="str">
        <f ca="1">IFERROR(OFFSET(DistanceToCamp[Nearest Town],MATCH(CampList[[#This Row],[CP_Pcode]],DistanceToCamp[CP_Pcode],0)-1,0,1,1),"")</f>
        <v>Waingmaw Town</v>
      </c>
      <c r="AJ101" s="561">
        <f ca="1">IFERROR(OFFSET(DistanceToCamp[distance],MATCH(CampList[[#This Row],[CP_Pcode]],DistanceToCamp[CP_Pcode],0)-1,0,1,1),"")</f>
        <v>3.3362307375127798</v>
      </c>
      <c r="AK101" s="562">
        <f ca="1">IFERROR(INT(CampList[[#This Row],[Distance]]/5)+1,"")</f>
        <v>1</v>
      </c>
      <c r="AL101" s="721"/>
      <c r="AM101" s="721"/>
      <c r="AN101" s="721"/>
      <c r="BD101" s="5"/>
      <c r="BE101" s="5"/>
    </row>
    <row r="102" spans="1:57" s="4" customFormat="1" ht="15.6" customHeight="1" x14ac:dyDescent="0.25">
      <c r="A102" s="490" t="s">
        <v>502</v>
      </c>
      <c r="B102" s="530" t="s">
        <v>380</v>
      </c>
      <c r="C102" s="530" t="s">
        <v>527</v>
      </c>
      <c r="D102" s="530" t="s">
        <v>5</v>
      </c>
      <c r="E102" s="530" t="s">
        <v>531</v>
      </c>
      <c r="F102" s="530" t="s">
        <v>185</v>
      </c>
      <c r="G102" s="530" t="s">
        <v>535</v>
      </c>
      <c r="H102" s="530" t="s">
        <v>660</v>
      </c>
      <c r="I102" s="593" t="s">
        <v>661</v>
      </c>
      <c r="J102" s="530" t="s">
        <v>660</v>
      </c>
      <c r="K102" s="530">
        <v>167009</v>
      </c>
      <c r="L102" s="530" t="s">
        <v>202</v>
      </c>
      <c r="M102" s="530" t="s">
        <v>201</v>
      </c>
      <c r="N102" s="503">
        <v>97.325019999999995</v>
      </c>
      <c r="O102" s="503">
        <v>24.245100000000001</v>
      </c>
      <c r="P102" s="564"/>
      <c r="Q102" s="506">
        <v>261</v>
      </c>
      <c r="R102" s="527">
        <v>1155</v>
      </c>
      <c r="S102" s="333">
        <f>IF(CampList[[#This Row],[HH]]&gt;0,CampList[[#This Row],[Total]]/CampList[[#This Row],[HH]],"NA")</f>
        <v>4.4252873563218387</v>
      </c>
      <c r="T102" s="594" t="s">
        <v>513</v>
      </c>
      <c r="U102" s="556" t="s">
        <v>1204</v>
      </c>
      <c r="V102" s="491" t="s">
        <v>556</v>
      </c>
      <c r="W102" s="503" t="s">
        <v>808</v>
      </c>
      <c r="X102" s="572">
        <v>41030</v>
      </c>
      <c r="Y102" s="566">
        <v>2</v>
      </c>
      <c r="Z102" s="566" t="s">
        <v>1096</v>
      </c>
      <c r="AA102" s="506" t="s">
        <v>848</v>
      </c>
      <c r="AB102" s="594"/>
      <c r="AC102" s="574">
        <v>42397</v>
      </c>
      <c r="AD102" s="705" t="s">
        <v>1393</v>
      </c>
      <c r="AE102" s="592" t="s">
        <v>1100</v>
      </c>
      <c r="AF102" s="593">
        <f>IF(CampList[[#This Row],[Type of Accomodation]]="camp",MAX(0,CampList[[#This Row],[HH]]-SUMIF(Table_Shelter[Pcode],CampList[[#This Row],[CP_Pcode]],Table_Shelter[HH Covered])),0)</f>
        <v>108</v>
      </c>
      <c r="AG102" s="530"/>
      <c r="AH102" s="593">
        <f>MIN(CampList[[#This Row],[Shelter Gap]],CampList[[#This Row],[Land Status]])</f>
        <v>108</v>
      </c>
      <c r="AI102" s="593" t="str">
        <f ca="1">IFERROR(OFFSET(DistanceToCamp[Nearest Town],MATCH(CampList[[#This Row],[CP_Pcode]],DistanceToCamp[CP_Pcode],0)-1,0,1,1),"")</f>
        <v>Momauk Town</v>
      </c>
      <c r="AJ102" s="336">
        <f ca="1">IFERROR(OFFSET(DistanceToCamp[distance],MATCH(CampList[[#This Row],[CP_Pcode]],DistanceToCamp[CP_Pcode],0)-1,0,1,1),"")</f>
        <v>2.4411071835305544</v>
      </c>
      <c r="AK102" s="595">
        <f ca="1">IFERROR(INT(CampList[[#This Row],[Distance]]/5)+1,"")</f>
        <v>1</v>
      </c>
      <c r="AL102" s="721"/>
      <c r="AM102" s="721"/>
      <c r="AN102" s="721"/>
      <c r="BD102" s="5"/>
      <c r="BE102" s="5"/>
    </row>
    <row r="103" spans="1:57" s="4" customFormat="1" ht="15.6" customHeight="1" x14ac:dyDescent="0.25">
      <c r="A103" s="550" t="s">
        <v>502</v>
      </c>
      <c r="B103" s="219" t="s">
        <v>380</v>
      </c>
      <c r="C103" s="219" t="s">
        <v>527</v>
      </c>
      <c r="D103" s="219" t="s">
        <v>237</v>
      </c>
      <c r="E103" s="219" t="s">
        <v>533</v>
      </c>
      <c r="F103" s="219" t="s">
        <v>237</v>
      </c>
      <c r="G103" s="218" t="s">
        <v>537</v>
      </c>
      <c r="H103" s="551" t="s">
        <v>673</v>
      </c>
      <c r="I103" s="551" t="s">
        <v>674</v>
      </c>
      <c r="J103" s="551" t="s">
        <v>691</v>
      </c>
      <c r="K103" s="552" t="s">
        <v>692</v>
      </c>
      <c r="L103" s="569" t="s">
        <v>261</v>
      </c>
      <c r="M103" s="219" t="s">
        <v>260</v>
      </c>
      <c r="N103" s="553">
        <v>97.418694000000002</v>
      </c>
      <c r="O103" s="553">
        <v>25.428910999999999</v>
      </c>
      <c r="P103" s="554">
        <v>0</v>
      </c>
      <c r="Q103" s="104">
        <v>96</v>
      </c>
      <c r="R103" s="232">
        <v>505</v>
      </c>
      <c r="S103" s="333">
        <f>IF(CampList[[#This Row],[HH]]&gt;0,CampList[[#This Row],[Total]]/CampList[[#This Row],[HH]],"NA")</f>
        <v>5.260416666666667</v>
      </c>
      <c r="T103" s="576" t="s">
        <v>513</v>
      </c>
      <c r="U103" s="334" t="s">
        <v>1204</v>
      </c>
      <c r="V103" s="522" t="s">
        <v>556</v>
      </c>
      <c r="W103" s="557" t="s">
        <v>808</v>
      </c>
      <c r="X103" s="558">
        <v>40725</v>
      </c>
      <c r="Y103" s="559">
        <v>2</v>
      </c>
      <c r="Z103" s="558" t="s">
        <v>462</v>
      </c>
      <c r="AA103" s="511" t="s">
        <v>848</v>
      </c>
      <c r="AB103" s="219"/>
      <c r="AC103" s="574">
        <v>42397</v>
      </c>
      <c r="AD103" s="518" t="s">
        <v>1430</v>
      </c>
      <c r="AE103" s="559" t="s">
        <v>1100</v>
      </c>
      <c r="AF103" s="233">
        <f>IF(CampList[[#This Row],[Type of Accomodation]]="camp",MAX(0,CampList[[#This Row],[HH]]-SUMIF(Table_Shelter[Pcode],CampList[[#This Row],[CP_Pcode]],Table_Shelter[HH Covered])),0)</f>
        <v>16</v>
      </c>
      <c r="AG103" s="218"/>
      <c r="AH103" s="218">
        <f>MIN(CampList[[#This Row],[Shelter Gap]],CampList[[#This Row],[Land Status]])</f>
        <v>16</v>
      </c>
      <c r="AI103" s="218" t="str">
        <f ca="1">IFERROR(OFFSET(DistanceToCamp[Nearest Town],MATCH(CampList[[#This Row],[CP_Pcode]],DistanceToCamp[CP_Pcode],0)-1,0,1,1),"")</f>
        <v>Myitkyina Town</v>
      </c>
      <c r="AJ103" s="336">
        <f ca="1">IFERROR(OFFSET(DistanceToCamp[distance],MATCH(CampList[[#This Row],[CP_Pcode]],DistanceToCamp[CP_Pcode],0)-1,0,1,1),"")</f>
        <v>5.4145379230647226</v>
      </c>
      <c r="AK103" s="337">
        <f ca="1">IFERROR(INT(CampList[[#This Row],[Distance]]/5)+1,"")</f>
        <v>2</v>
      </c>
      <c r="AL103" s="721"/>
      <c r="AM103" s="721"/>
      <c r="AN103" s="721"/>
      <c r="BD103" s="5"/>
      <c r="BE103" s="5"/>
    </row>
    <row r="104" spans="1:57" s="4" customFormat="1" ht="15.6" hidden="1" customHeight="1" x14ac:dyDescent="0.25">
      <c r="A104" s="550" t="s">
        <v>849</v>
      </c>
      <c r="B104" s="219" t="s">
        <v>380</v>
      </c>
      <c r="C104" s="522" t="s">
        <v>527</v>
      </c>
      <c r="D104" s="522" t="s">
        <v>5</v>
      </c>
      <c r="E104" s="522" t="s">
        <v>531</v>
      </c>
      <c r="F104" s="522" t="s">
        <v>151</v>
      </c>
      <c r="G104" s="218" t="s">
        <v>541</v>
      </c>
      <c r="H104" s="551" t="s">
        <v>878</v>
      </c>
      <c r="I104" s="551" t="s">
        <v>879</v>
      </c>
      <c r="J104" s="551" t="s">
        <v>877</v>
      </c>
      <c r="K104" s="552">
        <v>167391</v>
      </c>
      <c r="L104" s="522" t="s">
        <v>882</v>
      </c>
      <c r="M104" s="522" t="s">
        <v>876</v>
      </c>
      <c r="N104" s="553">
        <v>97.710989999999995</v>
      </c>
      <c r="O104" s="575">
        <v>24.181640000000002</v>
      </c>
      <c r="P104" s="564"/>
      <c r="Q104" s="504">
        <v>0</v>
      </c>
      <c r="R104" s="526">
        <v>0</v>
      </c>
      <c r="S104" s="333" t="str">
        <f>IF(CampList[[#This Row],[HH]]&gt;0,CampList[[#This Row],[Total]]/CampList[[#This Row],[HH]],"NA")</f>
        <v>NA</v>
      </c>
      <c r="T104" s="556" t="s">
        <v>513</v>
      </c>
      <c r="U104" s="334" t="s">
        <v>1204</v>
      </c>
      <c r="V104" s="522" t="s">
        <v>556</v>
      </c>
      <c r="W104" s="557"/>
      <c r="X104" s="565"/>
      <c r="Y104" s="566"/>
      <c r="Z104" s="557"/>
      <c r="AA104" s="511" t="s">
        <v>848</v>
      </c>
      <c r="AB104" s="522"/>
      <c r="AC104" s="574">
        <v>41701</v>
      </c>
      <c r="AD104" s="518" t="s">
        <v>1019</v>
      </c>
      <c r="AE104" s="566" t="s">
        <v>1014</v>
      </c>
      <c r="AF104" s="233">
        <f>IF(CampList[[#This Row],[Type of Accomodation]]="camp",MAX(0,CampList[[#This Row],[HH]]-SUMIF(Table_Shelter[Pcode],CampList[[#This Row],[CP_Pcode]],Table_Shelter[HH Covered])),0)</f>
        <v>0</v>
      </c>
      <c r="AG104" s="218"/>
      <c r="AH104" s="218">
        <f>MIN(CampList[[#This Row],[Shelter Gap]],CampList[[#This Row],[Land Status]])</f>
        <v>0</v>
      </c>
      <c r="AI104" s="218" t="str">
        <f ca="1">IFERROR(OFFSET(DistanceToCamp[Nearest Town],MATCH(CampList[[#This Row],[CP_Pcode]],DistanceToCamp[CP_Pcode],0)-1,0,1,1),"")</f>
        <v/>
      </c>
      <c r="AJ104" s="336" t="str">
        <f ca="1">IFERROR(OFFSET(DistanceToCamp[distance],MATCH(CampList[[#This Row],[CP_Pcode]],DistanceToCamp[CP_Pcode],0)-1,0,1,1),"")</f>
        <v/>
      </c>
      <c r="AK104" s="337" t="str">
        <f ca="1">IFERROR(INT(CampList[[#This Row],[Distance]]/5)+1,"")</f>
        <v/>
      </c>
      <c r="AL104" s="721"/>
      <c r="AM104" s="721"/>
      <c r="AN104" s="721"/>
      <c r="BD104" s="5"/>
      <c r="BE104" s="5"/>
    </row>
    <row r="105" spans="1:57" s="4" customFormat="1" ht="15.6" hidden="1" customHeight="1" x14ac:dyDescent="0.25">
      <c r="A105" s="550" t="s">
        <v>849</v>
      </c>
      <c r="B105" s="522" t="s">
        <v>380</v>
      </c>
      <c r="C105" s="522" t="s">
        <v>527</v>
      </c>
      <c r="D105" s="522" t="s">
        <v>5</v>
      </c>
      <c r="E105" s="522" t="s">
        <v>531</v>
      </c>
      <c r="F105" s="522" t="s">
        <v>151</v>
      </c>
      <c r="G105" s="520" t="s">
        <v>541</v>
      </c>
      <c r="H105" s="551" t="s">
        <v>878</v>
      </c>
      <c r="I105" s="551" t="s">
        <v>879</v>
      </c>
      <c r="J105" s="551" t="s">
        <v>877</v>
      </c>
      <c r="K105" s="552">
        <v>167391</v>
      </c>
      <c r="L105" s="522" t="s">
        <v>881</v>
      </c>
      <c r="M105" s="522" t="s">
        <v>880</v>
      </c>
      <c r="N105" s="553">
        <v>97.710989999999995</v>
      </c>
      <c r="O105" s="575">
        <v>24.181640000000002</v>
      </c>
      <c r="P105" s="564"/>
      <c r="Q105" s="504">
        <v>0</v>
      </c>
      <c r="R105" s="526">
        <v>0</v>
      </c>
      <c r="S105" s="333" t="str">
        <f>IF(CampList[[#This Row],[HH]]&gt;0,CampList[[#This Row],[Total]]/CampList[[#This Row],[HH]],"NA")</f>
        <v>NA</v>
      </c>
      <c r="T105" s="556" t="s">
        <v>513</v>
      </c>
      <c r="U105" s="557" t="s">
        <v>1204</v>
      </c>
      <c r="V105" s="522" t="s">
        <v>556</v>
      </c>
      <c r="W105" s="557"/>
      <c r="X105" s="565"/>
      <c r="Y105" s="566"/>
      <c r="Z105" s="557"/>
      <c r="AA105" s="511" t="s">
        <v>848</v>
      </c>
      <c r="AB105" s="522"/>
      <c r="AC105" s="560">
        <v>41701</v>
      </c>
      <c r="AD105" s="518" t="s">
        <v>1019</v>
      </c>
      <c r="AE105" s="566" t="s">
        <v>1014</v>
      </c>
      <c r="AF105" s="530">
        <f>IF(CampList[[#This Row],[Type of Accomodation]]="camp",MAX(0,CampList[[#This Row],[HH]]-SUMIF(Table_Shelter[Pcode],CampList[[#This Row],[CP_Pcode]],Table_Shelter[HH Covered])),0)</f>
        <v>0</v>
      </c>
      <c r="AG105" s="520"/>
      <c r="AH105" s="520">
        <f>MIN(CampList[[#This Row],[Shelter Gap]],CampList[[#This Row],[Land Status]])</f>
        <v>0</v>
      </c>
      <c r="AI105" s="520" t="str">
        <f ca="1">IFERROR(OFFSET(DistanceToCamp[Nearest Town],MATCH(CampList[[#This Row],[CP_Pcode]],DistanceToCamp[CP_Pcode],0)-1,0,1,1),"")</f>
        <v/>
      </c>
      <c r="AJ105" s="336" t="str">
        <f ca="1">IFERROR(OFFSET(DistanceToCamp[distance],MATCH(CampList[[#This Row],[CP_Pcode]],DistanceToCamp[CP_Pcode],0)-1,0,1,1),"")</f>
        <v/>
      </c>
      <c r="AK105" s="562" t="str">
        <f ca="1">IFERROR(INT(CampList[[#This Row],[Distance]]/5)+1,"")</f>
        <v/>
      </c>
      <c r="AL105" s="721"/>
      <c r="AM105" s="721"/>
      <c r="AN105" s="721"/>
      <c r="BD105" s="5"/>
      <c r="BE105" s="5"/>
    </row>
    <row r="106" spans="1:57" s="4" customFormat="1" ht="15.6" customHeight="1" x14ac:dyDescent="0.25">
      <c r="A106" s="550" t="s">
        <v>502</v>
      </c>
      <c r="B106" s="522" t="s">
        <v>380</v>
      </c>
      <c r="C106" s="522" t="s">
        <v>527</v>
      </c>
      <c r="D106" s="522" t="s">
        <v>5</v>
      </c>
      <c r="E106" s="522" t="s">
        <v>531</v>
      </c>
      <c r="F106" s="522" t="s">
        <v>185</v>
      </c>
      <c r="G106" s="520" t="s">
        <v>535</v>
      </c>
      <c r="H106" s="551" t="s">
        <v>658</v>
      </c>
      <c r="I106" s="551" t="s">
        <v>659</v>
      </c>
      <c r="J106" s="551" t="s">
        <v>658</v>
      </c>
      <c r="K106" s="552">
        <v>167063</v>
      </c>
      <c r="L106" s="569" t="s">
        <v>204</v>
      </c>
      <c r="M106" s="522" t="s">
        <v>203</v>
      </c>
      <c r="N106" s="553">
        <v>97.321659999999994</v>
      </c>
      <c r="O106" s="553">
        <v>24.410008999999999</v>
      </c>
      <c r="P106" s="564"/>
      <c r="Q106" s="504">
        <v>28</v>
      </c>
      <c r="R106" s="526">
        <v>136</v>
      </c>
      <c r="S106" s="333">
        <f>IF(CampList[[#This Row],[HH]]&gt;0,CampList[[#This Row],[Total]]/CampList[[#This Row],[HH]],"NA")</f>
        <v>4.8571428571428568</v>
      </c>
      <c r="T106" s="576" t="s">
        <v>513</v>
      </c>
      <c r="U106" s="557" t="s">
        <v>1204</v>
      </c>
      <c r="V106" s="518" t="s">
        <v>12</v>
      </c>
      <c r="W106" s="557" t="s">
        <v>862</v>
      </c>
      <c r="X106" s="565"/>
      <c r="Y106" s="566"/>
      <c r="Z106" s="557"/>
      <c r="AA106" s="510" t="s">
        <v>847</v>
      </c>
      <c r="AB106" s="522"/>
      <c r="AC106" s="574"/>
      <c r="AD106" s="518"/>
      <c r="AE106" s="566" t="s">
        <v>1100</v>
      </c>
      <c r="AF106" s="530">
        <f>IF(CampList[[#This Row],[Type of Accomodation]]="camp",MAX(0,CampList[[#This Row],[HH]]-SUMIF(Table_Shelter[Pcode],CampList[[#This Row],[CP_Pcode]],Table_Shelter[HH Covered])),0)</f>
        <v>0</v>
      </c>
      <c r="AG106" s="520"/>
      <c r="AH106" s="520">
        <f>MIN(CampList[[#This Row],[Shelter Gap]],CampList[[#This Row],[Land Status]])</f>
        <v>0</v>
      </c>
      <c r="AI106" s="520" t="str">
        <f ca="1">IFERROR(OFFSET(DistanceToCamp[Nearest Town],MATCH(CampList[[#This Row],[CP_Pcode]],DistanceToCamp[CP_Pcode],0)-1,0,1,1),"")</f>
        <v>Momauk Town</v>
      </c>
      <c r="AJ106" s="336">
        <f ca="1">IFERROR(OFFSET(DistanceToCamp[distance],MATCH(CampList[[#This Row],[CP_Pcode]],DistanceToCamp[CP_Pcode],0)-1,0,1,1),"")</f>
        <v>17.282528446236295</v>
      </c>
      <c r="AK106" s="562">
        <f ca="1">IFERROR(INT(CampList[[#This Row],[Distance]]/5)+1,"")</f>
        <v>4</v>
      </c>
      <c r="AL106" s="721"/>
      <c r="AM106" s="721"/>
      <c r="AN106" s="721"/>
      <c r="BD106" s="5"/>
      <c r="BE106" s="5"/>
    </row>
    <row r="107" spans="1:57" s="4" customFormat="1" ht="15.6" customHeight="1" x14ac:dyDescent="0.25">
      <c r="A107" s="550" t="s">
        <v>502</v>
      </c>
      <c r="B107" s="522" t="s">
        <v>380</v>
      </c>
      <c r="C107" s="522" t="s">
        <v>527</v>
      </c>
      <c r="D107" s="522" t="s">
        <v>5</v>
      </c>
      <c r="E107" s="522" t="s">
        <v>531</v>
      </c>
      <c r="F107" s="522" t="s">
        <v>185</v>
      </c>
      <c r="G107" s="520" t="s">
        <v>535</v>
      </c>
      <c r="H107" s="551" t="s">
        <v>810</v>
      </c>
      <c r="I107" s="551" t="s">
        <v>811</v>
      </c>
      <c r="J107" s="551" t="s">
        <v>812</v>
      </c>
      <c r="K107" s="552">
        <v>167270</v>
      </c>
      <c r="L107" s="522" t="s">
        <v>205</v>
      </c>
      <c r="M107" s="522" t="s">
        <v>393</v>
      </c>
      <c r="N107" s="563">
        <v>97.276591999999994</v>
      </c>
      <c r="O107" s="563">
        <v>24.759551999999999</v>
      </c>
      <c r="P107" s="564"/>
      <c r="Q107" s="504"/>
      <c r="R107" s="526"/>
      <c r="S107" s="333" t="str">
        <f>IF(CampList[[#This Row],[HH]]&gt;0,CampList[[#This Row],[Total]]/CampList[[#This Row],[HH]],"NA")</f>
        <v>NA</v>
      </c>
      <c r="T107" s="576" t="s">
        <v>513</v>
      </c>
      <c r="U107" s="557" t="s">
        <v>1204</v>
      </c>
      <c r="V107" s="518" t="s">
        <v>12</v>
      </c>
      <c r="W107" s="557" t="s">
        <v>862</v>
      </c>
      <c r="X107" s="565"/>
      <c r="Y107" s="566"/>
      <c r="Z107" s="557"/>
      <c r="AA107" s="510" t="s">
        <v>847</v>
      </c>
      <c r="AB107" s="522"/>
      <c r="AC107" s="574">
        <v>41803</v>
      </c>
      <c r="AD107" s="518" t="s">
        <v>1075</v>
      </c>
      <c r="AE107" s="566" t="s">
        <v>1100</v>
      </c>
      <c r="AF107" s="530">
        <f>IF(CampList[[#This Row],[Type of Accomodation]]="camp",MAX(0,CampList[[#This Row],[HH]]-SUMIF(Table_Shelter[Pcode],CampList[[#This Row],[CP_Pcode]],Table_Shelter[HH Covered])),0)</f>
        <v>0</v>
      </c>
      <c r="AG107" s="520"/>
      <c r="AH107" s="520">
        <f>MIN(CampList[[#This Row],[Shelter Gap]],CampList[[#This Row],[Land Status]])</f>
        <v>0</v>
      </c>
      <c r="AI107" s="520" t="str">
        <f ca="1">IFERROR(OFFSET(DistanceToCamp[Nearest Town],MATCH(CampList[[#This Row],[CP_Pcode]],DistanceToCamp[CP_Pcode],0)-1,0,1,1),"")</f>
        <v>Dawthponeyan  Town</v>
      </c>
      <c r="AJ107" s="336">
        <f ca="1">IFERROR(OFFSET(DistanceToCamp[distance],MATCH(CampList[[#This Row],[CP_Pcode]],DistanceToCamp[CP_Pcode],0)-1,0,1,1),"")</f>
        <v>24.701686141136339</v>
      </c>
      <c r="AK107" s="562">
        <f ca="1">IFERROR(INT(CampList[[#This Row],[Distance]]/5)+1,"")</f>
        <v>5</v>
      </c>
      <c r="AL107" s="721"/>
      <c r="AM107" s="721"/>
      <c r="AN107" s="721"/>
      <c r="BD107" s="5"/>
      <c r="BE107" s="5"/>
    </row>
    <row r="108" spans="1:57" s="4" customFormat="1" ht="15.6" customHeight="1" x14ac:dyDescent="0.25">
      <c r="A108" s="550" t="s">
        <v>502</v>
      </c>
      <c r="B108" s="522" t="s">
        <v>380</v>
      </c>
      <c r="C108" s="522" t="s">
        <v>527</v>
      </c>
      <c r="D108" s="522" t="s">
        <v>5</v>
      </c>
      <c r="E108" s="522" t="s">
        <v>531</v>
      </c>
      <c r="F108" s="522" t="s">
        <v>151</v>
      </c>
      <c r="G108" s="520" t="s">
        <v>541</v>
      </c>
      <c r="H108" s="551" t="s">
        <v>662</v>
      </c>
      <c r="I108" s="551" t="s">
        <v>663</v>
      </c>
      <c r="J108" s="551"/>
      <c r="K108" s="552"/>
      <c r="L108" s="569" t="s">
        <v>160</v>
      </c>
      <c r="M108" s="522" t="s">
        <v>159</v>
      </c>
      <c r="N108" s="553">
        <v>97.589979999999997</v>
      </c>
      <c r="O108" s="553">
        <v>23.83013</v>
      </c>
      <c r="P108" s="554">
        <v>741</v>
      </c>
      <c r="Q108" s="504">
        <v>114</v>
      </c>
      <c r="R108" s="526">
        <v>539</v>
      </c>
      <c r="S108" s="333">
        <f>IF(CampList[[#This Row],[HH]]&gt;0,CampList[[#This Row],[Total]]/CampList[[#This Row],[HH]],"NA")</f>
        <v>4.7280701754385968</v>
      </c>
      <c r="T108" s="576" t="s">
        <v>513</v>
      </c>
      <c r="U108" s="557" t="s">
        <v>1204</v>
      </c>
      <c r="V108" s="522" t="s">
        <v>556</v>
      </c>
      <c r="W108" s="557" t="s">
        <v>862</v>
      </c>
      <c r="X108" s="558">
        <v>40940</v>
      </c>
      <c r="Y108" s="559">
        <v>2</v>
      </c>
      <c r="Z108" s="558" t="s">
        <v>462</v>
      </c>
      <c r="AA108" s="511" t="s">
        <v>848</v>
      </c>
      <c r="AB108" s="522"/>
      <c r="AC108" s="574">
        <v>42397</v>
      </c>
      <c r="AD108" s="523" t="s">
        <v>1361</v>
      </c>
      <c r="AE108" s="559" t="s">
        <v>1100</v>
      </c>
      <c r="AF108" s="530">
        <f>IF(CampList[[#This Row],[Type of Accomodation]]="camp",MAX(0,CampList[[#This Row],[HH]]-SUMIF(Table_Shelter[Pcode],CampList[[#This Row],[CP_Pcode]],Table_Shelter[HH Covered])),0)</f>
        <v>40</v>
      </c>
      <c r="AG108" s="520"/>
      <c r="AH108" s="520">
        <f>MIN(CampList[[#This Row],[Shelter Gap]],CampList[[#This Row],[Land Status]])</f>
        <v>40</v>
      </c>
      <c r="AI108" s="520" t="str">
        <f ca="1">IFERROR(OFFSET(DistanceToCamp[Nearest Town],MATCH(CampList[[#This Row],[CP_Pcode]],DistanceToCamp[CP_Pcode],0)-1,0,1,1),"")</f>
        <v>Namhkan Town</v>
      </c>
      <c r="AJ108" s="336">
        <f ca="1">IFERROR(OFFSET(DistanceToCamp[distance],MATCH(CampList[[#This Row],[CP_Pcode]],DistanceToCamp[CP_Pcode],0)-1,0,1,1),"")</f>
        <v>9.3704379947870464</v>
      </c>
      <c r="AK108" s="562">
        <f ca="1">IFERROR(INT(CampList[[#This Row],[Distance]]/5)+1,"")</f>
        <v>2</v>
      </c>
      <c r="AL108" s="721"/>
      <c r="AM108" s="721"/>
      <c r="AN108" s="721"/>
      <c r="BD108" s="5"/>
      <c r="BE108" s="5"/>
    </row>
    <row r="109" spans="1:57" s="4" customFormat="1" ht="15.6" customHeight="1" x14ac:dyDescent="0.25">
      <c r="A109" s="550" t="s">
        <v>502</v>
      </c>
      <c r="B109" s="520" t="s">
        <v>380</v>
      </c>
      <c r="C109" s="520" t="s">
        <v>527</v>
      </c>
      <c r="D109" s="520" t="s">
        <v>5</v>
      </c>
      <c r="E109" s="520" t="s">
        <v>531</v>
      </c>
      <c r="F109" s="520" t="s">
        <v>151</v>
      </c>
      <c r="G109" s="520" t="s">
        <v>541</v>
      </c>
      <c r="H109" s="520" t="s">
        <v>662</v>
      </c>
      <c r="I109" s="520" t="s">
        <v>663</v>
      </c>
      <c r="J109" s="520" t="s">
        <v>662</v>
      </c>
      <c r="K109" s="520">
        <v>167405</v>
      </c>
      <c r="L109" s="525" t="s">
        <v>1102</v>
      </c>
      <c r="M109" s="522" t="s">
        <v>1103</v>
      </c>
      <c r="N109" s="503">
        <v>97.590767</v>
      </c>
      <c r="O109" s="503">
        <v>23.829599000000002</v>
      </c>
      <c r="P109" s="564"/>
      <c r="Q109" s="506">
        <v>114</v>
      </c>
      <c r="R109" s="527">
        <v>524</v>
      </c>
      <c r="S109" s="333">
        <f>IF(CampList[[#This Row],[HH]]&gt;0,CampList[[#This Row],[Total]]/CampList[[#This Row],[HH]],"NA")</f>
        <v>4.5964912280701755</v>
      </c>
      <c r="T109" s="576" t="s">
        <v>513</v>
      </c>
      <c r="U109" s="557" t="s">
        <v>1204</v>
      </c>
      <c r="V109" s="522" t="s">
        <v>556</v>
      </c>
      <c r="W109" s="522" t="s">
        <v>862</v>
      </c>
      <c r="X109" s="572"/>
      <c r="Y109" s="566"/>
      <c r="Z109" s="557" t="s">
        <v>462</v>
      </c>
      <c r="AA109" s="515" t="s">
        <v>848</v>
      </c>
      <c r="AB109" s="520"/>
      <c r="AC109" s="574">
        <v>42397</v>
      </c>
      <c r="AD109" s="523" t="s">
        <v>1360</v>
      </c>
      <c r="AE109" s="566" t="s">
        <v>1014</v>
      </c>
      <c r="AF109" s="530">
        <f>IF(CampList[[#This Row],[Type of Accomodation]]="camp",MAX(0,CampList[[#This Row],[HH]]-SUMIF(Table_Shelter[Pcode],CampList[[#This Row],[CP_Pcode]],Table_Shelter[HH Covered])),0)</f>
        <v>114</v>
      </c>
      <c r="AG109" s="520"/>
      <c r="AH109" s="520">
        <f>MIN(CampList[[#This Row],[Shelter Gap]],CampList[[#This Row],[Land Status]])</f>
        <v>114</v>
      </c>
      <c r="AI109" s="520" t="str">
        <f ca="1">IFERROR(OFFSET(DistanceToCamp[Nearest Town],MATCH(CampList[[#This Row],[CP_Pcode]],DistanceToCamp[CP_Pcode],0)-1,0,1,1),"")</f>
        <v>Namhkan Town</v>
      </c>
      <c r="AJ109" s="336">
        <f ca="1">IFERROR(OFFSET(DistanceToCamp[distance],MATCH(CampList[[#This Row],[CP_Pcode]],DistanceToCamp[CP_Pcode],0)-1,0,1,1),"")</f>
        <v>9.2957189123335944</v>
      </c>
      <c r="AK109" s="562">
        <f ca="1">IFERROR(INT(CampList[[#This Row],[Distance]]/5)+1,"")</f>
        <v>2</v>
      </c>
      <c r="AL109" s="721"/>
      <c r="AM109" s="721"/>
      <c r="AN109" s="721"/>
      <c r="BD109" s="5"/>
      <c r="BE109" s="5"/>
    </row>
    <row r="110" spans="1:57" s="4" customFormat="1" ht="15.6" customHeight="1" x14ac:dyDescent="0.25">
      <c r="A110" s="490" t="s">
        <v>502</v>
      </c>
      <c r="B110" s="530" t="s">
        <v>380</v>
      </c>
      <c r="C110" s="530" t="s">
        <v>527</v>
      </c>
      <c r="D110" s="530" t="s">
        <v>5</v>
      </c>
      <c r="E110" s="530" t="s">
        <v>531</v>
      </c>
      <c r="F110" s="530" t="s">
        <v>151</v>
      </c>
      <c r="G110" s="530" t="s">
        <v>541</v>
      </c>
      <c r="H110" s="530" t="s">
        <v>662</v>
      </c>
      <c r="I110" s="593" t="s">
        <v>663</v>
      </c>
      <c r="J110" s="530"/>
      <c r="K110" s="530"/>
      <c r="L110" s="530" t="s">
        <v>154</v>
      </c>
      <c r="M110" s="530" t="s">
        <v>153</v>
      </c>
      <c r="N110" s="503">
        <v>97.578490000000002</v>
      </c>
      <c r="O110" s="503">
        <v>23.835319999999999</v>
      </c>
      <c r="P110" s="564">
        <v>795</v>
      </c>
      <c r="Q110" s="506">
        <v>458</v>
      </c>
      <c r="R110" s="527">
        <v>2139</v>
      </c>
      <c r="S110" s="333">
        <f>IF(CampList[[#This Row],[HH]]&gt;0,CampList[[#This Row],[Total]]/CampList[[#This Row],[HH]],"NA")</f>
        <v>4.6703056768558948</v>
      </c>
      <c r="T110" s="594" t="s">
        <v>513</v>
      </c>
      <c r="U110" s="556" t="s">
        <v>1204</v>
      </c>
      <c r="V110" s="491" t="s">
        <v>556</v>
      </c>
      <c r="W110" s="503" t="s">
        <v>862</v>
      </c>
      <c r="X110" s="572">
        <v>40848</v>
      </c>
      <c r="Y110" s="566">
        <v>2</v>
      </c>
      <c r="Z110" s="566" t="s">
        <v>1096</v>
      </c>
      <c r="AA110" s="506" t="s">
        <v>848</v>
      </c>
      <c r="AB110" s="594"/>
      <c r="AC110" s="574">
        <v>42416</v>
      </c>
      <c r="AD110" s="705" t="s">
        <v>1447</v>
      </c>
      <c r="AE110" s="592" t="s">
        <v>1100</v>
      </c>
      <c r="AF110" s="593">
        <f>IF(CampList[[#This Row],[Type of Accomodation]]="camp",MAX(0,CampList[[#This Row],[HH]]-SUMIF(Table_Shelter[Pcode],CampList[[#This Row],[CP_Pcode]],Table_Shelter[HH Covered])),0)</f>
        <v>258</v>
      </c>
      <c r="AG110" s="520"/>
      <c r="AH110" s="520">
        <f>MIN(CampList[[#This Row],[Shelter Gap]],CampList[[#This Row],[Land Status]])</f>
        <v>258</v>
      </c>
      <c r="AI110" s="593" t="str">
        <f ca="1">IFERROR(OFFSET(DistanceToCamp[Nearest Town],MATCH(CampList[[#This Row],[CP_Pcode]],DistanceToCamp[CP_Pcode],0)-1,0,1,1),"")</f>
        <v>Namhkan Town</v>
      </c>
      <c r="AJ110" s="336">
        <f ca="1">IFERROR(OFFSET(DistanceToCamp[distance],MATCH(CampList[[#This Row],[CP_Pcode]],DistanceToCamp[CP_Pcode],0)-1,0,1,1),"")</f>
        <v>10.509375400480517</v>
      </c>
      <c r="AK110" s="595">
        <f ca="1">IFERROR(INT(CampList[[#This Row],[Distance]]/5)+1,"")</f>
        <v>3</v>
      </c>
      <c r="AL110" s="721"/>
      <c r="AM110" s="721"/>
      <c r="AN110" s="721"/>
      <c r="BD110" s="5"/>
      <c r="BE110" s="5"/>
    </row>
    <row r="111" spans="1:57" s="4" customFormat="1" ht="15.6" customHeight="1" x14ac:dyDescent="0.25">
      <c r="A111" s="490" t="s">
        <v>502</v>
      </c>
      <c r="B111" s="530" t="s">
        <v>380</v>
      </c>
      <c r="C111" s="530" t="s">
        <v>527</v>
      </c>
      <c r="D111" s="530" t="s">
        <v>5</v>
      </c>
      <c r="E111" s="530" t="s">
        <v>531</v>
      </c>
      <c r="F111" s="530" t="s">
        <v>151</v>
      </c>
      <c r="G111" s="530" t="s">
        <v>541</v>
      </c>
      <c r="H111" s="530" t="s">
        <v>662</v>
      </c>
      <c r="I111" s="593" t="s">
        <v>663</v>
      </c>
      <c r="J111" s="530"/>
      <c r="K111" s="530"/>
      <c r="L111" s="530" t="s">
        <v>1068</v>
      </c>
      <c r="M111" s="530" t="s">
        <v>1069</v>
      </c>
      <c r="N111" s="503">
        <v>97.578367</v>
      </c>
      <c r="O111" s="503">
        <v>23.833477999999999</v>
      </c>
      <c r="P111" s="564">
        <v>925</v>
      </c>
      <c r="Q111" s="506">
        <v>123</v>
      </c>
      <c r="R111" s="527">
        <v>555</v>
      </c>
      <c r="S111" s="333">
        <f>IF(CampList[[#This Row],[HH]]&gt;0,CampList[[#This Row],[Total]]/CampList[[#This Row],[HH]],"NA")</f>
        <v>4.5121951219512191</v>
      </c>
      <c r="T111" s="594" t="s">
        <v>513</v>
      </c>
      <c r="U111" s="556" t="s">
        <v>1204</v>
      </c>
      <c r="V111" s="491" t="s">
        <v>556</v>
      </c>
      <c r="W111" s="503" t="s">
        <v>862</v>
      </c>
      <c r="X111" s="572"/>
      <c r="Y111" s="566"/>
      <c r="Z111" s="566" t="s">
        <v>1096</v>
      </c>
      <c r="AA111" s="506" t="s">
        <v>848</v>
      </c>
      <c r="AB111" s="594"/>
      <c r="AC111" s="574">
        <v>42416</v>
      </c>
      <c r="AD111" s="705" t="s">
        <v>1448</v>
      </c>
      <c r="AE111" s="592" t="s">
        <v>1100</v>
      </c>
      <c r="AF111" s="593">
        <f>IF(CampList[[#This Row],[Type of Accomodation]]="camp",MAX(0,CampList[[#This Row],[HH]]-SUMIF(Table_Shelter[Pcode],CampList[[#This Row],[CP_Pcode]],Table_Shelter[HH Covered])),0)</f>
        <v>123</v>
      </c>
      <c r="AG111" s="520"/>
      <c r="AH111" s="520">
        <f>MIN(CampList[[#This Row],[Shelter Gap]],CampList[[#This Row],[Land Status]])</f>
        <v>123</v>
      </c>
      <c r="AI111" s="593" t="str">
        <f ca="1">IFERROR(OFFSET(DistanceToCamp[Nearest Town],MATCH(CampList[[#This Row],[CP_Pcode]],DistanceToCamp[CP_Pcode],0)-1,0,1,1),"")</f>
        <v>Namhkan Town</v>
      </c>
      <c r="AJ111" s="336">
        <f ca="1">IFERROR(OFFSET(DistanceToCamp[distance],MATCH(CampList[[#This Row],[CP_Pcode]],DistanceToCamp[CP_Pcode],0)-1,0,1,1),"")</f>
        <v>10.527586947557506</v>
      </c>
      <c r="AK111" s="595">
        <f ca="1">IFERROR(INT(CampList[[#This Row],[Distance]]/5)+1,"")</f>
        <v>3</v>
      </c>
      <c r="AL111" s="721"/>
      <c r="AM111" s="721"/>
      <c r="AN111" s="721"/>
      <c r="BD111" s="5"/>
      <c r="BE111" s="5"/>
    </row>
    <row r="112" spans="1:57" s="4" customFormat="1" ht="15.6" customHeight="1" x14ac:dyDescent="0.25">
      <c r="A112" s="550" t="s">
        <v>502</v>
      </c>
      <c r="B112" s="522" t="s">
        <v>380</v>
      </c>
      <c r="C112" s="522" t="s">
        <v>527</v>
      </c>
      <c r="D112" s="522" t="s">
        <v>5</v>
      </c>
      <c r="E112" s="522" t="s">
        <v>531</v>
      </c>
      <c r="F112" s="522" t="s">
        <v>151</v>
      </c>
      <c r="G112" s="218" t="s">
        <v>541</v>
      </c>
      <c r="H112" s="551" t="s">
        <v>662</v>
      </c>
      <c r="I112" s="551" t="s">
        <v>663</v>
      </c>
      <c r="J112" s="551" t="s">
        <v>662</v>
      </c>
      <c r="K112" s="552">
        <v>167405</v>
      </c>
      <c r="L112" s="522" t="s">
        <v>156</v>
      </c>
      <c r="M112" s="522" t="s">
        <v>155</v>
      </c>
      <c r="N112" s="563">
        <v>97.588291999999996</v>
      </c>
      <c r="O112" s="563">
        <v>23.827870999999998</v>
      </c>
      <c r="P112" s="564"/>
      <c r="Q112" s="504">
        <v>175</v>
      </c>
      <c r="R112" s="526">
        <v>834</v>
      </c>
      <c r="S112" s="333">
        <f>IF(CampList[[#This Row],[HH]]&gt;0,CampList[[#This Row],[Total]]/CampList[[#This Row],[HH]],"NA")</f>
        <v>4.765714285714286</v>
      </c>
      <c r="T112" s="576" t="s">
        <v>513</v>
      </c>
      <c r="U112" s="334" t="s">
        <v>1204</v>
      </c>
      <c r="V112" s="518" t="s">
        <v>12</v>
      </c>
      <c r="W112" s="557" t="s">
        <v>862</v>
      </c>
      <c r="X112" s="565"/>
      <c r="Y112" s="566"/>
      <c r="Z112" s="557"/>
      <c r="AA112" s="511" t="s">
        <v>848</v>
      </c>
      <c r="AB112" s="522"/>
      <c r="AC112" s="574">
        <v>42397</v>
      </c>
      <c r="AD112" s="523" t="s">
        <v>1363</v>
      </c>
      <c r="AE112" s="566" t="s">
        <v>1100</v>
      </c>
      <c r="AF112" s="233">
        <f>IF(CampList[[#This Row],[Type of Accomodation]]="camp",MAX(0,CampList[[#This Row],[HH]]-SUMIF(Table_Shelter[Pcode],CampList[[#This Row],[CP_Pcode]],Table_Shelter[HH Covered])),0)</f>
        <v>0</v>
      </c>
      <c r="AG112" s="218"/>
      <c r="AH112" s="218">
        <f>MIN(CampList[[#This Row],[Shelter Gap]],CampList[[#This Row],[Land Status]])</f>
        <v>0</v>
      </c>
      <c r="AI112" s="218" t="str">
        <f ca="1">IFERROR(OFFSET(DistanceToCamp[Nearest Town],MATCH(CampList[[#This Row],[CP_Pcode]],DistanceToCamp[CP_Pcode],0)-1,0,1,1),"")</f>
        <v>Namhkan Town</v>
      </c>
      <c r="AJ112" s="336">
        <f ca="1">IFERROR(OFFSET(DistanceToCamp[distance],MATCH(CampList[[#This Row],[CP_Pcode]],DistanceToCamp[CP_Pcode],0)-1,0,1,1),"")</f>
        <v>9.5650381623500511</v>
      </c>
      <c r="AK112" s="337">
        <f ca="1">IFERROR(INT(CampList[[#This Row],[Distance]]/5)+1,"")</f>
        <v>2</v>
      </c>
      <c r="AL112" s="721"/>
      <c r="AM112" s="721"/>
      <c r="AN112" s="721"/>
      <c r="BD112" s="5"/>
      <c r="BE112" s="5"/>
    </row>
    <row r="113" spans="1:57" s="4" customFormat="1" ht="15.6" hidden="1" customHeight="1" x14ac:dyDescent="0.25">
      <c r="A113" s="550" t="s">
        <v>849</v>
      </c>
      <c r="B113" s="522" t="s">
        <v>380</v>
      </c>
      <c r="C113" s="522" t="s">
        <v>527</v>
      </c>
      <c r="D113" s="522" t="s">
        <v>237</v>
      </c>
      <c r="E113" s="522" t="s">
        <v>533</v>
      </c>
      <c r="F113" s="522" t="s">
        <v>310</v>
      </c>
      <c r="G113" s="520" t="s">
        <v>534</v>
      </c>
      <c r="H113" s="551" t="s">
        <v>729</v>
      </c>
      <c r="I113" s="551" t="s">
        <v>730</v>
      </c>
      <c r="J113" s="551" t="s">
        <v>729</v>
      </c>
      <c r="K113" s="552">
        <v>165772</v>
      </c>
      <c r="L113" s="522" t="s">
        <v>332</v>
      </c>
      <c r="M113" s="522" t="s">
        <v>331</v>
      </c>
      <c r="N113" s="553">
        <v>97.550267000000005</v>
      </c>
      <c r="O113" s="553">
        <v>24.747966999999999</v>
      </c>
      <c r="P113" s="564"/>
      <c r="Q113" s="504">
        <v>0</v>
      </c>
      <c r="R113" s="526">
        <v>0</v>
      </c>
      <c r="S113" s="555" t="str">
        <f>IF(CampList[[#This Row],[HH]]&gt;0,CampList[[#This Row],[Total]]/CampList[[#This Row],[HH]],"NA")</f>
        <v>NA</v>
      </c>
      <c r="T113" s="556" t="s">
        <v>513</v>
      </c>
      <c r="U113" s="557" t="s">
        <v>1204</v>
      </c>
      <c r="V113" s="522" t="s">
        <v>556</v>
      </c>
      <c r="W113" s="557"/>
      <c r="X113" s="565"/>
      <c r="Y113" s="566"/>
      <c r="Z113" s="557"/>
      <c r="AA113" s="512"/>
      <c r="AB113" s="522"/>
      <c r="AC113" s="567"/>
      <c r="AD113" s="518" t="s">
        <v>850</v>
      </c>
      <c r="AE113" s="566" t="s">
        <v>1014</v>
      </c>
      <c r="AF113" s="530">
        <f>IF(CampList[[#This Row],[Type of Accomodation]]="camp",MAX(0,CampList[[#This Row],[HH]]-SUMIF(Table_Shelter[Pcode],CampList[[#This Row],[CP_Pcode]],Table_Shelter[HH Covered])),0)</f>
        <v>0</v>
      </c>
      <c r="AG113" s="520"/>
      <c r="AH113" s="520">
        <f>MIN(CampList[[#This Row],[Shelter Gap]],CampList[[#This Row],[Land Status]])</f>
        <v>0</v>
      </c>
      <c r="AI113" s="520" t="str">
        <f ca="1">IFERROR(OFFSET(DistanceToCamp[Nearest Town],MATCH(CampList[[#This Row],[CP_Pcode]],DistanceToCamp[CP_Pcode],0)-1,0,1,1),"")</f>
        <v/>
      </c>
      <c r="AJ113" s="561" t="str">
        <f ca="1">IFERROR(OFFSET(DistanceToCamp[distance],MATCH(CampList[[#This Row],[CP_Pcode]],DistanceToCamp[CP_Pcode],0)-1,0,1,1),"")</f>
        <v/>
      </c>
      <c r="AK113" s="562" t="str">
        <f ca="1">IFERROR(INT(CampList[[#This Row],[Distance]]/5)+1,"")</f>
        <v/>
      </c>
      <c r="AL113" s="721"/>
      <c r="AM113" s="721"/>
      <c r="AN113" s="721"/>
      <c r="BD113" s="5"/>
      <c r="BE113" s="5"/>
    </row>
    <row r="114" spans="1:57" s="4" customFormat="1" ht="15.6" hidden="1" customHeight="1" x14ac:dyDescent="0.25">
      <c r="A114" s="550" t="s">
        <v>849</v>
      </c>
      <c r="B114" s="522" t="s">
        <v>380</v>
      </c>
      <c r="C114" s="522" t="s">
        <v>527</v>
      </c>
      <c r="D114" s="522" t="s">
        <v>5</v>
      </c>
      <c r="E114" s="522" t="s">
        <v>531</v>
      </c>
      <c r="F114" s="522" t="s">
        <v>185</v>
      </c>
      <c r="G114" s="520" t="s">
        <v>535</v>
      </c>
      <c r="H114" s="551" t="s">
        <v>664</v>
      </c>
      <c r="I114" s="551" t="s">
        <v>665</v>
      </c>
      <c r="J114" s="551" t="s">
        <v>666</v>
      </c>
      <c r="K114" s="552" t="s">
        <v>667</v>
      </c>
      <c r="L114" s="522" t="s">
        <v>207</v>
      </c>
      <c r="M114" s="522" t="s">
        <v>206</v>
      </c>
      <c r="N114" s="553">
        <v>97.346940000000004</v>
      </c>
      <c r="O114" s="553">
        <v>24.251860000000001</v>
      </c>
      <c r="P114" s="554">
        <v>0</v>
      </c>
      <c r="Q114" s="504"/>
      <c r="R114" s="526"/>
      <c r="S114" s="333" t="str">
        <f>IF(CampList[[#This Row],[HH]]&gt;0,CampList[[#This Row],[Total]]/CampList[[#This Row],[HH]],"NA")</f>
        <v>NA</v>
      </c>
      <c r="T114" s="576" t="s">
        <v>513</v>
      </c>
      <c r="U114" s="557" t="s">
        <v>1204</v>
      </c>
      <c r="V114" s="522" t="s">
        <v>556</v>
      </c>
      <c r="W114" s="557" t="s">
        <v>808</v>
      </c>
      <c r="X114" s="558">
        <v>40817</v>
      </c>
      <c r="Y114" s="559"/>
      <c r="Z114" s="558"/>
      <c r="AA114" s="510" t="s">
        <v>848</v>
      </c>
      <c r="AB114" s="522"/>
      <c r="AC114" s="574">
        <v>42317</v>
      </c>
      <c r="AD114" s="518" t="s">
        <v>1339</v>
      </c>
      <c r="AE114" s="559" t="s">
        <v>1100</v>
      </c>
      <c r="AF114" s="530">
        <f>IF(CampList[[#This Row],[Type of Accomodation]]="camp",MAX(0,CampList[[#This Row],[HH]]-SUMIF(Table_Shelter[Pcode],CampList[[#This Row],[CP_Pcode]],Table_Shelter[HH Covered])),0)</f>
        <v>0</v>
      </c>
      <c r="AG114" s="520"/>
      <c r="AH114" s="520">
        <f>MIN(CampList[[#This Row],[Shelter Gap]],CampList[[#This Row],[Land Status]])</f>
        <v>0</v>
      </c>
      <c r="AI114" s="520"/>
      <c r="AJ114" s="336"/>
      <c r="AK114" s="562"/>
      <c r="AL114" s="721"/>
      <c r="AM114" s="721"/>
      <c r="AN114" s="721"/>
      <c r="BD114" s="5"/>
      <c r="BE114" s="5"/>
    </row>
    <row r="115" spans="1:57" s="4" customFormat="1" ht="15.6" customHeight="1" x14ac:dyDescent="0.25">
      <c r="A115" s="550" t="s">
        <v>502</v>
      </c>
      <c r="B115" s="522" t="s">
        <v>555</v>
      </c>
      <c r="C115" s="520" t="s">
        <v>538</v>
      </c>
      <c r="D115" s="520" t="s">
        <v>543</v>
      </c>
      <c r="E115" s="520" t="s">
        <v>544</v>
      </c>
      <c r="F115" s="520" t="s">
        <v>166</v>
      </c>
      <c r="G115" s="520" t="s">
        <v>545</v>
      </c>
      <c r="H115" s="580" t="s">
        <v>808</v>
      </c>
      <c r="I115" s="596" t="s">
        <v>1147</v>
      </c>
      <c r="J115" s="580" t="s">
        <v>820</v>
      </c>
      <c r="K115" s="581"/>
      <c r="L115" s="569" t="s">
        <v>167</v>
      </c>
      <c r="M115" s="522" t="s">
        <v>165</v>
      </c>
      <c r="N115" s="563">
        <v>97.124403000000001</v>
      </c>
      <c r="O115" s="563">
        <v>23.250678000000001</v>
      </c>
      <c r="P115" s="554">
        <v>1250</v>
      </c>
      <c r="Q115" s="504">
        <v>38</v>
      </c>
      <c r="R115" s="526">
        <v>164</v>
      </c>
      <c r="S115" s="333">
        <f>IF(CampList[[#This Row],[HH]]&gt;0,CampList[[#This Row],[Total]]/CampList[[#This Row],[HH]],"NA")</f>
        <v>4.3157894736842106</v>
      </c>
      <c r="T115" s="576" t="s">
        <v>513</v>
      </c>
      <c r="U115" s="557" t="s">
        <v>1204</v>
      </c>
      <c r="V115" s="522" t="s">
        <v>556</v>
      </c>
      <c r="W115" s="557" t="s">
        <v>808</v>
      </c>
      <c r="X115" s="558">
        <v>41000</v>
      </c>
      <c r="Y115" s="559">
        <v>1</v>
      </c>
      <c r="Z115" s="558" t="s">
        <v>462</v>
      </c>
      <c r="AA115" s="511" t="s">
        <v>848</v>
      </c>
      <c r="AB115" s="522"/>
      <c r="AC115" s="574">
        <v>42397</v>
      </c>
      <c r="AD115" s="518" t="s">
        <v>1364</v>
      </c>
      <c r="AE115" s="559" t="s">
        <v>1085</v>
      </c>
      <c r="AF115" s="530">
        <f>IF(CampList[[#This Row],[Type of Accomodation]]="camp",MAX(0,CampList[[#This Row],[HH]]-SUMIF(Table_Shelter[Pcode],CampList[[#This Row],[CP_Pcode]],Table_Shelter[HH Covered])),0)</f>
        <v>0</v>
      </c>
      <c r="AG115" s="520"/>
      <c r="AH115" s="520">
        <f>MIN(CampList[[#This Row],[Shelter Gap]],CampList[[#This Row],[Land Status]])</f>
        <v>0</v>
      </c>
      <c r="AI115" s="520" t="str">
        <f ca="1">IFERROR(OFFSET(DistanceToCamp[Nearest Town],MATCH(CampList[[#This Row],[CP_Pcode]],DistanceToCamp[CP_Pcode],0)-1,0,1,1),"")</f>
        <v>Manton Town</v>
      </c>
      <c r="AJ115" s="336">
        <f ca="1">IFERROR(OFFSET(DistanceToCamp[distance],MATCH(CampList[[#This Row],[CP_Pcode]],DistanceToCamp[CP_Pcode],0)-1,0,1,1),"")</f>
        <v>0.43878855438285824</v>
      </c>
      <c r="AK115" s="562">
        <f ca="1">IFERROR(INT(CampList[[#This Row],[Distance]]/5)+1,"")</f>
        <v>1</v>
      </c>
      <c r="AL115" s="721"/>
      <c r="AM115" s="721"/>
      <c r="AN115" s="721"/>
      <c r="BD115" s="5"/>
      <c r="BE115" s="5"/>
    </row>
    <row r="116" spans="1:57" s="4" customFormat="1" ht="15.6" customHeight="1" x14ac:dyDescent="0.25">
      <c r="A116" s="490" t="s">
        <v>502</v>
      </c>
      <c r="B116" s="530" t="s">
        <v>555</v>
      </c>
      <c r="C116" s="530" t="s">
        <v>538</v>
      </c>
      <c r="D116" s="530" t="s">
        <v>543</v>
      </c>
      <c r="E116" s="530" t="s">
        <v>544</v>
      </c>
      <c r="F116" s="530" t="s">
        <v>166</v>
      </c>
      <c r="G116" s="530" t="s">
        <v>545</v>
      </c>
      <c r="H116" s="530" t="s">
        <v>808</v>
      </c>
      <c r="I116" s="593" t="s">
        <v>1147</v>
      </c>
      <c r="J116" s="530"/>
      <c r="K116" s="530"/>
      <c r="L116" s="530" t="s">
        <v>828</v>
      </c>
      <c r="M116" s="530" t="s">
        <v>829</v>
      </c>
      <c r="N116" s="503">
        <v>97.116680000000002</v>
      </c>
      <c r="O116" s="503">
        <v>23.24661</v>
      </c>
      <c r="P116" s="564">
        <v>87.3</v>
      </c>
      <c r="Q116" s="506">
        <v>31</v>
      </c>
      <c r="R116" s="527">
        <v>183</v>
      </c>
      <c r="S116" s="333">
        <f>IF(CampList[[#This Row],[HH]]&gt;0,CampList[[#This Row],[Total]]/CampList[[#This Row],[HH]],"NA")</f>
        <v>5.903225806451613</v>
      </c>
      <c r="T116" s="594" t="s">
        <v>513</v>
      </c>
      <c r="U116" s="556" t="s">
        <v>1204</v>
      </c>
      <c r="V116" s="491" t="s">
        <v>556</v>
      </c>
      <c r="W116" s="503" t="s">
        <v>808</v>
      </c>
      <c r="X116" s="572"/>
      <c r="Y116" s="566"/>
      <c r="Z116" s="566" t="s">
        <v>1282</v>
      </c>
      <c r="AA116" s="506" t="s">
        <v>848</v>
      </c>
      <c r="AB116" s="594"/>
      <c r="AC116" s="574">
        <v>42397</v>
      </c>
      <c r="AD116" s="705" t="s">
        <v>1397</v>
      </c>
      <c r="AE116" s="592" t="s">
        <v>1086</v>
      </c>
      <c r="AF116" s="593">
        <f>IF(CampList[[#This Row],[Type of Accomodation]]="camp",MAX(0,CampList[[#This Row],[HH]]-SUMIF(Table_Shelter[Pcode],CampList[[#This Row],[CP_Pcode]],Table_Shelter[HH Covered])),0)</f>
        <v>1</v>
      </c>
      <c r="AG116" s="530"/>
      <c r="AH116" s="593">
        <f>MIN(CampList[[#This Row],[Shelter Gap]],CampList[[#This Row],[Land Status]])</f>
        <v>1</v>
      </c>
      <c r="AI116" s="593" t="str">
        <f ca="1">IFERROR(OFFSET(DistanceToCamp[Nearest Town],MATCH(CampList[[#This Row],[CP_Pcode]],DistanceToCamp[CP_Pcode],0)-1,0,1,1),"")</f>
        <v>Manton Town</v>
      </c>
      <c r="AJ116" s="336">
        <f ca="1">IFERROR(OFFSET(DistanceToCamp[distance],MATCH(CampList[[#This Row],[CP_Pcode]],DistanceToCamp[CP_Pcode],0)-1,0,1,1),"")</f>
        <v>0.71762888500316424</v>
      </c>
      <c r="AK116" s="595">
        <f ca="1">IFERROR(INT(CampList[[#This Row],[Distance]]/5)+1,"")</f>
        <v>1</v>
      </c>
      <c r="AL116" s="721"/>
      <c r="AM116" s="721"/>
      <c r="AN116" s="721"/>
      <c r="BD116" s="5"/>
      <c r="BE116" s="5"/>
    </row>
    <row r="117" spans="1:57" s="4" customFormat="1" ht="15.6" customHeight="1" x14ac:dyDescent="0.25">
      <c r="A117" s="550" t="s">
        <v>502</v>
      </c>
      <c r="B117" s="522" t="s">
        <v>380</v>
      </c>
      <c r="C117" s="522" t="s">
        <v>527</v>
      </c>
      <c r="D117" s="522" t="s">
        <v>180</v>
      </c>
      <c r="E117" s="522" t="s">
        <v>528</v>
      </c>
      <c r="F117" s="522" t="s">
        <v>173</v>
      </c>
      <c r="G117" s="520" t="s">
        <v>547</v>
      </c>
      <c r="H117" s="551" t="s">
        <v>634</v>
      </c>
      <c r="I117" s="551" t="s">
        <v>635</v>
      </c>
      <c r="J117" s="551" t="s">
        <v>636</v>
      </c>
      <c r="K117" s="552">
        <v>166676</v>
      </c>
      <c r="L117" s="569" t="s">
        <v>176</v>
      </c>
      <c r="M117" s="522" t="s">
        <v>175</v>
      </c>
      <c r="N117" s="553">
        <v>96.942279999999997</v>
      </c>
      <c r="O117" s="553">
        <v>25.296579999999999</v>
      </c>
      <c r="P117" s="554">
        <v>0</v>
      </c>
      <c r="Q117" s="504">
        <v>18</v>
      </c>
      <c r="R117" s="526">
        <v>79</v>
      </c>
      <c r="S117" s="333">
        <f>IF(CampList[[#This Row],[HH]]&gt;0,CampList[[#This Row],[Total]]/CampList[[#This Row],[HH]],"NA")</f>
        <v>4.3888888888888893</v>
      </c>
      <c r="T117" s="576" t="s">
        <v>513</v>
      </c>
      <c r="U117" s="557" t="s">
        <v>1204</v>
      </c>
      <c r="V117" s="522" t="s">
        <v>556</v>
      </c>
      <c r="W117" s="557" t="s">
        <v>808</v>
      </c>
      <c r="X117" s="558">
        <v>41030</v>
      </c>
      <c r="Y117" s="559">
        <v>1</v>
      </c>
      <c r="Z117" s="558" t="s">
        <v>462</v>
      </c>
      <c r="AA117" s="510" t="s">
        <v>848</v>
      </c>
      <c r="AB117" s="522"/>
      <c r="AC117" s="574">
        <v>42397</v>
      </c>
      <c r="AD117" s="518" t="s">
        <v>1423</v>
      </c>
      <c r="AE117" s="559" t="s">
        <v>1100</v>
      </c>
      <c r="AF117" s="530">
        <f>IF(CampList[[#This Row],[Type of Accomodation]]="camp",MAX(0,CampList[[#This Row],[HH]]-SUMIF(Table_Shelter[Pcode],CampList[[#This Row],[CP_Pcode]],Table_Shelter[HH Covered])),0)</f>
        <v>8</v>
      </c>
      <c r="AG117" s="520"/>
      <c r="AH117" s="520">
        <f>MIN(CampList[[#This Row],[Shelter Gap]],CampList[[#This Row],[Land Status]])</f>
        <v>8</v>
      </c>
      <c r="AI117" s="520" t="str">
        <f ca="1">IFERROR(OFFSET(DistanceToCamp[Nearest Town],MATCH(CampList[[#This Row],[CP_Pcode]],DistanceToCamp[CP_Pcode],0)-1,0,1,1),"")</f>
        <v>Mogaung Town</v>
      </c>
      <c r="AJ117" s="336">
        <f ca="1">IFERROR(OFFSET(DistanceToCamp[distance],MATCH(CampList[[#This Row],[CP_Pcode]],DistanceToCamp[CP_Pcode],0)-1,0,1,1),"")</f>
        <v>0.71141459237180937</v>
      </c>
      <c r="AK117" s="562">
        <f ca="1">IFERROR(INT(CampList[[#This Row],[Distance]]/5)+1,"")</f>
        <v>1</v>
      </c>
      <c r="AL117" s="721"/>
      <c r="AM117" s="721"/>
      <c r="AN117" s="721"/>
      <c r="BD117" s="5"/>
      <c r="BE117" s="5"/>
    </row>
    <row r="118" spans="1:57" s="4" customFormat="1" ht="15.6" customHeight="1" x14ac:dyDescent="0.25">
      <c r="A118" s="332" t="s">
        <v>502</v>
      </c>
      <c r="B118" s="522" t="s">
        <v>380</v>
      </c>
      <c r="C118" s="522" t="s">
        <v>527</v>
      </c>
      <c r="D118" s="522" t="s">
        <v>5</v>
      </c>
      <c r="E118" s="522" t="s">
        <v>531</v>
      </c>
      <c r="F118" s="522" t="s">
        <v>151</v>
      </c>
      <c r="G118" s="218" t="s">
        <v>541</v>
      </c>
      <c r="H118" s="551" t="s">
        <v>652</v>
      </c>
      <c r="I118" s="551" t="s">
        <v>653</v>
      </c>
      <c r="J118" s="551" t="s">
        <v>654</v>
      </c>
      <c r="K118" s="552" t="s">
        <v>655</v>
      </c>
      <c r="L118" s="569" t="s">
        <v>152</v>
      </c>
      <c r="M118" s="522" t="s">
        <v>150</v>
      </c>
      <c r="N118" s="553">
        <v>97.291820000000001</v>
      </c>
      <c r="O118" s="553">
        <v>24.129059999999999</v>
      </c>
      <c r="P118" s="554">
        <v>0</v>
      </c>
      <c r="Q118" s="504">
        <v>221</v>
      </c>
      <c r="R118" s="526">
        <v>1003</v>
      </c>
      <c r="S118" s="333">
        <f>IF(CampList[[#This Row],[HH]]&gt;0,CampList[[#This Row],[Total]]/CampList[[#This Row],[HH]],"NA")</f>
        <v>4.5384615384615383</v>
      </c>
      <c r="T118" s="576" t="s">
        <v>513</v>
      </c>
      <c r="U118" s="334" t="s">
        <v>1204</v>
      </c>
      <c r="V118" s="522" t="s">
        <v>556</v>
      </c>
      <c r="W118" s="557" t="s">
        <v>808</v>
      </c>
      <c r="X118" s="558">
        <v>41579</v>
      </c>
      <c r="Y118" s="559">
        <v>2</v>
      </c>
      <c r="Z118" s="558" t="s">
        <v>462</v>
      </c>
      <c r="AA118" s="510" t="s">
        <v>848</v>
      </c>
      <c r="AB118" s="522"/>
      <c r="AC118" s="574">
        <v>42397</v>
      </c>
      <c r="AD118" s="518" t="s">
        <v>1431</v>
      </c>
      <c r="AE118" s="559" t="s">
        <v>1100</v>
      </c>
      <c r="AF118" s="233">
        <f>IF(CampList[[#This Row],[Type of Accomodation]]="camp",MAX(0,CampList[[#This Row],[HH]]-SUMIF(Table_Shelter[Pcode],CampList[[#This Row],[CP_Pcode]],Table_Shelter[HH Covered])),0)</f>
        <v>116</v>
      </c>
      <c r="AG118" s="218"/>
      <c r="AH118" s="218">
        <f>MIN(CampList[[#This Row],[Shelter Gap]],CampList[[#This Row],[Land Status]])</f>
        <v>116</v>
      </c>
      <c r="AI118" s="218" t="str">
        <f ca="1">IFERROR(OFFSET(DistanceToCamp[Nearest Town],MATCH(CampList[[#This Row],[CP_Pcode]],DistanceToCamp[CP_Pcode],0)-1,0,1,1),"")</f>
        <v>Mansi Town</v>
      </c>
      <c r="AJ118" s="336">
        <f ca="1">IFERROR(OFFSET(DistanceToCamp[distance],MATCH(CampList[[#This Row],[CP_Pcode]],DistanceToCamp[CP_Pcode],0)-1,0,1,1),"")</f>
        <v>1.0576516850656514</v>
      </c>
      <c r="AK118" s="337">
        <f ca="1">IFERROR(INT(CampList[[#This Row],[Distance]]/5)+1,"")</f>
        <v>1</v>
      </c>
      <c r="AL118" s="721"/>
      <c r="AM118" s="721"/>
      <c r="AN118" s="721"/>
      <c r="BD118" s="5"/>
      <c r="BE118" s="5"/>
    </row>
    <row r="119" spans="1:57" s="4" customFormat="1" ht="15.6" hidden="1" customHeight="1" x14ac:dyDescent="0.25">
      <c r="A119" s="332" t="s">
        <v>849</v>
      </c>
      <c r="B119" s="522" t="s">
        <v>380</v>
      </c>
      <c r="C119" s="522" t="s">
        <v>527</v>
      </c>
      <c r="D119" s="522" t="s">
        <v>180</v>
      </c>
      <c r="E119" s="522" t="s">
        <v>528</v>
      </c>
      <c r="F119" s="522" t="s">
        <v>529</v>
      </c>
      <c r="G119" s="218" t="s">
        <v>530</v>
      </c>
      <c r="H119" s="551" t="s">
        <v>605</v>
      </c>
      <c r="I119" s="551" t="s">
        <v>606</v>
      </c>
      <c r="J119" s="551" t="s">
        <v>703</v>
      </c>
      <c r="K119" s="552" t="s">
        <v>704</v>
      </c>
      <c r="L119" s="522" t="s">
        <v>54</v>
      </c>
      <c r="M119" s="219" t="s">
        <v>53</v>
      </c>
      <c r="N119" s="553">
        <v>96.310928000000004</v>
      </c>
      <c r="O119" s="553">
        <v>25.609179999999999</v>
      </c>
      <c r="P119" s="564"/>
      <c r="Q119" s="504">
        <v>0</v>
      </c>
      <c r="R119" s="526">
        <v>0</v>
      </c>
      <c r="S119" s="333" t="str">
        <f>IF(CampList[[#This Row],[HH]]&gt;0,CampList[[#This Row],[Total]]/CampList[[#This Row],[HH]],"NA")</f>
        <v>NA</v>
      </c>
      <c r="T119" s="556" t="s">
        <v>513</v>
      </c>
      <c r="U119" s="334" t="s">
        <v>1204</v>
      </c>
      <c r="V119" s="219" t="s">
        <v>556</v>
      </c>
      <c r="W119" s="557"/>
      <c r="X119" s="565"/>
      <c r="Y119" s="566"/>
      <c r="Z119" s="557"/>
      <c r="AA119" s="510"/>
      <c r="AB119" s="522"/>
      <c r="AC119" s="567"/>
      <c r="AD119" s="518" t="s">
        <v>603</v>
      </c>
      <c r="AE119" s="566" t="s">
        <v>1014</v>
      </c>
      <c r="AF119" s="233">
        <f>IF(CampList[[#This Row],[Type of Accomodation]]="camp",MAX(0,CampList[[#This Row],[HH]]-SUMIF(Table_Shelter[Pcode],CampList[[#This Row],[CP_Pcode]],Table_Shelter[HH Covered])),0)</f>
        <v>0</v>
      </c>
      <c r="AG119" s="218"/>
      <c r="AH119" s="218">
        <f>MIN(CampList[[#This Row],[Shelter Gap]],CampList[[#This Row],[Land Status]])</f>
        <v>0</v>
      </c>
      <c r="AI119" s="218" t="str">
        <f ca="1">IFERROR(OFFSET(DistanceToCamp[Nearest Town],MATCH(CampList[[#This Row],[CP_Pcode]],DistanceToCamp[CP_Pcode],0)-1,0,1,1),"")</f>
        <v/>
      </c>
      <c r="AJ119" s="336" t="str">
        <f ca="1">IFERROR(OFFSET(DistanceToCamp[distance],MATCH(CampList[[#This Row],[CP_Pcode]],DistanceToCamp[CP_Pcode],0)-1,0,1,1),"")</f>
        <v/>
      </c>
      <c r="AK119" s="337" t="str">
        <f ca="1">IFERROR(INT(CampList[[#This Row],[Distance]]/5)+1,"")</f>
        <v/>
      </c>
      <c r="AL119" s="721"/>
      <c r="AM119" s="721"/>
      <c r="AN119" s="721"/>
      <c r="BD119" s="5"/>
      <c r="BE119" s="5"/>
    </row>
    <row r="120" spans="1:57" s="4" customFormat="1" ht="15.6" hidden="1" customHeight="1" x14ac:dyDescent="0.25">
      <c r="A120" s="550" t="s">
        <v>849</v>
      </c>
      <c r="B120" s="522" t="s">
        <v>380</v>
      </c>
      <c r="C120" s="522" t="s">
        <v>527</v>
      </c>
      <c r="D120" s="522" t="s">
        <v>180</v>
      </c>
      <c r="E120" s="522" t="s">
        <v>528</v>
      </c>
      <c r="F120" s="522" t="s">
        <v>529</v>
      </c>
      <c r="G120" s="520" t="s">
        <v>530</v>
      </c>
      <c r="H120" s="551" t="s">
        <v>605</v>
      </c>
      <c r="I120" s="551" t="s">
        <v>606</v>
      </c>
      <c r="J120" s="551" t="s">
        <v>703</v>
      </c>
      <c r="K120" s="552" t="s">
        <v>704</v>
      </c>
      <c r="L120" s="522" t="s">
        <v>66</v>
      </c>
      <c r="M120" s="522" t="s">
        <v>65</v>
      </c>
      <c r="N120" s="563"/>
      <c r="O120" s="563"/>
      <c r="P120" s="564"/>
      <c r="Q120" s="504">
        <v>0</v>
      </c>
      <c r="R120" s="526">
        <v>0</v>
      </c>
      <c r="S120" s="333" t="str">
        <f>IF(CampList[[#This Row],[HH]]&gt;0,CampList[[#This Row],[Total]]/CampList[[#This Row],[HH]],"NA")</f>
        <v>NA</v>
      </c>
      <c r="T120" s="556" t="s">
        <v>513</v>
      </c>
      <c r="U120" s="557" t="s">
        <v>1204</v>
      </c>
      <c r="V120" s="522" t="s">
        <v>556</v>
      </c>
      <c r="W120" s="557"/>
      <c r="X120" s="565"/>
      <c r="Y120" s="566"/>
      <c r="Z120" s="557"/>
      <c r="AA120" s="510"/>
      <c r="AB120" s="522"/>
      <c r="AC120" s="567"/>
      <c r="AD120" s="518" t="s">
        <v>603</v>
      </c>
      <c r="AE120" s="566" t="s">
        <v>1014</v>
      </c>
      <c r="AF120" s="530">
        <f>IF(CampList[[#This Row],[Type of Accomodation]]="camp",MAX(0,CampList[[#This Row],[HH]]-SUMIF(Table_Shelter[Pcode],CampList[[#This Row],[CP_Pcode]],Table_Shelter[HH Covered])),0)</f>
        <v>0</v>
      </c>
      <c r="AG120" s="520"/>
      <c r="AH120" s="520">
        <f>MIN(CampList[[#This Row],[Shelter Gap]],CampList[[#This Row],[Land Status]])</f>
        <v>0</v>
      </c>
      <c r="AI120" s="520" t="str">
        <f ca="1">IFERROR(OFFSET(DistanceToCamp[Nearest Town],MATCH(CampList[[#This Row],[CP_Pcode]],DistanceToCamp[CP_Pcode],0)-1,0,1,1),"")</f>
        <v/>
      </c>
      <c r="AJ120" s="336" t="str">
        <f ca="1">IFERROR(OFFSET(DistanceToCamp[distance],MATCH(CampList[[#This Row],[CP_Pcode]],DistanceToCamp[CP_Pcode],0)-1,0,1,1),"")</f>
        <v/>
      </c>
      <c r="AK120" s="562" t="str">
        <f ca="1">IFERROR(INT(CampList[[#This Row],[Distance]]/5)+1,"")</f>
        <v/>
      </c>
      <c r="AL120" s="721"/>
      <c r="AM120" s="721"/>
      <c r="AN120" s="721"/>
      <c r="BD120" s="5"/>
      <c r="BE120" s="5"/>
    </row>
    <row r="121" spans="1:57" s="4" customFormat="1" ht="15.6" hidden="1" customHeight="1" x14ac:dyDescent="0.25">
      <c r="A121" s="550" t="s">
        <v>849</v>
      </c>
      <c r="B121" s="522" t="s">
        <v>380</v>
      </c>
      <c r="C121" s="522" t="s">
        <v>527</v>
      </c>
      <c r="D121" s="522" t="s">
        <v>180</v>
      </c>
      <c r="E121" s="522" t="s">
        <v>528</v>
      </c>
      <c r="F121" s="522" t="s">
        <v>529</v>
      </c>
      <c r="G121" s="520" t="s">
        <v>530</v>
      </c>
      <c r="H121" s="551" t="s">
        <v>605</v>
      </c>
      <c r="I121" s="551" t="s">
        <v>606</v>
      </c>
      <c r="J121" s="551" t="s">
        <v>703</v>
      </c>
      <c r="K121" s="552" t="s">
        <v>704</v>
      </c>
      <c r="L121" s="522" t="s">
        <v>80</v>
      </c>
      <c r="M121" s="522" t="s">
        <v>79</v>
      </c>
      <c r="N121" s="563"/>
      <c r="O121" s="563"/>
      <c r="P121" s="564"/>
      <c r="Q121" s="504">
        <v>0</v>
      </c>
      <c r="R121" s="526">
        <v>0</v>
      </c>
      <c r="S121" s="333" t="str">
        <f>IF(CampList[[#This Row],[HH]]&gt;0,CampList[[#This Row],[Total]]/CampList[[#This Row],[HH]],"NA")</f>
        <v>NA</v>
      </c>
      <c r="T121" s="556" t="s">
        <v>513</v>
      </c>
      <c r="U121" s="557" t="s">
        <v>1204</v>
      </c>
      <c r="V121" s="522" t="s">
        <v>556</v>
      </c>
      <c r="W121" s="557"/>
      <c r="X121" s="565"/>
      <c r="Y121" s="566"/>
      <c r="Z121" s="557"/>
      <c r="AA121" s="510"/>
      <c r="AB121" s="522"/>
      <c r="AC121" s="567"/>
      <c r="AD121" s="518" t="s">
        <v>603</v>
      </c>
      <c r="AE121" s="566" t="s">
        <v>1014</v>
      </c>
      <c r="AF121" s="530">
        <f>IF(CampList[[#This Row],[Type of Accomodation]]="camp",MAX(0,CampList[[#This Row],[HH]]-SUMIF(Table_Shelter[Pcode],CampList[[#This Row],[CP_Pcode]],Table_Shelter[HH Covered])),0)</f>
        <v>0</v>
      </c>
      <c r="AG121" s="520"/>
      <c r="AH121" s="520">
        <f>MIN(CampList[[#This Row],[Shelter Gap]],CampList[[#This Row],[Land Status]])</f>
        <v>0</v>
      </c>
      <c r="AI121" s="520" t="str">
        <f ca="1">IFERROR(OFFSET(DistanceToCamp[Nearest Town],MATCH(CampList[[#This Row],[CP_Pcode]],DistanceToCamp[CP_Pcode],0)-1,0,1,1),"")</f>
        <v/>
      </c>
      <c r="AJ121" s="336" t="str">
        <f ca="1">IFERROR(OFFSET(DistanceToCamp[distance],MATCH(CampList[[#This Row],[CP_Pcode]],DistanceToCamp[CP_Pcode],0)-1,0,1,1),"")</f>
        <v/>
      </c>
      <c r="AK121" s="562" t="str">
        <f ca="1">IFERROR(INT(CampList[[#This Row],[Distance]]/5)+1,"")</f>
        <v/>
      </c>
      <c r="AL121" s="721"/>
      <c r="AM121" s="721"/>
      <c r="AN121" s="721"/>
      <c r="BD121" s="5"/>
      <c r="BE121" s="5"/>
    </row>
    <row r="122" spans="1:57" s="4" customFormat="1" ht="15.6" hidden="1" customHeight="1" x14ac:dyDescent="0.25">
      <c r="A122" s="332" t="s">
        <v>849</v>
      </c>
      <c r="B122" s="219" t="s">
        <v>380</v>
      </c>
      <c r="C122" s="522" t="s">
        <v>527</v>
      </c>
      <c r="D122" s="522" t="s">
        <v>180</v>
      </c>
      <c r="E122" s="522" t="s">
        <v>528</v>
      </c>
      <c r="F122" s="522" t="s">
        <v>529</v>
      </c>
      <c r="G122" s="520" t="s">
        <v>530</v>
      </c>
      <c r="H122" s="551" t="s">
        <v>605</v>
      </c>
      <c r="I122" s="551" t="s">
        <v>606</v>
      </c>
      <c r="J122" s="551" t="s">
        <v>703</v>
      </c>
      <c r="K122" s="552" t="s">
        <v>704</v>
      </c>
      <c r="L122" s="522" t="s">
        <v>102</v>
      </c>
      <c r="M122" s="219" t="s">
        <v>101</v>
      </c>
      <c r="N122" s="563"/>
      <c r="O122" s="563"/>
      <c r="P122" s="564"/>
      <c r="Q122" s="104">
        <v>0</v>
      </c>
      <c r="R122" s="232">
        <v>0</v>
      </c>
      <c r="S122" s="333" t="str">
        <f>IF(CampList[[#This Row],[HH]]&gt;0,CampList[[#This Row],[Total]]/CampList[[#This Row],[HH]],"NA")</f>
        <v>NA</v>
      </c>
      <c r="T122" s="556" t="s">
        <v>513</v>
      </c>
      <c r="U122" s="334" t="s">
        <v>1204</v>
      </c>
      <c r="V122" s="219" t="s">
        <v>556</v>
      </c>
      <c r="W122" s="334"/>
      <c r="X122" s="565"/>
      <c r="Y122" s="566"/>
      <c r="Z122" s="557"/>
      <c r="AA122" s="510"/>
      <c r="AB122" s="219"/>
      <c r="AC122" s="567"/>
      <c r="AD122" s="217" t="s">
        <v>603</v>
      </c>
      <c r="AE122" s="566" t="s">
        <v>1014</v>
      </c>
      <c r="AF122" s="233">
        <f>IF(CampList[[#This Row],[Type of Accomodation]]="camp",MAX(0,CampList[[#This Row],[HH]]-SUMIF(Table_Shelter[Pcode],CampList[[#This Row],[CP_Pcode]],Table_Shelter[HH Covered])),0)</f>
        <v>0</v>
      </c>
      <c r="AG122" s="218"/>
      <c r="AH122" s="218">
        <f>MIN(CampList[[#This Row],[Shelter Gap]],CampList[[#This Row],[Land Status]])</f>
        <v>0</v>
      </c>
      <c r="AI122" s="218" t="str">
        <f ca="1">IFERROR(OFFSET(DistanceToCamp[Nearest Town],MATCH(CampList[[#This Row],[CP_Pcode]],DistanceToCamp[CP_Pcode],0)-1,0,1,1),"")</f>
        <v/>
      </c>
      <c r="AJ122" s="336" t="str">
        <f ca="1">IFERROR(OFFSET(DistanceToCamp[distance],MATCH(CampList[[#This Row],[CP_Pcode]],DistanceToCamp[CP_Pcode],0)-1,0,1,1),"")</f>
        <v/>
      </c>
      <c r="AK122" s="337" t="str">
        <f ca="1">IFERROR(INT(CampList[[#This Row],[Distance]]/5)+1,"")</f>
        <v/>
      </c>
      <c r="AL122" s="721"/>
      <c r="AM122" s="721"/>
      <c r="AN122" s="721"/>
      <c r="BD122" s="5"/>
      <c r="BE122" s="5"/>
    </row>
    <row r="123" spans="1:57" s="4" customFormat="1" ht="15.6" hidden="1" customHeight="1" x14ac:dyDescent="0.25">
      <c r="A123" s="550" t="s">
        <v>849</v>
      </c>
      <c r="B123" s="522" t="s">
        <v>380</v>
      </c>
      <c r="C123" s="522" t="s">
        <v>527</v>
      </c>
      <c r="D123" s="522" t="s">
        <v>180</v>
      </c>
      <c r="E123" s="522" t="s">
        <v>528</v>
      </c>
      <c r="F123" s="522" t="s">
        <v>529</v>
      </c>
      <c r="G123" s="520" t="s">
        <v>530</v>
      </c>
      <c r="H123" s="551" t="s">
        <v>605</v>
      </c>
      <c r="I123" s="551" t="s">
        <v>606</v>
      </c>
      <c r="J123" s="551" t="s">
        <v>703</v>
      </c>
      <c r="K123" s="552" t="s">
        <v>704</v>
      </c>
      <c r="L123" s="522" t="s">
        <v>106</v>
      </c>
      <c r="M123" s="522" t="s">
        <v>105</v>
      </c>
      <c r="N123" s="563"/>
      <c r="O123" s="563"/>
      <c r="P123" s="564"/>
      <c r="Q123" s="504">
        <v>0</v>
      </c>
      <c r="R123" s="526">
        <v>0</v>
      </c>
      <c r="S123" s="333" t="str">
        <f>IF(CampList[[#This Row],[HH]]&gt;0,CampList[[#This Row],[Total]]/CampList[[#This Row],[HH]],"NA")</f>
        <v>NA</v>
      </c>
      <c r="T123" s="556" t="s">
        <v>513</v>
      </c>
      <c r="U123" s="557" t="s">
        <v>1204</v>
      </c>
      <c r="V123" s="522" t="s">
        <v>556</v>
      </c>
      <c r="W123" s="557"/>
      <c r="X123" s="565"/>
      <c r="Y123" s="566"/>
      <c r="Z123" s="557"/>
      <c r="AA123" s="510"/>
      <c r="AB123" s="522"/>
      <c r="AC123" s="567"/>
      <c r="AD123" s="518" t="s">
        <v>603</v>
      </c>
      <c r="AE123" s="566" t="s">
        <v>1014</v>
      </c>
      <c r="AF123" s="530">
        <f>IF(CampList[[#This Row],[Type of Accomodation]]="camp",MAX(0,CampList[[#This Row],[HH]]-SUMIF(Table_Shelter[Pcode],CampList[[#This Row],[CP_Pcode]],Table_Shelter[HH Covered])),0)</f>
        <v>0</v>
      </c>
      <c r="AG123" s="520"/>
      <c r="AH123" s="520">
        <f>MIN(CampList[[#This Row],[Shelter Gap]],CampList[[#This Row],[Land Status]])</f>
        <v>0</v>
      </c>
      <c r="AI123" s="520" t="str">
        <f ca="1">IFERROR(OFFSET(DistanceToCamp[Nearest Town],MATCH(CampList[[#This Row],[CP_Pcode]],DistanceToCamp[CP_Pcode],0)-1,0,1,1),"")</f>
        <v/>
      </c>
      <c r="AJ123" s="336" t="str">
        <f ca="1">IFERROR(OFFSET(DistanceToCamp[distance],MATCH(CampList[[#This Row],[CP_Pcode]],DistanceToCamp[CP_Pcode],0)-1,0,1,1),"")</f>
        <v/>
      </c>
      <c r="AK123" s="562" t="str">
        <f ca="1">IFERROR(INT(CampList[[#This Row],[Distance]]/5)+1,"")</f>
        <v/>
      </c>
      <c r="AL123" s="721"/>
      <c r="AM123" s="721"/>
      <c r="AN123" s="721"/>
      <c r="BD123" s="5"/>
      <c r="BE123" s="5"/>
    </row>
    <row r="124" spans="1:57" s="4" customFormat="1" ht="15.6" hidden="1" customHeight="1" x14ac:dyDescent="0.25">
      <c r="A124" s="550" t="s">
        <v>849</v>
      </c>
      <c r="B124" s="522" t="s">
        <v>380</v>
      </c>
      <c r="C124" s="522" t="s">
        <v>527</v>
      </c>
      <c r="D124" s="522" t="s">
        <v>180</v>
      </c>
      <c r="E124" s="522" t="s">
        <v>528</v>
      </c>
      <c r="F124" s="522" t="s">
        <v>529</v>
      </c>
      <c r="G124" s="520" t="s">
        <v>530</v>
      </c>
      <c r="H124" s="551" t="s">
        <v>605</v>
      </c>
      <c r="I124" s="551" t="s">
        <v>606</v>
      </c>
      <c r="J124" s="551" t="s">
        <v>703</v>
      </c>
      <c r="K124" s="552" t="s">
        <v>704</v>
      </c>
      <c r="L124" s="522" t="s">
        <v>116</v>
      </c>
      <c r="M124" s="522" t="s">
        <v>115</v>
      </c>
      <c r="N124" s="563"/>
      <c r="O124" s="563"/>
      <c r="P124" s="564"/>
      <c r="Q124" s="504">
        <v>0</v>
      </c>
      <c r="R124" s="526">
        <v>0</v>
      </c>
      <c r="S124" s="333" t="str">
        <f>IF(CampList[[#This Row],[HH]]&gt;0,CampList[[#This Row],[Total]]/CampList[[#This Row],[HH]],"NA")</f>
        <v>NA</v>
      </c>
      <c r="T124" s="556" t="s">
        <v>513</v>
      </c>
      <c r="U124" s="557" t="s">
        <v>1204</v>
      </c>
      <c r="V124" s="522" t="s">
        <v>556</v>
      </c>
      <c r="W124" s="557"/>
      <c r="X124" s="565"/>
      <c r="Y124" s="566"/>
      <c r="Z124" s="557"/>
      <c r="AA124" s="510"/>
      <c r="AB124" s="522"/>
      <c r="AC124" s="567"/>
      <c r="AD124" s="518" t="s">
        <v>603</v>
      </c>
      <c r="AE124" s="566" t="s">
        <v>1014</v>
      </c>
      <c r="AF124" s="530">
        <f>IF(CampList[[#This Row],[Type of Accomodation]]="camp",MAX(0,CampList[[#This Row],[HH]]-SUMIF(Table_Shelter[Pcode],CampList[[#This Row],[CP_Pcode]],Table_Shelter[HH Covered])),0)</f>
        <v>0</v>
      </c>
      <c r="AG124" s="520"/>
      <c r="AH124" s="520">
        <f>MIN(CampList[[#This Row],[Shelter Gap]],CampList[[#This Row],[Land Status]])</f>
        <v>0</v>
      </c>
      <c r="AI124" s="520" t="str">
        <f ca="1">IFERROR(OFFSET(DistanceToCamp[Nearest Town],MATCH(CampList[[#This Row],[CP_Pcode]],DistanceToCamp[CP_Pcode],0)-1,0,1,1),"")</f>
        <v/>
      </c>
      <c r="AJ124" s="336" t="str">
        <f ca="1">IFERROR(OFFSET(DistanceToCamp[distance],MATCH(CampList[[#This Row],[CP_Pcode]],DistanceToCamp[CP_Pcode],0)-1,0,1,1),"")</f>
        <v/>
      </c>
      <c r="AK124" s="562" t="str">
        <f ca="1">IFERROR(INT(CampList[[#This Row],[Distance]]/5)+1,"")</f>
        <v/>
      </c>
      <c r="AL124" s="721"/>
      <c r="AM124" s="721"/>
      <c r="AN124" s="721"/>
      <c r="BD124" s="5"/>
      <c r="BE124" s="5"/>
    </row>
    <row r="125" spans="1:57" s="4" customFormat="1" ht="15.6" hidden="1" customHeight="1" x14ac:dyDescent="0.25">
      <c r="A125" s="550" t="s">
        <v>849</v>
      </c>
      <c r="B125" s="522" t="s">
        <v>380</v>
      </c>
      <c r="C125" s="522" t="s">
        <v>527</v>
      </c>
      <c r="D125" s="522" t="s">
        <v>180</v>
      </c>
      <c r="E125" s="522" t="s">
        <v>528</v>
      </c>
      <c r="F125" s="522" t="s">
        <v>529</v>
      </c>
      <c r="G125" s="520" t="s">
        <v>530</v>
      </c>
      <c r="H125" s="551" t="s">
        <v>605</v>
      </c>
      <c r="I125" s="551" t="s">
        <v>606</v>
      </c>
      <c r="J125" s="551" t="s">
        <v>703</v>
      </c>
      <c r="K125" s="552" t="s">
        <v>704</v>
      </c>
      <c r="L125" s="522" t="s">
        <v>130</v>
      </c>
      <c r="M125" s="522" t="s">
        <v>129</v>
      </c>
      <c r="N125" s="563"/>
      <c r="O125" s="563"/>
      <c r="P125" s="564"/>
      <c r="Q125" s="504">
        <v>0</v>
      </c>
      <c r="R125" s="526">
        <v>0</v>
      </c>
      <c r="S125" s="333" t="str">
        <f>IF(CampList[[#This Row],[HH]]&gt;0,CampList[[#This Row],[Total]]/CampList[[#This Row],[HH]],"NA")</f>
        <v>NA</v>
      </c>
      <c r="T125" s="556" t="s">
        <v>513</v>
      </c>
      <c r="U125" s="557" t="s">
        <v>1204</v>
      </c>
      <c r="V125" s="522" t="s">
        <v>556</v>
      </c>
      <c r="W125" s="557"/>
      <c r="X125" s="565"/>
      <c r="Y125" s="566"/>
      <c r="Z125" s="557"/>
      <c r="AA125" s="510"/>
      <c r="AB125" s="522"/>
      <c r="AC125" s="567"/>
      <c r="AD125" s="518" t="s">
        <v>603</v>
      </c>
      <c r="AE125" s="566" t="s">
        <v>1014</v>
      </c>
      <c r="AF125" s="530">
        <f>IF(CampList[[#This Row],[Type of Accomodation]]="camp",MAX(0,CampList[[#This Row],[HH]]-SUMIF(Table_Shelter[Pcode],CampList[[#This Row],[CP_Pcode]],Table_Shelter[HH Covered])),0)</f>
        <v>0</v>
      </c>
      <c r="AG125" s="520"/>
      <c r="AH125" s="520">
        <f>MIN(CampList[[#This Row],[Shelter Gap]],CampList[[#This Row],[Land Status]])</f>
        <v>0</v>
      </c>
      <c r="AI125" s="520" t="str">
        <f ca="1">IFERROR(OFFSET(DistanceToCamp[Nearest Town],MATCH(CampList[[#This Row],[CP_Pcode]],DistanceToCamp[CP_Pcode],0)-1,0,1,1),"")</f>
        <v/>
      </c>
      <c r="AJ125" s="336" t="str">
        <f ca="1">IFERROR(OFFSET(DistanceToCamp[distance],MATCH(CampList[[#This Row],[CP_Pcode]],DistanceToCamp[CP_Pcode],0)-1,0,1,1),"")</f>
        <v/>
      </c>
      <c r="AK125" s="562" t="str">
        <f ca="1">IFERROR(INT(CampList[[#This Row],[Distance]]/5)+1,"")</f>
        <v/>
      </c>
      <c r="AL125" s="721"/>
      <c r="AM125" s="721"/>
      <c r="AN125" s="721"/>
      <c r="BD125" s="5"/>
      <c r="BE125" s="5"/>
    </row>
    <row r="126" spans="1:57" s="4" customFormat="1" ht="15.6" hidden="1" customHeight="1" x14ac:dyDescent="0.25">
      <c r="A126" s="550" t="s">
        <v>849</v>
      </c>
      <c r="B126" s="522" t="s">
        <v>380</v>
      </c>
      <c r="C126" s="522" t="s">
        <v>527</v>
      </c>
      <c r="D126" s="522" t="s">
        <v>180</v>
      </c>
      <c r="E126" s="522" t="s">
        <v>528</v>
      </c>
      <c r="F126" s="522" t="s">
        <v>529</v>
      </c>
      <c r="G126" s="520" t="s">
        <v>530</v>
      </c>
      <c r="H126" s="551" t="s">
        <v>605</v>
      </c>
      <c r="I126" s="551" t="s">
        <v>606</v>
      </c>
      <c r="J126" s="551" t="s">
        <v>703</v>
      </c>
      <c r="K126" s="552" t="s">
        <v>704</v>
      </c>
      <c r="L126" s="522" t="s">
        <v>138</v>
      </c>
      <c r="M126" s="522" t="s">
        <v>137</v>
      </c>
      <c r="N126" s="563"/>
      <c r="O126" s="563"/>
      <c r="P126" s="564"/>
      <c r="Q126" s="504">
        <v>0</v>
      </c>
      <c r="R126" s="526">
        <v>0</v>
      </c>
      <c r="S126" s="555" t="str">
        <f>IF(CampList[[#This Row],[HH]]&gt;0,CampList[[#This Row],[Total]]/CampList[[#This Row],[HH]],"NA")</f>
        <v>NA</v>
      </c>
      <c r="T126" s="556" t="s">
        <v>513</v>
      </c>
      <c r="U126" s="557" t="s">
        <v>1204</v>
      </c>
      <c r="V126" s="522" t="s">
        <v>556</v>
      </c>
      <c r="W126" s="557"/>
      <c r="X126" s="565"/>
      <c r="Y126" s="566"/>
      <c r="Z126" s="557"/>
      <c r="AA126" s="510"/>
      <c r="AB126" s="522"/>
      <c r="AC126" s="567"/>
      <c r="AD126" s="518" t="s">
        <v>603</v>
      </c>
      <c r="AE126" s="566" t="s">
        <v>1014</v>
      </c>
      <c r="AF126" s="530">
        <f>IF(CampList[[#This Row],[Type of Accomodation]]="camp",MAX(0,CampList[[#This Row],[HH]]-SUMIF(Table_Shelter[Pcode],CampList[[#This Row],[CP_Pcode]],Table_Shelter[HH Covered])),0)</f>
        <v>0</v>
      </c>
      <c r="AG126" s="520"/>
      <c r="AH126" s="520">
        <f>MIN(CampList[[#This Row],[Shelter Gap]],CampList[[#This Row],[Land Status]])</f>
        <v>0</v>
      </c>
      <c r="AI126" s="520" t="str">
        <f ca="1">IFERROR(OFFSET(DistanceToCamp[Nearest Town],MATCH(CampList[[#This Row],[CP_Pcode]],DistanceToCamp[CP_Pcode],0)-1,0,1,1),"")</f>
        <v/>
      </c>
      <c r="AJ126" s="561" t="str">
        <f ca="1">IFERROR(OFFSET(DistanceToCamp[distance],MATCH(CampList[[#This Row],[CP_Pcode]],DistanceToCamp[CP_Pcode],0)-1,0,1,1),"")</f>
        <v/>
      </c>
      <c r="AK126" s="562" t="str">
        <f ca="1">IFERROR(INT(CampList[[#This Row],[Distance]]/5)+1,"")</f>
        <v/>
      </c>
      <c r="AL126" s="721"/>
      <c r="AM126" s="721"/>
      <c r="AN126" s="721"/>
      <c r="BD126" s="5"/>
      <c r="BE126" s="5"/>
    </row>
    <row r="127" spans="1:57" s="4" customFormat="1" ht="15.6" customHeight="1" x14ac:dyDescent="0.25">
      <c r="A127" s="550" t="s">
        <v>502</v>
      </c>
      <c r="B127" s="522" t="s">
        <v>380</v>
      </c>
      <c r="C127" s="522" t="s">
        <v>527</v>
      </c>
      <c r="D127" s="522" t="s">
        <v>237</v>
      </c>
      <c r="E127" s="522" t="s">
        <v>533</v>
      </c>
      <c r="F127" s="522" t="s">
        <v>237</v>
      </c>
      <c r="G127" s="520" t="s">
        <v>537</v>
      </c>
      <c r="H127" s="551" t="s">
        <v>650</v>
      </c>
      <c r="I127" s="551" t="s">
        <v>651</v>
      </c>
      <c r="J127" s="551" t="s">
        <v>650</v>
      </c>
      <c r="K127" s="552">
        <v>165698</v>
      </c>
      <c r="L127" s="522" t="s">
        <v>263</v>
      </c>
      <c r="M127" s="522" t="s">
        <v>262</v>
      </c>
      <c r="N127" s="553">
        <v>97.2843958974359</v>
      </c>
      <c r="O127" s="553">
        <v>25.374343974359</v>
      </c>
      <c r="P127" s="554">
        <v>0</v>
      </c>
      <c r="Q127" s="504">
        <v>22</v>
      </c>
      <c r="R127" s="526">
        <v>104</v>
      </c>
      <c r="S127" s="555">
        <f>IF(CampList[[#This Row],[HH]]&gt;0,CampList[[#This Row],[Total]]/CampList[[#This Row],[HH]],"NA")</f>
        <v>4.7272727272727275</v>
      </c>
      <c r="T127" s="576" t="s">
        <v>513</v>
      </c>
      <c r="U127" s="557" t="s">
        <v>1204</v>
      </c>
      <c r="V127" s="522" t="s">
        <v>556</v>
      </c>
      <c r="W127" s="557" t="s">
        <v>862</v>
      </c>
      <c r="X127" s="558">
        <v>40817</v>
      </c>
      <c r="Y127" s="559">
        <v>1</v>
      </c>
      <c r="Z127" s="558" t="s">
        <v>507</v>
      </c>
      <c r="AA127" s="516" t="s">
        <v>848</v>
      </c>
      <c r="AB127" s="522"/>
      <c r="AC127" s="574">
        <v>42387</v>
      </c>
      <c r="AD127" s="518" t="s">
        <v>1404</v>
      </c>
      <c r="AE127" s="559" t="s">
        <v>1100</v>
      </c>
      <c r="AF127" s="530">
        <f>IF(CampList[[#This Row],[Type of Accomodation]]="camp",MAX(0,CampList[[#This Row],[HH]]-SUMIF(Table_Shelter[Pcode],CampList[[#This Row],[CP_Pcode]],Table_Shelter[HH Covered])),0)</f>
        <v>0</v>
      </c>
      <c r="AG127" s="520"/>
      <c r="AH127" s="520">
        <f>MIN(CampList[[#This Row],[Shelter Gap]],CampList[[#This Row],[Land Status]])</f>
        <v>0</v>
      </c>
      <c r="AI127" s="520" t="str">
        <f ca="1">IFERROR(OFFSET(DistanceToCamp[Nearest Town],MATCH(CampList[[#This Row],[CP_Pcode]],DistanceToCamp[CP_Pcode],0)-1,0,1,1),"")</f>
        <v>Myitkyina Town</v>
      </c>
      <c r="AJ127" s="561">
        <f ca="1">IFERROR(OFFSET(DistanceToCamp[distance],MATCH(CampList[[#This Row],[CP_Pcode]],DistanceToCamp[CP_Pcode],0)-1,0,1,1),"")</f>
        <v>10.744749696609457</v>
      </c>
      <c r="AK127" s="562">
        <f ca="1">IFERROR(INT(CampList[[#This Row],[Distance]]/5)+1,"")</f>
        <v>3</v>
      </c>
      <c r="AL127" s="721"/>
      <c r="AM127" s="721"/>
      <c r="AN127" s="721"/>
      <c r="BD127" s="5"/>
      <c r="BE127" s="5"/>
    </row>
    <row r="128" spans="1:57" s="4" customFormat="1" ht="15.6" customHeight="1" x14ac:dyDescent="0.25">
      <c r="A128" s="550" t="s">
        <v>502</v>
      </c>
      <c r="B128" s="522" t="s">
        <v>380</v>
      </c>
      <c r="C128" s="522" t="s">
        <v>527</v>
      </c>
      <c r="D128" s="522" t="s">
        <v>237</v>
      </c>
      <c r="E128" s="522" t="s">
        <v>533</v>
      </c>
      <c r="F128" s="522" t="s">
        <v>237</v>
      </c>
      <c r="G128" s="520" t="s">
        <v>537</v>
      </c>
      <c r="H128" s="551" t="s">
        <v>650</v>
      </c>
      <c r="I128" s="551" t="s">
        <v>651</v>
      </c>
      <c r="J128" s="551" t="s">
        <v>650</v>
      </c>
      <c r="K128" s="552">
        <v>165698</v>
      </c>
      <c r="L128" s="522" t="s">
        <v>265</v>
      </c>
      <c r="M128" s="522" t="s">
        <v>264</v>
      </c>
      <c r="N128" s="553">
        <v>97.290952037037002</v>
      </c>
      <c r="O128" s="553">
        <v>25.371049444444399</v>
      </c>
      <c r="P128" s="554">
        <v>476</v>
      </c>
      <c r="Q128" s="504">
        <v>14</v>
      </c>
      <c r="R128" s="526">
        <v>73</v>
      </c>
      <c r="S128" s="333">
        <f>IF(CampList[[#This Row],[HH]]&gt;0,CampList[[#This Row],[Total]]/CampList[[#This Row],[HH]],"NA")</f>
        <v>5.2142857142857144</v>
      </c>
      <c r="T128" s="576" t="s">
        <v>513</v>
      </c>
      <c r="U128" s="557" t="s">
        <v>1204</v>
      </c>
      <c r="V128" s="522" t="s">
        <v>556</v>
      </c>
      <c r="W128" s="557" t="s">
        <v>862</v>
      </c>
      <c r="X128" s="558">
        <v>40817</v>
      </c>
      <c r="Y128" s="559">
        <v>1</v>
      </c>
      <c r="Z128" s="558" t="s">
        <v>507</v>
      </c>
      <c r="AA128" s="516" t="s">
        <v>848</v>
      </c>
      <c r="AB128" s="522"/>
      <c r="AC128" s="574">
        <v>42387</v>
      </c>
      <c r="AD128" s="518" t="s">
        <v>1405</v>
      </c>
      <c r="AE128" s="559" t="s">
        <v>1100</v>
      </c>
      <c r="AF128" s="530">
        <f>IF(CampList[[#This Row],[Type of Accomodation]]="camp",MAX(0,CampList[[#This Row],[HH]]-SUMIF(Table_Shelter[Pcode],CampList[[#This Row],[CP_Pcode]],Table_Shelter[HH Covered])),0)</f>
        <v>0</v>
      </c>
      <c r="AG128" s="520"/>
      <c r="AH128" s="520">
        <f>MIN(CampList[[#This Row],[Shelter Gap]],CampList[[#This Row],[Land Status]])</f>
        <v>0</v>
      </c>
      <c r="AI128" s="520" t="str">
        <f ca="1">IFERROR(OFFSET(DistanceToCamp[Nearest Town],MATCH(CampList[[#This Row],[CP_Pcode]],DistanceToCamp[CP_Pcode],0)-1,0,1,1),"")</f>
        <v>Myitkyina Town</v>
      </c>
      <c r="AJ128" s="336">
        <f ca="1">IFERROR(OFFSET(DistanceToCamp[distance],MATCH(CampList[[#This Row],[CP_Pcode]],DistanceToCamp[CP_Pcode],0)-1,0,1,1),"")</f>
        <v>10.15228229456989</v>
      </c>
      <c r="AK128" s="562">
        <f ca="1">IFERROR(INT(CampList[[#This Row],[Distance]]/5)+1,"")</f>
        <v>3</v>
      </c>
      <c r="AL128" s="721"/>
      <c r="AM128" s="721"/>
      <c r="AN128" s="721"/>
      <c r="BD128" s="5"/>
      <c r="BE128" s="5"/>
    </row>
    <row r="129" spans="1:57" s="4" customFormat="1" ht="15.6" hidden="1" customHeight="1" x14ac:dyDescent="0.25">
      <c r="A129" s="550" t="s">
        <v>849</v>
      </c>
      <c r="B129" s="522" t="s">
        <v>380</v>
      </c>
      <c r="C129" s="522" t="s">
        <v>527</v>
      </c>
      <c r="D129" s="522" t="s">
        <v>180</v>
      </c>
      <c r="E129" s="522" t="s">
        <v>528</v>
      </c>
      <c r="F129" s="522" t="s">
        <v>529</v>
      </c>
      <c r="G129" s="520" t="s">
        <v>530</v>
      </c>
      <c r="H129" s="520"/>
      <c r="I129" s="522"/>
      <c r="J129" s="522"/>
      <c r="K129" s="568"/>
      <c r="L129" s="522" t="s">
        <v>136</v>
      </c>
      <c r="M129" s="522" t="s">
        <v>135</v>
      </c>
      <c r="N129" s="553">
        <v>96.343350000000001</v>
      </c>
      <c r="O129" s="553">
        <v>25.6447</v>
      </c>
      <c r="P129" s="564"/>
      <c r="Q129" s="504">
        <v>0</v>
      </c>
      <c r="R129" s="526">
        <v>0</v>
      </c>
      <c r="S129" s="333" t="str">
        <f>IF(CampList[[#This Row],[HH]]&gt;0,CampList[[#This Row],[Total]]/CampList[[#This Row],[HH]],"NA")</f>
        <v>NA</v>
      </c>
      <c r="T129" s="556" t="s">
        <v>513</v>
      </c>
      <c r="U129" s="557" t="s">
        <v>1204</v>
      </c>
      <c r="V129" s="522" t="s">
        <v>556</v>
      </c>
      <c r="W129" s="557"/>
      <c r="X129" s="565"/>
      <c r="Y129" s="566"/>
      <c r="Z129" s="557"/>
      <c r="AA129" s="507"/>
      <c r="AB129" s="522"/>
      <c r="AC129" s="567"/>
      <c r="AD129" s="518" t="s">
        <v>603</v>
      </c>
      <c r="AE129" s="566" t="s">
        <v>1014</v>
      </c>
      <c r="AF129" s="530">
        <f>IF(CampList[[#This Row],[Type of Accomodation]]="camp",MAX(0,CampList[[#This Row],[HH]]-SUMIF(Table_Shelter[Pcode],CampList[[#This Row],[CP_Pcode]],Table_Shelter[HH Covered])),0)</f>
        <v>0</v>
      </c>
      <c r="AG129" s="520"/>
      <c r="AH129" s="520">
        <f>MIN(CampList[[#This Row],[Shelter Gap]],CampList[[#This Row],[Land Status]])</f>
        <v>0</v>
      </c>
      <c r="AI129" s="520" t="str">
        <f ca="1">IFERROR(OFFSET(DistanceToCamp[Nearest Town],MATCH(CampList[[#This Row],[CP_Pcode]],DistanceToCamp[CP_Pcode],0)-1,0,1,1),"")</f>
        <v/>
      </c>
      <c r="AJ129" s="336" t="str">
        <f ca="1">IFERROR(OFFSET(DistanceToCamp[distance],MATCH(CampList[[#This Row],[CP_Pcode]],DistanceToCamp[CP_Pcode],0)-1,0,1,1),"")</f>
        <v/>
      </c>
      <c r="AK129" s="562" t="str">
        <f ca="1">IFERROR(INT(CampList[[#This Row],[Distance]]/5)+1,"")</f>
        <v/>
      </c>
      <c r="AL129" s="721"/>
      <c r="AM129" s="721"/>
      <c r="AN129" s="721"/>
      <c r="BD129" s="5"/>
      <c r="BE129" s="5"/>
    </row>
    <row r="130" spans="1:57" s="4" customFormat="1" ht="15.6" hidden="1" customHeight="1" x14ac:dyDescent="0.25">
      <c r="A130" s="550" t="s">
        <v>849</v>
      </c>
      <c r="B130" s="522" t="s">
        <v>380</v>
      </c>
      <c r="C130" s="522" t="s">
        <v>527</v>
      </c>
      <c r="D130" s="522" t="s">
        <v>180</v>
      </c>
      <c r="E130" s="522" t="s">
        <v>528</v>
      </c>
      <c r="F130" s="522" t="s">
        <v>529</v>
      </c>
      <c r="G130" s="520" t="s">
        <v>530</v>
      </c>
      <c r="H130" s="551" t="s">
        <v>605</v>
      </c>
      <c r="I130" s="551" t="s">
        <v>606</v>
      </c>
      <c r="J130" s="551" t="s">
        <v>609</v>
      </c>
      <c r="K130" s="552" t="s">
        <v>610</v>
      </c>
      <c r="L130" s="522" t="s">
        <v>68</v>
      </c>
      <c r="M130" s="522" t="s">
        <v>67</v>
      </c>
      <c r="N130" s="563"/>
      <c r="O130" s="563"/>
      <c r="P130" s="564"/>
      <c r="Q130" s="504">
        <v>0</v>
      </c>
      <c r="R130" s="526">
        <v>0</v>
      </c>
      <c r="S130" s="333" t="str">
        <f>IF(CampList[[#This Row],[HH]]&gt;0,CampList[[#This Row],[Total]]/CampList[[#This Row],[HH]],"NA")</f>
        <v>NA</v>
      </c>
      <c r="T130" s="556" t="s">
        <v>513</v>
      </c>
      <c r="U130" s="557" t="s">
        <v>1204</v>
      </c>
      <c r="V130" s="522" t="s">
        <v>556</v>
      </c>
      <c r="W130" s="557"/>
      <c r="X130" s="565"/>
      <c r="Y130" s="566"/>
      <c r="Z130" s="557"/>
      <c r="AA130" s="510"/>
      <c r="AB130" s="522"/>
      <c r="AC130" s="567"/>
      <c r="AD130" s="518" t="s">
        <v>603</v>
      </c>
      <c r="AE130" s="566" t="s">
        <v>1014</v>
      </c>
      <c r="AF130" s="530">
        <f>IF(CampList[[#This Row],[Type of Accomodation]]="camp",MAX(0,CampList[[#This Row],[HH]]-SUMIF(Table_Shelter[Pcode],CampList[[#This Row],[CP_Pcode]],Table_Shelter[HH Covered])),0)</f>
        <v>0</v>
      </c>
      <c r="AG130" s="520"/>
      <c r="AH130" s="520">
        <f>MIN(CampList[[#This Row],[Shelter Gap]],CampList[[#This Row],[Land Status]])</f>
        <v>0</v>
      </c>
      <c r="AI130" s="520" t="str">
        <f ca="1">IFERROR(OFFSET(DistanceToCamp[Nearest Town],MATCH(CampList[[#This Row],[CP_Pcode]],DistanceToCamp[CP_Pcode],0)-1,0,1,1),"")</f>
        <v/>
      </c>
      <c r="AJ130" s="336" t="str">
        <f ca="1">IFERROR(OFFSET(DistanceToCamp[distance],MATCH(CampList[[#This Row],[CP_Pcode]],DistanceToCamp[CP_Pcode],0)-1,0,1,1),"")</f>
        <v/>
      </c>
      <c r="AK130" s="562" t="str">
        <f ca="1">IFERROR(INT(CampList[[#This Row],[Distance]]/5)+1,"")</f>
        <v/>
      </c>
      <c r="AL130" s="721"/>
      <c r="AM130" s="721"/>
      <c r="AN130" s="721"/>
      <c r="BD130" s="5"/>
      <c r="BE130" s="5"/>
    </row>
    <row r="131" spans="1:57" s="4" customFormat="1" ht="15.6" hidden="1" customHeight="1" x14ac:dyDescent="0.25">
      <c r="A131" s="550" t="s">
        <v>849</v>
      </c>
      <c r="B131" s="522" t="s">
        <v>380</v>
      </c>
      <c r="C131" s="522" t="s">
        <v>527</v>
      </c>
      <c r="D131" s="522" t="s">
        <v>180</v>
      </c>
      <c r="E131" s="522" t="s">
        <v>528</v>
      </c>
      <c r="F131" s="522" t="s">
        <v>529</v>
      </c>
      <c r="G131" s="520" t="s">
        <v>530</v>
      </c>
      <c r="H131" s="551" t="s">
        <v>605</v>
      </c>
      <c r="I131" s="551" t="s">
        <v>606</v>
      </c>
      <c r="J131" s="551" t="s">
        <v>609</v>
      </c>
      <c r="K131" s="552" t="s">
        <v>610</v>
      </c>
      <c r="L131" s="522" t="s">
        <v>84</v>
      </c>
      <c r="M131" s="522" t="s">
        <v>83</v>
      </c>
      <c r="N131" s="553">
        <v>96.316210999999996</v>
      </c>
      <c r="O131" s="553">
        <v>25.619221</v>
      </c>
      <c r="P131" s="564"/>
      <c r="Q131" s="504">
        <v>0</v>
      </c>
      <c r="R131" s="526">
        <v>0</v>
      </c>
      <c r="S131" s="333" t="str">
        <f>IF(CampList[[#This Row],[HH]]&gt;0,CampList[[#This Row],[Total]]/CampList[[#This Row],[HH]],"NA")</f>
        <v>NA</v>
      </c>
      <c r="T131" s="556" t="s">
        <v>513</v>
      </c>
      <c r="U131" s="557" t="s">
        <v>1204</v>
      </c>
      <c r="V131" s="522" t="s">
        <v>556</v>
      </c>
      <c r="W131" s="557"/>
      <c r="X131" s="565"/>
      <c r="Y131" s="566"/>
      <c r="Z131" s="557"/>
      <c r="AA131" s="510"/>
      <c r="AB131" s="522"/>
      <c r="AC131" s="567"/>
      <c r="AD131" s="518" t="s">
        <v>603</v>
      </c>
      <c r="AE131" s="566" t="s">
        <v>1014</v>
      </c>
      <c r="AF131" s="530">
        <f>IF(CampList[[#This Row],[Type of Accomodation]]="camp",MAX(0,CampList[[#This Row],[HH]]-SUMIF(Table_Shelter[Pcode],CampList[[#This Row],[CP_Pcode]],Table_Shelter[HH Covered])),0)</f>
        <v>0</v>
      </c>
      <c r="AG131" s="520"/>
      <c r="AH131" s="520">
        <f>MIN(CampList[[#This Row],[Shelter Gap]],CampList[[#This Row],[Land Status]])</f>
        <v>0</v>
      </c>
      <c r="AI131" s="520" t="str">
        <f ca="1">IFERROR(OFFSET(DistanceToCamp[Nearest Town],MATCH(CampList[[#This Row],[CP_Pcode]],DistanceToCamp[CP_Pcode],0)-1,0,1,1),"")</f>
        <v/>
      </c>
      <c r="AJ131" s="336" t="str">
        <f ca="1">IFERROR(OFFSET(DistanceToCamp[distance],MATCH(CampList[[#This Row],[CP_Pcode]],DistanceToCamp[CP_Pcode],0)-1,0,1,1),"")</f>
        <v/>
      </c>
      <c r="AK131" s="562" t="str">
        <f ca="1">IFERROR(INT(CampList[[#This Row],[Distance]]/5)+1,"")</f>
        <v/>
      </c>
      <c r="AL131" s="721"/>
      <c r="AM131" s="721"/>
      <c r="AN131" s="721"/>
      <c r="BD131" s="5"/>
      <c r="BE131" s="5"/>
    </row>
    <row r="132" spans="1:57" s="4" customFormat="1" ht="15.6" hidden="1" customHeight="1" x14ac:dyDescent="0.25">
      <c r="A132" s="550" t="s">
        <v>849</v>
      </c>
      <c r="B132" s="522" t="s">
        <v>380</v>
      </c>
      <c r="C132" s="522" t="s">
        <v>527</v>
      </c>
      <c r="D132" s="522" t="s">
        <v>180</v>
      </c>
      <c r="E132" s="522" t="s">
        <v>528</v>
      </c>
      <c r="F132" s="522" t="s">
        <v>529</v>
      </c>
      <c r="G132" s="520" t="s">
        <v>530</v>
      </c>
      <c r="H132" s="551" t="s">
        <v>605</v>
      </c>
      <c r="I132" s="551" t="s">
        <v>606</v>
      </c>
      <c r="J132" s="551" t="s">
        <v>609</v>
      </c>
      <c r="K132" s="552" t="s">
        <v>610</v>
      </c>
      <c r="L132" s="522" t="s">
        <v>86</v>
      </c>
      <c r="M132" s="522" t="s">
        <v>85</v>
      </c>
      <c r="N132" s="563"/>
      <c r="O132" s="563"/>
      <c r="P132" s="564"/>
      <c r="Q132" s="504">
        <v>0</v>
      </c>
      <c r="R132" s="526">
        <v>0</v>
      </c>
      <c r="S132" s="333" t="str">
        <f>IF(CampList[[#This Row],[HH]]&gt;0,CampList[[#This Row],[Total]]/CampList[[#This Row],[HH]],"NA")</f>
        <v>NA</v>
      </c>
      <c r="T132" s="556" t="s">
        <v>513</v>
      </c>
      <c r="U132" s="557" t="s">
        <v>1204</v>
      </c>
      <c r="V132" s="522" t="s">
        <v>556</v>
      </c>
      <c r="W132" s="557"/>
      <c r="X132" s="565"/>
      <c r="Y132" s="566"/>
      <c r="Z132" s="557"/>
      <c r="AA132" s="510"/>
      <c r="AB132" s="522"/>
      <c r="AC132" s="567"/>
      <c r="AD132" s="518" t="s">
        <v>603</v>
      </c>
      <c r="AE132" s="566" t="s">
        <v>1014</v>
      </c>
      <c r="AF132" s="530">
        <f>IF(CampList[[#This Row],[Type of Accomodation]]="camp",MAX(0,CampList[[#This Row],[HH]]-SUMIF(Table_Shelter[Pcode],CampList[[#This Row],[CP_Pcode]],Table_Shelter[HH Covered])),0)</f>
        <v>0</v>
      </c>
      <c r="AG132" s="520"/>
      <c r="AH132" s="520">
        <f>MIN(CampList[[#This Row],[Shelter Gap]],CampList[[#This Row],[Land Status]])</f>
        <v>0</v>
      </c>
      <c r="AI132" s="520" t="str">
        <f ca="1">IFERROR(OFFSET(DistanceToCamp[Nearest Town],MATCH(CampList[[#This Row],[CP_Pcode]],DistanceToCamp[CP_Pcode],0)-1,0,1,1),"")</f>
        <v/>
      </c>
      <c r="AJ132" s="336" t="str">
        <f ca="1">IFERROR(OFFSET(DistanceToCamp[distance],MATCH(CampList[[#This Row],[CP_Pcode]],DistanceToCamp[CP_Pcode],0)-1,0,1,1),"")</f>
        <v/>
      </c>
      <c r="AK132" s="562" t="str">
        <f ca="1">IFERROR(INT(CampList[[#This Row],[Distance]]/5)+1,"")</f>
        <v/>
      </c>
      <c r="AL132" s="721"/>
      <c r="AM132" s="721"/>
      <c r="AN132" s="721"/>
      <c r="BD132" s="5"/>
      <c r="BE132" s="5"/>
    </row>
    <row r="133" spans="1:57" s="4" customFormat="1" ht="15.6" customHeight="1" x14ac:dyDescent="0.25">
      <c r="A133" s="332" t="s">
        <v>502</v>
      </c>
      <c r="B133" s="522" t="s">
        <v>380</v>
      </c>
      <c r="C133" s="522" t="s">
        <v>527</v>
      </c>
      <c r="D133" s="522" t="s">
        <v>180</v>
      </c>
      <c r="E133" s="522" t="s">
        <v>528</v>
      </c>
      <c r="F133" s="522" t="s">
        <v>529</v>
      </c>
      <c r="G133" s="218" t="s">
        <v>530</v>
      </c>
      <c r="H133" s="551" t="s">
        <v>605</v>
      </c>
      <c r="I133" s="551" t="s">
        <v>606</v>
      </c>
      <c r="J133" s="551" t="s">
        <v>609</v>
      </c>
      <c r="K133" s="552" t="s">
        <v>610</v>
      </c>
      <c r="L133" s="522" t="s">
        <v>100</v>
      </c>
      <c r="M133" s="522" t="s">
        <v>99</v>
      </c>
      <c r="N133" s="553">
        <v>96.319829999999996</v>
      </c>
      <c r="O133" s="553">
        <v>25.6145</v>
      </c>
      <c r="P133" s="554">
        <v>65</v>
      </c>
      <c r="Q133" s="504">
        <v>5</v>
      </c>
      <c r="R133" s="526">
        <v>26</v>
      </c>
      <c r="S133" s="333">
        <f>IF(CampList[[#This Row],[HH]]&gt;0,CampList[[#This Row],[Total]]/CampList[[#This Row],[HH]],"NA")</f>
        <v>5.2</v>
      </c>
      <c r="T133" s="576" t="s">
        <v>513</v>
      </c>
      <c r="U133" s="334" t="s">
        <v>1204</v>
      </c>
      <c r="V133" s="522" t="s">
        <v>556</v>
      </c>
      <c r="W133" s="557" t="s">
        <v>808</v>
      </c>
      <c r="X133" s="558">
        <v>41122</v>
      </c>
      <c r="Y133" s="559">
        <v>1</v>
      </c>
      <c r="Z133" s="558" t="s">
        <v>507</v>
      </c>
      <c r="AA133" s="510" t="s">
        <v>848</v>
      </c>
      <c r="AB133" s="522"/>
      <c r="AC133" s="574">
        <v>42180</v>
      </c>
      <c r="AD133" s="518" t="s">
        <v>1281</v>
      </c>
      <c r="AE133" s="559" t="s">
        <v>1100</v>
      </c>
      <c r="AF133" s="233">
        <f>IF(CampList[[#This Row],[Type of Accomodation]]="camp",MAX(0,CampList[[#This Row],[HH]]-SUMIF(Table_Shelter[Pcode],CampList[[#This Row],[CP_Pcode]],Table_Shelter[HH Covered])),0)</f>
        <v>0</v>
      </c>
      <c r="AG133" s="218"/>
      <c r="AH133" s="218">
        <f>MIN(CampList[[#This Row],[Shelter Gap]],CampList[[#This Row],[Land Status]])</f>
        <v>0</v>
      </c>
      <c r="AI133" s="218" t="str">
        <f ca="1">IFERROR(OFFSET(DistanceToCamp[Nearest Town],MATCH(CampList[[#This Row],[CP_Pcode]],DistanceToCamp[CP_Pcode],0)-1,0,1,1),"")</f>
        <v>Hpakant Town</v>
      </c>
      <c r="AJ133" s="336">
        <f ca="1">IFERROR(OFFSET(DistanceToCamp[distance],MATCH(CampList[[#This Row],[CP_Pcode]],DistanceToCamp[CP_Pcode],0)-1,0,1,1),"")</f>
        <v>0.79577754007276646</v>
      </c>
      <c r="AK133" s="337">
        <f ca="1">IFERROR(INT(CampList[[#This Row],[Distance]]/5)+1,"")</f>
        <v>1</v>
      </c>
      <c r="AL133" s="721"/>
      <c r="AM133" s="721"/>
      <c r="AN133" s="721"/>
      <c r="BD133" s="5"/>
      <c r="BE133" s="5"/>
    </row>
    <row r="134" spans="1:57" s="4" customFormat="1" ht="15.6" hidden="1" customHeight="1" x14ac:dyDescent="0.25">
      <c r="A134" s="550" t="s">
        <v>849</v>
      </c>
      <c r="B134" s="522" t="s">
        <v>380</v>
      </c>
      <c r="C134" s="522" t="s">
        <v>527</v>
      </c>
      <c r="D134" s="522" t="s">
        <v>180</v>
      </c>
      <c r="E134" s="522" t="s">
        <v>528</v>
      </c>
      <c r="F134" s="522" t="s">
        <v>529</v>
      </c>
      <c r="G134" s="520" t="s">
        <v>530</v>
      </c>
      <c r="H134" s="551" t="s">
        <v>605</v>
      </c>
      <c r="I134" s="551" t="s">
        <v>606</v>
      </c>
      <c r="J134" s="551" t="s">
        <v>609</v>
      </c>
      <c r="K134" s="552" t="s">
        <v>610</v>
      </c>
      <c r="L134" s="522" t="s">
        <v>104</v>
      </c>
      <c r="M134" s="522" t="s">
        <v>103</v>
      </c>
      <c r="N134" s="563"/>
      <c r="O134" s="563"/>
      <c r="P134" s="564"/>
      <c r="Q134" s="504">
        <v>0</v>
      </c>
      <c r="R134" s="526">
        <v>0</v>
      </c>
      <c r="S134" s="333" t="str">
        <f>IF(CampList[[#This Row],[HH]]&gt;0,CampList[[#This Row],[Total]]/CampList[[#This Row],[HH]],"NA")</f>
        <v>NA</v>
      </c>
      <c r="T134" s="556" t="s">
        <v>513</v>
      </c>
      <c r="U134" s="557" t="s">
        <v>1204</v>
      </c>
      <c r="V134" s="522" t="s">
        <v>556</v>
      </c>
      <c r="W134" s="557"/>
      <c r="X134" s="565"/>
      <c r="Y134" s="566"/>
      <c r="Z134" s="557"/>
      <c r="AA134" s="510"/>
      <c r="AB134" s="522"/>
      <c r="AC134" s="567"/>
      <c r="AD134" s="518" t="s">
        <v>603</v>
      </c>
      <c r="AE134" s="566" t="s">
        <v>1014</v>
      </c>
      <c r="AF134" s="530">
        <f>IF(CampList[[#This Row],[Type of Accomodation]]="camp",MAX(0,CampList[[#This Row],[HH]]-SUMIF(Table_Shelter[Pcode],CampList[[#This Row],[CP_Pcode]],Table_Shelter[HH Covered])),0)</f>
        <v>0</v>
      </c>
      <c r="AG134" s="520"/>
      <c r="AH134" s="520">
        <f>MIN(CampList[[#This Row],[Shelter Gap]],CampList[[#This Row],[Land Status]])</f>
        <v>0</v>
      </c>
      <c r="AI134" s="520" t="str">
        <f ca="1">IFERROR(OFFSET(DistanceToCamp[Nearest Town],MATCH(CampList[[#This Row],[CP_Pcode]],DistanceToCamp[CP_Pcode],0)-1,0,1,1),"")</f>
        <v/>
      </c>
      <c r="AJ134" s="336" t="str">
        <f ca="1">IFERROR(OFFSET(DistanceToCamp[distance],MATCH(CampList[[#This Row],[CP_Pcode]],DistanceToCamp[CP_Pcode],0)-1,0,1,1),"")</f>
        <v/>
      </c>
      <c r="AK134" s="562" t="str">
        <f ca="1">IFERROR(INT(CampList[[#This Row],[Distance]]/5)+1,"")</f>
        <v/>
      </c>
      <c r="AL134" s="721"/>
      <c r="AM134" s="721"/>
      <c r="AN134" s="721"/>
      <c r="BD134" s="5"/>
      <c r="BE134" s="5"/>
    </row>
    <row r="135" spans="1:57" s="4" customFormat="1" ht="15.6" hidden="1" customHeight="1" x14ac:dyDescent="0.25">
      <c r="A135" s="550" t="s">
        <v>849</v>
      </c>
      <c r="B135" s="522" t="s">
        <v>380</v>
      </c>
      <c r="C135" s="522" t="s">
        <v>527</v>
      </c>
      <c r="D135" s="522" t="s">
        <v>180</v>
      </c>
      <c r="E135" s="522" t="s">
        <v>528</v>
      </c>
      <c r="F135" s="522" t="s">
        <v>529</v>
      </c>
      <c r="G135" s="520" t="s">
        <v>530</v>
      </c>
      <c r="H135" s="551" t="s">
        <v>614</v>
      </c>
      <c r="I135" s="551" t="s">
        <v>615</v>
      </c>
      <c r="J135" s="551" t="s">
        <v>614</v>
      </c>
      <c r="K135" s="552">
        <v>166773</v>
      </c>
      <c r="L135" s="522" t="s">
        <v>98</v>
      </c>
      <c r="M135" s="522" t="s">
        <v>97</v>
      </c>
      <c r="N135" s="553">
        <v>96.359309999999994</v>
      </c>
      <c r="O135" s="553">
        <v>25.651440000000001</v>
      </c>
      <c r="P135" s="564"/>
      <c r="Q135" s="504">
        <v>0</v>
      </c>
      <c r="R135" s="526">
        <v>0</v>
      </c>
      <c r="S135" s="333" t="str">
        <f>IF(CampList[[#This Row],[HH]]&gt;0,CampList[[#This Row],[Total]]/CampList[[#This Row],[HH]],"NA")</f>
        <v>NA</v>
      </c>
      <c r="T135" s="556" t="s">
        <v>513</v>
      </c>
      <c r="U135" s="557" t="s">
        <v>1204</v>
      </c>
      <c r="V135" s="522" t="s">
        <v>556</v>
      </c>
      <c r="W135" s="557"/>
      <c r="X135" s="565"/>
      <c r="Y135" s="566"/>
      <c r="Z135" s="557"/>
      <c r="AA135" s="510"/>
      <c r="AB135" s="522"/>
      <c r="AC135" s="567"/>
      <c r="AD135" s="518" t="s">
        <v>603</v>
      </c>
      <c r="AE135" s="566" t="s">
        <v>1014</v>
      </c>
      <c r="AF135" s="530">
        <f>IF(CampList[[#This Row],[Type of Accomodation]]="camp",MAX(0,CampList[[#This Row],[HH]]-SUMIF(Table_Shelter[Pcode],CampList[[#This Row],[CP_Pcode]],Table_Shelter[HH Covered])),0)</f>
        <v>0</v>
      </c>
      <c r="AG135" s="520"/>
      <c r="AH135" s="520">
        <f>MIN(CampList[[#This Row],[Shelter Gap]],CampList[[#This Row],[Land Status]])</f>
        <v>0</v>
      </c>
      <c r="AI135" s="520" t="str">
        <f ca="1">IFERROR(OFFSET(DistanceToCamp[Nearest Town],MATCH(CampList[[#This Row],[CP_Pcode]],DistanceToCamp[CP_Pcode],0)-1,0,1,1),"")</f>
        <v/>
      </c>
      <c r="AJ135" s="336" t="str">
        <f ca="1">IFERROR(OFFSET(DistanceToCamp[distance],MATCH(CampList[[#This Row],[CP_Pcode]],DistanceToCamp[CP_Pcode],0)-1,0,1,1),"")</f>
        <v/>
      </c>
      <c r="AK135" s="562" t="str">
        <f ca="1">IFERROR(INT(CampList[[#This Row],[Distance]]/5)+1,"")</f>
        <v/>
      </c>
      <c r="AL135" s="721"/>
      <c r="AM135" s="721"/>
      <c r="AN135" s="721"/>
      <c r="BD135" s="5"/>
      <c r="BE135" s="5"/>
    </row>
    <row r="136" spans="1:57" s="4" customFormat="1" ht="15.6" customHeight="1" x14ac:dyDescent="0.25">
      <c r="A136" s="550" t="s">
        <v>502</v>
      </c>
      <c r="B136" s="522" t="s">
        <v>555</v>
      </c>
      <c r="C136" s="520" t="s">
        <v>538</v>
      </c>
      <c r="D136" s="520" t="s">
        <v>230</v>
      </c>
      <c r="E136" s="520" t="s">
        <v>539</v>
      </c>
      <c r="F136" s="520" t="s">
        <v>146</v>
      </c>
      <c r="G136" s="520" t="s">
        <v>546</v>
      </c>
      <c r="H136" s="580" t="s">
        <v>724</v>
      </c>
      <c r="I136" s="520" t="s">
        <v>1270</v>
      </c>
      <c r="J136" s="580" t="s">
        <v>724</v>
      </c>
      <c r="K136" s="581"/>
      <c r="L136" s="569" t="s">
        <v>368</v>
      </c>
      <c r="M136" s="522" t="s">
        <v>385</v>
      </c>
      <c r="N136" s="553">
        <v>97.793019999999999</v>
      </c>
      <c r="O136" s="553">
        <v>23.588920000000002</v>
      </c>
      <c r="P136" s="554">
        <v>1012.5</v>
      </c>
      <c r="Q136" s="504">
        <v>79</v>
      </c>
      <c r="R136" s="526">
        <v>318</v>
      </c>
      <c r="S136" s="333">
        <f>IF(CampList[[#This Row],[HH]]&gt;0,CampList[[#This Row],[Total]]/CampList[[#This Row],[HH]],"NA")</f>
        <v>4.0253164556962027</v>
      </c>
      <c r="T136" s="576" t="s">
        <v>513</v>
      </c>
      <c r="U136" s="557" t="s">
        <v>1204</v>
      </c>
      <c r="V136" s="522" t="s">
        <v>556</v>
      </c>
      <c r="W136" s="557" t="s">
        <v>862</v>
      </c>
      <c r="X136" s="558">
        <v>41275</v>
      </c>
      <c r="Y136" s="559">
        <v>2</v>
      </c>
      <c r="Z136" s="558" t="s">
        <v>462</v>
      </c>
      <c r="AA136" s="511" t="s">
        <v>848</v>
      </c>
      <c r="AB136" s="522"/>
      <c r="AC136" s="574">
        <v>42397</v>
      </c>
      <c r="AD136" s="518" t="s">
        <v>1365</v>
      </c>
      <c r="AE136" s="559" t="s">
        <v>1086</v>
      </c>
      <c r="AF136" s="530">
        <f>IF(CampList[[#This Row],[Type of Accomodation]]="camp",MAX(0,CampList[[#This Row],[HH]]-SUMIF(Table_Shelter[Pcode],CampList[[#This Row],[CP_Pcode]],Table_Shelter[HH Covered])),0)</f>
        <v>16</v>
      </c>
      <c r="AG136" s="520"/>
      <c r="AH136" s="520">
        <f>MIN(CampList[[#This Row],[Shelter Gap]],CampList[[#This Row],[Land Status]])</f>
        <v>16</v>
      </c>
      <c r="AI136" s="520" t="str">
        <f ca="1">IFERROR(OFFSET(DistanceToCamp[Nearest Town],MATCH(CampList[[#This Row],[CP_Pcode]],DistanceToCamp[CP_Pcode],0)-1,0,1,1),"")</f>
        <v>Kutkai Town</v>
      </c>
      <c r="AJ136" s="336">
        <f ca="1">IFERROR(OFFSET(DistanceToCamp[distance],MATCH(CampList[[#This Row],[CP_Pcode]],DistanceToCamp[CP_Pcode],0)-1,0,1,1),"")</f>
        <v>21.050742639251741</v>
      </c>
      <c r="AK136" s="562">
        <f ca="1">IFERROR(INT(CampList[[#This Row],[Distance]]/5)+1,"")</f>
        <v>5</v>
      </c>
      <c r="AL136" s="721"/>
      <c r="AM136" s="721"/>
      <c r="AN136" s="721"/>
      <c r="BD136" s="5"/>
      <c r="BE136" s="5"/>
    </row>
    <row r="137" spans="1:57" s="4" customFormat="1" ht="15.6" customHeight="1" x14ac:dyDescent="0.25">
      <c r="A137" s="550" t="s">
        <v>502</v>
      </c>
      <c r="B137" s="520" t="s">
        <v>380</v>
      </c>
      <c r="C137" s="520" t="s">
        <v>527</v>
      </c>
      <c r="D137" s="520" t="s">
        <v>180</v>
      </c>
      <c r="E137" s="520" t="s">
        <v>528</v>
      </c>
      <c r="F137" s="520" t="s">
        <v>180</v>
      </c>
      <c r="G137" s="520" t="s">
        <v>553</v>
      </c>
      <c r="H137" s="577" t="s">
        <v>1140</v>
      </c>
      <c r="I137" s="520" t="s">
        <v>1268</v>
      </c>
      <c r="J137" s="520"/>
      <c r="K137" s="520"/>
      <c r="L137" s="520" t="s">
        <v>1171</v>
      </c>
      <c r="M137" s="520" t="s">
        <v>1173</v>
      </c>
      <c r="N137" s="503">
        <v>96.366919999999993</v>
      </c>
      <c r="O137" s="503">
        <v>24.764959999999999</v>
      </c>
      <c r="P137" s="564"/>
      <c r="Q137" s="506">
        <v>16</v>
      </c>
      <c r="R137" s="527">
        <v>67</v>
      </c>
      <c r="S137" s="555">
        <f>IF(CampList[[#This Row],[HH]]&gt;0,CampList[[#This Row],[Total]]/CampList[[#This Row],[HH]],"NA")</f>
        <v>4.1875</v>
      </c>
      <c r="T137" s="576" t="s">
        <v>513</v>
      </c>
      <c r="U137" s="557" t="s">
        <v>1204</v>
      </c>
      <c r="V137" s="518" t="s">
        <v>12</v>
      </c>
      <c r="W137" s="522"/>
      <c r="X137" s="572"/>
      <c r="Y137" s="566"/>
      <c r="Z137" s="557"/>
      <c r="AA137" s="515" t="s">
        <v>848</v>
      </c>
      <c r="AB137" s="520"/>
      <c r="AC137" s="574">
        <v>42397</v>
      </c>
      <c r="AD137" s="523" t="s">
        <v>1378</v>
      </c>
      <c r="AE137" s="559"/>
      <c r="AF137" s="593">
        <f>IF(CampList[[#This Row],[Type of Accomodation]]="camp",MAX(0,CampList[[#This Row],[HH]]-SUMIF(Table_Shelter[Pcode],CampList[[#This Row],[CP_Pcode]],Table_Shelter[HH Covered])),0)</f>
        <v>0</v>
      </c>
      <c r="AG137" s="520"/>
      <c r="AH137" s="520">
        <f>MIN(CampList[[#This Row],[Shelter Gap]],CampList[[#This Row],[Land Status]])</f>
        <v>0</v>
      </c>
      <c r="AI137" s="520" t="str">
        <f ca="1">IFERROR(OFFSET(DistanceToCamp[Nearest Town],MATCH(CampList[[#This Row],[CP_Pcode]],DistanceToCamp[CP_Pcode],0)-1,0,1,1),"")</f>
        <v/>
      </c>
      <c r="AJ137" s="561" t="str">
        <f ca="1">IFERROR(OFFSET(DistanceToCamp[distance],MATCH(CampList[[#This Row],[CP_Pcode]],DistanceToCamp[CP_Pcode],0)-1,0,1,1),"")</f>
        <v/>
      </c>
      <c r="AK137" s="562" t="str">
        <f ca="1">IFERROR(INT(CampList[[#This Row],[Distance]]/5)+1,"")</f>
        <v/>
      </c>
      <c r="AL137" s="721"/>
      <c r="AM137" s="721"/>
      <c r="AN137" s="721"/>
      <c r="BD137" s="5"/>
      <c r="BE137" s="5"/>
    </row>
    <row r="138" spans="1:57" s="4" customFormat="1" ht="15.6" hidden="1" customHeight="1" x14ac:dyDescent="0.25">
      <c r="A138" s="550" t="s">
        <v>849</v>
      </c>
      <c r="B138" s="522" t="s">
        <v>380</v>
      </c>
      <c r="C138" s="522" t="s">
        <v>527</v>
      </c>
      <c r="D138" s="522" t="s">
        <v>237</v>
      </c>
      <c r="E138" s="522" t="s">
        <v>533</v>
      </c>
      <c r="F138" s="522" t="s">
        <v>310</v>
      </c>
      <c r="G138" s="520" t="s">
        <v>534</v>
      </c>
      <c r="H138" s="551" t="s">
        <v>626</v>
      </c>
      <c r="I138" s="520" t="s">
        <v>627</v>
      </c>
      <c r="J138" s="551" t="s">
        <v>626</v>
      </c>
      <c r="K138" s="552">
        <v>165735</v>
      </c>
      <c r="L138" s="522" t="s">
        <v>1260</v>
      </c>
      <c r="M138" s="522" t="s">
        <v>359</v>
      </c>
      <c r="N138" s="553">
        <v>97.421104</v>
      </c>
      <c r="O138" s="553">
        <v>25.328987000000001</v>
      </c>
      <c r="P138" s="564"/>
      <c r="Q138" s="504">
        <v>0</v>
      </c>
      <c r="R138" s="526">
        <v>0</v>
      </c>
      <c r="S138" s="333" t="str">
        <f>IF(CampList[[#This Row],[HH]]&gt;0,CampList[[#This Row],[Total]]/CampList[[#This Row],[HH]],"NA")</f>
        <v>NA</v>
      </c>
      <c r="T138" s="556" t="s">
        <v>513</v>
      </c>
      <c r="U138" s="557" t="s">
        <v>1204</v>
      </c>
      <c r="V138" s="522" t="s">
        <v>556</v>
      </c>
      <c r="W138" s="557"/>
      <c r="X138" s="565"/>
      <c r="Y138" s="566"/>
      <c r="Z138" s="557"/>
      <c r="AA138" s="510"/>
      <c r="AB138" s="522"/>
      <c r="AC138" s="567"/>
      <c r="AD138" s="518" t="s">
        <v>603</v>
      </c>
      <c r="AE138" s="566" t="s">
        <v>1014</v>
      </c>
      <c r="AF138" s="530">
        <f>IF(CampList[[#This Row],[Type of Accomodation]]="camp",MAX(0,CampList[[#This Row],[HH]]-SUMIF(Table_Shelter[Pcode],CampList[[#This Row],[CP_Pcode]],Table_Shelter[HH Covered])),0)</f>
        <v>0</v>
      </c>
      <c r="AG138" s="520"/>
      <c r="AH138" s="520">
        <f>MIN(CampList[[#This Row],[Shelter Gap]],CampList[[#This Row],[Land Status]])</f>
        <v>0</v>
      </c>
      <c r="AI138" s="520" t="str">
        <f ca="1">IFERROR(OFFSET(DistanceToCamp[Nearest Town],MATCH(CampList[[#This Row],[CP_Pcode]],DistanceToCamp[CP_Pcode],0)-1,0,1,1),"")</f>
        <v/>
      </c>
      <c r="AJ138" s="336" t="str">
        <f ca="1">IFERROR(OFFSET(DistanceToCamp[distance],MATCH(CampList[[#This Row],[CP_Pcode]],DistanceToCamp[CP_Pcode],0)-1,0,1,1),"")</f>
        <v/>
      </c>
      <c r="AK138" s="562" t="str">
        <f ca="1">IFERROR(INT(CampList[[#This Row],[Distance]]/5)+1,"")</f>
        <v/>
      </c>
      <c r="AL138" s="721"/>
      <c r="AM138" s="721"/>
      <c r="AN138" s="721"/>
      <c r="BD138" s="5"/>
      <c r="BE138" s="5"/>
    </row>
    <row r="139" spans="1:57" s="4" customFormat="1" ht="15.6" customHeight="1" x14ac:dyDescent="0.25">
      <c r="A139" s="550" t="s">
        <v>502</v>
      </c>
      <c r="B139" s="522" t="s">
        <v>380</v>
      </c>
      <c r="C139" s="522" t="s">
        <v>527</v>
      </c>
      <c r="D139" s="522" t="s">
        <v>5</v>
      </c>
      <c r="E139" s="522" t="s">
        <v>531</v>
      </c>
      <c r="F139" s="522" t="s">
        <v>185</v>
      </c>
      <c r="G139" s="520" t="s">
        <v>535</v>
      </c>
      <c r="H139" s="551" t="s">
        <v>664</v>
      </c>
      <c r="I139" s="551" t="s">
        <v>665</v>
      </c>
      <c r="J139" s="551" t="s">
        <v>666</v>
      </c>
      <c r="K139" s="552" t="s">
        <v>667</v>
      </c>
      <c r="L139" s="569" t="s">
        <v>209</v>
      </c>
      <c r="M139" s="522" t="s">
        <v>208</v>
      </c>
      <c r="N139" s="553">
        <v>97.344359999999995</v>
      </c>
      <c r="O139" s="553">
        <v>24.250689999999999</v>
      </c>
      <c r="P139" s="554">
        <v>0</v>
      </c>
      <c r="Q139" s="504">
        <v>207</v>
      </c>
      <c r="R139" s="526">
        <v>1863</v>
      </c>
      <c r="S139" s="333">
        <f>IF(CampList[[#This Row],[HH]]&gt;0,CampList[[#This Row],[Total]]/CampList[[#This Row],[HH]],"NA")</f>
        <v>9</v>
      </c>
      <c r="T139" s="576" t="s">
        <v>513</v>
      </c>
      <c r="U139" s="557" t="s">
        <v>1204</v>
      </c>
      <c r="V139" s="522" t="s">
        <v>556</v>
      </c>
      <c r="W139" s="557" t="s">
        <v>808</v>
      </c>
      <c r="X139" s="558">
        <v>40695</v>
      </c>
      <c r="Y139" s="559">
        <v>3</v>
      </c>
      <c r="Z139" s="558" t="s">
        <v>462</v>
      </c>
      <c r="AA139" s="510" t="s">
        <v>848</v>
      </c>
      <c r="AB139" s="522"/>
      <c r="AC139" s="574">
        <v>42397</v>
      </c>
      <c r="AD139" s="518" t="s">
        <v>1432</v>
      </c>
      <c r="AE139" s="559" t="s">
        <v>1100</v>
      </c>
      <c r="AF139" s="530">
        <f>IF(CampList[[#This Row],[Type of Accomodation]]="camp",MAX(0,CampList[[#This Row],[HH]]-SUMIF(Table_Shelter[Pcode],CampList[[#This Row],[CP_Pcode]],Table_Shelter[HH Covered])),0)</f>
        <v>0</v>
      </c>
      <c r="AG139" s="520"/>
      <c r="AH139" s="520">
        <f>MIN(CampList[[#This Row],[Shelter Gap]],CampList[[#This Row],[Land Status]])</f>
        <v>0</v>
      </c>
      <c r="AI139" s="520" t="str">
        <f ca="1">IFERROR(OFFSET(DistanceToCamp[Nearest Town],MATCH(CampList[[#This Row],[CP_Pcode]],DistanceToCamp[CP_Pcode],0)-1,0,1,1),"")</f>
        <v>Momauk Town</v>
      </c>
      <c r="AJ139" s="336">
        <f ca="1">IFERROR(OFFSET(DistanceToCamp[distance],MATCH(CampList[[#This Row],[CP_Pcode]],DistanceToCamp[CP_Pcode],0)-1,0,1,1),"")</f>
        <v>0.62513510418653162</v>
      </c>
      <c r="AK139" s="562">
        <f ca="1">IFERROR(INT(CampList[[#This Row],[Distance]]/5)+1,"")</f>
        <v>1</v>
      </c>
      <c r="AL139" s="721"/>
      <c r="AM139" s="721"/>
      <c r="AN139" s="721"/>
      <c r="BD139" s="5"/>
      <c r="BE139" s="5"/>
    </row>
    <row r="140" spans="1:57" s="4" customFormat="1" ht="15.6" hidden="1" customHeight="1" x14ac:dyDescent="0.25">
      <c r="A140" s="550" t="s">
        <v>849</v>
      </c>
      <c r="B140" s="522" t="s">
        <v>380</v>
      </c>
      <c r="C140" s="522" t="s">
        <v>527</v>
      </c>
      <c r="D140" s="522" t="s">
        <v>5</v>
      </c>
      <c r="E140" s="522" t="s">
        <v>531</v>
      </c>
      <c r="F140" s="522" t="s">
        <v>185</v>
      </c>
      <c r="G140" s="520" t="s">
        <v>535</v>
      </c>
      <c r="H140" s="551" t="s">
        <v>664</v>
      </c>
      <c r="I140" s="551" t="s">
        <v>665</v>
      </c>
      <c r="J140" s="551" t="s">
        <v>669</v>
      </c>
      <c r="K140" s="552" t="s">
        <v>670</v>
      </c>
      <c r="L140" s="569" t="s">
        <v>211</v>
      </c>
      <c r="M140" s="522" t="s">
        <v>210</v>
      </c>
      <c r="N140" s="553">
        <v>97.346950000000007</v>
      </c>
      <c r="O140" s="553">
        <v>24.25177</v>
      </c>
      <c r="P140" s="554">
        <v>0</v>
      </c>
      <c r="Q140" s="504"/>
      <c r="R140" s="526"/>
      <c r="S140" s="333" t="str">
        <f>IF(CampList[[#This Row],[HH]]&gt;0,CampList[[#This Row],[Total]]/CampList[[#This Row],[HH]],"NA")</f>
        <v>NA</v>
      </c>
      <c r="T140" s="556" t="s">
        <v>513</v>
      </c>
      <c r="U140" s="557" t="s">
        <v>1204</v>
      </c>
      <c r="V140" s="522" t="s">
        <v>556</v>
      </c>
      <c r="W140" s="557" t="s">
        <v>808</v>
      </c>
      <c r="X140" s="558">
        <v>40756</v>
      </c>
      <c r="Y140" s="559">
        <v>2</v>
      </c>
      <c r="Z140" s="558" t="s">
        <v>1096</v>
      </c>
      <c r="AA140" s="510" t="s">
        <v>848</v>
      </c>
      <c r="AB140" s="522"/>
      <c r="AC140" s="560">
        <v>41971</v>
      </c>
      <c r="AD140" s="518" t="s">
        <v>1126</v>
      </c>
      <c r="AE140" s="559" t="s">
        <v>1100</v>
      </c>
      <c r="AF140" s="530">
        <f>IF(CampList[[#This Row],[Type of Accomodation]]="camp",MAX(0,CampList[[#This Row],[HH]]-SUMIF(Table_Shelter[Pcode],CampList[[#This Row],[CP_Pcode]],Table_Shelter[HH Covered])),0)</f>
        <v>0</v>
      </c>
      <c r="AG140" s="520"/>
      <c r="AH140" s="520">
        <f>MIN(CampList[[#This Row],[Shelter Gap]],CampList[[#This Row],[Land Status]])</f>
        <v>0</v>
      </c>
      <c r="AI140" s="520" t="str">
        <f ca="1">IFERROR(OFFSET(DistanceToCamp[Nearest Town],MATCH(CampList[[#This Row],[CP_Pcode]],DistanceToCamp[CP_Pcode],0)-1,0,1,1),"")</f>
        <v/>
      </c>
      <c r="AJ140" s="336" t="str">
        <f ca="1">IFERROR(OFFSET(DistanceToCamp[distance],MATCH(CampList[[#This Row],[CP_Pcode]],DistanceToCamp[CP_Pcode],0)-1,0,1,1),"")</f>
        <v/>
      </c>
      <c r="AK140" s="562" t="str">
        <f ca="1">IFERROR(INT(CampList[[#This Row],[Distance]]/5)+1,"")</f>
        <v/>
      </c>
      <c r="AL140" s="721"/>
      <c r="AM140" s="721"/>
      <c r="AN140" s="721"/>
      <c r="BD140" s="5"/>
      <c r="BE140" s="5"/>
    </row>
    <row r="141" spans="1:57" s="4" customFormat="1" ht="15.6" customHeight="1" x14ac:dyDescent="0.25">
      <c r="A141" s="550" t="s">
        <v>502</v>
      </c>
      <c r="B141" s="522" t="s">
        <v>555</v>
      </c>
      <c r="C141" s="520" t="s">
        <v>538</v>
      </c>
      <c r="D141" s="520" t="s">
        <v>230</v>
      </c>
      <c r="E141" s="520" t="s">
        <v>539</v>
      </c>
      <c r="F141" s="520" t="s">
        <v>230</v>
      </c>
      <c r="G141" s="520" t="s">
        <v>540</v>
      </c>
      <c r="H141" s="580" t="s">
        <v>821</v>
      </c>
      <c r="I141" s="520" t="s">
        <v>1272</v>
      </c>
      <c r="J141" s="580" t="s">
        <v>822</v>
      </c>
      <c r="K141" s="581"/>
      <c r="L141" s="569" t="s">
        <v>233</v>
      </c>
      <c r="M141" s="522" t="s">
        <v>232</v>
      </c>
      <c r="N141" s="563">
        <v>98.320651999999995</v>
      </c>
      <c r="O141" s="563">
        <v>24.101320999999999</v>
      </c>
      <c r="P141" s="554">
        <v>2979</v>
      </c>
      <c r="Q141" s="504">
        <v>9</v>
      </c>
      <c r="R141" s="526">
        <v>52</v>
      </c>
      <c r="S141" s="333">
        <f>IF(CampList[[#This Row],[HH]]&gt;0,CampList[[#This Row],[Total]]/CampList[[#This Row],[HH]],"NA")</f>
        <v>5.7777777777777777</v>
      </c>
      <c r="T141" s="576" t="s">
        <v>515</v>
      </c>
      <c r="U141" s="557" t="s">
        <v>1204</v>
      </c>
      <c r="V141" s="522" t="s">
        <v>556</v>
      </c>
      <c r="W141" s="557" t="s">
        <v>808</v>
      </c>
      <c r="X141" s="558">
        <v>41091</v>
      </c>
      <c r="Y141" s="559">
        <v>1</v>
      </c>
      <c r="Z141" s="558" t="s">
        <v>462</v>
      </c>
      <c r="AA141" s="511" t="s">
        <v>848</v>
      </c>
      <c r="AB141" s="522"/>
      <c r="AC141" s="574">
        <v>42397</v>
      </c>
      <c r="AD141" s="518" t="s">
        <v>1365</v>
      </c>
      <c r="AE141" s="559" t="s">
        <v>1084</v>
      </c>
      <c r="AF141" s="530">
        <f>IF(CampList[[#This Row],[Type of Accomodation]]="camp",MAX(0,CampList[[#This Row],[HH]]-SUMIF(Table_Shelter[Pcode],CampList[[#This Row],[CP_Pcode]],Table_Shelter[HH Covered])),0)</f>
        <v>9</v>
      </c>
      <c r="AG141" s="520"/>
      <c r="AH141" s="520">
        <f>MIN(CampList[[#This Row],[Shelter Gap]],CampList[[#This Row],[Land Status]])</f>
        <v>9</v>
      </c>
      <c r="AI141" s="520" t="str">
        <f ca="1">IFERROR(OFFSET(DistanceToCamp[Nearest Town],MATCH(CampList[[#This Row],[CP_Pcode]],DistanceToCamp[CP_Pcode],0)-1,0,1,1),"")</f>
        <v>Monekoe Town</v>
      </c>
      <c r="AJ141" s="336">
        <f ca="1">IFERROR(OFFSET(DistanceToCamp[distance],MATCH(CampList[[#This Row],[CP_Pcode]],DistanceToCamp[CP_Pcode],0)-1,0,1,1),"")</f>
        <v>1.789574394782699</v>
      </c>
      <c r="AK141" s="562">
        <f ca="1">IFERROR(INT(CampList[[#This Row],[Distance]]/5)+1,"")</f>
        <v>1</v>
      </c>
      <c r="AL141" s="721"/>
      <c r="AM141" s="721"/>
      <c r="AN141" s="721"/>
      <c r="BD141" s="5"/>
      <c r="BE141" s="5"/>
    </row>
    <row r="142" spans="1:57" s="4" customFormat="1" ht="15.6" customHeight="1" x14ac:dyDescent="0.25">
      <c r="A142" s="550" t="s">
        <v>502</v>
      </c>
      <c r="B142" s="522" t="s">
        <v>555</v>
      </c>
      <c r="C142" s="520" t="s">
        <v>538</v>
      </c>
      <c r="D142" s="520" t="s">
        <v>230</v>
      </c>
      <c r="E142" s="520" t="s">
        <v>539</v>
      </c>
      <c r="F142" s="520" t="s">
        <v>230</v>
      </c>
      <c r="G142" s="520" t="s">
        <v>540</v>
      </c>
      <c r="H142" s="520" t="s">
        <v>235</v>
      </c>
      <c r="I142" s="520" t="s">
        <v>1146</v>
      </c>
      <c r="J142" s="520" t="s">
        <v>235</v>
      </c>
      <c r="K142" s="568"/>
      <c r="L142" s="522" t="s">
        <v>235</v>
      </c>
      <c r="M142" s="522" t="s">
        <v>234</v>
      </c>
      <c r="N142" s="563">
        <v>98.054946000000001</v>
      </c>
      <c r="O142" s="563">
        <v>24.008452999999999</v>
      </c>
      <c r="P142" s="564">
        <v>3396</v>
      </c>
      <c r="Q142" s="504">
        <v>123</v>
      </c>
      <c r="R142" s="526">
        <v>503</v>
      </c>
      <c r="S142" s="555">
        <f>IF(CampList[[#This Row],[HH]]&gt;0,CampList[[#This Row],[Total]]/CampList[[#This Row],[HH]],"NA")</f>
        <v>4.0894308943089435</v>
      </c>
      <c r="T142" s="576" t="s">
        <v>515</v>
      </c>
      <c r="U142" s="557" t="s">
        <v>1204</v>
      </c>
      <c r="V142" s="522" t="s">
        <v>12</v>
      </c>
      <c r="W142" s="557" t="s">
        <v>862</v>
      </c>
      <c r="X142" s="565"/>
      <c r="Y142" s="566"/>
      <c r="Z142" s="557"/>
      <c r="AA142" s="517" t="s">
        <v>574</v>
      </c>
      <c r="AB142" s="522"/>
      <c r="AC142" s="560">
        <v>41701</v>
      </c>
      <c r="AD142" s="518" t="s">
        <v>1018</v>
      </c>
      <c r="AE142" s="566" t="s">
        <v>1084</v>
      </c>
      <c r="AF142" s="530">
        <f>IF(CampList[[#This Row],[Type of Accomodation]]="camp",MAX(0,CampList[[#This Row],[HH]]-SUMIF(Table_Shelter[Pcode],CampList[[#This Row],[CP_Pcode]],Table_Shelter[HH Covered])),0)</f>
        <v>0</v>
      </c>
      <c r="AG142" s="520"/>
      <c r="AH142" s="520">
        <f>MIN(CampList[[#This Row],[Shelter Gap]],CampList[[#This Row],[Land Status]])</f>
        <v>0</v>
      </c>
      <c r="AI142" s="520" t="str">
        <f ca="1">IFERROR(OFFSET(DistanceToCamp[Nearest Town],MATCH(CampList[[#This Row],[CP_Pcode]],DistanceToCamp[CP_Pcode],0)-1,0,1,1),"")</f>
        <v>Pang Hseng (Kyu Koke) Town</v>
      </c>
      <c r="AJ142" s="561">
        <f ca="1">IFERROR(OFFSET(DistanceToCamp[distance],MATCH(CampList[[#This Row],[CP_Pcode]],DistanceToCamp[CP_Pcode],0)-1,0,1,1),"")</f>
        <v>7.490291417449443</v>
      </c>
      <c r="AK142" s="562">
        <f ca="1">IFERROR(INT(CampList[[#This Row],[Distance]]/5)+1,"")</f>
        <v>2</v>
      </c>
      <c r="AL142" s="721"/>
      <c r="AM142" s="721"/>
      <c r="AN142" s="721"/>
      <c r="BD142" s="5"/>
      <c r="BE142" s="5"/>
    </row>
    <row r="143" spans="1:57" s="4" customFormat="1" ht="15.6" hidden="1" customHeight="1" x14ac:dyDescent="0.25">
      <c r="A143" s="550" t="s">
        <v>849</v>
      </c>
      <c r="B143" s="522" t="s">
        <v>380</v>
      </c>
      <c r="C143" s="522" t="s">
        <v>527</v>
      </c>
      <c r="D143" s="520" t="s">
        <v>5</v>
      </c>
      <c r="E143" s="520" t="s">
        <v>531</v>
      </c>
      <c r="F143" s="520" t="s">
        <v>151</v>
      </c>
      <c r="G143" s="520" t="s">
        <v>541</v>
      </c>
      <c r="H143" s="577" t="s">
        <v>628</v>
      </c>
      <c r="I143" s="577" t="s">
        <v>629</v>
      </c>
      <c r="J143" s="577" t="s">
        <v>628</v>
      </c>
      <c r="K143" s="578">
        <v>167495</v>
      </c>
      <c r="L143" s="522" t="s">
        <v>296</v>
      </c>
      <c r="M143" s="522" t="s">
        <v>389</v>
      </c>
      <c r="N143" s="563">
        <v>97.174999999999997</v>
      </c>
      <c r="O143" s="563">
        <v>23.867000000000001</v>
      </c>
      <c r="P143" s="564"/>
      <c r="Q143" s="504">
        <v>0</v>
      </c>
      <c r="R143" s="526">
        <v>0</v>
      </c>
      <c r="S143" s="555" t="str">
        <f>IF(CampList[[#This Row],[HH]]&gt;0,CampList[[#This Row],[Total]]/CampList[[#This Row],[HH]],"NA")</f>
        <v>NA</v>
      </c>
      <c r="T143" s="556" t="s">
        <v>515</v>
      </c>
      <c r="U143" s="557" t="s">
        <v>1204</v>
      </c>
      <c r="V143" s="522" t="s">
        <v>556</v>
      </c>
      <c r="W143" s="557"/>
      <c r="X143" s="565"/>
      <c r="Y143" s="566"/>
      <c r="Z143" s="557"/>
      <c r="AA143" s="514"/>
      <c r="AB143" s="522"/>
      <c r="AC143" s="574">
        <v>41701</v>
      </c>
      <c r="AD143" s="518" t="s">
        <v>1020</v>
      </c>
      <c r="AE143" s="566" t="s">
        <v>1014</v>
      </c>
      <c r="AF143" s="530">
        <f>IF(CampList[[#This Row],[Type of Accomodation]]="camp",MAX(0,CampList[[#This Row],[HH]]-SUMIF(Table_Shelter[Pcode],CampList[[#This Row],[CP_Pcode]],Table_Shelter[HH Covered])),0)</f>
        <v>0</v>
      </c>
      <c r="AG143" s="520"/>
      <c r="AH143" s="520">
        <f>MIN(CampList[[#This Row],[Shelter Gap]],CampList[[#This Row],[Land Status]])</f>
        <v>0</v>
      </c>
      <c r="AI143" s="520" t="str">
        <f ca="1">IFERROR(OFFSET(DistanceToCamp[Nearest Town],MATCH(CampList[[#This Row],[CP_Pcode]],DistanceToCamp[CP_Pcode],0)-1,0,1,1),"")</f>
        <v/>
      </c>
      <c r="AJ143" s="561" t="str">
        <f ca="1">IFERROR(OFFSET(DistanceToCamp[distance],MATCH(CampList[[#This Row],[CP_Pcode]],DistanceToCamp[CP_Pcode],0)-1,0,1,1),"")</f>
        <v/>
      </c>
      <c r="AK143" s="562" t="str">
        <f ca="1">IFERROR(INT(CampList[[#This Row],[Distance]]/5)+1,"")</f>
        <v/>
      </c>
      <c r="AL143" s="721"/>
      <c r="AM143" s="721"/>
      <c r="AN143" s="721"/>
      <c r="BD143" s="5"/>
      <c r="BE143" s="5"/>
    </row>
    <row r="144" spans="1:57" s="4" customFormat="1" ht="15.6" hidden="1" customHeight="1" x14ac:dyDescent="0.25">
      <c r="A144" s="550" t="s">
        <v>849</v>
      </c>
      <c r="B144" s="522" t="s">
        <v>380</v>
      </c>
      <c r="C144" s="522" t="s">
        <v>527</v>
      </c>
      <c r="D144" s="522" t="s">
        <v>5</v>
      </c>
      <c r="E144" s="522" t="s">
        <v>531</v>
      </c>
      <c r="F144" s="522" t="s">
        <v>151</v>
      </c>
      <c r="G144" s="520" t="s">
        <v>541</v>
      </c>
      <c r="H144" s="551" t="s">
        <v>628</v>
      </c>
      <c r="I144" s="551" t="s">
        <v>629</v>
      </c>
      <c r="J144" s="551"/>
      <c r="K144" s="552"/>
      <c r="L144" s="522" t="s">
        <v>520</v>
      </c>
      <c r="M144" s="522" t="s">
        <v>521</v>
      </c>
      <c r="N144" s="553">
        <v>96.808850000000007</v>
      </c>
      <c r="O144" s="553">
        <v>24.20645</v>
      </c>
      <c r="P144" s="554">
        <v>781.8</v>
      </c>
      <c r="Q144" s="504">
        <v>0</v>
      </c>
      <c r="R144" s="526">
        <v>0</v>
      </c>
      <c r="S144" s="333" t="str">
        <f>IF(CampList[[#This Row],[HH]]&gt;0,CampList[[#This Row],[Total]]/CampList[[#This Row],[HH]],"NA")</f>
        <v>NA</v>
      </c>
      <c r="T144" s="556" t="s">
        <v>515</v>
      </c>
      <c r="U144" s="557" t="s">
        <v>1204</v>
      </c>
      <c r="V144" s="522" t="s">
        <v>556</v>
      </c>
      <c r="W144" s="557" t="s">
        <v>862</v>
      </c>
      <c r="X144" s="558">
        <v>41091</v>
      </c>
      <c r="Y144" s="559"/>
      <c r="Z144" s="558"/>
      <c r="AA144" s="511" t="s">
        <v>848</v>
      </c>
      <c r="AB144" s="522"/>
      <c r="AC144" s="560">
        <v>41661</v>
      </c>
      <c r="AD144" s="518" t="s">
        <v>944</v>
      </c>
      <c r="AE144" s="559" t="s">
        <v>1014</v>
      </c>
      <c r="AF144" s="530">
        <f>IF(CampList[[#This Row],[Type of Accomodation]]="camp",MAX(0,CampList[[#This Row],[HH]]-SUMIF(Table_Shelter[Pcode],CampList[[#This Row],[CP_Pcode]],Table_Shelter[HH Covered])),0)</f>
        <v>0</v>
      </c>
      <c r="AG144" s="520"/>
      <c r="AH144" s="520">
        <f>MIN(CampList[[#This Row],[Shelter Gap]],CampList[[#This Row],[Land Status]])</f>
        <v>0</v>
      </c>
      <c r="AI144" s="520" t="str">
        <f ca="1">IFERROR(OFFSET(DistanceToCamp[Nearest Town],MATCH(CampList[[#This Row],[CP_Pcode]],DistanceToCamp[CP_Pcode],0)-1,0,1,1),"")</f>
        <v/>
      </c>
      <c r="AJ144" s="336" t="str">
        <f ca="1">IFERROR(OFFSET(DistanceToCamp[distance],MATCH(CampList[[#This Row],[CP_Pcode]],DistanceToCamp[CP_Pcode],0)-1,0,1,1),"")</f>
        <v/>
      </c>
      <c r="AK144" s="562" t="str">
        <f ca="1">IFERROR(INT(CampList[[#This Row],[Distance]]/5)+1,"")</f>
        <v/>
      </c>
      <c r="AL144" s="721"/>
      <c r="AM144" s="721"/>
      <c r="AN144" s="721"/>
      <c r="BD144" s="5"/>
      <c r="BE144" s="5"/>
    </row>
    <row r="145" spans="1:57" s="4" customFormat="1" ht="15.6" customHeight="1" x14ac:dyDescent="0.25">
      <c r="A145" s="550" t="s">
        <v>502</v>
      </c>
      <c r="B145" s="522" t="s">
        <v>555</v>
      </c>
      <c r="C145" s="520" t="s">
        <v>538</v>
      </c>
      <c r="D145" s="520" t="s">
        <v>230</v>
      </c>
      <c r="E145" s="520" t="s">
        <v>539</v>
      </c>
      <c r="F145" s="520" t="s">
        <v>146</v>
      </c>
      <c r="G145" s="520" t="s">
        <v>546</v>
      </c>
      <c r="H145" s="577" t="s">
        <v>790</v>
      </c>
      <c r="I145" s="577" t="s">
        <v>791</v>
      </c>
      <c r="J145" s="571" t="s">
        <v>792</v>
      </c>
      <c r="K145" s="582"/>
      <c r="L145" s="569" t="s">
        <v>371</v>
      </c>
      <c r="M145" s="522" t="s">
        <v>147</v>
      </c>
      <c r="N145" s="553">
        <v>98.220614999999995</v>
      </c>
      <c r="O145" s="553">
        <v>23.400155999999999</v>
      </c>
      <c r="P145" s="554">
        <v>3109</v>
      </c>
      <c r="Q145" s="504">
        <v>51</v>
      </c>
      <c r="R145" s="526">
        <v>261</v>
      </c>
      <c r="S145" s="333">
        <f>IF(CampList[[#This Row],[HH]]&gt;0,CampList[[#This Row],[Total]]/CampList[[#This Row],[HH]],"NA")</f>
        <v>5.117647058823529</v>
      </c>
      <c r="T145" s="576" t="s">
        <v>513</v>
      </c>
      <c r="U145" s="557" t="s">
        <v>1204</v>
      </c>
      <c r="V145" s="522" t="s">
        <v>556</v>
      </c>
      <c r="W145" s="557" t="s">
        <v>862</v>
      </c>
      <c r="X145" s="558">
        <v>40787</v>
      </c>
      <c r="Y145" s="559">
        <v>1</v>
      </c>
      <c r="Z145" s="558" t="s">
        <v>462</v>
      </c>
      <c r="AA145" s="511" t="s">
        <v>848</v>
      </c>
      <c r="AB145" s="522"/>
      <c r="AC145" s="574">
        <v>42397</v>
      </c>
      <c r="AD145" s="518" t="s">
        <v>1366</v>
      </c>
      <c r="AE145" s="559" t="s">
        <v>1084</v>
      </c>
      <c r="AF145" s="530">
        <f>IF(CampList[[#This Row],[Type of Accomodation]]="camp",MAX(0,CampList[[#This Row],[HH]]-SUMIF(Table_Shelter[Pcode],CampList[[#This Row],[CP_Pcode]],Table_Shelter[HH Covered])),0)</f>
        <v>46</v>
      </c>
      <c r="AG145" s="520"/>
      <c r="AH145" s="520">
        <f>MIN(CampList[[#This Row],[Shelter Gap]],CampList[[#This Row],[Land Status]])</f>
        <v>46</v>
      </c>
      <c r="AI145" s="520" t="str">
        <f ca="1">IFERROR(OFFSET(DistanceToCamp[Nearest Town],MATCH(CampList[[#This Row],[CP_Pcode]],DistanceToCamp[CP_Pcode],0)-1,0,1,1),"")</f>
        <v>Tarmoenye Town</v>
      </c>
      <c r="AJ145" s="336">
        <f ca="1">IFERROR(OFFSET(DistanceToCamp[distance],MATCH(CampList[[#This Row],[CP_Pcode]],DistanceToCamp[CP_Pcode],0)-1,0,1,1),"")</f>
        <v>23.172399462804503</v>
      </c>
      <c r="AK145" s="562">
        <f ca="1">IFERROR(INT(CampList[[#This Row],[Distance]]/5)+1,"")</f>
        <v>5</v>
      </c>
      <c r="AL145" s="721"/>
      <c r="AM145" s="721"/>
      <c r="AN145" s="721"/>
      <c r="BD145" s="5"/>
      <c r="BE145" s="5"/>
    </row>
    <row r="146" spans="1:57" s="4" customFormat="1" ht="15.6" customHeight="1" x14ac:dyDescent="0.25">
      <c r="A146" s="490" t="s">
        <v>502</v>
      </c>
      <c r="B146" s="530" t="s">
        <v>555</v>
      </c>
      <c r="C146" s="530" t="s">
        <v>538</v>
      </c>
      <c r="D146" s="530" t="s">
        <v>230</v>
      </c>
      <c r="E146" s="530" t="s">
        <v>539</v>
      </c>
      <c r="F146" s="530" t="s">
        <v>146</v>
      </c>
      <c r="G146" s="530" t="s">
        <v>546</v>
      </c>
      <c r="H146" s="530" t="s">
        <v>790</v>
      </c>
      <c r="I146" s="593" t="s">
        <v>791</v>
      </c>
      <c r="J146" s="530" t="s">
        <v>792</v>
      </c>
      <c r="K146" s="530"/>
      <c r="L146" s="530" t="s">
        <v>1109</v>
      </c>
      <c r="M146" s="530" t="s">
        <v>1108</v>
      </c>
      <c r="N146" s="503"/>
      <c r="O146" s="503"/>
      <c r="P146" s="564"/>
      <c r="Q146" s="506">
        <v>23</v>
      </c>
      <c r="R146" s="527">
        <v>112</v>
      </c>
      <c r="S146" s="555">
        <f>IF(CampList[[#This Row],[HH]]&gt;0,CampList[[#This Row],[Total]]/CampList[[#This Row],[HH]],"NA")</f>
        <v>4.8695652173913047</v>
      </c>
      <c r="T146" s="594" t="s">
        <v>513</v>
      </c>
      <c r="U146" s="556" t="s">
        <v>1204</v>
      </c>
      <c r="V146" s="491" t="s">
        <v>556</v>
      </c>
      <c r="W146" s="503" t="s">
        <v>862</v>
      </c>
      <c r="X146" s="572"/>
      <c r="Y146" s="566"/>
      <c r="Z146" s="566" t="s">
        <v>1282</v>
      </c>
      <c r="AA146" s="506" t="s">
        <v>848</v>
      </c>
      <c r="AB146" s="594"/>
      <c r="AC146" s="574">
        <v>42397</v>
      </c>
      <c r="AD146" s="705" t="s">
        <v>1398</v>
      </c>
      <c r="AE146" s="592"/>
      <c r="AF146" s="593">
        <f>IF(CampList[[#This Row],[Type of Accomodation]]="camp",MAX(0,CampList[[#This Row],[HH]]-SUMIF(Table_Shelter[Pcode],CampList[[#This Row],[CP_Pcode]],Table_Shelter[HH Covered])),0)</f>
        <v>23</v>
      </c>
      <c r="AG146" s="520"/>
      <c r="AH146" s="593">
        <f>MIN(CampList[[#This Row],[Shelter Gap]],CampList[[#This Row],[Land Status]])</f>
        <v>23</v>
      </c>
      <c r="AI146" s="593" t="str">
        <f ca="1">IFERROR(OFFSET(DistanceToCamp[Nearest Town],MATCH(CampList[[#This Row],[CP_Pcode]],DistanceToCamp[CP_Pcode],0)-1,0,1,1),"")</f>
        <v/>
      </c>
      <c r="AJ146" s="561" t="str">
        <f ca="1">IFERROR(OFFSET(DistanceToCamp[distance],MATCH(CampList[[#This Row],[CP_Pcode]],DistanceToCamp[CP_Pcode],0)-1,0,1,1),"")</f>
        <v/>
      </c>
      <c r="AK146" s="595" t="str">
        <f ca="1">IFERROR(INT(CampList[[#This Row],[Distance]]/5)+1,"")</f>
        <v/>
      </c>
      <c r="AL146" s="721"/>
      <c r="AM146" s="721"/>
      <c r="AN146" s="721"/>
      <c r="BD146" s="5"/>
      <c r="BE146" s="5"/>
    </row>
    <row r="147" spans="1:57" s="4" customFormat="1" ht="15.6" hidden="1" customHeight="1" x14ac:dyDescent="0.25">
      <c r="A147" s="550" t="s">
        <v>849</v>
      </c>
      <c r="B147" s="522" t="s">
        <v>555</v>
      </c>
      <c r="C147" s="520" t="s">
        <v>538</v>
      </c>
      <c r="D147" s="520" t="s">
        <v>230</v>
      </c>
      <c r="E147" s="520" t="s">
        <v>539</v>
      </c>
      <c r="F147" s="520" t="s">
        <v>146</v>
      </c>
      <c r="G147" s="520" t="s">
        <v>546</v>
      </c>
      <c r="H147" s="577" t="s">
        <v>790</v>
      </c>
      <c r="I147" s="577" t="s">
        <v>791</v>
      </c>
      <c r="J147" s="580" t="s">
        <v>792</v>
      </c>
      <c r="K147" s="581"/>
      <c r="L147" s="522" t="s">
        <v>367</v>
      </c>
      <c r="M147" s="522" t="s">
        <v>386</v>
      </c>
      <c r="N147" s="553">
        <v>98.213958000000005</v>
      </c>
      <c r="O147" s="553">
        <v>23.391741</v>
      </c>
      <c r="P147" s="554">
        <v>0</v>
      </c>
      <c r="Q147" s="504">
        <v>0</v>
      </c>
      <c r="R147" s="526">
        <v>0</v>
      </c>
      <c r="S147" s="333" t="str">
        <f>IF(CampList[[#This Row],[HH]]&gt;0,CampList[[#This Row],[Total]]/CampList[[#This Row],[HH]],"NA")</f>
        <v>NA</v>
      </c>
      <c r="T147" s="556" t="s">
        <v>513</v>
      </c>
      <c r="U147" s="557" t="s">
        <v>1204</v>
      </c>
      <c r="V147" s="522" t="s">
        <v>556</v>
      </c>
      <c r="W147" s="557" t="s">
        <v>862</v>
      </c>
      <c r="X147" s="558">
        <v>40787</v>
      </c>
      <c r="Y147" s="559"/>
      <c r="Z147" s="558"/>
      <c r="AA147" s="511" t="s">
        <v>848</v>
      </c>
      <c r="AB147" s="522"/>
      <c r="AC147" s="560">
        <v>41701</v>
      </c>
      <c r="AD147" s="518" t="s">
        <v>1022</v>
      </c>
      <c r="AE147" s="559" t="s">
        <v>1014</v>
      </c>
      <c r="AF147" s="530">
        <f>IF(CampList[[#This Row],[Type of Accomodation]]="camp",MAX(0,CampList[[#This Row],[HH]]-SUMIF(Table_Shelter[Pcode],CampList[[#This Row],[CP_Pcode]],Table_Shelter[HH Covered])),0)</f>
        <v>0</v>
      </c>
      <c r="AG147" s="520"/>
      <c r="AH147" s="520">
        <f>MIN(CampList[[#This Row],[Shelter Gap]],CampList[[#This Row],[Land Status]])</f>
        <v>0</v>
      </c>
      <c r="AI147" s="520" t="str">
        <f ca="1">IFERROR(OFFSET(DistanceToCamp[Nearest Town],MATCH(CampList[[#This Row],[CP_Pcode]],DistanceToCamp[CP_Pcode],0)-1,0,1,1),"")</f>
        <v/>
      </c>
      <c r="AJ147" s="336" t="str">
        <f ca="1">IFERROR(OFFSET(DistanceToCamp[distance],MATCH(CampList[[#This Row],[CP_Pcode]],DistanceToCamp[CP_Pcode],0)-1,0,1,1),"")</f>
        <v/>
      </c>
      <c r="AK147" s="562" t="str">
        <f ca="1">IFERROR(INT(CampList[[#This Row],[Distance]]/5)+1,"")</f>
        <v/>
      </c>
      <c r="AL147" s="721"/>
      <c r="AM147" s="721"/>
      <c r="AN147" s="721"/>
      <c r="BD147" s="5"/>
      <c r="BE147" s="5"/>
    </row>
    <row r="148" spans="1:57" s="4" customFormat="1" ht="15.6" hidden="1" customHeight="1" x14ac:dyDescent="0.25">
      <c r="A148" s="332" t="s">
        <v>849</v>
      </c>
      <c r="B148" s="522" t="s">
        <v>380</v>
      </c>
      <c r="C148" s="522" t="s">
        <v>527</v>
      </c>
      <c r="D148" s="522" t="s">
        <v>180</v>
      </c>
      <c r="E148" s="522" t="s">
        <v>528</v>
      </c>
      <c r="F148" s="522" t="s">
        <v>529</v>
      </c>
      <c r="G148" s="520" t="s">
        <v>530</v>
      </c>
      <c r="H148" s="551" t="s">
        <v>614</v>
      </c>
      <c r="I148" s="551" t="s">
        <v>615</v>
      </c>
      <c r="J148" s="551" t="s">
        <v>614</v>
      </c>
      <c r="K148" s="552">
        <v>166773</v>
      </c>
      <c r="L148" s="522" t="s">
        <v>142</v>
      </c>
      <c r="M148" s="522" t="s">
        <v>141</v>
      </c>
      <c r="N148" s="553">
        <v>96.354159999999993</v>
      </c>
      <c r="O148" s="553">
        <v>25.658670000000001</v>
      </c>
      <c r="P148" s="554">
        <v>0</v>
      </c>
      <c r="Q148" s="504">
        <v>0</v>
      </c>
      <c r="R148" s="526">
        <v>0</v>
      </c>
      <c r="S148" s="333" t="str">
        <f>IF(CampList[[#This Row],[HH]]&gt;0,CampList[[#This Row],[Total]]/CampList[[#This Row],[HH]],"NA")</f>
        <v>NA</v>
      </c>
      <c r="T148" s="556" t="s">
        <v>513</v>
      </c>
      <c r="U148" s="334" t="s">
        <v>1204</v>
      </c>
      <c r="V148" s="522" t="s">
        <v>556</v>
      </c>
      <c r="W148" s="557" t="s">
        <v>862</v>
      </c>
      <c r="X148" s="558">
        <v>41275</v>
      </c>
      <c r="Y148" s="559"/>
      <c r="Z148" s="558"/>
      <c r="AA148" s="510" t="s">
        <v>847</v>
      </c>
      <c r="AB148" s="522"/>
      <c r="AC148" s="335">
        <v>41774</v>
      </c>
      <c r="AD148" s="518" t="s">
        <v>1055</v>
      </c>
      <c r="AE148" s="559" t="s">
        <v>1014</v>
      </c>
      <c r="AF148" s="530">
        <f>IF(CampList[[#This Row],[Type of Accomodation]]="camp",MAX(0,CampList[[#This Row],[HH]]-SUMIF(Table_Shelter[Pcode],CampList[[#This Row],[CP_Pcode]],Table_Shelter[HH Covered])),0)</f>
        <v>0</v>
      </c>
      <c r="AG148" s="520"/>
      <c r="AH148" s="218">
        <f>MIN(CampList[[#This Row],[Shelter Gap]],CampList[[#This Row],[Land Status]])</f>
        <v>0</v>
      </c>
      <c r="AI148" s="218" t="str">
        <f ca="1">IFERROR(OFFSET(DistanceToCamp[Nearest Town],MATCH(CampList[[#This Row],[CP_Pcode]],DistanceToCamp[CP_Pcode],0)-1,0,1,1),"")</f>
        <v/>
      </c>
      <c r="AJ148" s="336" t="str">
        <f ca="1">IFERROR(OFFSET(DistanceToCamp[distance],MATCH(CampList[[#This Row],[CP_Pcode]],DistanceToCamp[CP_Pcode],0)-1,0,1,1),"")</f>
        <v/>
      </c>
      <c r="AK148" s="337" t="str">
        <f ca="1">IFERROR(INT(CampList[[#This Row],[Distance]]/5)+1,"")</f>
        <v/>
      </c>
      <c r="AL148" s="721"/>
      <c r="AM148" s="721"/>
      <c r="AN148" s="721"/>
      <c r="BD148" s="5"/>
      <c r="BE148" s="5"/>
    </row>
    <row r="149" spans="1:57" s="4" customFormat="1" ht="15.6" customHeight="1" x14ac:dyDescent="0.25">
      <c r="A149" s="550" t="s">
        <v>502</v>
      </c>
      <c r="B149" s="520" t="s">
        <v>555</v>
      </c>
      <c r="C149" s="520" t="s">
        <v>538</v>
      </c>
      <c r="D149" s="520" t="s">
        <v>230</v>
      </c>
      <c r="E149" s="520" t="s">
        <v>539</v>
      </c>
      <c r="F149" s="520" t="s">
        <v>230</v>
      </c>
      <c r="G149" s="520" t="s">
        <v>540</v>
      </c>
      <c r="H149" s="520" t="s">
        <v>1056</v>
      </c>
      <c r="I149" s="520" t="s">
        <v>1057</v>
      </c>
      <c r="J149" s="520" t="s">
        <v>1058</v>
      </c>
      <c r="K149" s="581" t="s">
        <v>1059</v>
      </c>
      <c r="L149" s="525" t="s">
        <v>1060</v>
      </c>
      <c r="M149" s="520" t="s">
        <v>1061</v>
      </c>
      <c r="N149" s="553">
        <v>97.909400000000005</v>
      </c>
      <c r="O149" s="553">
        <v>24.006319999999999</v>
      </c>
      <c r="P149" s="527">
        <v>812.7</v>
      </c>
      <c r="Q149" s="506">
        <v>55</v>
      </c>
      <c r="R149" s="527">
        <v>237</v>
      </c>
      <c r="S149" s="333">
        <f>IF(CampList[[#This Row],[HH]]&gt;0,CampList[[#This Row],[Total]]/CampList[[#This Row],[HH]],"NA")</f>
        <v>4.3090909090909095</v>
      </c>
      <c r="T149" s="576" t="s">
        <v>513</v>
      </c>
      <c r="U149" s="557" t="s">
        <v>1204</v>
      </c>
      <c r="V149" s="522" t="s">
        <v>556</v>
      </c>
      <c r="W149" s="522" t="s">
        <v>808</v>
      </c>
      <c r="X149" s="572">
        <v>41703</v>
      </c>
      <c r="Y149" s="528"/>
      <c r="Z149" s="522" t="s">
        <v>462</v>
      </c>
      <c r="AA149" s="515" t="s">
        <v>848</v>
      </c>
      <c r="AB149" s="520"/>
      <c r="AC149" s="574">
        <v>42397</v>
      </c>
      <c r="AD149" s="523" t="s">
        <v>1367</v>
      </c>
      <c r="AE149" s="528" t="s">
        <v>1100</v>
      </c>
      <c r="AF149" s="530">
        <f>IF(CampList[[#This Row],[Type of Accomodation]]="camp",MAX(0,CampList[[#This Row],[HH]]-SUMIF(Table_Shelter[Pcode],CampList[[#This Row],[CP_Pcode]],Table_Shelter[HH Covered])),0)</f>
        <v>11</v>
      </c>
      <c r="AG149" s="520"/>
      <c r="AH149" s="520">
        <f>MIN(CampList[[#This Row],[Shelter Gap]],CampList[[#This Row],[Land Status]])</f>
        <v>11</v>
      </c>
      <c r="AI149" s="520" t="str">
        <f ca="1">IFERROR(OFFSET(DistanceToCamp[Nearest Town],MATCH(CampList[[#This Row],[CP_Pcode]],DistanceToCamp[CP_Pcode],0)-1,0,1,1),"")</f>
        <v>Muse Town</v>
      </c>
      <c r="AJ149" s="336">
        <f ca="1">IFERROR(OFFSET(DistanceToCamp[distance],MATCH(CampList[[#This Row],[CP_Pcode]],DistanceToCamp[CP_Pcode],0)-1,0,1,1),"")</f>
        <v>1.989668595899414</v>
      </c>
      <c r="AK149" s="562">
        <f ca="1">IFERROR(INT(CampList[[#This Row],[Distance]]/5)+1,"")</f>
        <v>1</v>
      </c>
      <c r="AL149" s="721"/>
      <c r="AM149" s="721"/>
      <c r="AN149" s="721"/>
      <c r="BD149" s="5"/>
      <c r="BE149" s="5"/>
    </row>
    <row r="150" spans="1:57" s="4" customFormat="1" ht="15.6" customHeight="1" x14ac:dyDescent="0.25">
      <c r="A150" s="490" t="s">
        <v>502</v>
      </c>
      <c r="B150" s="530" t="s">
        <v>555</v>
      </c>
      <c r="C150" s="530" t="s">
        <v>538</v>
      </c>
      <c r="D150" s="530" t="s">
        <v>230</v>
      </c>
      <c r="E150" s="530" t="s">
        <v>539</v>
      </c>
      <c r="F150" s="530" t="s">
        <v>230</v>
      </c>
      <c r="G150" s="530" t="s">
        <v>540</v>
      </c>
      <c r="H150" s="530" t="s">
        <v>1056</v>
      </c>
      <c r="I150" s="593" t="s">
        <v>1057</v>
      </c>
      <c r="J150" s="530" t="s">
        <v>1058</v>
      </c>
      <c r="K150" s="530" t="s">
        <v>1059</v>
      </c>
      <c r="L150" s="530" t="s">
        <v>1070</v>
      </c>
      <c r="M150" s="530" t="s">
        <v>1071</v>
      </c>
      <c r="N150" s="503">
        <v>97.911647000000002</v>
      </c>
      <c r="O150" s="503">
        <v>24.006789000000001</v>
      </c>
      <c r="P150" s="564">
        <v>814</v>
      </c>
      <c r="Q150" s="506">
        <v>26</v>
      </c>
      <c r="R150" s="527">
        <v>111</v>
      </c>
      <c r="S150" s="333">
        <f>IF(CampList[[#This Row],[HH]]&gt;0,CampList[[#This Row],[Total]]/CampList[[#This Row],[HH]],"NA")</f>
        <v>4.2692307692307692</v>
      </c>
      <c r="T150" s="594" t="s">
        <v>513</v>
      </c>
      <c r="U150" s="556" t="s">
        <v>1204</v>
      </c>
      <c r="V150" s="491" t="s">
        <v>556</v>
      </c>
      <c r="W150" s="503" t="s">
        <v>808</v>
      </c>
      <c r="X150" s="572">
        <v>41734</v>
      </c>
      <c r="Y150" s="566"/>
      <c r="Z150" s="566" t="s">
        <v>1282</v>
      </c>
      <c r="AA150" s="506" t="s">
        <v>848</v>
      </c>
      <c r="AB150" s="594"/>
      <c r="AC150" s="574">
        <v>42397</v>
      </c>
      <c r="AD150" s="705" t="s">
        <v>1399</v>
      </c>
      <c r="AE150" s="592" t="s">
        <v>1100</v>
      </c>
      <c r="AF150" s="593">
        <f>IF(CampList[[#This Row],[Type of Accomodation]]="camp",MAX(0,CampList[[#This Row],[HH]]-SUMIF(Table_Shelter[Pcode],CampList[[#This Row],[CP_Pcode]],Table_Shelter[HH Covered])),0)</f>
        <v>0</v>
      </c>
      <c r="AG150" s="520"/>
      <c r="AH150" s="593">
        <f>MIN(CampList[[#This Row],[Shelter Gap]],CampList[[#This Row],[Land Status]])</f>
        <v>0</v>
      </c>
      <c r="AI150" s="593" t="str">
        <f ca="1">IFERROR(OFFSET(DistanceToCamp[Nearest Town],MATCH(CampList[[#This Row],[CP_Pcode]],DistanceToCamp[CP_Pcode],0)-1,0,1,1),"")</f>
        <v>Muse Town</v>
      </c>
      <c r="AJ150" s="336">
        <f ca="1">IFERROR(OFFSET(DistanceToCamp[distance],MATCH(CampList[[#This Row],[CP_Pcode]],DistanceToCamp[CP_Pcode],0)-1,0,1,1),"")</f>
        <v>2.1362355825722226</v>
      </c>
      <c r="AK150" s="595">
        <f ca="1">IFERROR(INT(CampList[[#This Row],[Distance]]/5)+1,"")</f>
        <v>1</v>
      </c>
      <c r="AL150" s="721"/>
      <c r="AM150" s="721"/>
      <c r="AN150" s="721"/>
      <c r="BD150" s="5"/>
      <c r="BE150" s="5"/>
    </row>
    <row r="151" spans="1:57" s="4" customFormat="1" ht="15.6" customHeight="1" x14ac:dyDescent="0.25">
      <c r="A151" s="550" t="s">
        <v>502</v>
      </c>
      <c r="B151" s="522" t="s">
        <v>380</v>
      </c>
      <c r="C151" s="522" t="s">
        <v>527</v>
      </c>
      <c r="D151" s="522" t="s">
        <v>5</v>
      </c>
      <c r="E151" s="522" t="s">
        <v>531</v>
      </c>
      <c r="F151" s="522" t="s">
        <v>5</v>
      </c>
      <c r="G151" s="520" t="s">
        <v>532</v>
      </c>
      <c r="H151" s="551" t="s">
        <v>639</v>
      </c>
      <c r="I151" s="551" t="s">
        <v>640</v>
      </c>
      <c r="J151" s="551" t="s">
        <v>645</v>
      </c>
      <c r="K151" s="552" t="s">
        <v>646</v>
      </c>
      <c r="L151" s="522" t="s">
        <v>8</v>
      </c>
      <c r="M151" s="522" t="s">
        <v>7</v>
      </c>
      <c r="N151" s="553">
        <v>97.234200000000001</v>
      </c>
      <c r="O151" s="553">
        <v>24.253067000000001</v>
      </c>
      <c r="P151" s="554">
        <v>0</v>
      </c>
      <c r="Q151" s="504">
        <v>23</v>
      </c>
      <c r="R151" s="526">
        <v>86</v>
      </c>
      <c r="S151" s="333">
        <f>IF(CampList[[#This Row],[HH]]&gt;0,CampList[[#This Row],[Total]]/CampList[[#This Row],[HH]],"NA")</f>
        <v>3.7391304347826089</v>
      </c>
      <c r="T151" s="576" t="s">
        <v>513</v>
      </c>
      <c r="U151" s="557" t="s">
        <v>1204</v>
      </c>
      <c r="V151" s="522" t="s">
        <v>556</v>
      </c>
      <c r="W151" s="557" t="s">
        <v>808</v>
      </c>
      <c r="X151" s="558">
        <v>41183</v>
      </c>
      <c r="Y151" s="559">
        <v>1</v>
      </c>
      <c r="Z151" s="558" t="s">
        <v>507</v>
      </c>
      <c r="AA151" s="510" t="s">
        <v>848</v>
      </c>
      <c r="AB151" s="522"/>
      <c r="AC151" s="560">
        <v>42317</v>
      </c>
      <c r="AD151" s="518" t="s">
        <v>1342</v>
      </c>
      <c r="AE151" s="559" t="s">
        <v>1100</v>
      </c>
      <c r="AF151" s="530">
        <f>IF(CampList[[#This Row],[Type of Accomodation]]="camp",MAX(0,CampList[[#This Row],[HH]]-SUMIF(Table_Shelter[Pcode],CampList[[#This Row],[CP_Pcode]],Table_Shelter[HH Covered])),0)</f>
        <v>5</v>
      </c>
      <c r="AG151" s="520"/>
      <c r="AH151" s="520">
        <f>MIN(CampList[[#This Row],[Shelter Gap]],CampList[[#This Row],[Land Status]])</f>
        <v>5</v>
      </c>
      <c r="AI151" s="520" t="str">
        <f ca="1">IFERROR(OFFSET(DistanceToCamp[Nearest Town],MATCH(CampList[[#This Row],[CP_Pcode]],DistanceToCamp[CP_Pcode],0)-1,0,1,1),"")</f>
        <v>Bhamo Town</v>
      </c>
      <c r="AJ151" s="336">
        <f ca="1">IFERROR(OFFSET(DistanceToCamp[distance],MATCH(CampList[[#This Row],[CP_Pcode]],DistanceToCamp[CP_Pcode],0)-1,0,1,1),"")</f>
        <v>0.20824727902294948</v>
      </c>
      <c r="AK151" s="562">
        <f ca="1">IFERROR(INT(CampList[[#This Row],[Distance]]/5)+1,"")</f>
        <v>1</v>
      </c>
      <c r="AL151" s="721"/>
      <c r="AM151" s="721"/>
      <c r="AN151" s="721"/>
      <c r="BD151" s="5"/>
      <c r="BE151" s="5"/>
    </row>
    <row r="152" spans="1:57" s="4" customFormat="1" ht="15.6" hidden="1" customHeight="1" x14ac:dyDescent="0.25">
      <c r="A152" s="550" t="s">
        <v>849</v>
      </c>
      <c r="B152" s="522" t="s">
        <v>380</v>
      </c>
      <c r="C152" s="522" t="s">
        <v>527</v>
      </c>
      <c r="D152" s="522" t="s">
        <v>237</v>
      </c>
      <c r="E152" s="522" t="s">
        <v>533</v>
      </c>
      <c r="F152" s="522" t="s">
        <v>237</v>
      </c>
      <c r="G152" s="520" t="s">
        <v>537</v>
      </c>
      <c r="H152" s="551" t="s">
        <v>673</v>
      </c>
      <c r="I152" s="551" t="s">
        <v>674</v>
      </c>
      <c r="J152" s="551" t="s">
        <v>676</v>
      </c>
      <c r="K152" s="552" t="s">
        <v>677</v>
      </c>
      <c r="L152" s="522" t="s">
        <v>267</v>
      </c>
      <c r="M152" s="522" t="s">
        <v>266</v>
      </c>
      <c r="N152" s="553">
        <v>97.376671999999999</v>
      </c>
      <c r="O152" s="553">
        <v>25.387862999999999</v>
      </c>
      <c r="P152" s="554">
        <v>0</v>
      </c>
      <c r="Q152" s="504">
        <v>0</v>
      </c>
      <c r="R152" s="526">
        <v>0</v>
      </c>
      <c r="S152" s="555" t="str">
        <f>IF(CampList[[#This Row],[HH]]&gt;0,CampList[[#This Row],[Total]]/CampList[[#This Row],[HH]],"NA")</f>
        <v>NA</v>
      </c>
      <c r="T152" s="556" t="s">
        <v>513</v>
      </c>
      <c r="U152" s="557" t="s">
        <v>1204</v>
      </c>
      <c r="V152" s="522" t="s">
        <v>556</v>
      </c>
      <c r="W152" s="557" t="s">
        <v>808</v>
      </c>
      <c r="X152" s="558">
        <v>40817</v>
      </c>
      <c r="Y152" s="559">
        <v>1</v>
      </c>
      <c r="Z152" s="558" t="s">
        <v>507</v>
      </c>
      <c r="AA152" s="516" t="s">
        <v>848</v>
      </c>
      <c r="AB152" s="522"/>
      <c r="AC152" s="560">
        <v>42180</v>
      </c>
      <c r="AD152" s="518" t="s">
        <v>1280</v>
      </c>
      <c r="AE152" s="559" t="s">
        <v>1100</v>
      </c>
      <c r="AF152" s="530">
        <f>IF(CampList[[#This Row],[Type of Accomodation]]="camp",MAX(0,CampList[[#This Row],[HH]]-SUMIF(Table_Shelter[Pcode],CampList[[#This Row],[CP_Pcode]],Table_Shelter[HH Covered])),0)</f>
        <v>0</v>
      </c>
      <c r="AG152" s="520"/>
      <c r="AH152" s="520">
        <f>MIN(CampList[[#This Row],[Shelter Gap]],CampList[[#This Row],[Land Status]])</f>
        <v>0</v>
      </c>
      <c r="AI152" s="520" t="str">
        <f ca="1">IFERROR(OFFSET(DistanceToCamp[Nearest Town],MATCH(CampList[[#This Row],[CP_Pcode]],DistanceToCamp[CP_Pcode],0)-1,0,1,1),"")</f>
        <v>Myitkyina Town</v>
      </c>
      <c r="AJ152" s="561">
        <f ca="1">IFERROR(OFFSET(DistanceToCamp[distance],MATCH(CampList[[#This Row],[CP_Pcode]],DistanceToCamp[CP_Pcode],0)-1,0,1,1),"")</f>
        <v>1.3751794210741128</v>
      </c>
      <c r="AK152" s="562">
        <f ca="1">IFERROR(INT(CampList[[#This Row],[Distance]]/5)+1,"")</f>
        <v>1</v>
      </c>
      <c r="AL152" s="721"/>
      <c r="AM152" s="721"/>
      <c r="AN152" s="721"/>
      <c r="BD152" s="5"/>
      <c r="BE152" s="5"/>
    </row>
    <row r="153" spans="1:57" s="4" customFormat="1" ht="15.6" customHeight="1" x14ac:dyDescent="0.25">
      <c r="A153" s="550" t="s">
        <v>502</v>
      </c>
      <c r="B153" s="522" t="s">
        <v>380</v>
      </c>
      <c r="C153" s="522" t="s">
        <v>527</v>
      </c>
      <c r="D153" s="522" t="s">
        <v>5</v>
      </c>
      <c r="E153" s="522" t="s">
        <v>531</v>
      </c>
      <c r="F153" s="522" t="s">
        <v>185</v>
      </c>
      <c r="G153" s="520" t="s">
        <v>535</v>
      </c>
      <c r="H153" s="551" t="s">
        <v>803</v>
      </c>
      <c r="I153" s="551" t="s">
        <v>804</v>
      </c>
      <c r="J153" s="551" t="s">
        <v>803</v>
      </c>
      <c r="K153" s="552">
        <v>167048</v>
      </c>
      <c r="L153" s="522" t="s">
        <v>213</v>
      </c>
      <c r="M153" s="522" t="s">
        <v>212</v>
      </c>
      <c r="N153" s="563">
        <v>97.407787999999996</v>
      </c>
      <c r="O153" s="563">
        <v>24.404876999999999</v>
      </c>
      <c r="P153" s="564"/>
      <c r="Q153" s="504">
        <v>13</v>
      </c>
      <c r="R153" s="526">
        <v>53</v>
      </c>
      <c r="S153" s="333">
        <f>IF(CampList[[#This Row],[HH]]&gt;0,CampList[[#This Row],[Total]]/CampList[[#This Row],[HH]],"NA")</f>
        <v>4.0769230769230766</v>
      </c>
      <c r="T153" s="576" t="s">
        <v>513</v>
      </c>
      <c r="U153" s="557" t="s">
        <v>1204</v>
      </c>
      <c r="V153" s="518" t="s">
        <v>12</v>
      </c>
      <c r="W153" s="557" t="s">
        <v>862</v>
      </c>
      <c r="X153" s="565"/>
      <c r="Y153" s="566"/>
      <c r="Z153" s="557"/>
      <c r="AA153" s="510" t="s">
        <v>847</v>
      </c>
      <c r="AB153" s="522"/>
      <c r="AC153" s="560">
        <v>41803</v>
      </c>
      <c r="AD153" s="518" t="s">
        <v>1075</v>
      </c>
      <c r="AE153" s="566" t="s">
        <v>1100</v>
      </c>
      <c r="AF153" s="530">
        <f>IF(CampList[[#This Row],[Type of Accomodation]]="camp",MAX(0,CampList[[#This Row],[HH]]-SUMIF(Table_Shelter[Pcode],CampList[[#This Row],[CP_Pcode]],Table_Shelter[HH Covered])),0)</f>
        <v>0</v>
      </c>
      <c r="AG153" s="520"/>
      <c r="AH153" s="520">
        <f>MIN(CampList[[#This Row],[Shelter Gap]],CampList[[#This Row],[Land Status]])</f>
        <v>0</v>
      </c>
      <c r="AI153" s="520" t="str">
        <f ca="1">IFERROR(OFFSET(DistanceToCamp[Nearest Town],MATCH(CampList[[#This Row],[CP_Pcode]],DistanceToCamp[CP_Pcode],0)-1,0,1,1),"")</f>
        <v>Momauk Town</v>
      </c>
      <c r="AJ153" s="336">
        <f ca="1">IFERROR(OFFSET(DistanceToCamp[distance],MATCH(CampList[[#This Row],[CP_Pcode]],DistanceToCamp[CP_Pcode],0)-1,0,1,1),"")</f>
        <v>17.689123339899055</v>
      </c>
      <c r="AK153" s="562">
        <f ca="1">IFERROR(INT(CampList[[#This Row],[Distance]]/5)+1,"")</f>
        <v>4</v>
      </c>
      <c r="AL153" s="721"/>
      <c r="AM153" s="721"/>
      <c r="AN153" s="721"/>
      <c r="BD153" s="5"/>
      <c r="BE153" s="5"/>
    </row>
    <row r="154" spans="1:57" s="4" customFormat="1" ht="15.6" hidden="1" customHeight="1" x14ac:dyDescent="0.25">
      <c r="A154" s="550" t="s">
        <v>849</v>
      </c>
      <c r="B154" s="522" t="s">
        <v>380</v>
      </c>
      <c r="C154" s="522" t="s">
        <v>527</v>
      </c>
      <c r="D154" s="522" t="s">
        <v>5</v>
      </c>
      <c r="E154" s="522" t="s">
        <v>531</v>
      </c>
      <c r="F154" s="522" t="s">
        <v>151</v>
      </c>
      <c r="G154" s="520" t="s">
        <v>541</v>
      </c>
      <c r="H154" s="551" t="s">
        <v>662</v>
      </c>
      <c r="I154" s="551" t="s">
        <v>663</v>
      </c>
      <c r="J154" s="551"/>
      <c r="K154" s="552"/>
      <c r="L154" s="522" t="s">
        <v>162</v>
      </c>
      <c r="M154" s="522" t="s">
        <v>161</v>
      </c>
      <c r="N154" s="563"/>
      <c r="O154" s="563"/>
      <c r="P154" s="564"/>
      <c r="Q154" s="504">
        <v>0</v>
      </c>
      <c r="R154" s="526">
        <v>0</v>
      </c>
      <c r="S154" s="555" t="str">
        <f>IF(CampList[[#This Row],[HH]]&gt;0,CampList[[#This Row],[Total]]/CampList[[#This Row],[HH]],"NA")</f>
        <v>NA</v>
      </c>
      <c r="T154" s="556" t="s">
        <v>515</v>
      </c>
      <c r="U154" s="557" t="s">
        <v>1204</v>
      </c>
      <c r="V154" s="522" t="s">
        <v>556</v>
      </c>
      <c r="W154" s="557"/>
      <c r="X154" s="565"/>
      <c r="Y154" s="566"/>
      <c r="Z154" s="557"/>
      <c r="AA154" s="511" t="s">
        <v>848</v>
      </c>
      <c r="AB154" s="522"/>
      <c r="AC154" s="560">
        <v>41737</v>
      </c>
      <c r="AD154" s="518" t="s">
        <v>1051</v>
      </c>
      <c r="AE154" s="566" t="s">
        <v>1014</v>
      </c>
      <c r="AF154" s="530">
        <f>IF(CampList[[#This Row],[Type of Accomodation]]="camp",MAX(0,CampList[[#This Row],[HH]]-SUMIF(Table_Shelter[Pcode],CampList[[#This Row],[CP_Pcode]],Table_Shelter[HH Covered])),0)</f>
        <v>0</v>
      </c>
      <c r="AG154" s="520"/>
      <c r="AH154" s="520">
        <f>MIN(CampList[[#This Row],[Shelter Gap]],CampList[[#This Row],[Land Status]])</f>
        <v>0</v>
      </c>
      <c r="AI154" s="520" t="str">
        <f ca="1">IFERROR(OFFSET(DistanceToCamp[Nearest Town],MATCH(CampList[[#This Row],[CP_Pcode]],DistanceToCamp[CP_Pcode],0)-1,0,1,1),"")</f>
        <v/>
      </c>
      <c r="AJ154" s="561" t="str">
        <f ca="1">IFERROR(OFFSET(DistanceToCamp[distance],MATCH(CampList[[#This Row],[CP_Pcode]],DistanceToCamp[CP_Pcode],0)-1,0,1,1),"")</f>
        <v/>
      </c>
      <c r="AK154" s="562" t="str">
        <f ca="1">IFERROR(INT(CampList[[#This Row],[Distance]]/5)+1,"")</f>
        <v/>
      </c>
      <c r="AL154" s="721"/>
      <c r="AM154" s="721"/>
      <c r="AN154" s="721"/>
      <c r="BD154" s="5"/>
      <c r="BE154" s="5"/>
    </row>
    <row r="155" spans="1:57" s="4" customFormat="1" ht="15.6" customHeight="1" x14ac:dyDescent="0.25">
      <c r="A155" s="550" t="s">
        <v>502</v>
      </c>
      <c r="B155" s="522" t="s">
        <v>555</v>
      </c>
      <c r="C155" s="520" t="s">
        <v>538</v>
      </c>
      <c r="D155" s="520" t="s">
        <v>230</v>
      </c>
      <c r="E155" s="520" t="s">
        <v>539</v>
      </c>
      <c r="F155" s="520" t="s">
        <v>289</v>
      </c>
      <c r="G155" s="520" t="s">
        <v>551</v>
      </c>
      <c r="H155" s="577" t="s">
        <v>753</v>
      </c>
      <c r="I155" s="577" t="s">
        <v>754</v>
      </c>
      <c r="J155" s="577" t="s">
        <v>753</v>
      </c>
      <c r="K155" s="578">
        <v>208353</v>
      </c>
      <c r="L155" s="569" t="s">
        <v>292</v>
      </c>
      <c r="M155" s="522" t="s">
        <v>291</v>
      </c>
      <c r="N155" s="553">
        <v>97.681970000000007</v>
      </c>
      <c r="O155" s="553">
        <v>23.821380000000001</v>
      </c>
      <c r="P155" s="554">
        <v>811.6</v>
      </c>
      <c r="Q155" s="504">
        <v>82</v>
      </c>
      <c r="R155" s="526">
        <v>408</v>
      </c>
      <c r="S155" s="333">
        <f>IF(CampList[[#This Row],[HH]]&gt;0,CampList[[#This Row],[Total]]/CampList[[#This Row],[HH]],"NA")</f>
        <v>4.975609756097561</v>
      </c>
      <c r="T155" s="576" t="s">
        <v>513</v>
      </c>
      <c r="U155" s="557" t="s">
        <v>1204</v>
      </c>
      <c r="V155" s="522" t="s">
        <v>556</v>
      </c>
      <c r="W155" s="557" t="s">
        <v>808</v>
      </c>
      <c r="X155" s="558">
        <v>41609</v>
      </c>
      <c r="Y155" s="559">
        <v>2</v>
      </c>
      <c r="Z155" s="558" t="s">
        <v>462</v>
      </c>
      <c r="AA155" s="511" t="s">
        <v>848</v>
      </c>
      <c r="AB155" s="522"/>
      <c r="AC155" s="574">
        <v>42397</v>
      </c>
      <c r="AD155" s="523" t="s">
        <v>1360</v>
      </c>
      <c r="AE155" s="559" t="s">
        <v>1086</v>
      </c>
      <c r="AF155" s="530">
        <f>IF(CampList[[#This Row],[Type of Accomodation]]="camp",MAX(0,CampList[[#This Row],[HH]]-SUMIF(Table_Shelter[Pcode],CampList[[#This Row],[CP_Pcode]],Table_Shelter[HH Covered])),0)</f>
        <v>0</v>
      </c>
      <c r="AG155" s="520"/>
      <c r="AH155" s="520">
        <f>MIN(CampList[[#This Row],[Shelter Gap]],CampList[[#This Row],[Land Status]])</f>
        <v>0</v>
      </c>
      <c r="AI155" s="520" t="str">
        <f ca="1">IFERROR(OFFSET(DistanceToCamp[Nearest Town],MATCH(CampList[[#This Row],[CP_Pcode]],DistanceToCamp[CP_Pcode],0)-1,0,1,1),"")</f>
        <v>Namhkan Town</v>
      </c>
      <c r="AJ155" s="336">
        <f ca="1">IFERROR(OFFSET(DistanceToCamp[distance],MATCH(CampList[[#This Row],[CP_Pcode]],DistanceToCamp[CP_Pcode],0)-1,0,1,1),"")</f>
        <v>1.7369508287203668</v>
      </c>
      <c r="AK155" s="562">
        <f ca="1">IFERROR(INT(CampList[[#This Row],[Distance]]/5)+1,"")</f>
        <v>1</v>
      </c>
      <c r="AL155" s="721"/>
      <c r="AM155" s="721"/>
      <c r="AN155" s="721"/>
      <c r="BD155" s="5"/>
      <c r="BE155" s="5"/>
    </row>
    <row r="156" spans="1:57" s="4" customFormat="1" ht="15.6" customHeight="1" x14ac:dyDescent="0.25">
      <c r="A156" s="550" t="s">
        <v>502</v>
      </c>
      <c r="B156" s="522" t="s">
        <v>555</v>
      </c>
      <c r="C156" s="520" t="s">
        <v>538</v>
      </c>
      <c r="D156" s="520" t="s">
        <v>230</v>
      </c>
      <c r="E156" s="520" t="s">
        <v>539</v>
      </c>
      <c r="F156" s="520" t="s">
        <v>289</v>
      </c>
      <c r="G156" s="520" t="s">
        <v>551</v>
      </c>
      <c r="H156" s="577" t="s">
        <v>753</v>
      </c>
      <c r="I156" s="577" t="s">
        <v>754</v>
      </c>
      <c r="J156" s="577" t="s">
        <v>753</v>
      </c>
      <c r="K156" s="578">
        <v>208353</v>
      </c>
      <c r="L156" s="569" t="s">
        <v>290</v>
      </c>
      <c r="M156" s="522" t="s">
        <v>288</v>
      </c>
      <c r="N156" s="553">
        <v>97.669557999999995</v>
      </c>
      <c r="O156" s="553">
        <v>23.828520000000001</v>
      </c>
      <c r="P156" s="554">
        <v>740</v>
      </c>
      <c r="Q156" s="504">
        <v>68</v>
      </c>
      <c r="R156" s="526">
        <v>376</v>
      </c>
      <c r="S156" s="333">
        <f>IF(CampList[[#This Row],[HH]]&gt;0,CampList[[#This Row],[Total]]/CampList[[#This Row],[HH]],"NA")</f>
        <v>5.5294117647058822</v>
      </c>
      <c r="T156" s="576" t="s">
        <v>513</v>
      </c>
      <c r="U156" s="557" t="s">
        <v>1204</v>
      </c>
      <c r="V156" s="522" t="s">
        <v>556</v>
      </c>
      <c r="W156" s="557" t="s">
        <v>808</v>
      </c>
      <c r="X156" s="558">
        <v>40878</v>
      </c>
      <c r="Y156" s="559">
        <v>2</v>
      </c>
      <c r="Z156" s="558" t="s">
        <v>462</v>
      </c>
      <c r="AA156" s="511" t="s">
        <v>848</v>
      </c>
      <c r="AB156" s="522"/>
      <c r="AC156" s="574">
        <v>42397</v>
      </c>
      <c r="AD156" s="523" t="s">
        <v>1360</v>
      </c>
      <c r="AE156" s="559" t="s">
        <v>1086</v>
      </c>
      <c r="AF156" s="530">
        <f>IF(CampList[[#This Row],[Type of Accomodation]]="camp",MAX(0,CampList[[#This Row],[HH]]-SUMIF(Table_Shelter[Pcode],CampList[[#This Row],[CP_Pcode]],Table_Shelter[HH Covered])),0)</f>
        <v>38</v>
      </c>
      <c r="AG156" s="520"/>
      <c r="AH156" s="520">
        <f>MIN(CampList[[#This Row],[Shelter Gap]],CampList[[#This Row],[Land Status]])</f>
        <v>38</v>
      </c>
      <c r="AI156" s="520" t="str">
        <f ca="1">IFERROR(OFFSET(DistanceToCamp[Nearest Town],MATCH(CampList[[#This Row],[CP_Pcode]],DistanceToCamp[CP_Pcode],0)-1,0,1,1),"")</f>
        <v>Namhkan Town</v>
      </c>
      <c r="AJ156" s="336">
        <f ca="1">IFERROR(OFFSET(DistanceToCamp[distance],MATCH(CampList[[#This Row],[CP_Pcode]],DistanceToCamp[CP_Pcode],0)-1,0,1,1),"")</f>
        <v>1.5619149693996526</v>
      </c>
      <c r="AK156" s="562">
        <f ca="1">IFERROR(INT(CampList[[#This Row],[Distance]]/5)+1,"")</f>
        <v>1</v>
      </c>
      <c r="AL156" s="721"/>
      <c r="AM156" s="721"/>
      <c r="AN156" s="721"/>
      <c r="BD156" s="5"/>
      <c r="BE156" s="5"/>
    </row>
    <row r="157" spans="1:57" s="4" customFormat="1" ht="15.6" customHeight="1" x14ac:dyDescent="0.25">
      <c r="A157" s="550" t="s">
        <v>502</v>
      </c>
      <c r="B157" s="520" t="s">
        <v>555</v>
      </c>
      <c r="C157" s="520" t="s">
        <v>538</v>
      </c>
      <c r="D157" s="520" t="s">
        <v>230</v>
      </c>
      <c r="E157" s="520" t="s">
        <v>539</v>
      </c>
      <c r="F157" s="520" t="s">
        <v>289</v>
      </c>
      <c r="G157" s="520" t="s">
        <v>551</v>
      </c>
      <c r="H157" s="520" t="s">
        <v>753</v>
      </c>
      <c r="I157" s="520" t="s">
        <v>754</v>
      </c>
      <c r="J157" s="520" t="s">
        <v>753</v>
      </c>
      <c r="K157" s="520">
        <v>208353</v>
      </c>
      <c r="L157" s="525" t="s">
        <v>1062</v>
      </c>
      <c r="M157" s="520" t="s">
        <v>1063</v>
      </c>
      <c r="N157" s="553">
        <v>97.700940000000003</v>
      </c>
      <c r="O157" s="553">
        <v>23.841646999999998</v>
      </c>
      <c r="P157" s="564">
        <v>798</v>
      </c>
      <c r="Q157" s="506">
        <v>41</v>
      </c>
      <c r="R157" s="527">
        <v>225</v>
      </c>
      <c r="S157" s="555">
        <f>IF(CampList[[#This Row],[HH]]&gt;0,CampList[[#This Row],[Total]]/CampList[[#This Row],[HH]],"NA")</f>
        <v>5.4878048780487809</v>
      </c>
      <c r="T157" s="576" t="s">
        <v>513</v>
      </c>
      <c r="U157" s="557" t="s">
        <v>1204</v>
      </c>
      <c r="V157" s="522" t="s">
        <v>556</v>
      </c>
      <c r="W157" s="522" t="s">
        <v>808</v>
      </c>
      <c r="X157" s="572">
        <v>41947</v>
      </c>
      <c r="Y157" s="566"/>
      <c r="Z157" s="557" t="s">
        <v>462</v>
      </c>
      <c r="AA157" s="515" t="s">
        <v>848</v>
      </c>
      <c r="AB157" s="520"/>
      <c r="AC157" s="574">
        <v>42397</v>
      </c>
      <c r="AD157" s="523" t="s">
        <v>1360</v>
      </c>
      <c r="AE157" s="566" t="s">
        <v>1100</v>
      </c>
      <c r="AF157" s="530">
        <f>IF(CampList[[#This Row],[Type of Accomodation]]="camp",MAX(0,CampList[[#This Row],[HH]]-SUMIF(Table_Shelter[Pcode],CampList[[#This Row],[CP_Pcode]],Table_Shelter[HH Covered])),0)</f>
        <v>4</v>
      </c>
      <c r="AG157" s="520"/>
      <c r="AH157" s="520">
        <f>MIN(CampList[[#This Row],[Shelter Gap]],CampList[[#This Row],[Land Status]])</f>
        <v>4</v>
      </c>
      <c r="AI157" s="520" t="str">
        <f ca="1">IFERROR(OFFSET(DistanceToCamp[Nearest Town],MATCH(CampList[[#This Row],[CP_Pcode]],DistanceToCamp[CP_Pcode],0)-1,0,1,1),"")</f>
        <v>Namhkan Town</v>
      </c>
      <c r="AJ157" s="561">
        <f ca="1">IFERROR(OFFSET(DistanceToCamp[distance],MATCH(CampList[[#This Row],[CP_Pcode]],DistanceToCamp[CP_Pcode],0)-1,0,1,1),"")</f>
        <v>2.0141034419413328</v>
      </c>
      <c r="AK157" s="562">
        <f ca="1">IFERROR(INT(CampList[[#This Row],[Distance]]/5)+1,"")</f>
        <v>1</v>
      </c>
      <c r="AL157" s="721"/>
      <c r="AM157" s="721"/>
      <c r="AN157" s="721"/>
      <c r="BD157" s="5"/>
      <c r="BE157" s="5"/>
    </row>
    <row r="158" spans="1:57" s="4" customFormat="1" ht="15.6" customHeight="1" x14ac:dyDescent="0.25">
      <c r="A158" s="490" t="s">
        <v>502</v>
      </c>
      <c r="B158" s="530" t="s">
        <v>555</v>
      </c>
      <c r="C158" s="530" t="s">
        <v>538</v>
      </c>
      <c r="D158" s="530" t="s">
        <v>230</v>
      </c>
      <c r="E158" s="530" t="s">
        <v>539</v>
      </c>
      <c r="F158" s="530" t="s">
        <v>289</v>
      </c>
      <c r="G158" s="530" t="s">
        <v>551</v>
      </c>
      <c r="H158" s="530" t="s">
        <v>753</v>
      </c>
      <c r="I158" s="593" t="s">
        <v>754</v>
      </c>
      <c r="J158" s="530" t="s">
        <v>753</v>
      </c>
      <c r="K158" s="530">
        <v>208353</v>
      </c>
      <c r="L158" s="530" t="s">
        <v>374</v>
      </c>
      <c r="M158" s="530" t="s">
        <v>295</v>
      </c>
      <c r="N158" s="503">
        <v>97.670360000000002</v>
      </c>
      <c r="O158" s="503">
        <v>23.828150000000001</v>
      </c>
      <c r="P158" s="564">
        <v>751.8</v>
      </c>
      <c r="Q158" s="506">
        <v>48</v>
      </c>
      <c r="R158" s="527">
        <v>218</v>
      </c>
      <c r="S158" s="333">
        <f>IF(CampList[[#This Row],[HH]]&gt;0,CampList[[#This Row],[Total]]/CampList[[#This Row],[HH]],"NA")</f>
        <v>4.541666666666667</v>
      </c>
      <c r="T158" s="594" t="s">
        <v>513</v>
      </c>
      <c r="U158" s="556" t="s">
        <v>1204</v>
      </c>
      <c r="V158" s="491" t="s">
        <v>556</v>
      </c>
      <c r="W158" s="503" t="s">
        <v>808</v>
      </c>
      <c r="X158" s="572">
        <v>40878</v>
      </c>
      <c r="Y158" s="566"/>
      <c r="Z158" s="566" t="s">
        <v>1282</v>
      </c>
      <c r="AA158" s="506" t="s">
        <v>848</v>
      </c>
      <c r="AB158" s="594"/>
      <c r="AC158" s="574">
        <v>42397</v>
      </c>
      <c r="AD158" s="705" t="s">
        <v>1400</v>
      </c>
      <c r="AE158" s="592" t="s">
        <v>1086</v>
      </c>
      <c r="AF158" s="593">
        <f>IF(CampList[[#This Row],[Type of Accomodation]]="camp",MAX(0,CampList[[#This Row],[HH]]-SUMIF(Table_Shelter[Pcode],CampList[[#This Row],[CP_Pcode]],Table_Shelter[HH Covered])),0)</f>
        <v>48</v>
      </c>
      <c r="AG158" s="530"/>
      <c r="AH158" s="593">
        <f>MIN(CampList[[#This Row],[Shelter Gap]],CampList[[#This Row],[Land Status]])</f>
        <v>48</v>
      </c>
      <c r="AI158" s="593" t="str">
        <f ca="1">IFERROR(OFFSET(DistanceToCamp[Nearest Town],MATCH(CampList[[#This Row],[CP_Pcode]],DistanceToCamp[CP_Pcode],0)-1,0,1,1),"")</f>
        <v>Namhkan Town</v>
      </c>
      <c r="AJ158" s="336">
        <f ca="1">IFERROR(OFFSET(DistanceToCamp[distance],MATCH(CampList[[#This Row],[CP_Pcode]],DistanceToCamp[CP_Pcode],0)-1,0,1,1),"")</f>
        <v>1.5239325151406049</v>
      </c>
      <c r="AK158" s="595">
        <f ca="1">IFERROR(INT(CampList[[#This Row],[Distance]]/5)+1,"")</f>
        <v>1</v>
      </c>
      <c r="AL158" s="721"/>
      <c r="AM158" s="721"/>
      <c r="AN158" s="721"/>
      <c r="BD158" s="5"/>
      <c r="BE158" s="5"/>
    </row>
    <row r="159" spans="1:57" s="4" customFormat="1" ht="15.6" hidden="1" customHeight="1" x14ac:dyDescent="0.25">
      <c r="A159" s="550" t="s">
        <v>849</v>
      </c>
      <c r="B159" s="219" t="s">
        <v>555</v>
      </c>
      <c r="C159" s="522" t="s">
        <v>538</v>
      </c>
      <c r="D159" s="520" t="s">
        <v>230</v>
      </c>
      <c r="E159" s="520" t="s">
        <v>539</v>
      </c>
      <c r="F159" s="520" t="s">
        <v>289</v>
      </c>
      <c r="G159" s="218" t="s">
        <v>551</v>
      </c>
      <c r="H159" s="577" t="s">
        <v>753</v>
      </c>
      <c r="I159" s="577" t="s">
        <v>754</v>
      </c>
      <c r="J159" s="577" t="s">
        <v>753</v>
      </c>
      <c r="K159" s="578">
        <v>208353</v>
      </c>
      <c r="L159" s="569" t="s">
        <v>375</v>
      </c>
      <c r="M159" s="219" t="s">
        <v>390</v>
      </c>
      <c r="N159" s="553">
        <v>97.678299999999993</v>
      </c>
      <c r="O159" s="553">
        <v>23.82152</v>
      </c>
      <c r="P159" s="564">
        <v>813.4</v>
      </c>
      <c r="Q159" s="504">
        <v>0</v>
      </c>
      <c r="R159" s="526">
        <v>0</v>
      </c>
      <c r="S159" s="333" t="str">
        <f>IF(CampList[[#This Row],[HH]]&gt;0,CampList[[#This Row],[Total]]/CampList[[#This Row],[HH]],"NA")</f>
        <v>NA</v>
      </c>
      <c r="T159" s="556" t="s">
        <v>515</v>
      </c>
      <c r="U159" s="334" t="s">
        <v>1204</v>
      </c>
      <c r="V159" s="522" t="s">
        <v>556</v>
      </c>
      <c r="W159" s="557"/>
      <c r="X159" s="565"/>
      <c r="Y159" s="566"/>
      <c r="Z159" s="558" t="s">
        <v>1096</v>
      </c>
      <c r="AA159" s="511" t="s">
        <v>848</v>
      </c>
      <c r="AB159" s="219"/>
      <c r="AC159" s="560">
        <v>41712</v>
      </c>
      <c r="AD159" s="518" t="s">
        <v>1029</v>
      </c>
      <c r="AE159" s="566" t="s">
        <v>1014</v>
      </c>
      <c r="AF159" s="233">
        <f>IF(CampList[[#This Row],[Type of Accomodation]]="camp",MAX(0,CampList[[#This Row],[HH]]-SUMIF(Table_Shelter[Pcode],CampList[[#This Row],[CP_Pcode]],Table_Shelter[HH Covered])),0)</f>
        <v>0</v>
      </c>
      <c r="AG159" s="218"/>
      <c r="AH159" s="218">
        <f>MIN(CampList[[#This Row],[Shelter Gap]],CampList[[#This Row],[Land Status]])</f>
        <v>0</v>
      </c>
      <c r="AI159" s="218" t="str">
        <f ca="1">IFERROR(OFFSET(DistanceToCamp[Nearest Town],MATCH(CampList[[#This Row],[CP_Pcode]],DistanceToCamp[CP_Pcode],0)-1,0,1,1),"")</f>
        <v/>
      </c>
      <c r="AJ159" s="336" t="str">
        <f ca="1">IFERROR(OFFSET(DistanceToCamp[distance],MATCH(CampList[[#This Row],[CP_Pcode]],DistanceToCamp[CP_Pcode],0)-1,0,1,1),"")</f>
        <v/>
      </c>
      <c r="AK159" s="337" t="str">
        <f ca="1">IFERROR(INT(CampList[[#This Row],[Distance]]/5)+1,"")</f>
        <v/>
      </c>
      <c r="AL159" s="721"/>
      <c r="AM159" s="721"/>
      <c r="AN159" s="721"/>
      <c r="BD159" s="5"/>
      <c r="BE159" s="5"/>
    </row>
    <row r="160" spans="1:57" s="4" customFormat="1" ht="15.6" hidden="1" customHeight="1" x14ac:dyDescent="0.25">
      <c r="A160" s="550" t="s">
        <v>849</v>
      </c>
      <c r="B160" s="522" t="s">
        <v>555</v>
      </c>
      <c r="C160" s="520" t="s">
        <v>538</v>
      </c>
      <c r="D160" s="520" t="s">
        <v>230</v>
      </c>
      <c r="E160" s="520" t="s">
        <v>539</v>
      </c>
      <c r="F160" s="520" t="s">
        <v>289</v>
      </c>
      <c r="G160" s="520" t="s">
        <v>551</v>
      </c>
      <c r="H160" s="577" t="s">
        <v>753</v>
      </c>
      <c r="I160" s="577" t="s">
        <v>754</v>
      </c>
      <c r="J160" s="577" t="s">
        <v>753</v>
      </c>
      <c r="K160" s="578">
        <v>208353</v>
      </c>
      <c r="L160" s="522" t="s">
        <v>294</v>
      </c>
      <c r="M160" s="522" t="s">
        <v>293</v>
      </c>
      <c r="N160" s="563"/>
      <c r="O160" s="563"/>
      <c r="P160" s="564"/>
      <c r="Q160" s="504">
        <v>0</v>
      </c>
      <c r="R160" s="526">
        <v>0</v>
      </c>
      <c r="S160" s="333" t="str">
        <f>IF(CampList[[#This Row],[HH]]&gt;0,CampList[[#This Row],[Total]]/CampList[[#This Row],[HH]],"NA")</f>
        <v>NA</v>
      </c>
      <c r="T160" s="556" t="s">
        <v>515</v>
      </c>
      <c r="U160" s="557" t="s">
        <v>1204</v>
      </c>
      <c r="V160" s="522" t="s">
        <v>556</v>
      </c>
      <c r="W160" s="557"/>
      <c r="X160" s="565"/>
      <c r="Y160" s="566"/>
      <c r="Z160" s="557"/>
      <c r="AA160" s="511" t="s">
        <v>848</v>
      </c>
      <c r="AB160" s="522"/>
      <c r="AC160" s="560">
        <v>41701</v>
      </c>
      <c r="AD160" s="518" t="s">
        <v>1021</v>
      </c>
      <c r="AE160" s="566" t="s">
        <v>1014</v>
      </c>
      <c r="AF160" s="530">
        <f>IF(CampList[[#This Row],[Type of Accomodation]]="camp",MAX(0,CampList[[#This Row],[HH]]-SUMIF(Table_Shelter[Pcode],CampList[[#This Row],[CP_Pcode]],Table_Shelter[HH Covered])),0)</f>
        <v>0</v>
      </c>
      <c r="AG160" s="520"/>
      <c r="AH160" s="520">
        <f>MIN(CampList[[#This Row],[Shelter Gap]],CampList[[#This Row],[Land Status]])</f>
        <v>0</v>
      </c>
      <c r="AI160" s="520" t="str">
        <f ca="1">IFERROR(OFFSET(DistanceToCamp[Nearest Town],MATCH(CampList[[#This Row],[CP_Pcode]],DistanceToCamp[CP_Pcode],0)-1,0,1,1),"")</f>
        <v/>
      </c>
      <c r="AJ160" s="336" t="str">
        <f ca="1">IFERROR(OFFSET(DistanceToCamp[distance],MATCH(CampList[[#This Row],[CP_Pcode]],DistanceToCamp[CP_Pcode],0)-1,0,1,1),"")</f>
        <v/>
      </c>
      <c r="AK160" s="562" t="str">
        <f ca="1">IFERROR(INT(CampList[[#This Row],[Distance]]/5)+1,"")</f>
        <v/>
      </c>
      <c r="AL160" s="721"/>
      <c r="AM160" s="721"/>
      <c r="AN160" s="721"/>
      <c r="BD160" s="5"/>
      <c r="BE160" s="5"/>
    </row>
    <row r="161" spans="1:57" s="4" customFormat="1" ht="15.6" hidden="1" customHeight="1" x14ac:dyDescent="0.25">
      <c r="A161" s="550" t="s">
        <v>849</v>
      </c>
      <c r="B161" s="522" t="s">
        <v>555</v>
      </c>
      <c r="C161" s="522" t="s">
        <v>538</v>
      </c>
      <c r="D161" s="522" t="s">
        <v>230</v>
      </c>
      <c r="E161" s="522" t="s">
        <v>539</v>
      </c>
      <c r="F161" s="522" t="s">
        <v>230</v>
      </c>
      <c r="G161" s="520" t="s">
        <v>540</v>
      </c>
      <c r="H161" s="577" t="s">
        <v>1032</v>
      </c>
      <c r="I161" s="577" t="s">
        <v>1031</v>
      </c>
      <c r="J161" s="577" t="s">
        <v>1033</v>
      </c>
      <c r="K161" s="578">
        <v>208182</v>
      </c>
      <c r="L161" s="569" t="s">
        <v>361</v>
      </c>
      <c r="M161" s="522" t="s">
        <v>843</v>
      </c>
      <c r="N161" s="586"/>
      <c r="O161" s="586"/>
      <c r="P161" s="554">
        <v>0</v>
      </c>
      <c r="Q161" s="504"/>
      <c r="R161" s="526"/>
      <c r="S161" s="555" t="str">
        <f>IF(CampList[[#This Row],[HH]]&gt;0,CampList[[#This Row],[Total]]/CampList[[#This Row],[HH]],"NA")</f>
        <v>NA</v>
      </c>
      <c r="T161" s="576" t="s">
        <v>515</v>
      </c>
      <c r="U161" s="522" t="s">
        <v>1204</v>
      </c>
      <c r="V161" s="522" t="s">
        <v>556</v>
      </c>
      <c r="W161" s="522" t="s">
        <v>862</v>
      </c>
      <c r="X161" s="590">
        <v>40787</v>
      </c>
      <c r="Y161" s="592">
        <v>1</v>
      </c>
      <c r="Z161" s="590" t="s">
        <v>462</v>
      </c>
      <c r="AA161" s="511" t="s">
        <v>848</v>
      </c>
      <c r="AB161" s="522"/>
      <c r="AC161" s="574">
        <v>42432</v>
      </c>
      <c r="AD161" s="518" t="s">
        <v>1483</v>
      </c>
      <c r="AE161" s="592" t="s">
        <v>1085</v>
      </c>
      <c r="AF161" s="530">
        <f>IF(CampList[[#This Row],[Type of Accomodation]]="camp",MAX(0,CampList[[#This Row],[HH]]-SUMIF(Table_Shelter[Pcode],CampList[[#This Row],[CP_Pcode]],Table_Shelter[HH Covered])),0)</f>
        <v>0</v>
      </c>
      <c r="AG161" s="520"/>
      <c r="AH161" s="520">
        <f>MIN(CampList[[#This Row],[Shelter Gap]],CampList[[#This Row],[Land Status]])</f>
        <v>0</v>
      </c>
      <c r="AI161" s="520" t="str">
        <f ca="1">IFERROR(OFFSET(DistanceToCamp[Nearest Town],MATCH(CampList[[#This Row],[CP_Pcode]],DistanceToCamp[CP_Pcode],0)-1,0,1,1),"")</f>
        <v/>
      </c>
      <c r="AJ161" s="561" t="str">
        <f ca="1">IFERROR(OFFSET(DistanceToCamp[distance],MATCH(CampList[[#This Row],[CP_Pcode]],DistanceToCamp[CP_Pcode],0)-1,0,1,1),"")</f>
        <v/>
      </c>
      <c r="AK161" s="562" t="str">
        <f ca="1">IFERROR(INT(CampList[[#This Row],[Distance]]/5)+1,"")</f>
        <v/>
      </c>
      <c r="AL161" s="721"/>
      <c r="AM161" s="721"/>
      <c r="AN161" s="721"/>
      <c r="BD161" s="5"/>
      <c r="BE161" s="5"/>
    </row>
    <row r="162" spans="1:57" s="4" customFormat="1" ht="15.6" customHeight="1" x14ac:dyDescent="0.25">
      <c r="A162" s="550" t="s">
        <v>502</v>
      </c>
      <c r="B162" s="522" t="s">
        <v>555</v>
      </c>
      <c r="C162" s="520" t="s">
        <v>538</v>
      </c>
      <c r="D162" s="520" t="s">
        <v>230</v>
      </c>
      <c r="E162" s="520" t="s">
        <v>544</v>
      </c>
      <c r="F162" s="520" t="s">
        <v>230</v>
      </c>
      <c r="G162" s="520" t="s">
        <v>545</v>
      </c>
      <c r="H162" s="520" t="s">
        <v>1076</v>
      </c>
      <c r="I162" s="520" t="s">
        <v>1077</v>
      </c>
      <c r="J162" s="520" t="s">
        <v>1078</v>
      </c>
      <c r="K162" s="568">
        <v>208167</v>
      </c>
      <c r="L162" s="522" t="s">
        <v>171</v>
      </c>
      <c r="M162" s="522" t="s">
        <v>170</v>
      </c>
      <c r="N162" s="563">
        <v>98.129380999999995</v>
      </c>
      <c r="O162" s="563">
        <v>23.978088</v>
      </c>
      <c r="P162" s="564"/>
      <c r="Q162" s="504">
        <v>6</v>
      </c>
      <c r="R162" s="526"/>
      <c r="S162" s="333">
        <f>IF(CampList[[#This Row],[HH]]&gt;0,CampList[[#This Row],[Total]]/CampList[[#This Row],[HH]],"NA")</f>
        <v>0</v>
      </c>
      <c r="T162" s="576" t="s">
        <v>513</v>
      </c>
      <c r="U162" s="557" t="s">
        <v>1204</v>
      </c>
      <c r="V162" s="522" t="s">
        <v>12</v>
      </c>
      <c r="W162" s="557" t="s">
        <v>862</v>
      </c>
      <c r="X162" s="565"/>
      <c r="Y162" s="566"/>
      <c r="Z162" s="557"/>
      <c r="AA162" s="514"/>
      <c r="AB162" s="522"/>
      <c r="AC162" s="560">
        <v>41701</v>
      </c>
      <c r="AD162" s="518" t="s">
        <v>1018</v>
      </c>
      <c r="AE162" s="566" t="s">
        <v>1086</v>
      </c>
      <c r="AF162" s="530">
        <f>IF(CampList[[#This Row],[Type of Accomodation]]="camp",MAX(0,CampList[[#This Row],[HH]]-SUMIF(Table_Shelter[Pcode],CampList[[#This Row],[CP_Pcode]],Table_Shelter[HH Covered])),0)</f>
        <v>0</v>
      </c>
      <c r="AG162" s="520"/>
      <c r="AH162" s="520">
        <f>MIN(CampList[[#This Row],[Shelter Gap]],CampList[[#This Row],[Land Status]])</f>
        <v>0</v>
      </c>
      <c r="AI162" s="520" t="str">
        <f ca="1">IFERROR(OFFSET(DistanceToCamp[Nearest Town],MATCH(CampList[[#This Row],[CP_Pcode]],DistanceToCamp[CP_Pcode],0)-1,0,1,1),"")</f>
        <v>Pang Hseng (Kyu Koke) Town</v>
      </c>
      <c r="AJ162" s="336">
        <f ca="1">IFERROR(OFFSET(DistanceToCamp[distance],MATCH(CampList[[#This Row],[CP_Pcode]],DistanceToCamp[CP_Pcode],0)-1,0,1,1),"")</f>
        <v>12.794700705104317</v>
      </c>
      <c r="AK162" s="562">
        <f ca="1">IFERROR(INT(CampList[[#This Row],[Distance]]/5)+1,"")</f>
        <v>3</v>
      </c>
      <c r="AL162" s="721"/>
      <c r="AM162" s="721"/>
      <c r="AN162" s="721"/>
      <c r="BD162" s="5"/>
      <c r="BE162" s="5"/>
    </row>
    <row r="163" spans="1:57" s="4" customFormat="1" ht="15.6" customHeight="1" x14ac:dyDescent="0.25">
      <c r="A163" s="550" t="s">
        <v>502</v>
      </c>
      <c r="B163" s="522" t="s">
        <v>555</v>
      </c>
      <c r="C163" s="520" t="s">
        <v>538</v>
      </c>
      <c r="D163" s="520" t="s">
        <v>230</v>
      </c>
      <c r="E163" s="520" t="s">
        <v>539</v>
      </c>
      <c r="F163" s="520" t="s">
        <v>146</v>
      </c>
      <c r="G163" s="520" t="s">
        <v>546</v>
      </c>
      <c r="H163" s="580" t="s">
        <v>725</v>
      </c>
      <c r="I163" s="520" t="s">
        <v>1271</v>
      </c>
      <c r="J163" s="580" t="s">
        <v>726</v>
      </c>
      <c r="K163" s="581"/>
      <c r="L163" s="569" t="s">
        <v>149</v>
      </c>
      <c r="M163" s="522" t="s">
        <v>148</v>
      </c>
      <c r="N163" s="553">
        <v>97.818979999999996</v>
      </c>
      <c r="O163" s="553">
        <v>23.694130000000001</v>
      </c>
      <c r="P163" s="554">
        <v>1135.7</v>
      </c>
      <c r="Q163" s="504">
        <v>71</v>
      </c>
      <c r="R163" s="526">
        <v>278</v>
      </c>
      <c r="S163" s="333">
        <f>IF(CampList[[#This Row],[HH]]&gt;0,CampList[[#This Row],[Total]]/CampList[[#This Row],[HH]],"NA")</f>
        <v>3.915492957746479</v>
      </c>
      <c r="T163" s="576" t="s">
        <v>513</v>
      </c>
      <c r="U163" s="557" t="s">
        <v>1204</v>
      </c>
      <c r="V163" s="522" t="s">
        <v>556</v>
      </c>
      <c r="W163" s="557" t="s">
        <v>862</v>
      </c>
      <c r="X163" s="558">
        <v>40878</v>
      </c>
      <c r="Y163" s="559">
        <v>1</v>
      </c>
      <c r="Z163" s="558" t="s">
        <v>462</v>
      </c>
      <c r="AA163" s="511" t="s">
        <v>848</v>
      </c>
      <c r="AB163" s="522"/>
      <c r="AC163" s="574">
        <v>42397</v>
      </c>
      <c r="AD163" s="518" t="s">
        <v>1365</v>
      </c>
      <c r="AE163" s="559" t="s">
        <v>1086</v>
      </c>
      <c r="AF163" s="530">
        <f>IF(CampList[[#This Row],[Type of Accomodation]]="camp",MAX(0,CampList[[#This Row],[HH]]-SUMIF(Table_Shelter[Pcode],CampList[[#This Row],[CP_Pcode]],Table_Shelter[HH Covered])),0)</f>
        <v>45</v>
      </c>
      <c r="AG163" s="520"/>
      <c r="AH163" s="520">
        <f>MIN(CampList[[#This Row],[Shelter Gap]],CampList[[#This Row],[Land Status]])</f>
        <v>45</v>
      </c>
      <c r="AI163" s="520" t="str">
        <f ca="1">IFERROR(OFFSET(DistanceToCamp[Nearest Town],MATCH(CampList[[#This Row],[CP_Pcode]],DistanceToCamp[CP_Pcode],0)-1,0,1,1),"")</f>
        <v>Namhkan Town</v>
      </c>
      <c r="AJ163" s="336">
        <f ca="1">IFERROR(OFFSET(DistanceToCamp[distance],MATCH(CampList[[#This Row],[CP_Pcode]],DistanceToCamp[CP_Pcode],0)-1,0,1,1),"")</f>
        <v>21.148671772283631</v>
      </c>
      <c r="AK163" s="562">
        <f ca="1">IFERROR(INT(CampList[[#This Row],[Distance]]/5)+1,"")</f>
        <v>5</v>
      </c>
      <c r="AL163" s="721"/>
      <c r="AM163" s="721"/>
      <c r="AN163" s="721"/>
      <c r="BD163" s="5"/>
      <c r="BE163" s="5"/>
    </row>
    <row r="164" spans="1:57" s="4" customFormat="1" ht="15.6" hidden="1" customHeight="1" x14ac:dyDescent="0.25">
      <c r="A164" s="550" t="s">
        <v>849</v>
      </c>
      <c r="B164" s="522" t="s">
        <v>380</v>
      </c>
      <c r="C164" s="522" t="s">
        <v>527</v>
      </c>
      <c r="D164" s="522" t="s">
        <v>5</v>
      </c>
      <c r="E164" s="522" t="s">
        <v>531</v>
      </c>
      <c r="F164" s="522" t="s">
        <v>151</v>
      </c>
      <c r="G164" s="520" t="s">
        <v>541</v>
      </c>
      <c r="H164" s="551" t="s">
        <v>630</v>
      </c>
      <c r="I164" s="551" t="s">
        <v>631</v>
      </c>
      <c r="J164" s="551"/>
      <c r="K164" s="552"/>
      <c r="L164" s="522" t="s">
        <v>871</v>
      </c>
      <c r="M164" s="522" t="s">
        <v>522</v>
      </c>
      <c r="N164" s="570">
        <v>97.132339999999999</v>
      </c>
      <c r="O164" s="570">
        <v>23.75817</v>
      </c>
      <c r="P164" s="554">
        <v>781.8</v>
      </c>
      <c r="Q164" s="504">
        <v>0</v>
      </c>
      <c r="R164" s="526">
        <v>0</v>
      </c>
      <c r="S164" s="333" t="str">
        <f>IF(CampList[[#This Row],[HH]]&gt;0,CampList[[#This Row],[Total]]/CampList[[#This Row],[HH]],"NA")</f>
        <v>NA</v>
      </c>
      <c r="T164" s="556" t="s">
        <v>515</v>
      </c>
      <c r="U164" s="557" t="s">
        <v>1204</v>
      </c>
      <c r="V164" s="522" t="s">
        <v>556</v>
      </c>
      <c r="W164" s="557" t="s">
        <v>862</v>
      </c>
      <c r="X164" s="558">
        <v>41091</v>
      </c>
      <c r="Y164" s="559"/>
      <c r="Z164" s="558"/>
      <c r="AA164" s="512" t="s">
        <v>848</v>
      </c>
      <c r="AB164" s="522"/>
      <c r="AC164" s="567"/>
      <c r="AD164" s="518" t="s">
        <v>944</v>
      </c>
      <c r="AE164" s="559" t="s">
        <v>1014</v>
      </c>
      <c r="AF164" s="530">
        <f>IF(CampList[[#This Row],[Type of Accomodation]]="camp",MAX(0,CampList[[#This Row],[HH]]-SUMIF(Table_Shelter[Pcode],CampList[[#This Row],[CP_Pcode]],Table_Shelter[HH Covered])),0)</f>
        <v>0</v>
      </c>
      <c r="AG164" s="520"/>
      <c r="AH164" s="520">
        <f>MIN(CampList[[#This Row],[Shelter Gap]],CampList[[#This Row],[Land Status]])</f>
        <v>0</v>
      </c>
      <c r="AI164" s="520" t="str">
        <f ca="1">IFERROR(OFFSET(DistanceToCamp[Nearest Town],MATCH(CampList[[#This Row],[CP_Pcode]],DistanceToCamp[CP_Pcode],0)-1,0,1,1),"")</f>
        <v/>
      </c>
      <c r="AJ164" s="336" t="str">
        <f ca="1">IFERROR(OFFSET(DistanceToCamp[distance],MATCH(CampList[[#This Row],[CP_Pcode]],DistanceToCamp[CP_Pcode],0)-1,0,1,1),"")</f>
        <v/>
      </c>
      <c r="AK164" s="562" t="str">
        <f ca="1">IFERROR(INT(CampList[[#This Row],[Distance]]/5)+1,"")</f>
        <v/>
      </c>
      <c r="AL164" s="721"/>
      <c r="AM164" s="721"/>
      <c r="AN164" s="721"/>
      <c r="BD164" s="5"/>
      <c r="BE164" s="5"/>
    </row>
    <row r="165" spans="1:57" s="4" customFormat="1" ht="15.6" hidden="1" customHeight="1" x14ac:dyDescent="0.25">
      <c r="A165" s="550" t="s">
        <v>849</v>
      </c>
      <c r="B165" s="522" t="s">
        <v>380</v>
      </c>
      <c r="C165" s="520" t="s">
        <v>527</v>
      </c>
      <c r="D165" s="522" t="s">
        <v>5</v>
      </c>
      <c r="E165" s="522" t="s">
        <v>531</v>
      </c>
      <c r="F165" s="522" t="s">
        <v>151</v>
      </c>
      <c r="G165" s="520" t="s">
        <v>541</v>
      </c>
      <c r="H165" s="551" t="s">
        <v>630</v>
      </c>
      <c r="I165" s="551" t="s">
        <v>631</v>
      </c>
      <c r="J165" s="520"/>
      <c r="K165" s="571"/>
      <c r="L165" s="520" t="s">
        <v>872</v>
      </c>
      <c r="M165" s="522" t="s">
        <v>873</v>
      </c>
      <c r="N165" s="553"/>
      <c r="O165" s="553"/>
      <c r="P165" s="564"/>
      <c r="Q165" s="504">
        <v>0</v>
      </c>
      <c r="R165" s="526">
        <v>0</v>
      </c>
      <c r="S165" s="333" t="str">
        <f>IF(CampList[[#This Row],[HH]]&gt;0,CampList[[#This Row],[Total]]/CampList[[#This Row],[HH]],"NA")</f>
        <v>NA</v>
      </c>
      <c r="T165" s="556" t="s">
        <v>515</v>
      </c>
      <c r="U165" s="557" t="s">
        <v>1204</v>
      </c>
      <c r="V165" s="522" t="s">
        <v>556</v>
      </c>
      <c r="W165" s="522"/>
      <c r="X165" s="572"/>
      <c r="Y165" s="528"/>
      <c r="Z165" s="522"/>
      <c r="AA165" s="512" t="s">
        <v>848</v>
      </c>
      <c r="AB165" s="520"/>
      <c r="AC165" s="573"/>
      <c r="AD165" s="518" t="s">
        <v>944</v>
      </c>
      <c r="AE165" s="528" t="s">
        <v>1014</v>
      </c>
      <c r="AF165" s="530">
        <f>IF(CampList[[#This Row],[Type of Accomodation]]="camp",MAX(0,CampList[[#This Row],[HH]]-SUMIF(Table_Shelter[Pcode],CampList[[#This Row],[CP_Pcode]],Table_Shelter[HH Covered])),0)</f>
        <v>0</v>
      </c>
      <c r="AG165" s="520"/>
      <c r="AH165" s="520">
        <f>MIN(CampList[[#This Row],[Shelter Gap]],CampList[[#This Row],[Land Status]])</f>
        <v>0</v>
      </c>
      <c r="AI165" s="520" t="str">
        <f ca="1">IFERROR(OFFSET(DistanceToCamp[Nearest Town],MATCH(CampList[[#This Row],[CP_Pcode]],DistanceToCamp[CP_Pcode],0)-1,0,1,1),"")</f>
        <v/>
      </c>
      <c r="AJ165" s="336" t="str">
        <f ca="1">IFERROR(OFFSET(DistanceToCamp[distance],MATCH(CampList[[#This Row],[CP_Pcode]],DistanceToCamp[CP_Pcode],0)-1,0,1,1),"")</f>
        <v/>
      </c>
      <c r="AK165" s="562" t="str">
        <f ca="1">IFERROR(INT(CampList[[#This Row],[Distance]]/5)+1,"")</f>
        <v/>
      </c>
      <c r="AL165" s="721"/>
      <c r="AM165" s="721"/>
      <c r="AN165" s="721"/>
      <c r="BD165" s="5"/>
      <c r="BE165" s="5"/>
    </row>
    <row r="166" spans="1:57" s="4" customFormat="1" ht="15.6" hidden="1" customHeight="1" x14ac:dyDescent="0.25">
      <c r="A166" s="550" t="s">
        <v>849</v>
      </c>
      <c r="B166" s="522" t="s">
        <v>380</v>
      </c>
      <c r="C166" s="522" t="s">
        <v>527</v>
      </c>
      <c r="D166" s="522" t="s">
        <v>5</v>
      </c>
      <c r="E166" s="522" t="s">
        <v>531</v>
      </c>
      <c r="F166" s="522" t="s">
        <v>151</v>
      </c>
      <c r="G166" s="520" t="s">
        <v>541</v>
      </c>
      <c r="H166" s="551" t="s">
        <v>630</v>
      </c>
      <c r="I166" s="551" t="s">
        <v>631</v>
      </c>
      <c r="J166" s="551"/>
      <c r="K166" s="552"/>
      <c r="L166" s="522" t="s">
        <v>164</v>
      </c>
      <c r="M166" s="522" t="s">
        <v>163</v>
      </c>
      <c r="N166" s="570">
        <v>97.132339999999999</v>
      </c>
      <c r="O166" s="570">
        <v>23.75817</v>
      </c>
      <c r="P166" s="564"/>
      <c r="Q166" s="504">
        <v>0</v>
      </c>
      <c r="R166" s="526">
        <v>0</v>
      </c>
      <c r="S166" s="333" t="str">
        <f>IF(CampList[[#This Row],[HH]]&gt;0,CampList[[#This Row],[Total]]/CampList[[#This Row],[HH]],"NA")</f>
        <v>NA</v>
      </c>
      <c r="T166" s="556" t="s">
        <v>515</v>
      </c>
      <c r="U166" s="557" t="s">
        <v>1204</v>
      </c>
      <c r="V166" s="522" t="s">
        <v>556</v>
      </c>
      <c r="W166" s="557"/>
      <c r="X166" s="565"/>
      <c r="Y166" s="566"/>
      <c r="Z166" s="557"/>
      <c r="AA166" s="512" t="s">
        <v>574</v>
      </c>
      <c r="AB166" s="522"/>
      <c r="AC166" s="567"/>
      <c r="AD166" s="518" t="s">
        <v>851</v>
      </c>
      <c r="AE166" s="566" t="s">
        <v>1014</v>
      </c>
      <c r="AF166" s="530">
        <f>IF(CampList[[#This Row],[Type of Accomodation]]="camp",MAX(0,CampList[[#This Row],[HH]]-SUMIF(Table_Shelter[Pcode],CampList[[#This Row],[CP_Pcode]],Table_Shelter[HH Covered])),0)</f>
        <v>0</v>
      </c>
      <c r="AG166" s="520"/>
      <c r="AH166" s="520">
        <f>MIN(CampList[[#This Row],[Shelter Gap]],CampList[[#This Row],[Land Status]])</f>
        <v>0</v>
      </c>
      <c r="AI166" s="520" t="str">
        <f ca="1">IFERROR(OFFSET(DistanceToCamp[Nearest Town],MATCH(CampList[[#This Row],[CP_Pcode]],DistanceToCamp[CP_Pcode],0)-1,0,1,1),"")</f>
        <v/>
      </c>
      <c r="AJ166" s="336" t="str">
        <f ca="1">IFERROR(OFFSET(DistanceToCamp[distance],MATCH(CampList[[#This Row],[CP_Pcode]],DistanceToCamp[CP_Pcode],0)-1,0,1,1),"")</f>
        <v/>
      </c>
      <c r="AK166" s="562" t="str">
        <f ca="1">IFERROR(INT(CampList[[#This Row],[Distance]]/5)+1,"")</f>
        <v/>
      </c>
      <c r="AL166" s="721"/>
      <c r="AM166" s="721"/>
      <c r="AN166" s="721"/>
      <c r="BD166" s="5"/>
      <c r="BE166" s="5"/>
    </row>
    <row r="167" spans="1:57" s="4" customFormat="1" ht="15.6" customHeight="1" x14ac:dyDescent="0.25">
      <c r="A167" s="550" t="s">
        <v>502</v>
      </c>
      <c r="B167" s="522" t="s">
        <v>380</v>
      </c>
      <c r="C167" s="522" t="s">
        <v>527</v>
      </c>
      <c r="D167" s="522" t="s">
        <v>180</v>
      </c>
      <c r="E167" s="522" t="s">
        <v>528</v>
      </c>
      <c r="F167" s="522" t="s">
        <v>529</v>
      </c>
      <c r="G167" s="520" t="s">
        <v>530</v>
      </c>
      <c r="H167" s="551" t="s">
        <v>611</v>
      </c>
      <c r="I167" s="551" t="s">
        <v>612</v>
      </c>
      <c r="J167" s="551" t="s">
        <v>611</v>
      </c>
      <c r="K167" s="552">
        <v>166776</v>
      </c>
      <c r="L167" s="522" t="s">
        <v>613</v>
      </c>
      <c r="M167" s="522" t="s">
        <v>46</v>
      </c>
      <c r="N167" s="729">
        <v>96.339590000000001</v>
      </c>
      <c r="O167" s="729">
        <v>25.617998</v>
      </c>
      <c r="P167" s="564"/>
      <c r="Q167" s="504">
        <v>17</v>
      </c>
      <c r="R167" s="526">
        <v>64</v>
      </c>
      <c r="S167" s="333">
        <f>IF(CampList[[#This Row],[HH]]&gt;0,CampList[[#This Row],[Total]]/CampList[[#This Row],[HH]],"NA")</f>
        <v>3.7647058823529411</v>
      </c>
      <c r="T167" s="576" t="s">
        <v>513</v>
      </c>
      <c r="U167" s="557" t="s">
        <v>1204</v>
      </c>
      <c r="V167" s="522" t="s">
        <v>556</v>
      </c>
      <c r="W167" s="557" t="s">
        <v>808</v>
      </c>
      <c r="X167" s="558">
        <v>41275</v>
      </c>
      <c r="Y167" s="559">
        <v>1</v>
      </c>
      <c r="Z167" s="558" t="s">
        <v>507</v>
      </c>
      <c r="AA167" s="516" t="s">
        <v>848</v>
      </c>
      <c r="AB167" s="522"/>
      <c r="AC167" s="560">
        <v>42317</v>
      </c>
      <c r="AD167" s="518" t="s">
        <v>1340</v>
      </c>
      <c r="AE167" s="559" t="s">
        <v>1100</v>
      </c>
      <c r="AF167" s="530">
        <f>IF(CampList[[#This Row],[Type of Accomodation]]="camp",MAX(0,CampList[[#This Row],[HH]]-SUMIF(Table_Shelter[Pcode],CampList[[#This Row],[CP_Pcode]],Table_Shelter[HH Covered])),0)</f>
        <v>2</v>
      </c>
      <c r="AG167" s="520"/>
      <c r="AH167" s="520">
        <f>MIN(CampList[[#This Row],[Shelter Gap]],CampList[[#This Row],[Land Status]])</f>
        <v>2</v>
      </c>
      <c r="AI167" s="520" t="str">
        <f ca="1">IFERROR(OFFSET(DistanceToCamp[Nearest Town],MATCH(CampList[[#This Row],[CP_Pcode]],DistanceToCamp[CP_Pcode],0)-1,0,1,1),"")</f>
        <v>Hpakant Town</v>
      </c>
      <c r="AJ167" s="336">
        <f ca="1">IFERROR(OFFSET(DistanceToCamp[distance],MATCH(CampList[[#This Row],[CP_Pcode]],DistanceToCamp[CP_Pcode],0)-1,0,1,1),"")</f>
        <v>2.814225084976667</v>
      </c>
      <c r="AK167" s="562">
        <f ca="1">IFERROR(INT(CampList[[#This Row],[Distance]]/5)+1,"")</f>
        <v>1</v>
      </c>
      <c r="AL167" s="721"/>
      <c r="AM167" s="721"/>
      <c r="AN167" s="721"/>
      <c r="BD167" s="5"/>
      <c r="BE167" s="5"/>
    </row>
    <row r="168" spans="1:57" s="4" customFormat="1" ht="15.6" customHeight="1" x14ac:dyDescent="0.25">
      <c r="A168" s="332" t="s">
        <v>502</v>
      </c>
      <c r="B168" s="520" t="s">
        <v>555</v>
      </c>
      <c r="C168" s="520" t="s">
        <v>538</v>
      </c>
      <c r="D168" s="520" t="s">
        <v>782</v>
      </c>
      <c r="E168" s="520" t="s">
        <v>783</v>
      </c>
      <c r="F168" s="520" t="s">
        <v>784</v>
      </c>
      <c r="G168" s="218" t="s">
        <v>785</v>
      </c>
      <c r="H168" s="520" t="s">
        <v>1295</v>
      </c>
      <c r="I168" s="520" t="s">
        <v>1296</v>
      </c>
      <c r="J168" s="520" t="s">
        <v>1295</v>
      </c>
      <c r="K168" s="520">
        <v>206352</v>
      </c>
      <c r="L168" s="525" t="s">
        <v>1295</v>
      </c>
      <c r="M168" s="520" t="s">
        <v>1277</v>
      </c>
      <c r="N168" s="26">
        <v>98.218626999999998</v>
      </c>
      <c r="O168" s="26">
        <v>23.354268999999999</v>
      </c>
      <c r="P168" s="564"/>
      <c r="Q168" s="506">
        <v>44</v>
      </c>
      <c r="R168" s="527">
        <v>273</v>
      </c>
      <c r="S168" s="333">
        <f>IF(CampList[[#This Row],[HH]]&gt;0,CampList[[#This Row],[Total]]/CampList[[#This Row],[HH]],"NA")</f>
        <v>6.2045454545454541</v>
      </c>
      <c r="T168" s="576" t="s">
        <v>513</v>
      </c>
      <c r="U168" s="334" t="s">
        <v>1204</v>
      </c>
      <c r="V168" s="219" t="s">
        <v>556</v>
      </c>
      <c r="W168" s="522" t="s">
        <v>862</v>
      </c>
      <c r="X168" s="572"/>
      <c r="Y168" s="566"/>
      <c r="Z168" s="557" t="s">
        <v>462</v>
      </c>
      <c r="AA168" s="515" t="s">
        <v>848</v>
      </c>
      <c r="AB168" s="520"/>
      <c r="AC168" s="574">
        <v>42397</v>
      </c>
      <c r="AD168" s="523" t="s">
        <v>1368</v>
      </c>
      <c r="AE168" s="566"/>
      <c r="AF168" s="233">
        <f>IF(CampList[[#This Row],[Type of Accomodation]]="camp",MAX(0,CampList[[#This Row],[HH]]-SUMIF(Table_Shelter[Pcode],CampList[[#This Row],[CP_Pcode]],Table_Shelter[HH Covered])),0)</f>
        <v>9</v>
      </c>
      <c r="AG168" s="218"/>
      <c r="AH168" s="218">
        <f>MIN(CampList[[#This Row],[Shelter Gap]],CampList[[#This Row],[Land Status]])</f>
        <v>9</v>
      </c>
      <c r="AI168" s="218" t="str">
        <f ca="1">IFERROR(OFFSET(DistanceToCamp[Nearest Town],MATCH(CampList[[#This Row],[CP_Pcode]],DistanceToCamp[CP_Pcode],0)-1,0,1,1),"")</f>
        <v/>
      </c>
      <c r="AJ168" s="336" t="str">
        <f ca="1">IFERROR(OFFSET(DistanceToCamp[distance],MATCH(CampList[[#This Row],[CP_Pcode]],DistanceToCamp[CP_Pcode],0)-1,0,1,1),"")</f>
        <v/>
      </c>
      <c r="AK168" s="337" t="str">
        <f ca="1">IFERROR(INT(CampList[[#This Row],[Distance]]/5)+1,"")</f>
        <v/>
      </c>
      <c r="AL168" s="721"/>
      <c r="AM168" s="721"/>
      <c r="AN168" s="721"/>
      <c r="BD168" s="5"/>
      <c r="BE168" s="5"/>
    </row>
    <row r="169" spans="1:57" s="4" customFormat="1" ht="15.6" customHeight="1" x14ac:dyDescent="0.25">
      <c r="A169" s="550" t="s">
        <v>502</v>
      </c>
      <c r="B169" s="522" t="s">
        <v>555</v>
      </c>
      <c r="C169" s="520" t="s">
        <v>538</v>
      </c>
      <c r="D169" s="520" t="s">
        <v>543</v>
      </c>
      <c r="E169" s="520" t="s">
        <v>544</v>
      </c>
      <c r="F169" s="520" t="s">
        <v>298</v>
      </c>
      <c r="G169" s="520" t="s">
        <v>552</v>
      </c>
      <c r="H169" s="580" t="s">
        <v>823</v>
      </c>
      <c r="I169" s="520" t="s">
        <v>824</v>
      </c>
      <c r="J169" s="580" t="s">
        <v>825</v>
      </c>
      <c r="K169" s="581" t="s">
        <v>826</v>
      </c>
      <c r="L169" s="569" t="s">
        <v>827</v>
      </c>
      <c r="M169" s="522" t="s">
        <v>297</v>
      </c>
      <c r="N169" s="563">
        <v>97.404089999999997</v>
      </c>
      <c r="O169" s="563">
        <v>23.094290000000001</v>
      </c>
      <c r="P169" s="554">
        <v>534.29999999999995</v>
      </c>
      <c r="Q169" s="504">
        <v>10</v>
      </c>
      <c r="R169" s="526">
        <v>41</v>
      </c>
      <c r="S169" s="333">
        <f>IF(CampList[[#This Row],[HH]]&gt;0,CampList[[#This Row],[Total]]/CampList[[#This Row],[HH]],"NA")</f>
        <v>4.0999999999999996</v>
      </c>
      <c r="T169" s="576" t="s">
        <v>513</v>
      </c>
      <c r="U169" s="557" t="s">
        <v>1204</v>
      </c>
      <c r="V169" s="522" t="s">
        <v>556</v>
      </c>
      <c r="W169" s="557" t="s">
        <v>808</v>
      </c>
      <c r="X169" s="558">
        <v>41000</v>
      </c>
      <c r="Y169" s="559">
        <v>1</v>
      </c>
      <c r="Z169" s="558" t="s">
        <v>462</v>
      </c>
      <c r="AA169" s="511" t="s">
        <v>848</v>
      </c>
      <c r="AB169" s="522"/>
      <c r="AC169" s="574">
        <v>42397</v>
      </c>
      <c r="AD169" s="518" t="s">
        <v>1365</v>
      </c>
      <c r="AE169" s="559" t="s">
        <v>1086</v>
      </c>
      <c r="AF169" s="530">
        <f>IF(CampList[[#This Row],[Type of Accomodation]]="camp",MAX(0,CampList[[#This Row],[HH]]-SUMIF(Table_Shelter[Pcode],CampList[[#This Row],[CP_Pcode]],Table_Shelter[HH Covered])),0)</f>
        <v>0</v>
      </c>
      <c r="AG169" s="520"/>
      <c r="AH169" s="520">
        <f>MIN(CampList[[#This Row],[Shelter Gap]],CampList[[#This Row],[Land Status]])</f>
        <v>0</v>
      </c>
      <c r="AI169" s="520" t="str">
        <f ca="1">IFERROR(OFFSET(DistanceToCamp[Nearest Town],MATCH(CampList[[#This Row],[CP_Pcode]],DistanceToCamp[CP_Pcode],0)-1,0,1,1),"")</f>
        <v>Namtu Town</v>
      </c>
      <c r="AJ169" s="336">
        <f ca="1">IFERROR(OFFSET(DistanceToCamp[distance],MATCH(CampList[[#This Row],[CP_Pcode]],DistanceToCamp[CP_Pcode],0)-1,0,1,1),"")</f>
        <v>0.37588352961435612</v>
      </c>
      <c r="AK169" s="562">
        <f ca="1">IFERROR(INT(CampList[[#This Row],[Distance]]/5)+1,"")</f>
        <v>1</v>
      </c>
      <c r="AL169" s="721"/>
      <c r="AM169" s="721"/>
      <c r="AN169" s="721"/>
      <c r="BD169" s="5"/>
      <c r="BE169" s="5"/>
    </row>
    <row r="170" spans="1:57" s="4" customFormat="1" ht="15.6" customHeight="1" x14ac:dyDescent="0.25">
      <c r="A170" s="550" t="s">
        <v>502</v>
      </c>
      <c r="B170" s="522" t="s">
        <v>555</v>
      </c>
      <c r="C170" s="520" t="s">
        <v>538</v>
      </c>
      <c r="D170" s="520" t="s">
        <v>543</v>
      </c>
      <c r="E170" s="520" t="s">
        <v>544</v>
      </c>
      <c r="F170" s="520" t="s">
        <v>298</v>
      </c>
      <c r="G170" s="520" t="s">
        <v>552</v>
      </c>
      <c r="H170" s="580" t="s">
        <v>823</v>
      </c>
      <c r="I170" s="520" t="s">
        <v>824</v>
      </c>
      <c r="J170" s="580" t="s">
        <v>825</v>
      </c>
      <c r="K170" s="581" t="s">
        <v>826</v>
      </c>
      <c r="L170" s="522" t="s">
        <v>595</v>
      </c>
      <c r="M170" s="522" t="s">
        <v>830</v>
      </c>
      <c r="N170" s="563">
        <v>97.398989</v>
      </c>
      <c r="O170" s="563">
        <v>23.088058</v>
      </c>
      <c r="P170" s="554">
        <v>1948</v>
      </c>
      <c r="Q170" s="504">
        <v>118</v>
      </c>
      <c r="R170" s="526">
        <v>520</v>
      </c>
      <c r="S170" s="333">
        <f>IF(CampList[[#This Row],[HH]]&gt;0,CampList[[#This Row],[Total]]/CampList[[#This Row],[HH]],"NA")</f>
        <v>4.406779661016949</v>
      </c>
      <c r="T170" s="576" t="s">
        <v>513</v>
      </c>
      <c r="U170" s="557" t="s">
        <v>1204</v>
      </c>
      <c r="V170" s="522" t="s">
        <v>12</v>
      </c>
      <c r="W170" s="557" t="s">
        <v>808</v>
      </c>
      <c r="X170" s="558"/>
      <c r="Y170" s="559"/>
      <c r="Z170" s="558"/>
      <c r="AA170" s="511" t="s">
        <v>848</v>
      </c>
      <c r="AB170" s="522"/>
      <c r="AC170" s="574">
        <v>41883</v>
      </c>
      <c r="AD170" s="518" t="s">
        <v>1116</v>
      </c>
      <c r="AE170" s="559" t="s">
        <v>1086</v>
      </c>
      <c r="AF170" s="530">
        <f>IF(CampList[[#This Row],[Type of Accomodation]]="camp",MAX(0,CampList[[#This Row],[HH]]-SUMIF(Table_Shelter[Pcode],CampList[[#This Row],[CP_Pcode]],Table_Shelter[HH Covered])),0)</f>
        <v>0</v>
      </c>
      <c r="AG170" s="520"/>
      <c r="AH170" s="520">
        <f>MIN(CampList[[#This Row],[Shelter Gap]],CampList[[#This Row],[Land Status]])</f>
        <v>0</v>
      </c>
      <c r="AI170" s="520" t="str">
        <f ca="1">IFERROR(OFFSET(DistanceToCamp[Nearest Town],MATCH(CampList[[#This Row],[CP_Pcode]],DistanceToCamp[CP_Pcode],0)-1,0,1,1),"")</f>
        <v>Namtu Town</v>
      </c>
      <c r="AJ170" s="336">
        <f ca="1">IFERROR(OFFSET(DistanceToCamp[distance],MATCH(CampList[[#This Row],[CP_Pcode]],DistanceToCamp[CP_Pcode],0)-1,0,1,1),"")</f>
        <v>0.63626694856259092</v>
      </c>
      <c r="AK170" s="562">
        <f ca="1">IFERROR(INT(CampList[[#This Row],[Distance]]/5)+1,"")</f>
        <v>1</v>
      </c>
      <c r="AL170" s="721"/>
      <c r="AM170" s="721"/>
      <c r="AN170" s="721"/>
      <c r="BD170" s="5"/>
      <c r="BE170" s="5"/>
    </row>
    <row r="171" spans="1:57" s="4" customFormat="1" ht="15.6" customHeight="1" x14ac:dyDescent="0.25">
      <c r="A171" s="550" t="s">
        <v>502</v>
      </c>
      <c r="B171" s="520" t="s">
        <v>555</v>
      </c>
      <c r="C171" s="520" t="s">
        <v>538</v>
      </c>
      <c r="D171" s="520" t="s">
        <v>230</v>
      </c>
      <c r="E171" s="520" t="s">
        <v>539</v>
      </c>
      <c r="F171" s="520" t="s">
        <v>289</v>
      </c>
      <c r="G171" s="520" t="s">
        <v>551</v>
      </c>
      <c r="H171" s="520" t="s">
        <v>1065</v>
      </c>
      <c r="I171" s="520" t="s">
        <v>1064</v>
      </c>
      <c r="J171" s="520" t="s">
        <v>1066</v>
      </c>
      <c r="K171" s="581">
        <v>208338</v>
      </c>
      <c r="L171" s="525" t="s">
        <v>1074</v>
      </c>
      <c r="M171" s="520" t="s">
        <v>1067</v>
      </c>
      <c r="N171" s="553">
        <v>97.709879999999998</v>
      </c>
      <c r="O171" s="553">
        <v>23.838190000000001</v>
      </c>
      <c r="P171" s="527">
        <v>829.8</v>
      </c>
      <c r="Q171" s="506">
        <v>141</v>
      </c>
      <c r="R171" s="527">
        <v>669</v>
      </c>
      <c r="S171" s="333">
        <f>IF(CampList[[#This Row],[HH]]&gt;0,CampList[[#This Row],[Total]]/CampList[[#This Row],[HH]],"NA")</f>
        <v>4.7446808510638299</v>
      </c>
      <c r="T171" s="576" t="s">
        <v>513</v>
      </c>
      <c r="U171" s="557" t="s">
        <v>1204</v>
      </c>
      <c r="V171" s="522" t="s">
        <v>556</v>
      </c>
      <c r="W171" s="522" t="s">
        <v>808</v>
      </c>
      <c r="X171" s="572">
        <v>41747</v>
      </c>
      <c r="Y171" s="528"/>
      <c r="Z171" s="522" t="s">
        <v>462</v>
      </c>
      <c r="AA171" s="515" t="s">
        <v>848</v>
      </c>
      <c r="AB171" s="520"/>
      <c r="AC171" s="574">
        <v>42397</v>
      </c>
      <c r="AD171" s="523" t="s">
        <v>1360</v>
      </c>
      <c r="AE171" s="528" t="s">
        <v>1100</v>
      </c>
      <c r="AF171" s="530">
        <f>IF(CampList[[#This Row],[Type of Accomodation]]="camp",MAX(0,CampList[[#This Row],[HH]]-SUMIF(Table_Shelter[Pcode],CampList[[#This Row],[CP_Pcode]],Table_Shelter[HH Covered])),0)</f>
        <v>69</v>
      </c>
      <c r="AG171" s="520"/>
      <c r="AH171" s="520">
        <f>MIN(CampList[[#This Row],[Shelter Gap]],CampList[[#This Row],[Land Status]])</f>
        <v>69</v>
      </c>
      <c r="AI171" s="520" t="str">
        <f ca="1">IFERROR(OFFSET(DistanceToCamp[Nearest Town],MATCH(CampList[[#This Row],[CP_Pcode]],DistanceToCamp[CP_Pcode],0)-1,0,1,1),"")</f>
        <v>Namhkan Town</v>
      </c>
      <c r="AJ171" s="336">
        <f ca="1">IFERROR(OFFSET(DistanceToCamp[distance],MATCH(CampList[[#This Row],[CP_Pcode]],DistanceToCamp[CP_Pcode],0)-1,0,1,1),"")</f>
        <v>2.8590638493982405</v>
      </c>
      <c r="AK171" s="562">
        <f ca="1">IFERROR(INT(CampList[[#This Row],[Distance]]/5)+1,"")</f>
        <v>1</v>
      </c>
      <c r="AL171" s="721"/>
      <c r="AM171" s="721"/>
      <c r="AN171" s="721"/>
      <c r="BD171" s="5"/>
      <c r="BE171" s="5"/>
    </row>
    <row r="172" spans="1:57" s="4" customFormat="1" ht="15.6" customHeight="1" x14ac:dyDescent="0.25">
      <c r="A172" s="490" t="s">
        <v>502</v>
      </c>
      <c r="B172" s="530" t="s">
        <v>380</v>
      </c>
      <c r="C172" s="530" t="s">
        <v>527</v>
      </c>
      <c r="D172" s="530" t="s">
        <v>237</v>
      </c>
      <c r="E172" s="530" t="s">
        <v>533</v>
      </c>
      <c r="F172" s="530" t="s">
        <v>237</v>
      </c>
      <c r="G172" s="530" t="s">
        <v>537</v>
      </c>
      <c r="H172" s="530" t="s">
        <v>671</v>
      </c>
      <c r="I172" s="593" t="s">
        <v>672</v>
      </c>
      <c r="J172" s="530" t="s">
        <v>671</v>
      </c>
      <c r="K172" s="530">
        <v>165695</v>
      </c>
      <c r="L172" s="530" t="s">
        <v>271</v>
      </c>
      <c r="M172" s="530" t="s">
        <v>270</v>
      </c>
      <c r="N172" s="503">
        <v>97.359320179999997</v>
      </c>
      <c r="O172" s="503">
        <v>25.410569299999999</v>
      </c>
      <c r="P172" s="564"/>
      <c r="Q172" s="506">
        <v>69</v>
      </c>
      <c r="R172" s="527">
        <v>325</v>
      </c>
      <c r="S172" s="333">
        <f>IF(CampList[[#This Row],[HH]]&gt;0,CampList[[#This Row],[Total]]/CampList[[#This Row],[HH]],"NA")</f>
        <v>4.7101449275362315</v>
      </c>
      <c r="T172" s="594" t="s">
        <v>513</v>
      </c>
      <c r="U172" s="556" t="s">
        <v>1204</v>
      </c>
      <c r="V172" s="491" t="s">
        <v>556</v>
      </c>
      <c r="W172" s="503" t="s">
        <v>808</v>
      </c>
      <c r="X172" s="572">
        <v>40909</v>
      </c>
      <c r="Y172" s="566"/>
      <c r="Z172" s="566" t="s">
        <v>1097</v>
      </c>
      <c r="AA172" s="506" t="s">
        <v>848</v>
      </c>
      <c r="AB172" s="594"/>
      <c r="AC172" s="574">
        <v>42397</v>
      </c>
      <c r="AD172" s="705" t="s">
        <v>1379</v>
      </c>
      <c r="AE172" s="592" t="s">
        <v>1100</v>
      </c>
      <c r="AF172" s="593">
        <f>IF(CampList[[#This Row],[Type of Accomodation]]="camp",MAX(0,CampList[[#This Row],[HH]]-SUMIF(Table_Shelter[Pcode],CampList[[#This Row],[CP_Pcode]],Table_Shelter[HH Covered])),0)</f>
        <v>2</v>
      </c>
      <c r="AG172" s="530"/>
      <c r="AH172" s="593">
        <f>MIN(CampList[[#This Row],[Shelter Gap]],CampList[[#This Row],[Land Status]])</f>
        <v>2</v>
      </c>
      <c r="AI172" s="593" t="str">
        <f ca="1">IFERROR(OFFSET(DistanceToCamp[Nearest Town],MATCH(CampList[[#This Row],[CP_Pcode]],DistanceToCamp[CP_Pcode],0)-1,0,1,1),"")</f>
        <v>Myitkyina Town</v>
      </c>
      <c r="AJ172" s="336">
        <f ca="1">IFERROR(OFFSET(DistanceToCamp[distance],MATCH(CampList[[#This Row],[CP_Pcode]],DistanceToCamp[CP_Pcode],0)-1,0,1,1),"")</f>
        <v>4.037940696665812</v>
      </c>
      <c r="AK172" s="595">
        <f ca="1">IFERROR(INT(CampList[[#This Row],[Distance]]/5)+1,"")</f>
        <v>1</v>
      </c>
      <c r="AL172" s="721"/>
      <c r="AM172" s="721"/>
      <c r="AN172" s="721"/>
      <c r="BD172" s="5"/>
      <c r="BE172" s="5"/>
    </row>
    <row r="173" spans="1:57" s="4" customFormat="1" ht="15.6" customHeight="1" x14ac:dyDescent="0.25">
      <c r="A173" s="490" t="s">
        <v>502</v>
      </c>
      <c r="B173" s="530" t="s">
        <v>380</v>
      </c>
      <c r="C173" s="530" t="s">
        <v>527</v>
      </c>
      <c r="D173" s="530" t="s">
        <v>5</v>
      </c>
      <c r="E173" s="530" t="s">
        <v>531</v>
      </c>
      <c r="F173" s="530" t="s">
        <v>5</v>
      </c>
      <c r="G173" s="530" t="s">
        <v>532</v>
      </c>
      <c r="H173" s="530" t="s">
        <v>656</v>
      </c>
      <c r="I173" s="593" t="s">
        <v>657</v>
      </c>
      <c r="J173" s="530" t="s">
        <v>656</v>
      </c>
      <c r="K173" s="530">
        <v>166844</v>
      </c>
      <c r="L173" s="530" t="s">
        <v>20</v>
      </c>
      <c r="M173" s="530" t="s">
        <v>19</v>
      </c>
      <c r="N173" s="503">
        <v>97.315860000000001</v>
      </c>
      <c r="O173" s="503">
        <v>24.32638</v>
      </c>
      <c r="P173" s="564"/>
      <c r="Q173" s="506">
        <v>20</v>
      </c>
      <c r="R173" s="527">
        <v>103</v>
      </c>
      <c r="S173" s="333">
        <f>IF(CampList[[#This Row],[HH]]&gt;0,CampList[[#This Row],[Total]]/CampList[[#This Row],[HH]],"NA")</f>
        <v>5.15</v>
      </c>
      <c r="T173" s="594" t="s">
        <v>513</v>
      </c>
      <c r="U173" s="556" t="s">
        <v>1204</v>
      </c>
      <c r="V173" s="491" t="s">
        <v>556</v>
      </c>
      <c r="W173" s="503" t="s">
        <v>808</v>
      </c>
      <c r="X173" s="572">
        <v>40848</v>
      </c>
      <c r="Y173" s="566">
        <v>2</v>
      </c>
      <c r="Z173" s="566" t="s">
        <v>1096</v>
      </c>
      <c r="AA173" s="506" t="s">
        <v>848</v>
      </c>
      <c r="AB173" s="594"/>
      <c r="AC173" s="574">
        <v>42397</v>
      </c>
      <c r="AD173" s="705" t="s">
        <v>1394</v>
      </c>
      <c r="AE173" s="592" t="s">
        <v>1100</v>
      </c>
      <c r="AF173" s="593">
        <f>IF(CampList[[#This Row],[Type of Accomodation]]="camp",MAX(0,CampList[[#This Row],[HH]]-SUMIF(Table_Shelter[Pcode],CampList[[#This Row],[CP_Pcode]],Table_Shelter[HH Covered])),0)</f>
        <v>10</v>
      </c>
      <c r="AG173" s="530"/>
      <c r="AH173" s="593">
        <f>MIN(CampList[[#This Row],[Shelter Gap]],CampList[[#This Row],[Land Status]])</f>
        <v>10</v>
      </c>
      <c r="AI173" s="593" t="str">
        <f ca="1">IFERROR(OFFSET(DistanceToCamp[Nearest Town],MATCH(CampList[[#This Row],[CP_Pcode]],DistanceToCamp[CP_Pcode],0)-1,0,1,1),"")</f>
        <v>Momauk Town</v>
      </c>
      <c r="AJ173" s="336">
        <f ca="1">IFERROR(OFFSET(DistanceToCamp[distance],MATCH(CampList[[#This Row],[CP_Pcode]],DistanceToCamp[CP_Pcode],0)-1,0,1,1),"")</f>
        <v>8.3788619521763046</v>
      </c>
      <c r="AK173" s="595">
        <f ca="1">IFERROR(INT(CampList[[#This Row],[Distance]]/5)+1,"")</f>
        <v>2</v>
      </c>
      <c r="AL173" s="721"/>
      <c r="AM173" s="721"/>
      <c r="AN173" s="721"/>
      <c r="BD173" s="5"/>
      <c r="BE173" s="5"/>
    </row>
    <row r="174" spans="1:57" s="4" customFormat="1" ht="15.6" customHeight="1" x14ac:dyDescent="0.25">
      <c r="A174" s="550" t="s">
        <v>502</v>
      </c>
      <c r="B174" s="522" t="s">
        <v>380</v>
      </c>
      <c r="C174" s="522" t="s">
        <v>527</v>
      </c>
      <c r="D174" s="522" t="s">
        <v>180</v>
      </c>
      <c r="E174" s="522" t="s">
        <v>528</v>
      </c>
      <c r="F174" s="522" t="s">
        <v>529</v>
      </c>
      <c r="G174" s="520" t="s">
        <v>530</v>
      </c>
      <c r="H174" s="551" t="s">
        <v>611</v>
      </c>
      <c r="I174" s="551" t="s">
        <v>612</v>
      </c>
      <c r="J174" s="551" t="s">
        <v>611</v>
      </c>
      <c r="K174" s="552">
        <v>166776</v>
      </c>
      <c r="L174" s="522" t="s">
        <v>108</v>
      </c>
      <c r="M174" s="522" t="s">
        <v>107</v>
      </c>
      <c r="N174" s="553">
        <v>96.341352999999998</v>
      </c>
      <c r="O174" s="553">
        <v>25.613894999999999</v>
      </c>
      <c r="P174" s="554">
        <v>251</v>
      </c>
      <c r="Q174" s="504">
        <v>54</v>
      </c>
      <c r="R174" s="526">
        <v>254</v>
      </c>
      <c r="S174" s="333">
        <f>IF(CampList[[#This Row],[HH]]&gt;0,CampList[[#This Row],[Total]]/CampList[[#This Row],[HH]],"NA")</f>
        <v>4.7037037037037033</v>
      </c>
      <c r="T174" s="576" t="s">
        <v>513</v>
      </c>
      <c r="U174" s="557" t="s">
        <v>1204</v>
      </c>
      <c r="V174" s="522" t="s">
        <v>556</v>
      </c>
      <c r="W174" s="557" t="s">
        <v>808</v>
      </c>
      <c r="X174" s="558">
        <v>41487</v>
      </c>
      <c r="Y174" s="559">
        <v>3</v>
      </c>
      <c r="Z174" s="558" t="s">
        <v>1097</v>
      </c>
      <c r="AA174" s="510" t="s">
        <v>848</v>
      </c>
      <c r="AB174" s="522"/>
      <c r="AC174" s="574">
        <v>42397</v>
      </c>
      <c r="AD174" s="518" t="s">
        <v>1380</v>
      </c>
      <c r="AE174" s="559" t="s">
        <v>1100</v>
      </c>
      <c r="AF174" s="530">
        <f>IF(CampList[[#This Row],[Type of Accomodation]]="camp",MAX(0,CampList[[#This Row],[HH]]-SUMIF(Table_Shelter[Pcode],CampList[[#This Row],[CP_Pcode]],Table_Shelter[HH Covered])),0)</f>
        <v>0</v>
      </c>
      <c r="AG174" s="520"/>
      <c r="AH174" s="520">
        <f>MIN(CampList[[#This Row],[Shelter Gap]],CampList[[#This Row],[Land Status]])</f>
        <v>0</v>
      </c>
      <c r="AI174" s="520" t="str">
        <f ca="1">IFERROR(OFFSET(DistanceToCamp[Nearest Town],MATCH(CampList[[#This Row],[CP_Pcode]],DistanceToCamp[CP_Pcode],0)-1,0,1,1),"")</f>
        <v>Hpakant Town</v>
      </c>
      <c r="AJ174" s="336">
        <f ca="1">IFERROR(OFFSET(DistanceToCamp[distance],MATCH(CampList[[#This Row],[CP_Pcode]],DistanceToCamp[CP_Pcode],0)-1,0,1,1),"")</f>
        <v>2.9334852607184256</v>
      </c>
      <c r="AK174" s="562">
        <f ca="1">IFERROR(INT(CampList[[#This Row],[Distance]]/5)+1,"")</f>
        <v>1</v>
      </c>
      <c r="AL174" s="721"/>
      <c r="AM174" s="721"/>
      <c r="AN174" s="721"/>
      <c r="BD174" s="5"/>
      <c r="BE174" s="5"/>
    </row>
    <row r="175" spans="1:57" s="4" customFormat="1" ht="15.6" hidden="1" customHeight="1" x14ac:dyDescent="0.25">
      <c r="A175" s="550" t="s">
        <v>849</v>
      </c>
      <c r="B175" s="522" t="s">
        <v>380</v>
      </c>
      <c r="C175" s="522" t="s">
        <v>527</v>
      </c>
      <c r="D175" s="522" t="s">
        <v>180</v>
      </c>
      <c r="E175" s="522" t="s">
        <v>528</v>
      </c>
      <c r="F175" s="522" t="s">
        <v>180</v>
      </c>
      <c r="G175" s="520" t="s">
        <v>553</v>
      </c>
      <c r="H175" s="551" t="s">
        <v>618</v>
      </c>
      <c r="I175" s="551" t="s">
        <v>619</v>
      </c>
      <c r="J175" s="551" t="s">
        <v>618</v>
      </c>
      <c r="K175" s="552">
        <v>166591</v>
      </c>
      <c r="L175" s="522" t="s">
        <v>183</v>
      </c>
      <c r="M175" s="522" t="s">
        <v>182</v>
      </c>
      <c r="N175" s="553">
        <v>96.364949999999993</v>
      </c>
      <c r="O175" s="553">
        <v>24.998349999999999</v>
      </c>
      <c r="P175" s="554">
        <v>0</v>
      </c>
      <c r="Q175" s="504">
        <v>0</v>
      </c>
      <c r="R175" s="526">
        <v>0</v>
      </c>
      <c r="S175" s="333" t="str">
        <f>IF(CampList[[#This Row],[HH]]&gt;0,CampList[[#This Row],[Total]]/CampList[[#This Row],[HH]],"NA")</f>
        <v>NA</v>
      </c>
      <c r="T175" s="556" t="s">
        <v>513</v>
      </c>
      <c r="U175" s="557" t="s">
        <v>1204</v>
      </c>
      <c r="V175" s="522" t="s">
        <v>556</v>
      </c>
      <c r="W175" s="557" t="s">
        <v>862</v>
      </c>
      <c r="X175" s="558">
        <v>40969</v>
      </c>
      <c r="Y175" s="559"/>
      <c r="Z175" s="558" t="s">
        <v>462</v>
      </c>
      <c r="AA175" s="510" t="s">
        <v>847</v>
      </c>
      <c r="AB175" s="522"/>
      <c r="AC175" s="574">
        <v>41837</v>
      </c>
      <c r="AD175" s="518" t="s">
        <v>1105</v>
      </c>
      <c r="AE175" s="559" t="s">
        <v>1100</v>
      </c>
      <c r="AF175" s="530">
        <f>IF(CampList[[#This Row],[Type of Accomodation]]="camp",MAX(0,CampList[[#This Row],[HH]]-SUMIF(Table_Shelter[Pcode],CampList[[#This Row],[CP_Pcode]],Table_Shelter[HH Covered])),0)</f>
        <v>0</v>
      </c>
      <c r="AG175" s="520"/>
      <c r="AH175" s="520">
        <f>MIN(CampList[[#This Row],[Shelter Gap]],CampList[[#This Row],[Land Status]])</f>
        <v>0</v>
      </c>
      <c r="AI175" s="520" t="str">
        <f ca="1">IFERROR(OFFSET(DistanceToCamp[Nearest Town],MATCH(CampList[[#This Row],[CP_Pcode]],DistanceToCamp[CP_Pcode],0)-1,0,1,1),"")</f>
        <v/>
      </c>
      <c r="AJ175" s="336" t="str">
        <f ca="1">IFERROR(OFFSET(DistanceToCamp[distance],MATCH(CampList[[#This Row],[CP_Pcode]],DistanceToCamp[CP_Pcode],0)-1,0,1,1),"")</f>
        <v/>
      </c>
      <c r="AK175" s="562" t="str">
        <f ca="1">IFERROR(INT(CampList[[#This Row],[Distance]]/5)+1,"")</f>
        <v/>
      </c>
      <c r="AL175" s="721"/>
      <c r="AM175" s="721"/>
      <c r="AN175" s="721"/>
      <c r="BD175" s="5"/>
      <c r="BE175" s="5"/>
    </row>
    <row r="176" spans="1:57" s="4" customFormat="1" ht="15.6" customHeight="1" x14ac:dyDescent="0.25">
      <c r="A176" s="332" t="s">
        <v>502</v>
      </c>
      <c r="B176" s="219" t="s">
        <v>555</v>
      </c>
      <c r="C176" s="520" t="s">
        <v>538</v>
      </c>
      <c r="D176" s="520" t="s">
        <v>782</v>
      </c>
      <c r="E176" s="520" t="s">
        <v>783</v>
      </c>
      <c r="F176" s="520" t="s">
        <v>784</v>
      </c>
      <c r="G176" s="218" t="s">
        <v>785</v>
      </c>
      <c r="H176" s="577" t="s">
        <v>786</v>
      </c>
      <c r="I176" s="577" t="s">
        <v>787</v>
      </c>
      <c r="J176" s="577" t="s">
        <v>786</v>
      </c>
      <c r="K176" s="578">
        <v>206422</v>
      </c>
      <c r="L176" s="522" t="s">
        <v>596</v>
      </c>
      <c r="M176" s="219" t="s">
        <v>844</v>
      </c>
      <c r="N176" s="553">
        <v>98.352670000000003</v>
      </c>
      <c r="O176" s="553">
        <v>23.372409999999999</v>
      </c>
      <c r="P176" s="554">
        <v>617.6</v>
      </c>
      <c r="Q176" s="505">
        <v>67</v>
      </c>
      <c r="R176" s="528">
        <v>392</v>
      </c>
      <c r="S176" s="333">
        <f>IF(CampList[[#This Row],[HH]]&gt;0,CampList[[#This Row],[Total]]/CampList[[#This Row],[HH]],"NA")</f>
        <v>5.8507462686567164</v>
      </c>
      <c r="T176" s="576" t="s">
        <v>515</v>
      </c>
      <c r="U176" s="334" t="s">
        <v>1204</v>
      </c>
      <c r="V176" s="522" t="s">
        <v>12</v>
      </c>
      <c r="W176" s="334" t="s">
        <v>862</v>
      </c>
      <c r="X176" s="558">
        <v>41365</v>
      </c>
      <c r="Y176" s="559"/>
      <c r="Z176" s="558"/>
      <c r="AA176" s="513" t="s">
        <v>848</v>
      </c>
      <c r="AB176" s="219"/>
      <c r="AC176" s="560">
        <v>41701</v>
      </c>
      <c r="AD176" s="519" t="s">
        <v>1018</v>
      </c>
      <c r="AE176" s="559" t="s">
        <v>1100</v>
      </c>
      <c r="AF176" s="233">
        <f>IF(CampList[[#This Row],[Type of Accomodation]]="camp",MAX(0,CampList[[#This Row],[HH]]-SUMIF(Table_Shelter[Pcode],CampList[[#This Row],[CP_Pcode]],Table_Shelter[HH Covered])),0)</f>
        <v>0</v>
      </c>
      <c r="AG176" s="520"/>
      <c r="AH176" s="218">
        <f>MIN(CampList[[#This Row],[Shelter Gap]],CampList[[#This Row],[Land Status]])</f>
        <v>0</v>
      </c>
      <c r="AI176" s="218" t="str">
        <f ca="1">IFERROR(OFFSET(DistanceToCamp[Nearest Town],MATCH(CampList[[#This Row],[CP_Pcode]],DistanceToCamp[CP_Pcode],0)-1,0,1,1),"")</f>
        <v>Kunlong Town</v>
      </c>
      <c r="AJ176" s="336">
        <f ca="1">IFERROR(OFFSET(DistanceToCamp[distance],MATCH(CampList[[#This Row],[CP_Pcode]],DistanceToCamp[CP_Pcode],0)-1,0,1,1),"")</f>
        <v>30.037709702375544</v>
      </c>
      <c r="AK176" s="337">
        <f ca="1">IFERROR(INT(CampList[[#This Row],[Distance]]/5)+1,"")</f>
        <v>7</v>
      </c>
      <c r="AL176" s="721"/>
      <c r="AM176" s="721"/>
      <c r="AN176" s="721"/>
      <c r="BD176" s="5"/>
      <c r="BE176" s="5"/>
    </row>
    <row r="177" spans="1:57" s="4" customFormat="1" ht="15.6" customHeight="1" x14ac:dyDescent="0.25">
      <c r="A177" s="550" t="s">
        <v>502</v>
      </c>
      <c r="B177" s="522" t="s">
        <v>380</v>
      </c>
      <c r="C177" s="520" t="s">
        <v>527</v>
      </c>
      <c r="D177" s="520" t="s">
        <v>180</v>
      </c>
      <c r="E177" s="520" t="s">
        <v>528</v>
      </c>
      <c r="F177" s="520" t="s">
        <v>173</v>
      </c>
      <c r="G177" s="218" t="s">
        <v>547</v>
      </c>
      <c r="H177" s="577" t="s">
        <v>632</v>
      </c>
      <c r="I177" s="577" t="s">
        <v>633</v>
      </c>
      <c r="J177" s="577" t="s">
        <v>637</v>
      </c>
      <c r="K177" s="578" t="s">
        <v>638</v>
      </c>
      <c r="L177" s="569" t="s">
        <v>178</v>
      </c>
      <c r="M177" s="522" t="s">
        <v>177</v>
      </c>
      <c r="N177" s="553">
        <v>96.948740000000001</v>
      </c>
      <c r="O177" s="553">
        <v>25.30442</v>
      </c>
      <c r="P177" s="554">
        <v>100</v>
      </c>
      <c r="Q177" s="505">
        <v>14</v>
      </c>
      <c r="R177" s="528">
        <v>44</v>
      </c>
      <c r="S177" s="333">
        <f>IF(CampList[[#This Row],[HH]]&gt;0,CampList[[#This Row],[Total]]/CampList[[#This Row],[HH]],"NA")</f>
        <v>3.1428571428571428</v>
      </c>
      <c r="T177" s="576" t="s">
        <v>513</v>
      </c>
      <c r="U177" s="334" t="s">
        <v>1204</v>
      </c>
      <c r="V177" s="219" t="s">
        <v>556</v>
      </c>
      <c r="W177" s="557" t="s">
        <v>808</v>
      </c>
      <c r="X177" s="558">
        <v>40969</v>
      </c>
      <c r="Y177" s="559">
        <v>1</v>
      </c>
      <c r="Z177" s="558" t="s">
        <v>462</v>
      </c>
      <c r="AA177" s="513" t="s">
        <v>848</v>
      </c>
      <c r="AB177" s="522"/>
      <c r="AC177" s="574">
        <v>42397</v>
      </c>
      <c r="AD177" s="519" t="s">
        <v>1433</v>
      </c>
      <c r="AE177" s="559" t="s">
        <v>1100</v>
      </c>
      <c r="AF177" s="233">
        <f>IF(CampList[[#This Row],[Type of Accomodation]]="camp",MAX(0,CampList[[#This Row],[HH]]-SUMIF(Table_Shelter[Pcode],CampList[[#This Row],[CP_Pcode]],Table_Shelter[HH Covered])),0)</f>
        <v>0</v>
      </c>
      <c r="AG177" s="218"/>
      <c r="AH177" s="218">
        <f>MIN(CampList[[#This Row],[Shelter Gap]],CampList[[#This Row],[Land Status]])</f>
        <v>0</v>
      </c>
      <c r="AI177" s="218" t="str">
        <f ca="1">IFERROR(OFFSET(DistanceToCamp[Nearest Town],MATCH(CampList[[#This Row],[CP_Pcode]],DistanceToCamp[CP_Pcode],0)-1,0,1,1),"")</f>
        <v>Mogaung Town</v>
      </c>
      <c r="AJ177" s="336">
        <f ca="1">IFERROR(OFFSET(DistanceToCamp[distance],MATCH(CampList[[#This Row],[CP_Pcode]],DistanceToCamp[CP_Pcode],0)-1,0,1,1),"")</f>
        <v>0.86042374061342075</v>
      </c>
      <c r="AK177" s="337">
        <f ca="1">IFERROR(INT(CampList[[#This Row],[Distance]]/5)+1,"")</f>
        <v>1</v>
      </c>
      <c r="AL177" s="721"/>
      <c r="AM177" s="721"/>
      <c r="AN177" s="721"/>
      <c r="BD177" s="5"/>
      <c r="BE177" s="5"/>
    </row>
    <row r="178" spans="1:57" s="4" customFormat="1" ht="15.6" hidden="1" customHeight="1" x14ac:dyDescent="0.25">
      <c r="A178" s="550" t="s">
        <v>849</v>
      </c>
      <c r="B178" s="522" t="s">
        <v>380</v>
      </c>
      <c r="C178" s="520" t="s">
        <v>527</v>
      </c>
      <c r="D178" s="520" t="s">
        <v>300</v>
      </c>
      <c r="E178" s="520" t="s">
        <v>548</v>
      </c>
      <c r="F178" s="520" t="s">
        <v>300</v>
      </c>
      <c r="G178" s="520" t="s">
        <v>554</v>
      </c>
      <c r="H178" s="577" t="s">
        <v>1036</v>
      </c>
      <c r="I178" s="577" t="s">
        <v>1037</v>
      </c>
      <c r="J178" s="577" t="s">
        <v>1038</v>
      </c>
      <c r="K178" s="578">
        <v>167567</v>
      </c>
      <c r="L178" s="522" t="s">
        <v>897</v>
      </c>
      <c r="M178" s="522" t="s">
        <v>898</v>
      </c>
      <c r="N178" s="553">
        <v>97.58184</v>
      </c>
      <c r="O178" s="553">
        <v>27.270199999999999</v>
      </c>
      <c r="P178" s="554">
        <v>372.9</v>
      </c>
      <c r="Q178" s="505">
        <v>0</v>
      </c>
      <c r="R178" s="528">
        <v>0</v>
      </c>
      <c r="S178" s="333" t="str">
        <f>IF(CampList[[#This Row],[HH]]&gt;0,CampList[[#This Row],[Total]]/CampList[[#This Row],[HH]],"NA")</f>
        <v>NA</v>
      </c>
      <c r="T178" s="556" t="s">
        <v>513</v>
      </c>
      <c r="U178" s="557" t="s">
        <v>1204</v>
      </c>
      <c r="V178" s="522" t="s">
        <v>556</v>
      </c>
      <c r="W178" s="557" t="s">
        <v>862</v>
      </c>
      <c r="X178" s="558">
        <v>41487</v>
      </c>
      <c r="Y178" s="559"/>
      <c r="Z178" s="558"/>
      <c r="AA178" s="513" t="s">
        <v>848</v>
      </c>
      <c r="AB178" s="522"/>
      <c r="AC178" s="574">
        <v>41725</v>
      </c>
      <c r="AD178" s="519" t="s">
        <v>1285</v>
      </c>
      <c r="AE178" s="559" t="s">
        <v>1086</v>
      </c>
      <c r="AF178" s="530">
        <f>IF(CampList[[#This Row],[Type of Accomodation]]="camp",MAX(0,CampList[[#This Row],[HH]]-SUMIF(Table_Shelter[Pcode],CampList[[#This Row],[CP_Pcode]],Table_Shelter[HH Covered])),0)</f>
        <v>0</v>
      </c>
      <c r="AG178" s="520"/>
      <c r="AH178" s="520">
        <f>MIN(CampList[[#This Row],[Shelter Gap]],CampList[[#This Row],[Land Status]])</f>
        <v>0</v>
      </c>
      <c r="AI178" s="520" t="str">
        <f ca="1">IFERROR(OFFSET(DistanceToCamp[Nearest Town],MATCH(CampList[[#This Row],[CP_Pcode]],DistanceToCamp[CP_Pcode],0)-1,0,1,1),"")</f>
        <v>Machanbaw Town</v>
      </c>
      <c r="AJ178" s="336">
        <f ca="1">IFERROR(OFFSET(DistanceToCamp[distance],MATCH(CampList[[#This Row],[CP_Pcode]],DistanceToCamp[CP_Pcode],0)-1,0,1,1),"")</f>
        <v>1.7005689699647559</v>
      </c>
      <c r="AK178" s="562">
        <f ca="1">IFERROR(INT(CampList[[#This Row],[Distance]]/5)+1,"")</f>
        <v>1</v>
      </c>
      <c r="AL178" s="721"/>
      <c r="AM178" s="721"/>
      <c r="AN178" s="721"/>
      <c r="BD178" s="5"/>
      <c r="BE178" s="5"/>
    </row>
    <row r="179" spans="1:57" s="4" customFormat="1" ht="15.6" customHeight="1" x14ac:dyDescent="0.25">
      <c r="A179" s="585" t="s">
        <v>502</v>
      </c>
      <c r="B179" s="522" t="s">
        <v>380</v>
      </c>
      <c r="C179" s="520" t="s">
        <v>527</v>
      </c>
      <c r="D179" s="520" t="s">
        <v>237</v>
      </c>
      <c r="E179" s="520" t="s">
        <v>533</v>
      </c>
      <c r="F179" s="520" t="s">
        <v>310</v>
      </c>
      <c r="G179" s="218" t="s">
        <v>534</v>
      </c>
      <c r="H179" s="577" t="s">
        <v>1145</v>
      </c>
      <c r="I179" s="577" t="s">
        <v>1267</v>
      </c>
      <c r="J179" s="577" t="s">
        <v>668</v>
      </c>
      <c r="K179" s="578">
        <v>165745</v>
      </c>
      <c r="L179" s="522" t="s">
        <v>344</v>
      </c>
      <c r="M179" s="522" t="s">
        <v>343</v>
      </c>
      <c r="N179" s="553">
        <v>97.345039</v>
      </c>
      <c r="O179" s="553">
        <v>25.351965</v>
      </c>
      <c r="P179" s="554"/>
      <c r="Q179" s="505">
        <v>18</v>
      </c>
      <c r="R179" s="528">
        <v>82</v>
      </c>
      <c r="S179" s="333">
        <f>IF(CampList[[#This Row],[HH]]&gt;0,CampList[[#This Row],[Total]]/CampList[[#This Row],[HH]],"NA")</f>
        <v>4.5555555555555554</v>
      </c>
      <c r="T179" s="576" t="s">
        <v>513</v>
      </c>
      <c r="U179" s="334" t="s">
        <v>1204</v>
      </c>
      <c r="V179" s="219" t="s">
        <v>556</v>
      </c>
      <c r="W179" s="557" t="s">
        <v>862</v>
      </c>
      <c r="X179" s="558"/>
      <c r="Y179" s="559">
        <v>1</v>
      </c>
      <c r="Z179" s="558" t="s">
        <v>507</v>
      </c>
      <c r="AA179" s="513" t="s">
        <v>848</v>
      </c>
      <c r="AB179" s="522"/>
      <c r="AC179" s="574">
        <v>42387</v>
      </c>
      <c r="AD179" s="519" t="s">
        <v>1406</v>
      </c>
      <c r="AE179" s="559" t="s">
        <v>1100</v>
      </c>
      <c r="AF179" s="233">
        <f>IF(CampList[[#This Row],[Type of Accomodation]]="camp",MAX(0,CampList[[#This Row],[HH]]-SUMIF(Table_Shelter[Pcode],CampList[[#This Row],[CP_Pcode]],Table_Shelter[HH Covered])),0)</f>
        <v>0</v>
      </c>
      <c r="AG179" s="520"/>
      <c r="AH179" s="218">
        <f>MIN(CampList[[#This Row],[Shelter Gap]],CampList[[#This Row],[Land Status]])</f>
        <v>0</v>
      </c>
      <c r="AI179" s="218" t="str">
        <f ca="1">IFERROR(OFFSET(DistanceToCamp[Nearest Town],MATCH(CampList[[#This Row],[CP_Pcode]],DistanceToCamp[CP_Pcode],0)-1,0,1,1),"")</f>
        <v>Myitkyina Town</v>
      </c>
      <c r="AJ179" s="336">
        <f ca="1">IFERROR(OFFSET(DistanceToCamp[distance],MATCH(CampList[[#This Row],[CP_Pcode]],DistanceToCamp[CP_Pcode],0)-1,0,1,1),"")</f>
        <v>6.0275881703713861</v>
      </c>
      <c r="AK179" s="337">
        <f ca="1">IFERROR(INT(CampList[[#This Row],[Distance]]/5)+1,"")</f>
        <v>2</v>
      </c>
      <c r="AL179" s="721"/>
      <c r="AM179" s="721"/>
      <c r="AN179" s="721"/>
      <c r="BD179" s="5"/>
      <c r="BE179" s="5"/>
    </row>
    <row r="180" spans="1:57" s="4" customFormat="1" ht="15.6" customHeight="1" x14ac:dyDescent="0.25">
      <c r="A180" s="550" t="s">
        <v>502</v>
      </c>
      <c r="B180" s="522" t="s">
        <v>380</v>
      </c>
      <c r="C180" s="520" t="s">
        <v>527</v>
      </c>
      <c r="D180" s="520" t="s">
        <v>180</v>
      </c>
      <c r="E180" s="520" t="s">
        <v>528</v>
      </c>
      <c r="F180" s="520" t="s">
        <v>180</v>
      </c>
      <c r="G180" s="520" t="s">
        <v>553</v>
      </c>
      <c r="H180" s="577" t="s">
        <v>618</v>
      </c>
      <c r="I180" s="577" t="s">
        <v>619</v>
      </c>
      <c r="J180" s="577" t="s">
        <v>941</v>
      </c>
      <c r="K180" s="578"/>
      <c r="L180" s="569" t="s">
        <v>287</v>
      </c>
      <c r="M180" s="522" t="s">
        <v>286</v>
      </c>
      <c r="N180" s="553">
        <v>96.364949999999993</v>
      </c>
      <c r="O180" s="553">
        <v>24.998349999999999</v>
      </c>
      <c r="P180" s="554"/>
      <c r="Q180" s="505">
        <v>18</v>
      </c>
      <c r="R180" s="528">
        <v>141</v>
      </c>
      <c r="S180" s="333">
        <f>IF(CampList[[#This Row],[HH]]&gt;0,CampList[[#This Row],[Total]]/CampList[[#This Row],[HH]],"NA")</f>
        <v>7.833333333333333</v>
      </c>
      <c r="T180" s="576" t="s">
        <v>513</v>
      </c>
      <c r="U180" s="557" t="s">
        <v>1204</v>
      </c>
      <c r="V180" s="522" t="s">
        <v>556</v>
      </c>
      <c r="W180" s="557" t="s">
        <v>862</v>
      </c>
      <c r="X180" s="558"/>
      <c r="Y180" s="559">
        <v>1</v>
      </c>
      <c r="Z180" s="558" t="s">
        <v>462</v>
      </c>
      <c r="AA180" s="513" t="s">
        <v>848</v>
      </c>
      <c r="AB180" s="522"/>
      <c r="AC180" s="574">
        <v>42397</v>
      </c>
      <c r="AD180" s="519" t="s">
        <v>1417</v>
      </c>
      <c r="AE180" s="559" t="s">
        <v>1100</v>
      </c>
      <c r="AF180" s="530">
        <f>IF(CampList[[#This Row],[Type of Accomodation]]="camp",MAX(0,CampList[[#This Row],[HH]]-SUMIF(Table_Shelter[Pcode],CampList[[#This Row],[CP_Pcode]],Table_Shelter[HH Covered])),0)</f>
        <v>0</v>
      </c>
      <c r="AG180" s="520"/>
      <c r="AH180" s="520">
        <f>MIN(CampList[[#This Row],[Shelter Gap]],CampList[[#This Row],[Land Status]])</f>
        <v>0</v>
      </c>
      <c r="AI180" s="520" t="str">
        <f ca="1">IFERROR(OFFSET(DistanceToCamp[Nearest Town],MATCH(CampList[[#This Row],[CP_Pcode]],DistanceToCamp[CP_Pcode],0)-1,0,1,1),"")</f>
        <v>Hopin Town</v>
      </c>
      <c r="AJ180" s="336">
        <f ca="1">IFERROR(OFFSET(DistanceToCamp[distance],MATCH(CampList[[#This Row],[CP_Pcode]],DistanceToCamp[CP_Pcode],0)-1,0,1,1),"")</f>
        <v>16.668825701583572</v>
      </c>
      <c r="AK180" s="562">
        <f ca="1">IFERROR(INT(CampList[[#This Row],[Distance]]/5)+1,"")</f>
        <v>4</v>
      </c>
      <c r="AL180" s="721"/>
      <c r="AM180" s="721"/>
      <c r="AN180" s="721"/>
      <c r="BD180" s="5"/>
      <c r="BE180" s="5"/>
    </row>
    <row r="181" spans="1:57" s="4" customFormat="1" ht="15.6" hidden="1" customHeight="1" x14ac:dyDescent="0.25">
      <c r="A181" s="550" t="s">
        <v>849</v>
      </c>
      <c r="B181" s="522" t="s">
        <v>380</v>
      </c>
      <c r="C181" s="522" t="s">
        <v>527</v>
      </c>
      <c r="D181" s="522" t="s">
        <v>237</v>
      </c>
      <c r="E181" s="522" t="s">
        <v>533</v>
      </c>
      <c r="F181" s="522" t="s">
        <v>310</v>
      </c>
      <c r="G181" s="520" t="s">
        <v>534</v>
      </c>
      <c r="H181" s="551" t="s">
        <v>751</v>
      </c>
      <c r="I181" s="551" t="s">
        <v>752</v>
      </c>
      <c r="J181" s="551" t="s">
        <v>751</v>
      </c>
      <c r="K181" s="552">
        <v>165750</v>
      </c>
      <c r="L181" s="522" t="s">
        <v>1261</v>
      </c>
      <c r="M181" s="522" t="s">
        <v>360</v>
      </c>
      <c r="N181" s="741"/>
      <c r="O181" s="741"/>
      <c r="P181" s="564"/>
      <c r="Q181" s="504">
        <v>0</v>
      </c>
      <c r="R181" s="526">
        <v>0</v>
      </c>
      <c r="S181" s="555" t="str">
        <f>IF(CampList[[#This Row],[HH]]&gt;0,CampList[[#This Row],[Total]]/CampList[[#This Row],[HH]],"NA")</f>
        <v>NA</v>
      </c>
      <c r="T181" s="556" t="s">
        <v>513</v>
      </c>
      <c r="U181" s="557" t="s">
        <v>1204</v>
      </c>
      <c r="V181" s="522" t="s">
        <v>556</v>
      </c>
      <c r="W181" s="557"/>
      <c r="X181" s="565"/>
      <c r="Y181" s="566"/>
      <c r="Z181" s="557"/>
      <c r="AA181" s="510"/>
      <c r="AB181" s="522"/>
      <c r="AC181" s="567"/>
      <c r="AD181" s="518" t="s">
        <v>603</v>
      </c>
      <c r="AE181" s="566" t="s">
        <v>1014</v>
      </c>
      <c r="AF181" s="530">
        <f>IF(CampList[[#This Row],[Type of Accomodation]]="camp",MAX(0,CampList[[#This Row],[HH]]-SUMIF(Table_Shelter[Pcode],CampList[[#This Row],[CP_Pcode]],Table_Shelter[HH Covered])),0)</f>
        <v>0</v>
      </c>
      <c r="AG181" s="520"/>
      <c r="AH181" s="520">
        <f>MIN(CampList[[#This Row],[Shelter Gap]],CampList[[#This Row],[Land Status]])</f>
        <v>0</v>
      </c>
      <c r="AI181" s="520" t="str">
        <f ca="1">IFERROR(OFFSET(DistanceToCamp[Nearest Town],MATCH(CampList[[#This Row],[CP_Pcode]],DistanceToCamp[CP_Pcode],0)-1,0,1,1),"")</f>
        <v/>
      </c>
      <c r="AJ181" s="561" t="str">
        <f ca="1">IFERROR(OFFSET(DistanceToCamp[distance],MATCH(CampList[[#This Row],[CP_Pcode]],DistanceToCamp[CP_Pcode],0)-1,0,1,1),"")</f>
        <v/>
      </c>
      <c r="AK181" s="562" t="str">
        <f ca="1">IFERROR(INT(CampList[[#This Row],[Distance]]/5)+1,"")</f>
        <v/>
      </c>
      <c r="AL181" s="721"/>
      <c r="AM181" s="721"/>
      <c r="AN181" s="721"/>
      <c r="BD181" s="5"/>
      <c r="BE181" s="5"/>
    </row>
    <row r="182" spans="1:57" s="4" customFormat="1" ht="15.6" customHeight="1" x14ac:dyDescent="0.25">
      <c r="A182" s="490" t="s">
        <v>502</v>
      </c>
      <c r="B182" s="530" t="s">
        <v>380</v>
      </c>
      <c r="C182" s="520" t="s">
        <v>527</v>
      </c>
      <c r="D182" s="520" t="s">
        <v>300</v>
      </c>
      <c r="E182" s="520" t="s">
        <v>548</v>
      </c>
      <c r="F182" s="520" t="s">
        <v>813</v>
      </c>
      <c r="G182" s="218" t="s">
        <v>814</v>
      </c>
      <c r="H182" s="530"/>
      <c r="I182" s="593"/>
      <c r="J182" s="530"/>
      <c r="K182" s="530"/>
      <c r="L182" s="522" t="s">
        <v>1320</v>
      </c>
      <c r="M182" s="530" t="s">
        <v>1321</v>
      </c>
      <c r="N182" s="20">
        <v>97.745480999999998</v>
      </c>
      <c r="O182" s="20">
        <v>26.569633</v>
      </c>
      <c r="P182" s="527"/>
      <c r="Q182" s="506">
        <v>161</v>
      </c>
      <c r="R182" s="527">
        <v>711</v>
      </c>
      <c r="S182" s="333">
        <f>IF(CampList[[#This Row],[HH]]&gt;0,CampList[[#This Row],[Total]]/CampList[[#This Row],[HH]],"NA")</f>
        <v>4.4161490683229809</v>
      </c>
      <c r="T182" s="594" t="s">
        <v>513</v>
      </c>
      <c r="U182" s="556" t="s">
        <v>1204</v>
      </c>
      <c r="V182" s="491" t="s">
        <v>556</v>
      </c>
      <c r="W182" s="503"/>
      <c r="X182" s="572"/>
      <c r="Y182" s="528"/>
      <c r="Z182" s="528"/>
      <c r="AA182" s="506"/>
      <c r="AB182" s="594"/>
      <c r="AC182" s="727">
        <v>42279</v>
      </c>
      <c r="AD182" s="708" t="s">
        <v>1322</v>
      </c>
      <c r="AE182" s="592"/>
      <c r="AF182" s="593">
        <f>IF(CampList[[#This Row],[Type of Accomodation]]="camp",MAX(0,CampList[[#This Row],[HH]]-SUMIF(Table_Shelter[Pcode],CampList[[#This Row],[CP_Pcode]],Table_Shelter[HH Covered])),0)</f>
        <v>161</v>
      </c>
      <c r="AG182" s="530"/>
      <c r="AH182" s="593">
        <f>MIN(CampList[[#This Row],[Shelter Gap]],CampList[[#This Row],[Land Status]])</f>
        <v>161</v>
      </c>
      <c r="AI182" s="593" t="str">
        <f ca="1">IFERROR(OFFSET(DistanceToCamp[Nearest Town],MATCH(CampList[[#This Row],[CP_Pcode]],DistanceToCamp[CP_Pcode],0)-1,0,1,1),"")</f>
        <v/>
      </c>
      <c r="AJ182" s="336" t="str">
        <f ca="1">IFERROR(OFFSET(DistanceToCamp[distance],MATCH(CampList[[#This Row],[CP_Pcode]],DistanceToCamp[CP_Pcode],0)-1,0,1,1),"")</f>
        <v/>
      </c>
      <c r="AK182" s="595" t="str">
        <f ca="1">IFERROR(INT(CampList[[#This Row],[Distance]]/5)+1,"")</f>
        <v/>
      </c>
      <c r="AL182" s="721"/>
      <c r="AM182" s="721"/>
      <c r="AN182" s="721"/>
      <c r="BD182" s="5"/>
      <c r="BE182" s="5"/>
    </row>
    <row r="183" spans="1:57" s="4" customFormat="1" ht="15.6" customHeight="1" x14ac:dyDescent="0.25">
      <c r="A183" s="332" t="s">
        <v>502</v>
      </c>
      <c r="B183" s="520" t="s">
        <v>555</v>
      </c>
      <c r="C183" s="520" t="s">
        <v>538</v>
      </c>
      <c r="D183" s="520" t="s">
        <v>230</v>
      </c>
      <c r="E183" s="530" t="s">
        <v>539</v>
      </c>
      <c r="F183" s="530" t="s">
        <v>146</v>
      </c>
      <c r="G183" s="530" t="s">
        <v>546</v>
      </c>
      <c r="H183" s="26" t="s">
        <v>771</v>
      </c>
      <c r="I183" s="706" t="s">
        <v>772</v>
      </c>
      <c r="J183" s="589"/>
      <c r="K183" s="589"/>
      <c r="L183" s="26" t="s">
        <v>1350</v>
      </c>
      <c r="M183" s="520" t="s">
        <v>1351</v>
      </c>
      <c r="N183" s="26">
        <v>29.52796</v>
      </c>
      <c r="O183" s="26">
        <v>23.264959999999999</v>
      </c>
      <c r="P183" s="564"/>
      <c r="Q183" s="707">
        <v>105</v>
      </c>
      <c r="R183" s="527">
        <v>568</v>
      </c>
      <c r="S183" s="333">
        <f>IF(CampList[[#This Row],[HH]]&gt;0,CampList[[#This Row],[Total]]/CampList[[#This Row],[HH]],"NA")</f>
        <v>5.4095238095238098</v>
      </c>
      <c r="T183" s="576" t="s">
        <v>513</v>
      </c>
      <c r="U183" s="556" t="s">
        <v>1204</v>
      </c>
      <c r="V183" s="556" t="s">
        <v>556</v>
      </c>
      <c r="W183" s="522" t="s">
        <v>862</v>
      </c>
      <c r="X183" s="590">
        <v>42036</v>
      </c>
      <c r="Y183" s="559"/>
      <c r="Z183" s="558"/>
      <c r="AA183" s="513"/>
      <c r="AB183" s="520"/>
      <c r="AC183" s="727">
        <v>42317</v>
      </c>
      <c r="AD183" s="520" t="s">
        <v>1352</v>
      </c>
      <c r="AE183" s="592"/>
      <c r="AF183" s="593">
        <f>IF(CampList[[#This Row],[Type of Accomodation]]="camp",MAX(0,CampList[[#This Row],[HH]]-SUMIF(Table_Shelter[Pcode],CampList[[#This Row],[CP_Pcode]],Table_Shelter[HH Covered])),0)</f>
        <v>105</v>
      </c>
      <c r="AG183" s="520"/>
      <c r="AH183" s="593">
        <f>MIN(CampList[[#This Row],[Shelter Gap]],CampList[[#This Row],[Land Status]])</f>
        <v>105</v>
      </c>
      <c r="AI183" s="593" t="str">
        <f ca="1">IFERROR(OFFSET(DistanceToCamp[Nearest Town],MATCH(CampList[[#This Row],[CP_Pcode]],DistanceToCamp[CP_Pcode],0)-1,0,1,1),"")</f>
        <v/>
      </c>
      <c r="AJ183" s="336" t="str">
        <f ca="1">IFERROR(OFFSET(DistanceToCamp[distance],MATCH(CampList[[#This Row],[CP_Pcode]],DistanceToCamp[CP_Pcode],0)-1,0,1,1),"")</f>
        <v/>
      </c>
      <c r="AK183" s="595" t="str">
        <f ca="1">IFERROR(INT(CampList[[#This Row],[Distance]]/5)+1,"")</f>
        <v/>
      </c>
      <c r="AL183" s="721"/>
      <c r="AM183" s="721"/>
      <c r="AN183" s="721"/>
      <c r="BD183" s="5"/>
      <c r="BE183" s="5"/>
    </row>
    <row r="184" spans="1:57" s="4" customFormat="1" ht="15.6" hidden="1" customHeight="1" x14ac:dyDescent="0.25">
      <c r="A184" s="550" t="s">
        <v>849</v>
      </c>
      <c r="B184" s="522" t="s">
        <v>380</v>
      </c>
      <c r="C184" s="522" t="s">
        <v>527</v>
      </c>
      <c r="D184" s="522" t="s">
        <v>180</v>
      </c>
      <c r="E184" s="522" t="s">
        <v>528</v>
      </c>
      <c r="F184" s="522" t="s">
        <v>529</v>
      </c>
      <c r="G184" s="520" t="s">
        <v>530</v>
      </c>
      <c r="H184" s="551" t="s">
        <v>605</v>
      </c>
      <c r="I184" s="551" t="s">
        <v>606</v>
      </c>
      <c r="J184" s="551" t="s">
        <v>607</v>
      </c>
      <c r="K184" s="552" t="s">
        <v>608</v>
      </c>
      <c r="L184" s="522" t="s">
        <v>110</v>
      </c>
      <c r="M184" s="522" t="s">
        <v>109</v>
      </c>
      <c r="N184" s="553">
        <v>96.312790000000007</v>
      </c>
      <c r="O184" s="553">
        <v>25.611160000000002</v>
      </c>
      <c r="P184" s="554">
        <v>0</v>
      </c>
      <c r="Q184" s="504">
        <v>0</v>
      </c>
      <c r="R184" s="526">
        <v>0</v>
      </c>
      <c r="S184" s="333" t="str">
        <f>IF(CampList[[#This Row],[HH]]&gt;0,CampList[[#This Row],[Total]]/CampList[[#This Row],[HH]],"NA")</f>
        <v>NA</v>
      </c>
      <c r="T184" s="556" t="s">
        <v>513</v>
      </c>
      <c r="U184" s="557" t="s">
        <v>1204</v>
      </c>
      <c r="V184" s="522" t="s">
        <v>556</v>
      </c>
      <c r="W184" s="557" t="s">
        <v>808</v>
      </c>
      <c r="X184" s="558">
        <v>41122</v>
      </c>
      <c r="Y184" s="559">
        <v>2</v>
      </c>
      <c r="Z184" s="558" t="s">
        <v>462</v>
      </c>
      <c r="AA184" s="510" t="s">
        <v>848</v>
      </c>
      <c r="AB184" s="522"/>
      <c r="AC184" s="560">
        <v>41774</v>
      </c>
      <c r="AD184" s="518" t="s">
        <v>1054</v>
      </c>
      <c r="AE184" s="559" t="s">
        <v>1014</v>
      </c>
      <c r="AF184" s="530">
        <f>IF(CampList[[#This Row],[Type of Accomodation]]="camp",MAX(0,CampList[[#This Row],[HH]]-SUMIF(Table_Shelter[Pcode],CampList[[#This Row],[CP_Pcode]],Table_Shelter[HH Covered])),0)</f>
        <v>0</v>
      </c>
      <c r="AG184" s="520"/>
      <c r="AH184" s="520">
        <f>MIN(CampList[[#This Row],[Shelter Gap]],CampList[[#This Row],[Land Status]])</f>
        <v>0</v>
      </c>
      <c r="AI184" s="520" t="str">
        <f ca="1">IFERROR(OFFSET(DistanceToCamp[Nearest Town],MATCH(CampList[[#This Row],[CP_Pcode]],DistanceToCamp[CP_Pcode],0)-1,0,1,1),"")</f>
        <v/>
      </c>
      <c r="AJ184" s="336" t="str">
        <f ca="1">IFERROR(OFFSET(DistanceToCamp[distance],MATCH(CampList[[#This Row],[CP_Pcode]],DistanceToCamp[CP_Pcode],0)-1,0,1,1),"")</f>
        <v/>
      </c>
      <c r="AK184" s="562" t="str">
        <f ca="1">IFERROR(INT(CampList[[#This Row],[Distance]]/5)+1,"")</f>
        <v/>
      </c>
      <c r="AL184" s="721"/>
      <c r="AM184" s="721"/>
      <c r="AN184" s="721"/>
      <c r="BD184" s="5"/>
      <c r="BE184" s="5"/>
    </row>
    <row r="185" spans="1:57" s="4" customFormat="1" ht="15.6" hidden="1" customHeight="1" x14ac:dyDescent="0.25">
      <c r="A185" s="550" t="s">
        <v>849</v>
      </c>
      <c r="B185" s="522" t="s">
        <v>380</v>
      </c>
      <c r="C185" s="522" t="s">
        <v>527</v>
      </c>
      <c r="D185" s="522" t="s">
        <v>180</v>
      </c>
      <c r="E185" s="522" t="s">
        <v>528</v>
      </c>
      <c r="F185" s="522" t="s">
        <v>529</v>
      </c>
      <c r="G185" s="520" t="s">
        <v>530</v>
      </c>
      <c r="H185" s="551" t="s">
        <v>605</v>
      </c>
      <c r="I185" s="551" t="s">
        <v>606</v>
      </c>
      <c r="J185" s="551" t="s">
        <v>607</v>
      </c>
      <c r="K185" s="552" t="s">
        <v>608</v>
      </c>
      <c r="L185" s="522" t="s">
        <v>112</v>
      </c>
      <c r="M185" s="522" t="s">
        <v>111</v>
      </c>
      <c r="N185" s="553">
        <v>96.31326</v>
      </c>
      <c r="O185" s="553">
        <v>25.611899999999999</v>
      </c>
      <c r="P185" s="564"/>
      <c r="Q185" s="504">
        <v>0</v>
      </c>
      <c r="R185" s="526">
        <v>0</v>
      </c>
      <c r="S185" s="555" t="str">
        <f>IF(CampList[[#This Row],[HH]]&gt;0,CampList[[#This Row],[Total]]/CampList[[#This Row],[HH]],"NA")</f>
        <v>NA</v>
      </c>
      <c r="T185" s="556" t="s">
        <v>513</v>
      </c>
      <c r="U185" s="557" t="s">
        <v>1204</v>
      </c>
      <c r="V185" s="522" t="s">
        <v>556</v>
      </c>
      <c r="W185" s="557"/>
      <c r="X185" s="565"/>
      <c r="Y185" s="566"/>
      <c r="Z185" s="557"/>
      <c r="AA185" s="510"/>
      <c r="AB185" s="522"/>
      <c r="AC185" s="567"/>
      <c r="AD185" s="518" t="s">
        <v>603</v>
      </c>
      <c r="AE185" s="566" t="s">
        <v>1014</v>
      </c>
      <c r="AF185" s="530">
        <f>IF(CampList[[#This Row],[Type of Accomodation]]="camp",MAX(0,CampList[[#This Row],[HH]]-SUMIF(Table_Shelter[Pcode],CampList[[#This Row],[CP_Pcode]],Table_Shelter[HH Covered])),0)</f>
        <v>0</v>
      </c>
      <c r="AG185" s="520"/>
      <c r="AH185" s="520">
        <f>MIN(CampList[[#This Row],[Shelter Gap]],CampList[[#This Row],[Land Status]])</f>
        <v>0</v>
      </c>
      <c r="AI185" s="520" t="str">
        <f ca="1">IFERROR(OFFSET(DistanceToCamp[Nearest Town],MATCH(CampList[[#This Row],[CP_Pcode]],DistanceToCamp[CP_Pcode],0)-1,0,1,1),"")</f>
        <v/>
      </c>
      <c r="AJ185" s="561" t="str">
        <f ca="1">IFERROR(OFFSET(DistanceToCamp[distance],MATCH(CampList[[#This Row],[CP_Pcode]],DistanceToCamp[CP_Pcode],0)-1,0,1,1),"")</f>
        <v/>
      </c>
      <c r="AK185" s="562" t="str">
        <f ca="1">IFERROR(INT(CampList[[#This Row],[Distance]]/5)+1,"")</f>
        <v/>
      </c>
      <c r="AL185" s="721"/>
      <c r="AM185" s="721"/>
      <c r="AN185" s="721"/>
      <c r="BD185" s="5"/>
      <c r="BE185" s="5"/>
    </row>
    <row r="186" spans="1:57" s="4" customFormat="1" ht="15.6" customHeight="1" x14ac:dyDescent="0.25">
      <c r="A186" s="490" t="s">
        <v>502</v>
      </c>
      <c r="B186" s="530" t="s">
        <v>380</v>
      </c>
      <c r="C186" s="530" t="s">
        <v>527</v>
      </c>
      <c r="D186" s="530" t="s">
        <v>5</v>
      </c>
      <c r="E186" s="530" t="s">
        <v>531</v>
      </c>
      <c r="F186" s="530" t="s">
        <v>185</v>
      </c>
      <c r="G186" s="530" t="s">
        <v>535</v>
      </c>
      <c r="H186" s="530" t="s">
        <v>748</v>
      </c>
      <c r="I186" s="593" t="s">
        <v>749</v>
      </c>
      <c r="J186" s="530" t="s">
        <v>750</v>
      </c>
      <c r="K186" s="530">
        <v>167138</v>
      </c>
      <c r="L186" s="530" t="s">
        <v>215</v>
      </c>
      <c r="M186" s="530" t="s">
        <v>214</v>
      </c>
      <c r="N186" s="503">
        <v>97.669366999999994</v>
      </c>
      <c r="O186" s="503">
        <v>24.378167000000001</v>
      </c>
      <c r="P186" s="564">
        <v>1149</v>
      </c>
      <c r="Q186" s="506">
        <v>375</v>
      </c>
      <c r="R186" s="527">
        <v>1598</v>
      </c>
      <c r="S186" s="333">
        <f>IF(CampList[[#This Row],[HH]]&gt;0,CampList[[#This Row],[Total]]/CampList[[#This Row],[HH]],"NA")</f>
        <v>4.261333333333333</v>
      </c>
      <c r="T186" s="594" t="s">
        <v>515</v>
      </c>
      <c r="U186" s="556" t="s">
        <v>1204</v>
      </c>
      <c r="V186" s="491" t="s">
        <v>556</v>
      </c>
      <c r="W186" s="503" t="s">
        <v>862</v>
      </c>
      <c r="X186" s="572">
        <v>41000</v>
      </c>
      <c r="Y186" s="566">
        <v>2</v>
      </c>
      <c r="Z186" s="566" t="s">
        <v>1096</v>
      </c>
      <c r="AA186" s="506" t="s">
        <v>848</v>
      </c>
      <c r="AB186" s="594"/>
      <c r="AC186" s="574">
        <v>42416</v>
      </c>
      <c r="AD186" s="705" t="s">
        <v>1450</v>
      </c>
      <c r="AE186" s="592" t="s">
        <v>1084</v>
      </c>
      <c r="AF186" s="593">
        <f>IF(CampList[[#This Row],[Type of Accomodation]]="camp",MAX(0,CampList[[#This Row],[HH]]-SUMIF(Table_Shelter[Pcode],CampList[[#This Row],[CP_Pcode]],Table_Shelter[HH Covered])),0)</f>
        <v>0</v>
      </c>
      <c r="AG186" s="530"/>
      <c r="AH186" s="593">
        <f>MIN(CampList[[#This Row],[Shelter Gap]],CampList[[#This Row],[Land Status]])</f>
        <v>0</v>
      </c>
      <c r="AI186" s="593" t="str">
        <f ca="1">IFERROR(OFFSET(DistanceToCamp[Nearest Town],MATCH(CampList[[#This Row],[CP_Pcode]],DistanceToCamp[CP_Pcode],0)-1,0,1,1),"")</f>
        <v>Lwegel Town</v>
      </c>
      <c r="AJ186" s="336">
        <f ca="1">IFERROR(OFFSET(DistanceToCamp[distance],MATCH(CampList[[#This Row],[CP_Pcode]],DistanceToCamp[CP_Pcode],0)-1,0,1,1),"")</f>
        <v>20.558236360788097</v>
      </c>
      <c r="AK186" s="595">
        <f ca="1">IFERROR(INT(CampList[[#This Row],[Distance]]/5)+1,"")</f>
        <v>5</v>
      </c>
      <c r="AL186" s="721"/>
      <c r="AM186" s="721"/>
      <c r="AN186" s="721"/>
      <c r="BD186" s="5"/>
      <c r="BE186" s="5"/>
    </row>
    <row r="187" spans="1:57" s="4" customFormat="1" ht="15.6" customHeight="1" x14ac:dyDescent="0.25">
      <c r="A187" s="332" t="s">
        <v>502</v>
      </c>
      <c r="B187" s="522" t="s">
        <v>380</v>
      </c>
      <c r="C187" s="520" t="s">
        <v>527</v>
      </c>
      <c r="D187" s="520" t="s">
        <v>5</v>
      </c>
      <c r="E187" s="520" t="s">
        <v>531</v>
      </c>
      <c r="F187" s="520" t="s">
        <v>185</v>
      </c>
      <c r="G187" s="218" t="s">
        <v>535</v>
      </c>
      <c r="H187" s="577" t="s">
        <v>664</v>
      </c>
      <c r="I187" s="577" t="s">
        <v>665</v>
      </c>
      <c r="J187" s="577" t="s">
        <v>666</v>
      </c>
      <c r="K187" s="578" t="s">
        <v>667</v>
      </c>
      <c r="L187" s="522" t="s">
        <v>217</v>
      </c>
      <c r="M187" s="522" t="s">
        <v>216</v>
      </c>
      <c r="N187" s="553">
        <v>97.347740000000002</v>
      </c>
      <c r="O187" s="553">
        <v>24.253769999999999</v>
      </c>
      <c r="P187" s="554">
        <v>0</v>
      </c>
      <c r="Q187" s="505">
        <v>24</v>
      </c>
      <c r="R187" s="528">
        <v>89</v>
      </c>
      <c r="S187" s="333">
        <f>IF(CampList[[#This Row],[HH]]&gt;0,CampList[[#This Row],[Total]]/CampList[[#This Row],[HH]],"NA")</f>
        <v>3.7083333333333335</v>
      </c>
      <c r="T187" s="576" t="s">
        <v>513</v>
      </c>
      <c r="U187" s="334" t="s">
        <v>1204</v>
      </c>
      <c r="V187" s="522" t="s">
        <v>556</v>
      </c>
      <c r="W187" s="557" t="s">
        <v>808</v>
      </c>
      <c r="X187" s="558">
        <v>40817</v>
      </c>
      <c r="Y187" s="559">
        <v>1</v>
      </c>
      <c r="Z187" s="558" t="s">
        <v>507</v>
      </c>
      <c r="AA187" s="513" t="s">
        <v>848</v>
      </c>
      <c r="AB187" s="522"/>
      <c r="AC187" s="560">
        <v>42317</v>
      </c>
      <c r="AD187" s="519" t="s">
        <v>1345</v>
      </c>
      <c r="AE187" s="559" t="s">
        <v>1100</v>
      </c>
      <c r="AF187" s="530">
        <f>IF(CampList[[#This Row],[Type of Accomodation]]="camp",MAX(0,CampList[[#This Row],[HH]]-SUMIF(Table_Shelter[Pcode],CampList[[#This Row],[CP_Pcode]],Table_Shelter[HH Covered])),0)</f>
        <v>0</v>
      </c>
      <c r="AG187" s="530"/>
      <c r="AH187" s="218">
        <f>MIN(CampList[[#This Row],[Shelter Gap]],CampList[[#This Row],[Land Status]])</f>
        <v>0</v>
      </c>
      <c r="AI187" s="218" t="str">
        <f ca="1">IFERROR(OFFSET(DistanceToCamp[Nearest Town],MATCH(CampList[[#This Row],[CP_Pcode]],DistanceToCamp[CP_Pcode],0)-1,0,1,1),"")</f>
        <v>Momauk Town</v>
      </c>
      <c r="AJ187" s="336">
        <f ca="1">IFERROR(OFFSET(DistanceToCamp[distance],MATCH(CampList[[#This Row],[CP_Pcode]],DistanceToCamp[CP_Pcode],0)-1,0,1,1),"")</f>
        <v>0.32830807173487342</v>
      </c>
      <c r="AK187" s="337">
        <f ca="1">IFERROR(INT(CampList[[#This Row],[Distance]]/5)+1,"")</f>
        <v>1</v>
      </c>
      <c r="AL187" s="721"/>
      <c r="AM187" s="721"/>
      <c r="AN187" s="721"/>
      <c r="BD187" s="5"/>
      <c r="BE187" s="5"/>
    </row>
    <row r="188" spans="1:57" s="4" customFormat="1" ht="15.6" customHeight="1" x14ac:dyDescent="0.25">
      <c r="A188" s="550" t="s">
        <v>502</v>
      </c>
      <c r="B188" s="522" t="s">
        <v>380</v>
      </c>
      <c r="C188" s="520" t="s">
        <v>527</v>
      </c>
      <c r="D188" s="520" t="s">
        <v>237</v>
      </c>
      <c r="E188" s="520" t="s">
        <v>533</v>
      </c>
      <c r="F188" s="520" t="s">
        <v>237</v>
      </c>
      <c r="G188" s="520" t="s">
        <v>537</v>
      </c>
      <c r="H188" s="577" t="s">
        <v>673</v>
      </c>
      <c r="I188" s="577" t="s">
        <v>674</v>
      </c>
      <c r="J188" s="577" t="s">
        <v>682</v>
      </c>
      <c r="K188" s="578"/>
      <c r="L188" s="569" t="s">
        <v>269</v>
      </c>
      <c r="M188" s="522" t="s">
        <v>268</v>
      </c>
      <c r="N188" s="553">
        <v>97.394547000000003</v>
      </c>
      <c r="O188" s="553">
        <v>25.422194000000001</v>
      </c>
      <c r="P188" s="554">
        <v>0</v>
      </c>
      <c r="Q188" s="505">
        <v>57</v>
      </c>
      <c r="R188" s="528">
        <v>233</v>
      </c>
      <c r="S188" s="333">
        <f>IF(CampList[[#This Row],[HH]]&gt;0,CampList[[#This Row],[Total]]/CampList[[#This Row],[HH]],"NA")</f>
        <v>4.0877192982456139</v>
      </c>
      <c r="T188" s="576" t="s">
        <v>513</v>
      </c>
      <c r="U188" s="557" t="s">
        <v>1204</v>
      </c>
      <c r="V188" s="522" t="s">
        <v>556</v>
      </c>
      <c r="W188" s="557" t="s">
        <v>808</v>
      </c>
      <c r="X188" s="558">
        <v>40695</v>
      </c>
      <c r="Y188" s="559">
        <v>1</v>
      </c>
      <c r="Z188" s="558" t="s">
        <v>462</v>
      </c>
      <c r="AA188" s="513" t="s">
        <v>848</v>
      </c>
      <c r="AB188" s="522"/>
      <c r="AC188" s="574">
        <v>42397</v>
      </c>
      <c r="AD188" s="519" t="s">
        <v>1434</v>
      </c>
      <c r="AE188" s="559" t="s">
        <v>1100</v>
      </c>
      <c r="AF188" s="530">
        <f>IF(CampList[[#This Row],[Type of Accomodation]]="camp",MAX(0,CampList[[#This Row],[HH]]-SUMIF(Table_Shelter[Pcode],CampList[[#This Row],[CP_Pcode]],Table_Shelter[HH Covered])),0)</f>
        <v>5</v>
      </c>
      <c r="AG188" s="530"/>
      <c r="AH188" s="520">
        <f>MIN(CampList[[#This Row],[Shelter Gap]],CampList[[#This Row],[Land Status]])</f>
        <v>5</v>
      </c>
      <c r="AI188" s="520" t="str">
        <f ca="1">IFERROR(OFFSET(DistanceToCamp[Nearest Town],MATCH(CampList[[#This Row],[CP_Pcode]],DistanceToCamp[CP_Pcode],0)-1,0,1,1),"")</f>
        <v>Myitkyina Town</v>
      </c>
      <c r="AJ188" s="336">
        <f ca="1">IFERROR(OFFSET(DistanceToCamp[distance],MATCH(CampList[[#This Row],[CP_Pcode]],DistanceToCamp[CP_Pcode],0)-1,0,1,1),"")</f>
        <v>3.8820329084732181</v>
      </c>
      <c r="AK188" s="562">
        <f ca="1">IFERROR(INT(CampList[[#This Row],[Distance]]/5)+1,"")</f>
        <v>1</v>
      </c>
      <c r="AL188" s="721"/>
      <c r="AM188" s="721"/>
      <c r="AN188" s="721"/>
      <c r="BD188" s="5"/>
      <c r="BE188" s="5"/>
    </row>
    <row r="189" spans="1:57" s="4" customFormat="1" ht="15.6" customHeight="1" x14ac:dyDescent="0.25">
      <c r="A189" s="550" t="s">
        <v>502</v>
      </c>
      <c r="B189" s="522" t="s">
        <v>380</v>
      </c>
      <c r="C189" s="520" t="s">
        <v>527</v>
      </c>
      <c r="D189" s="520" t="s">
        <v>5</v>
      </c>
      <c r="E189" s="520" t="s">
        <v>531</v>
      </c>
      <c r="F189" s="520" t="s">
        <v>185</v>
      </c>
      <c r="G189" s="520" t="s">
        <v>535</v>
      </c>
      <c r="H189" s="577" t="s">
        <v>1143</v>
      </c>
      <c r="I189" s="577" t="s">
        <v>1273</v>
      </c>
      <c r="J189" s="577"/>
      <c r="K189" s="578"/>
      <c r="L189" s="569" t="s">
        <v>229</v>
      </c>
      <c r="M189" s="522" t="s">
        <v>228</v>
      </c>
      <c r="N189" s="553">
        <v>97.724483000000006</v>
      </c>
      <c r="O189" s="553">
        <v>24.205417000000001</v>
      </c>
      <c r="P189" s="554">
        <v>0</v>
      </c>
      <c r="Q189" s="505">
        <v>50</v>
      </c>
      <c r="R189" s="528">
        <v>293</v>
      </c>
      <c r="S189" s="333">
        <f>IF(CampList[[#This Row],[HH]]&gt;0,CampList[[#This Row],[Total]]/CampList[[#This Row],[HH]],"NA")</f>
        <v>5.86</v>
      </c>
      <c r="T189" s="576" t="s">
        <v>513</v>
      </c>
      <c r="U189" s="557" t="s">
        <v>1204</v>
      </c>
      <c r="V189" s="522" t="s">
        <v>556</v>
      </c>
      <c r="W189" s="557" t="s">
        <v>808</v>
      </c>
      <c r="X189" s="558">
        <v>41122</v>
      </c>
      <c r="Y189" s="559">
        <v>1</v>
      </c>
      <c r="Z189" s="558" t="s">
        <v>462</v>
      </c>
      <c r="AA189" s="513" t="s">
        <v>848</v>
      </c>
      <c r="AB189" s="522"/>
      <c r="AC189" s="574">
        <v>42397</v>
      </c>
      <c r="AD189" s="519" t="s">
        <v>1432</v>
      </c>
      <c r="AE189" s="559" t="s">
        <v>1086</v>
      </c>
      <c r="AF189" s="530">
        <f>IF(CampList[[#This Row],[Type of Accomodation]]="camp",MAX(0,CampList[[#This Row],[HH]]-SUMIF(Table_Shelter[Pcode],CampList[[#This Row],[CP_Pcode]],Table_Shelter[HH Covered])),0)</f>
        <v>5</v>
      </c>
      <c r="AG189" s="530"/>
      <c r="AH189" s="520">
        <f>MIN(CampList[[#This Row],[Shelter Gap]],CampList[[#This Row],[Land Status]])</f>
        <v>5</v>
      </c>
      <c r="AI189" s="520" t="str">
        <f ca="1">IFERROR(OFFSET(DistanceToCamp[Nearest Town],MATCH(CampList[[#This Row],[CP_Pcode]],DistanceToCamp[CP_Pcode],0)-1,0,1,1),"")</f>
        <v>Lwegel Town</v>
      </c>
      <c r="AJ189" s="336">
        <f ca="1">IFERROR(OFFSET(DistanceToCamp[distance],MATCH(CampList[[#This Row],[CP_Pcode]],DistanceToCamp[CP_Pcode],0)-1,0,1,1),"")</f>
        <v>0.77561767807574999</v>
      </c>
      <c r="AK189" s="562">
        <f ca="1">IFERROR(INT(CampList[[#This Row],[Distance]]/5)+1,"")</f>
        <v>1</v>
      </c>
      <c r="AL189" s="721"/>
      <c r="AM189" s="721"/>
      <c r="AN189" s="721"/>
      <c r="BD189" s="5"/>
      <c r="BE189" s="5"/>
    </row>
    <row r="190" spans="1:57" s="4" customFormat="1" ht="15.6" customHeight="1" x14ac:dyDescent="0.25">
      <c r="A190" s="490" t="s">
        <v>502</v>
      </c>
      <c r="B190" s="530" t="s">
        <v>380</v>
      </c>
      <c r="C190" s="530" t="s">
        <v>527</v>
      </c>
      <c r="D190" s="530" t="s">
        <v>237</v>
      </c>
      <c r="E190" s="530" t="s">
        <v>533</v>
      </c>
      <c r="F190" s="530" t="s">
        <v>237</v>
      </c>
      <c r="G190" s="530" t="s">
        <v>537</v>
      </c>
      <c r="H190" s="530" t="s">
        <v>711</v>
      </c>
      <c r="I190" s="593" t="s">
        <v>712</v>
      </c>
      <c r="J190" s="530" t="s">
        <v>713</v>
      </c>
      <c r="K190" s="530">
        <v>165685</v>
      </c>
      <c r="L190" s="530" t="s">
        <v>273</v>
      </c>
      <c r="M190" s="530" t="s">
        <v>272</v>
      </c>
      <c r="N190" s="503">
        <v>97.4345</v>
      </c>
      <c r="O190" s="503">
        <v>25.493819999999999</v>
      </c>
      <c r="P190" s="564"/>
      <c r="Q190" s="506">
        <v>45</v>
      </c>
      <c r="R190" s="527">
        <v>262</v>
      </c>
      <c r="S190" s="333">
        <f>IF(CampList[[#This Row],[HH]]&gt;0,CampList[[#This Row],[Total]]/CampList[[#This Row],[HH]],"NA")</f>
        <v>5.822222222222222</v>
      </c>
      <c r="T190" s="594" t="s">
        <v>513</v>
      </c>
      <c r="U190" s="556" t="s">
        <v>1204</v>
      </c>
      <c r="V190" s="491" t="s">
        <v>556</v>
      </c>
      <c r="W190" s="503" t="s">
        <v>808</v>
      </c>
      <c r="X190" s="572">
        <v>41244</v>
      </c>
      <c r="Y190" s="566"/>
      <c r="Z190" s="566" t="s">
        <v>1097</v>
      </c>
      <c r="AA190" s="506" t="s">
        <v>848</v>
      </c>
      <c r="AB190" s="594"/>
      <c r="AC190" s="574">
        <v>42416</v>
      </c>
      <c r="AD190" s="705" t="s">
        <v>1452</v>
      </c>
      <c r="AE190" s="592" t="s">
        <v>1100</v>
      </c>
      <c r="AF190" s="593">
        <f>IF(CampList[[#This Row],[Type of Accomodation]]="camp",MAX(0,CampList[[#This Row],[HH]]-SUMIF(Table_Shelter[Pcode],CampList[[#This Row],[CP_Pcode]],Table_Shelter[HH Covered])),0)</f>
        <v>1</v>
      </c>
      <c r="AG190" s="530"/>
      <c r="AH190" s="593">
        <f>MIN(CampList[[#This Row],[Shelter Gap]],CampList[[#This Row],[Land Status]])</f>
        <v>1</v>
      </c>
      <c r="AI190" s="593" t="str">
        <f ca="1">IFERROR(OFFSET(DistanceToCamp[Nearest Town],MATCH(CampList[[#This Row],[CP_Pcode]],DistanceToCamp[CP_Pcode],0)-1,0,1,1),"")</f>
        <v>Myitkyina Town</v>
      </c>
      <c r="AJ190" s="336">
        <f ca="1">IFERROR(OFFSET(DistanceToCamp[distance],MATCH(CampList[[#This Row],[CP_Pcode]],DistanceToCamp[CP_Pcode],0)-1,0,1,1),"")</f>
        <v>12.627188913244609</v>
      </c>
      <c r="AK190" s="595">
        <f ca="1">IFERROR(INT(CampList[[#This Row],[Distance]]/5)+1,"")</f>
        <v>3</v>
      </c>
      <c r="AL190" s="721"/>
      <c r="AM190" s="721"/>
      <c r="AN190" s="721"/>
      <c r="BD190" s="5"/>
      <c r="BE190" s="5"/>
    </row>
    <row r="191" spans="1:57" s="4" customFormat="1" ht="15.6" customHeight="1" x14ac:dyDescent="0.25">
      <c r="A191" s="490" t="s">
        <v>502</v>
      </c>
      <c r="B191" s="530" t="s">
        <v>380</v>
      </c>
      <c r="C191" s="530" t="s">
        <v>527</v>
      </c>
      <c r="D191" s="530" t="s">
        <v>5</v>
      </c>
      <c r="E191" s="530" t="s">
        <v>531</v>
      </c>
      <c r="F191" s="530" t="s">
        <v>185</v>
      </c>
      <c r="G191" s="530" t="s">
        <v>535</v>
      </c>
      <c r="H191" s="530" t="s">
        <v>765</v>
      </c>
      <c r="I191" s="593" t="s">
        <v>766</v>
      </c>
      <c r="J191" s="530" t="s">
        <v>767</v>
      </c>
      <c r="K191" s="530">
        <v>216913</v>
      </c>
      <c r="L191" s="530" t="s">
        <v>219</v>
      </c>
      <c r="M191" s="530" t="s">
        <v>218</v>
      </c>
      <c r="N191" s="503">
        <v>97.752667000000002</v>
      </c>
      <c r="O191" s="503">
        <v>24.2744</v>
      </c>
      <c r="P191" s="564">
        <v>978</v>
      </c>
      <c r="Q191" s="506">
        <v>677</v>
      </c>
      <c r="R191" s="527">
        <v>3622</v>
      </c>
      <c r="S191" s="333">
        <f>IF(CampList[[#This Row],[HH]]&gt;0,CampList[[#This Row],[Total]]/CampList[[#This Row],[HH]],"NA")</f>
        <v>5.3500738552437221</v>
      </c>
      <c r="T191" s="594" t="s">
        <v>515</v>
      </c>
      <c r="U191" s="556" t="s">
        <v>1204</v>
      </c>
      <c r="V191" s="491" t="s">
        <v>556</v>
      </c>
      <c r="W191" s="503" t="s">
        <v>862</v>
      </c>
      <c r="X191" s="572">
        <v>41000</v>
      </c>
      <c r="Y191" s="566">
        <v>2</v>
      </c>
      <c r="Z191" s="566" t="s">
        <v>1096</v>
      </c>
      <c r="AA191" s="506" t="s">
        <v>848</v>
      </c>
      <c r="AB191" s="594"/>
      <c r="AC191" s="574">
        <v>42416</v>
      </c>
      <c r="AD191" s="705" t="s">
        <v>1449</v>
      </c>
      <c r="AE191" s="592" t="s">
        <v>1085</v>
      </c>
      <c r="AF191" s="593">
        <f>IF(CampList[[#This Row],[Type of Accomodation]]="camp",MAX(0,CampList[[#This Row],[HH]]-SUMIF(Table_Shelter[Pcode],CampList[[#This Row],[CP_Pcode]],Table_Shelter[HH Covered])),0)</f>
        <v>0</v>
      </c>
      <c r="AG191" s="530"/>
      <c r="AH191" s="593">
        <f>MIN(CampList[[#This Row],[Shelter Gap]],CampList[[#This Row],[Land Status]])</f>
        <v>0</v>
      </c>
      <c r="AI191" s="593" t="str">
        <f ca="1">IFERROR(OFFSET(DistanceToCamp[Nearest Town],MATCH(CampList[[#This Row],[CP_Pcode]],DistanceToCamp[CP_Pcode],0)-1,0,1,1),"")</f>
        <v>Lwegel Town</v>
      </c>
      <c r="AJ191" s="336">
        <f ca="1">IFERROR(OFFSET(DistanceToCamp[distance],MATCH(CampList[[#This Row],[CP_Pcode]],DistanceToCamp[CP_Pcode],0)-1,0,1,1),"")</f>
        <v>8.953204937938569</v>
      </c>
      <c r="AK191" s="595">
        <f ca="1">IFERROR(INT(CampList[[#This Row],[Distance]]/5)+1,"")</f>
        <v>2</v>
      </c>
      <c r="AL191" s="721"/>
      <c r="AM191" s="721"/>
      <c r="AN191" s="721"/>
      <c r="BD191" s="5"/>
      <c r="BE191" s="5"/>
    </row>
    <row r="192" spans="1:57" s="4" customFormat="1" ht="15.6" customHeight="1" x14ac:dyDescent="0.25">
      <c r="A192" s="585" t="s">
        <v>502</v>
      </c>
      <c r="B192" s="219" t="s">
        <v>380</v>
      </c>
      <c r="C192" s="520" t="s">
        <v>527</v>
      </c>
      <c r="D192" s="520" t="s">
        <v>237</v>
      </c>
      <c r="E192" s="520" t="s">
        <v>533</v>
      </c>
      <c r="F192" s="520" t="s">
        <v>310</v>
      </c>
      <c r="G192" s="218" t="s">
        <v>534</v>
      </c>
      <c r="H192" s="577" t="s">
        <v>757</v>
      </c>
      <c r="I192" s="577" t="s">
        <v>758</v>
      </c>
      <c r="J192" s="577" t="s">
        <v>764</v>
      </c>
      <c r="K192" s="578"/>
      <c r="L192" s="569" t="s">
        <v>1257</v>
      </c>
      <c r="M192" s="219" t="s">
        <v>345</v>
      </c>
      <c r="N192" s="553">
        <v>97.751389000000003</v>
      </c>
      <c r="O192" s="553">
        <v>24.831944</v>
      </c>
      <c r="P192" s="554">
        <v>2330</v>
      </c>
      <c r="Q192" s="505">
        <v>191</v>
      </c>
      <c r="R192" s="528">
        <v>768</v>
      </c>
      <c r="S192" s="333">
        <f>IF(CampList[[#This Row],[HH]]&gt;0,CampList[[#This Row],[Total]]/CampList[[#This Row],[HH]],"NA")</f>
        <v>4.0209424083769632</v>
      </c>
      <c r="T192" s="576" t="s">
        <v>515</v>
      </c>
      <c r="U192" s="334" t="s">
        <v>1204</v>
      </c>
      <c r="V192" s="522" t="s">
        <v>556</v>
      </c>
      <c r="W192" s="334" t="s">
        <v>862</v>
      </c>
      <c r="X192" s="558">
        <v>40725</v>
      </c>
      <c r="Y192" s="559">
        <v>3</v>
      </c>
      <c r="Z192" s="558" t="s">
        <v>462</v>
      </c>
      <c r="AA192" s="513" t="s">
        <v>848</v>
      </c>
      <c r="AB192" s="219"/>
      <c r="AC192" s="574">
        <v>42397</v>
      </c>
      <c r="AD192" s="519" t="s">
        <v>1415</v>
      </c>
      <c r="AE192" s="559" t="s">
        <v>1084</v>
      </c>
      <c r="AF192" s="233">
        <f>IF(CampList[[#This Row],[Type of Accomodation]]="camp",MAX(0,CampList[[#This Row],[HH]]-SUMIF(Table_Shelter[Pcode],CampList[[#This Row],[CP_Pcode]],Table_Shelter[HH Covered])),0)</f>
        <v>156</v>
      </c>
      <c r="AG192" s="530"/>
      <c r="AH192" s="218">
        <f>MIN(CampList[[#This Row],[Shelter Gap]],CampList[[#This Row],[Land Status]])</f>
        <v>156</v>
      </c>
      <c r="AI192" s="218" t="str">
        <f ca="1">IFERROR(OFFSET(DistanceToCamp[Nearest Town],MATCH(CampList[[#This Row],[CP_Pcode]],DistanceToCamp[CP_Pcode],0)-1,0,1,1),"")</f>
        <v>Laiza town</v>
      </c>
      <c r="AJ192" s="336">
        <f ca="1">IFERROR(OFFSET(DistanceToCamp[distance],MATCH(CampList[[#This Row],[CP_Pcode]],DistanceToCamp[CP_Pcode],0)-1,0,1,1),"")</f>
        <v>20.599512012485512</v>
      </c>
      <c r="AK192" s="337">
        <f ca="1">IFERROR(INT(CampList[[#This Row],[Distance]]/5)+1,"")</f>
        <v>5</v>
      </c>
      <c r="AL192" s="721"/>
      <c r="AM192" s="721"/>
      <c r="AN192" s="721"/>
      <c r="BD192" s="5"/>
      <c r="BE192" s="5"/>
    </row>
    <row r="193" spans="1:57" s="4" customFormat="1" ht="15.6" customHeight="1" x14ac:dyDescent="0.25">
      <c r="A193" s="490" t="s">
        <v>502</v>
      </c>
      <c r="B193" s="530" t="s">
        <v>380</v>
      </c>
      <c r="C193" s="530" t="s">
        <v>527</v>
      </c>
      <c r="D193" s="530" t="s">
        <v>237</v>
      </c>
      <c r="E193" s="530" t="s">
        <v>533</v>
      </c>
      <c r="F193" s="530" t="s">
        <v>27</v>
      </c>
      <c r="G193" s="530" t="s">
        <v>536</v>
      </c>
      <c r="H193" s="530" t="s">
        <v>1138</v>
      </c>
      <c r="I193" s="593" t="s">
        <v>1265</v>
      </c>
      <c r="J193" s="530"/>
      <c r="K193" s="530"/>
      <c r="L193" s="530" t="s">
        <v>870</v>
      </c>
      <c r="M193" s="530" t="s">
        <v>869</v>
      </c>
      <c r="N193" s="503">
        <v>98.377780000000001</v>
      </c>
      <c r="O193" s="503">
        <v>25.60867</v>
      </c>
      <c r="P193" s="564">
        <v>2345</v>
      </c>
      <c r="Q193" s="506">
        <v>65</v>
      </c>
      <c r="R193" s="527">
        <v>306</v>
      </c>
      <c r="S193" s="333">
        <f>IF(CampList[[#This Row],[HH]]&gt;0,CampList[[#This Row],[Total]]/CampList[[#This Row],[HH]],"NA")</f>
        <v>4.7076923076923078</v>
      </c>
      <c r="T193" s="594" t="s">
        <v>513</v>
      </c>
      <c r="U193" s="556" t="s">
        <v>1204</v>
      </c>
      <c r="V193" s="491" t="s">
        <v>556</v>
      </c>
      <c r="W193" s="503" t="s">
        <v>862</v>
      </c>
      <c r="X193" s="572"/>
      <c r="Y193" s="566">
        <v>1</v>
      </c>
      <c r="Z193" s="566" t="s">
        <v>1097</v>
      </c>
      <c r="AA193" s="506" t="s">
        <v>848</v>
      </c>
      <c r="AB193" s="594"/>
      <c r="AC193" s="574">
        <v>42397</v>
      </c>
      <c r="AD193" s="705" t="s">
        <v>1381</v>
      </c>
      <c r="AE193" s="592" t="s">
        <v>1084</v>
      </c>
      <c r="AF193" s="593">
        <f>IF(CampList[[#This Row],[Type of Accomodation]]="camp",MAX(0,CampList[[#This Row],[HH]]-SUMIF(Table_Shelter[Pcode],CampList[[#This Row],[CP_Pcode]],Table_Shelter[HH Covered])),0)</f>
        <v>65</v>
      </c>
      <c r="AG193" s="530"/>
      <c r="AH193" s="593">
        <f>MIN(CampList[[#This Row],[Shelter Gap]],CampList[[#This Row],[Land Status]])</f>
        <v>65</v>
      </c>
      <c r="AI193" s="593" t="str">
        <f ca="1">IFERROR(OFFSET(DistanceToCamp[Nearest Town],MATCH(CampList[[#This Row],[CP_Pcode]],DistanceToCamp[CP_Pcode],0)-1,0,1,1),"")</f>
        <v>Pang War Town</v>
      </c>
      <c r="AJ193" s="336">
        <f ca="1">IFERROR(OFFSET(DistanceToCamp[distance],MATCH(CampList[[#This Row],[CP_Pcode]],DistanceToCamp[CP_Pcode],0)-1,0,1,1),"")</f>
        <v>0.18710270881855062</v>
      </c>
      <c r="AK193" s="595">
        <f ca="1">IFERROR(INT(CampList[[#This Row],[Distance]]/5)+1,"")</f>
        <v>1</v>
      </c>
      <c r="AL193" s="721"/>
      <c r="AM193" s="721"/>
      <c r="AN193" s="721"/>
      <c r="BD193" s="5"/>
      <c r="BE193" s="5"/>
    </row>
    <row r="194" spans="1:57" s="4" customFormat="1" ht="15.6" hidden="1" customHeight="1" x14ac:dyDescent="0.25">
      <c r="A194" s="550" t="s">
        <v>849</v>
      </c>
      <c r="B194" s="522" t="s">
        <v>380</v>
      </c>
      <c r="C194" s="522" t="s">
        <v>527</v>
      </c>
      <c r="D194" s="522" t="s">
        <v>180</v>
      </c>
      <c r="E194" s="522" t="s">
        <v>528</v>
      </c>
      <c r="F194" s="522" t="s">
        <v>529</v>
      </c>
      <c r="G194" s="218" t="s">
        <v>530</v>
      </c>
      <c r="H194" s="551" t="s">
        <v>605</v>
      </c>
      <c r="I194" s="551" t="s">
        <v>606</v>
      </c>
      <c r="J194" s="551" t="s">
        <v>705</v>
      </c>
      <c r="K194" s="552" t="s">
        <v>706</v>
      </c>
      <c r="L194" s="522" t="s">
        <v>114</v>
      </c>
      <c r="M194" s="219" t="s">
        <v>113</v>
      </c>
      <c r="N194" s="563"/>
      <c r="O194" s="563"/>
      <c r="P194" s="564"/>
      <c r="Q194" s="504">
        <v>0</v>
      </c>
      <c r="R194" s="526">
        <v>0</v>
      </c>
      <c r="S194" s="333" t="str">
        <f>IF(CampList[[#This Row],[HH]]&gt;0,CampList[[#This Row],[Total]]/CampList[[#This Row],[HH]],"NA")</f>
        <v>NA</v>
      </c>
      <c r="T194" s="556" t="s">
        <v>513</v>
      </c>
      <c r="U194" s="334" t="s">
        <v>1204</v>
      </c>
      <c r="V194" s="522" t="s">
        <v>556</v>
      </c>
      <c r="W194" s="557"/>
      <c r="X194" s="565"/>
      <c r="Y194" s="566"/>
      <c r="Z194" s="557"/>
      <c r="AA194" s="510"/>
      <c r="AB194" s="522"/>
      <c r="AC194" s="567"/>
      <c r="AD194" s="518" t="s">
        <v>603</v>
      </c>
      <c r="AE194" s="566" t="s">
        <v>1014</v>
      </c>
      <c r="AF194" s="233">
        <f>IF(CampList[[#This Row],[Type of Accomodation]]="camp",MAX(0,CampList[[#This Row],[HH]]-SUMIF(Table_Shelter[Pcode],CampList[[#This Row],[CP_Pcode]],Table_Shelter[HH Covered])),0)</f>
        <v>0</v>
      </c>
      <c r="AG194" s="520"/>
      <c r="AH194" s="218">
        <f>MIN(CampList[[#This Row],[Shelter Gap]],CampList[[#This Row],[Land Status]])</f>
        <v>0</v>
      </c>
      <c r="AI194" s="218" t="str">
        <f ca="1">IFERROR(OFFSET(DistanceToCamp[Nearest Town],MATCH(CampList[[#This Row],[CP_Pcode]],DistanceToCamp[CP_Pcode],0)-1,0,1,1),"")</f>
        <v/>
      </c>
      <c r="AJ194" s="336" t="str">
        <f ca="1">IFERROR(OFFSET(DistanceToCamp[distance],MATCH(CampList[[#This Row],[CP_Pcode]],DistanceToCamp[CP_Pcode],0)-1,0,1,1),"")</f>
        <v/>
      </c>
      <c r="AK194" s="337" t="str">
        <f ca="1">IFERROR(INT(CampList[[#This Row],[Distance]]/5)+1,"")</f>
        <v/>
      </c>
      <c r="AL194" s="721"/>
      <c r="AM194" s="721"/>
      <c r="AN194" s="721"/>
      <c r="BD194" s="5"/>
      <c r="BE194" s="5"/>
    </row>
    <row r="195" spans="1:57" s="4" customFormat="1" ht="15.6" customHeight="1" x14ac:dyDescent="0.25">
      <c r="A195" s="550" t="s">
        <v>502</v>
      </c>
      <c r="B195" s="522" t="s">
        <v>380</v>
      </c>
      <c r="C195" s="520" t="s">
        <v>527</v>
      </c>
      <c r="D195" s="520" t="s">
        <v>5</v>
      </c>
      <c r="E195" s="520" t="s">
        <v>531</v>
      </c>
      <c r="F195" s="520" t="s">
        <v>5</v>
      </c>
      <c r="G195" s="520" t="s">
        <v>532</v>
      </c>
      <c r="H195" s="577" t="s">
        <v>647</v>
      </c>
      <c r="I195" s="577" t="s">
        <v>648</v>
      </c>
      <c r="J195" s="577" t="s">
        <v>649</v>
      </c>
      <c r="K195" s="578">
        <v>166854</v>
      </c>
      <c r="L195" s="569" t="s">
        <v>366</v>
      </c>
      <c r="M195" s="522" t="s">
        <v>376</v>
      </c>
      <c r="N195" s="553">
        <v>97.252650000000003</v>
      </c>
      <c r="O195" s="553">
        <v>24.222349999999999</v>
      </c>
      <c r="P195" s="554">
        <v>0</v>
      </c>
      <c r="Q195" s="505">
        <v>157</v>
      </c>
      <c r="R195" s="528">
        <v>761</v>
      </c>
      <c r="S195" s="333">
        <f>IF(CampList[[#This Row],[HH]]&gt;0,CampList[[#This Row],[Total]]/CampList[[#This Row],[HH]],"NA")</f>
        <v>4.8471337579617835</v>
      </c>
      <c r="T195" s="576" t="s">
        <v>513</v>
      </c>
      <c r="U195" s="557" t="s">
        <v>1204</v>
      </c>
      <c r="V195" s="522" t="s">
        <v>556</v>
      </c>
      <c r="W195" s="557" t="s">
        <v>808</v>
      </c>
      <c r="X195" s="558">
        <v>41275</v>
      </c>
      <c r="Y195" s="559">
        <v>1</v>
      </c>
      <c r="Z195" s="558" t="s">
        <v>462</v>
      </c>
      <c r="AA195" s="513" t="s">
        <v>848</v>
      </c>
      <c r="AB195" s="522"/>
      <c r="AC195" s="574">
        <v>42397</v>
      </c>
      <c r="AD195" s="519" t="s">
        <v>1435</v>
      </c>
      <c r="AE195" s="559" t="s">
        <v>1100</v>
      </c>
      <c r="AF195" s="530">
        <f>IF(CampList[[#This Row],[Type of Accomodation]]="camp",MAX(0,CampList[[#This Row],[HH]]-SUMIF(Table_Shelter[Pcode],CampList[[#This Row],[CP_Pcode]],Table_Shelter[HH Covered])),0)</f>
        <v>31</v>
      </c>
      <c r="AG195" s="530"/>
      <c r="AH195" s="520">
        <f>MIN(CampList[[#This Row],[Shelter Gap]],CampList[[#This Row],[Land Status]])</f>
        <v>31</v>
      </c>
      <c r="AI195" s="520" t="str">
        <f ca="1">IFERROR(OFFSET(DistanceToCamp[Nearest Town],MATCH(CampList[[#This Row],[CP_Pcode]],DistanceToCamp[CP_Pcode],0)-1,0,1,1),"")</f>
        <v>Bhamo Town</v>
      </c>
      <c r="AJ195" s="336">
        <f ca="1">IFERROR(OFFSET(DistanceToCamp[distance],MATCH(CampList[[#This Row],[CP_Pcode]],DistanceToCamp[CP_Pcode],0)-1,0,1,1),"")</f>
        <v>4.067486452659054</v>
      </c>
      <c r="AK195" s="562">
        <f ca="1">IFERROR(INT(CampList[[#This Row],[Distance]]/5)+1,"")</f>
        <v>1</v>
      </c>
      <c r="AL195" s="721"/>
      <c r="AM195" s="721"/>
      <c r="AN195" s="721"/>
      <c r="BD195" s="5"/>
      <c r="BE195" s="5"/>
    </row>
    <row r="196" spans="1:57" s="4" customFormat="1" ht="15.6" customHeight="1" x14ac:dyDescent="0.25">
      <c r="A196" s="550" t="s">
        <v>502</v>
      </c>
      <c r="B196" s="522" t="s">
        <v>380</v>
      </c>
      <c r="C196" s="520" t="s">
        <v>527</v>
      </c>
      <c r="D196" s="520" t="s">
        <v>5</v>
      </c>
      <c r="E196" s="520" t="s">
        <v>531</v>
      </c>
      <c r="F196" s="520" t="s">
        <v>185</v>
      </c>
      <c r="G196" s="520" t="s">
        <v>535</v>
      </c>
      <c r="H196" s="577" t="s">
        <v>707</v>
      </c>
      <c r="I196" s="577" t="s">
        <v>708</v>
      </c>
      <c r="J196" s="577" t="s">
        <v>709</v>
      </c>
      <c r="K196" s="578">
        <v>167242</v>
      </c>
      <c r="L196" s="522" t="s">
        <v>221</v>
      </c>
      <c r="M196" s="522" t="s">
        <v>220</v>
      </c>
      <c r="N196" s="553">
        <v>97.429860000000005</v>
      </c>
      <c r="O196" s="553">
        <v>24.630859999999998</v>
      </c>
      <c r="P196" s="554"/>
      <c r="Q196" s="505">
        <v>39</v>
      </c>
      <c r="R196" s="528">
        <v>176</v>
      </c>
      <c r="S196" s="333">
        <f>IF(CampList[[#This Row],[HH]]&gt;0,CampList[[#This Row],[Total]]/CampList[[#This Row],[HH]],"NA")</f>
        <v>4.5128205128205128</v>
      </c>
      <c r="T196" s="576" t="s">
        <v>513</v>
      </c>
      <c r="U196" s="557" t="s">
        <v>1204</v>
      </c>
      <c r="V196" s="522" t="s">
        <v>12</v>
      </c>
      <c r="W196" s="557" t="s">
        <v>862</v>
      </c>
      <c r="X196" s="558"/>
      <c r="Y196" s="559"/>
      <c r="Z196" s="558"/>
      <c r="AA196" s="513" t="s">
        <v>847</v>
      </c>
      <c r="AB196" s="522"/>
      <c r="AC196" s="560">
        <v>41646</v>
      </c>
      <c r="AD196" s="519" t="s">
        <v>895</v>
      </c>
      <c r="AE196" s="559" t="s">
        <v>1100</v>
      </c>
      <c r="AF196" s="530">
        <f>IF(CampList[[#This Row],[Type of Accomodation]]="camp",MAX(0,CampList[[#This Row],[HH]]-SUMIF(Table_Shelter[Pcode],CampList[[#This Row],[CP_Pcode]],Table_Shelter[HH Covered])),0)</f>
        <v>0</v>
      </c>
      <c r="AG196" s="530"/>
      <c r="AH196" s="520">
        <f>MIN(CampList[[#This Row],[Shelter Gap]],CampList[[#This Row],[Land Status]])</f>
        <v>0</v>
      </c>
      <c r="AI196" s="520" t="str">
        <f ca="1">IFERROR(OFFSET(DistanceToCamp[Nearest Town],MATCH(CampList[[#This Row],[CP_Pcode]],DistanceToCamp[CP_Pcode],0)-1,0,1,1),"")</f>
        <v>Dawthponeyan  Town</v>
      </c>
      <c r="AJ196" s="336">
        <f ca="1">IFERROR(OFFSET(DistanceToCamp[distance],MATCH(CampList[[#This Row],[CP_Pcode]],DistanceToCamp[CP_Pcode],0)-1,0,1,1),"")</f>
        <v>3.6887624513681017</v>
      </c>
      <c r="AK196" s="562">
        <f ca="1">IFERROR(INT(CampList[[#This Row],[Distance]]/5)+1,"")</f>
        <v>1</v>
      </c>
      <c r="AL196" s="721"/>
      <c r="AM196" s="721"/>
      <c r="AN196" s="721"/>
      <c r="BD196" s="5"/>
      <c r="BE196" s="5"/>
    </row>
    <row r="197" spans="1:57" s="4" customFormat="1" ht="15.6" customHeight="1" x14ac:dyDescent="0.25">
      <c r="A197" s="684" t="s">
        <v>502</v>
      </c>
      <c r="B197" s="530" t="s">
        <v>380</v>
      </c>
      <c r="C197" s="530" t="s">
        <v>527</v>
      </c>
      <c r="D197" s="530" t="s">
        <v>237</v>
      </c>
      <c r="E197" s="530" t="s">
        <v>533</v>
      </c>
      <c r="F197" s="530" t="s">
        <v>310</v>
      </c>
      <c r="G197" s="530" t="s">
        <v>534</v>
      </c>
      <c r="H197" s="530" t="s">
        <v>720</v>
      </c>
      <c r="I197" s="593" t="s">
        <v>774</v>
      </c>
      <c r="J197" s="530"/>
      <c r="K197" s="530"/>
      <c r="L197" s="530" t="s">
        <v>355</v>
      </c>
      <c r="M197" s="530" t="s">
        <v>354</v>
      </c>
      <c r="N197" s="503">
        <v>97.990555999999998</v>
      </c>
      <c r="O197" s="503">
        <v>25.265277999999999</v>
      </c>
      <c r="P197" s="564">
        <v>2764</v>
      </c>
      <c r="Q197" s="506">
        <v>108</v>
      </c>
      <c r="R197" s="527">
        <v>647</v>
      </c>
      <c r="S197" s="333">
        <f>IF(CampList[[#This Row],[HH]]&gt;0,CampList[[#This Row],[Total]]/CampList[[#This Row],[HH]],"NA")</f>
        <v>5.9907407407407405</v>
      </c>
      <c r="T197" s="594" t="s">
        <v>515</v>
      </c>
      <c r="U197" s="556" t="s">
        <v>1204</v>
      </c>
      <c r="V197" s="491" t="s">
        <v>556</v>
      </c>
      <c r="W197" s="503" t="s">
        <v>863</v>
      </c>
      <c r="X197" s="572">
        <v>40848</v>
      </c>
      <c r="Y197" s="566">
        <v>2</v>
      </c>
      <c r="Z197" s="566" t="s">
        <v>1097</v>
      </c>
      <c r="AA197" s="506" t="s">
        <v>848</v>
      </c>
      <c r="AB197" s="594"/>
      <c r="AC197" s="574">
        <v>42397</v>
      </c>
      <c r="AD197" s="705" t="s">
        <v>1382</v>
      </c>
      <c r="AE197" s="592" t="s">
        <v>1084</v>
      </c>
      <c r="AF197" s="593">
        <f>IF(CampList[[#This Row],[Type of Accomodation]]="camp",MAX(0,CampList[[#This Row],[HH]]-SUMIF(Table_Shelter[Pcode],CampList[[#This Row],[CP_Pcode]],Table_Shelter[HH Covered])),0)</f>
        <v>108</v>
      </c>
      <c r="AG197" s="530"/>
      <c r="AH197" s="593">
        <f>MIN(CampList[[#This Row],[Shelter Gap]],CampList[[#This Row],[Land Status]])</f>
        <v>108</v>
      </c>
      <c r="AI197" s="593" t="str">
        <f ca="1">IFERROR(OFFSET(DistanceToCamp[Nearest Town],MATCH(CampList[[#This Row],[CP_Pcode]],DistanceToCamp[CP_Pcode],0)-1,0,1,1),"")</f>
        <v>Sadung Town</v>
      </c>
      <c r="AJ197" s="336">
        <f ca="1">IFERROR(OFFSET(DistanceToCamp[distance],MATCH(CampList[[#This Row],[CP_Pcode]],DistanceToCamp[CP_Pcode],0)-1,0,1,1),"")</f>
        <v>17.035515422123492</v>
      </c>
      <c r="AK197" s="595">
        <f ca="1">IFERROR(INT(CampList[[#This Row],[Distance]]/5)+1,"")</f>
        <v>4</v>
      </c>
      <c r="AL197" s="721"/>
      <c r="AM197" s="721"/>
      <c r="AN197" s="721"/>
      <c r="BD197" s="5"/>
      <c r="BE197" s="5"/>
    </row>
    <row r="198" spans="1:57" s="4" customFormat="1" ht="15.6" customHeight="1" x14ac:dyDescent="0.25">
      <c r="A198" s="585" t="s">
        <v>502</v>
      </c>
      <c r="B198" s="522" t="s">
        <v>380</v>
      </c>
      <c r="C198" s="520" t="s">
        <v>527</v>
      </c>
      <c r="D198" s="520" t="s">
        <v>237</v>
      </c>
      <c r="E198" s="520" t="s">
        <v>533</v>
      </c>
      <c r="F198" s="520" t="s">
        <v>310</v>
      </c>
      <c r="G198" s="218" t="s">
        <v>534</v>
      </c>
      <c r="H198" s="577" t="s">
        <v>697</v>
      </c>
      <c r="I198" s="577" t="s">
        <v>698</v>
      </c>
      <c r="J198" s="577" t="s">
        <v>718</v>
      </c>
      <c r="K198" s="578" t="s">
        <v>719</v>
      </c>
      <c r="L198" s="522" t="s">
        <v>318</v>
      </c>
      <c r="M198" s="522" t="s">
        <v>317</v>
      </c>
      <c r="N198" s="553">
        <v>97.441166388888902</v>
      </c>
      <c r="O198" s="553">
        <v>25.3540362037037</v>
      </c>
      <c r="P198" s="554">
        <v>0</v>
      </c>
      <c r="Q198" s="505">
        <v>94</v>
      </c>
      <c r="R198" s="528">
        <v>342</v>
      </c>
      <c r="S198" s="333">
        <f>IF(CampList[[#This Row],[HH]]&gt;0,CampList[[#This Row],[Total]]/CampList[[#This Row],[HH]],"NA")</f>
        <v>3.6382978723404253</v>
      </c>
      <c r="T198" s="576" t="s">
        <v>513</v>
      </c>
      <c r="U198" s="334" t="s">
        <v>1204</v>
      </c>
      <c r="V198" s="522" t="s">
        <v>556</v>
      </c>
      <c r="W198" s="557" t="s">
        <v>808</v>
      </c>
      <c r="X198" s="558">
        <v>40725</v>
      </c>
      <c r="Y198" s="559">
        <v>2</v>
      </c>
      <c r="Z198" s="558" t="s">
        <v>507</v>
      </c>
      <c r="AA198" s="513" t="s">
        <v>848</v>
      </c>
      <c r="AB198" s="522"/>
      <c r="AC198" s="574">
        <v>42387</v>
      </c>
      <c r="AD198" s="519" t="s">
        <v>1383</v>
      </c>
      <c r="AE198" s="559" t="s">
        <v>1100</v>
      </c>
      <c r="AF198" s="530">
        <f>IF(CampList[[#This Row],[Type of Accomodation]]="camp",MAX(0,CampList[[#This Row],[HH]]-SUMIF(Table_Shelter[Pcode],CampList[[#This Row],[CP_Pcode]],Table_Shelter[HH Covered])),0)</f>
        <v>0</v>
      </c>
      <c r="AG198" s="530"/>
      <c r="AH198" s="218">
        <f>MIN(CampList[[#This Row],[Shelter Gap]],CampList[[#This Row],[Land Status]])</f>
        <v>0</v>
      </c>
      <c r="AI198" s="218" t="str">
        <f ca="1">IFERROR(OFFSET(DistanceToCamp[Nearest Town],MATCH(CampList[[#This Row],[CP_Pcode]],DistanceToCamp[CP_Pcode],0)-1,0,1,1),"")</f>
        <v>Waingmaw Town</v>
      </c>
      <c r="AJ198" s="336">
        <f ca="1">IFERROR(OFFSET(DistanceToCamp[distance],MATCH(CampList[[#This Row],[CP_Pcode]],DistanceToCamp[CP_Pcode],0)-1,0,1,1),"")</f>
        <v>0.37684287609457234</v>
      </c>
      <c r="AK198" s="337">
        <f ca="1">IFERROR(INT(CampList[[#This Row],[Distance]]/5)+1,"")</f>
        <v>1</v>
      </c>
      <c r="AL198" s="721"/>
      <c r="AM198" s="721"/>
      <c r="AN198" s="721"/>
      <c r="BD198" s="5"/>
      <c r="BE198" s="5"/>
    </row>
    <row r="199" spans="1:57" s="4" customFormat="1" ht="15.6" customHeight="1" x14ac:dyDescent="0.25">
      <c r="A199" s="585" t="s">
        <v>502</v>
      </c>
      <c r="B199" s="522" t="s">
        <v>380</v>
      </c>
      <c r="C199" s="520" t="s">
        <v>527</v>
      </c>
      <c r="D199" s="520" t="s">
        <v>237</v>
      </c>
      <c r="E199" s="520" t="s">
        <v>533</v>
      </c>
      <c r="F199" s="520" t="s">
        <v>310</v>
      </c>
      <c r="G199" s="218" t="s">
        <v>534</v>
      </c>
      <c r="H199" s="577" t="s">
        <v>697</v>
      </c>
      <c r="I199" s="577" t="s">
        <v>698</v>
      </c>
      <c r="J199" s="577" t="s">
        <v>718</v>
      </c>
      <c r="K199" s="578" t="s">
        <v>719</v>
      </c>
      <c r="L199" s="569" t="s">
        <v>342</v>
      </c>
      <c r="M199" s="522" t="s">
        <v>341</v>
      </c>
      <c r="N199" s="553">
        <v>97.438432380952406</v>
      </c>
      <c r="O199" s="553">
        <v>25.351724999999998</v>
      </c>
      <c r="P199" s="554">
        <v>0</v>
      </c>
      <c r="Q199" s="505">
        <v>65</v>
      </c>
      <c r="R199" s="528">
        <v>322</v>
      </c>
      <c r="S199" s="333">
        <f>IF(CampList[[#This Row],[HH]]&gt;0,CampList[[#This Row],[Total]]/CampList[[#This Row],[HH]],"NA")</f>
        <v>4.953846153846154</v>
      </c>
      <c r="T199" s="576" t="s">
        <v>513</v>
      </c>
      <c r="U199" s="334" t="s">
        <v>1204</v>
      </c>
      <c r="V199" s="522" t="s">
        <v>556</v>
      </c>
      <c r="W199" s="557" t="s">
        <v>808</v>
      </c>
      <c r="X199" s="558">
        <v>40695</v>
      </c>
      <c r="Y199" s="559">
        <v>2</v>
      </c>
      <c r="Z199" s="558" t="s">
        <v>462</v>
      </c>
      <c r="AA199" s="513" t="s">
        <v>848</v>
      </c>
      <c r="AB199" s="522"/>
      <c r="AC199" s="574">
        <v>42397</v>
      </c>
      <c r="AD199" s="519" t="s">
        <v>1436</v>
      </c>
      <c r="AE199" s="559" t="s">
        <v>1100</v>
      </c>
      <c r="AF199" s="530">
        <f>IF(CampList[[#This Row],[Type of Accomodation]]="camp",MAX(0,CampList[[#This Row],[HH]]-SUMIF(Table_Shelter[Pcode],CampList[[#This Row],[CP_Pcode]],Table_Shelter[HH Covered])),0)</f>
        <v>27</v>
      </c>
      <c r="AG199" s="530"/>
      <c r="AH199" s="218">
        <f>MIN(CampList[[#This Row],[Shelter Gap]],CampList[[#This Row],[Land Status]])</f>
        <v>27</v>
      </c>
      <c r="AI199" s="218" t="str">
        <f ca="1">IFERROR(OFFSET(DistanceToCamp[Nearest Town],MATCH(CampList[[#This Row],[CP_Pcode]],DistanceToCamp[CP_Pcode],0)-1,0,1,1),"")</f>
        <v>Waingmaw Town</v>
      </c>
      <c r="AJ199" s="336">
        <f ca="1">IFERROR(OFFSET(DistanceToCamp[distance],MATCH(CampList[[#This Row],[CP_Pcode]],DistanceToCamp[CP_Pcode],0)-1,0,1,1),"")</f>
        <v>0.4474205416025816</v>
      </c>
      <c r="AK199" s="337">
        <f ca="1">IFERROR(INT(CampList[[#This Row],[Distance]]/5)+1,"")</f>
        <v>1</v>
      </c>
      <c r="AL199" s="721"/>
      <c r="AM199" s="721"/>
      <c r="AN199" s="721"/>
      <c r="BD199" s="5"/>
      <c r="BE199" s="5"/>
    </row>
    <row r="200" spans="1:57" s="4" customFormat="1" ht="15.6" customHeight="1" x14ac:dyDescent="0.25">
      <c r="A200" s="585" t="s">
        <v>502</v>
      </c>
      <c r="B200" s="522" t="s">
        <v>380</v>
      </c>
      <c r="C200" s="520" t="s">
        <v>527</v>
      </c>
      <c r="D200" s="520" t="s">
        <v>237</v>
      </c>
      <c r="E200" s="520" t="s">
        <v>533</v>
      </c>
      <c r="F200" s="520" t="s">
        <v>310</v>
      </c>
      <c r="G200" s="520" t="s">
        <v>534</v>
      </c>
      <c r="H200" s="577" t="s">
        <v>697</v>
      </c>
      <c r="I200" s="577" t="s">
        <v>698</v>
      </c>
      <c r="J200" s="577" t="s">
        <v>716</v>
      </c>
      <c r="K200" s="578" t="s">
        <v>717</v>
      </c>
      <c r="L200" s="522" t="s">
        <v>338</v>
      </c>
      <c r="M200" s="522" t="s">
        <v>337</v>
      </c>
      <c r="N200" s="553">
        <v>97.437472666666693</v>
      </c>
      <c r="O200" s="553">
        <v>25.345918166666699</v>
      </c>
      <c r="P200" s="554"/>
      <c r="Q200" s="505">
        <v>31</v>
      </c>
      <c r="R200" s="528">
        <v>171</v>
      </c>
      <c r="S200" s="333">
        <f>IF(CampList[[#This Row],[HH]]&gt;0,CampList[[#This Row],[Total]]/CampList[[#This Row],[HH]],"NA")</f>
        <v>5.5161290322580649</v>
      </c>
      <c r="T200" s="576" t="s">
        <v>513</v>
      </c>
      <c r="U200" s="557" t="s">
        <v>1204</v>
      </c>
      <c r="V200" s="522" t="s">
        <v>556</v>
      </c>
      <c r="W200" s="557" t="s">
        <v>808</v>
      </c>
      <c r="X200" s="558">
        <v>40695</v>
      </c>
      <c r="Y200" s="559">
        <v>1</v>
      </c>
      <c r="Z200" s="558" t="s">
        <v>507</v>
      </c>
      <c r="AA200" s="513" t="s">
        <v>848</v>
      </c>
      <c r="AB200" s="522"/>
      <c r="AC200" s="574">
        <v>42387</v>
      </c>
      <c r="AD200" s="519" t="s">
        <v>1405</v>
      </c>
      <c r="AE200" s="559" t="s">
        <v>1100</v>
      </c>
      <c r="AF200" s="530">
        <f>IF(CampList[[#This Row],[Type of Accomodation]]="camp",MAX(0,CampList[[#This Row],[HH]]-SUMIF(Table_Shelter[Pcode],CampList[[#This Row],[CP_Pcode]],Table_Shelter[HH Covered])),0)</f>
        <v>0</v>
      </c>
      <c r="AG200" s="530"/>
      <c r="AH200" s="520">
        <f>MIN(CampList[[#This Row],[Shelter Gap]],CampList[[#This Row],[Land Status]])</f>
        <v>0</v>
      </c>
      <c r="AI200" s="520" t="str">
        <f ca="1">IFERROR(OFFSET(DistanceToCamp[Nearest Town],MATCH(CampList[[#This Row],[CP_Pcode]],DistanceToCamp[CP_Pcode],0)-1,0,1,1),"")</f>
        <v>Waingmaw Town</v>
      </c>
      <c r="AJ200" s="336">
        <f ca="1">IFERROR(OFFSET(DistanceToCamp[distance],MATCH(CampList[[#This Row],[CP_Pcode]],DistanceToCamp[CP_Pcode],0)-1,0,1,1),"")</f>
        <v>0.77827912736780092</v>
      </c>
      <c r="AK200" s="562">
        <f ca="1">IFERROR(INT(CampList[[#This Row],[Distance]]/5)+1,"")</f>
        <v>1</v>
      </c>
      <c r="AL200" s="721"/>
      <c r="AM200" s="721"/>
      <c r="AN200" s="721"/>
      <c r="BD200" s="5"/>
      <c r="BE200" s="5"/>
    </row>
    <row r="201" spans="1:57" s="4" customFormat="1" ht="15.6" customHeight="1" x14ac:dyDescent="0.25">
      <c r="A201" s="585" t="s">
        <v>502</v>
      </c>
      <c r="B201" s="522" t="s">
        <v>380</v>
      </c>
      <c r="C201" s="520" t="s">
        <v>527</v>
      </c>
      <c r="D201" s="520" t="s">
        <v>237</v>
      </c>
      <c r="E201" s="520" t="s">
        <v>533</v>
      </c>
      <c r="F201" s="520" t="s">
        <v>310</v>
      </c>
      <c r="G201" s="520" t="s">
        <v>534</v>
      </c>
      <c r="H201" s="577" t="s">
        <v>697</v>
      </c>
      <c r="I201" s="577" t="s">
        <v>698</v>
      </c>
      <c r="J201" s="577" t="s">
        <v>699</v>
      </c>
      <c r="K201" s="578" t="s">
        <v>700</v>
      </c>
      <c r="L201" s="522" t="s">
        <v>351</v>
      </c>
      <c r="M201" s="522" t="s">
        <v>350</v>
      </c>
      <c r="N201" s="553">
        <v>97.432495000000003</v>
      </c>
      <c r="O201" s="553">
        <v>25.350809000000002</v>
      </c>
      <c r="P201" s="554">
        <v>0</v>
      </c>
      <c r="Q201" s="505">
        <v>91</v>
      </c>
      <c r="R201" s="528">
        <v>484</v>
      </c>
      <c r="S201" s="333">
        <f>IF(CampList[[#This Row],[HH]]&gt;0,CampList[[#This Row],[Total]]/CampList[[#This Row],[HH]],"NA")</f>
        <v>5.3186813186813184</v>
      </c>
      <c r="T201" s="576" t="s">
        <v>513</v>
      </c>
      <c r="U201" s="557" t="s">
        <v>1204</v>
      </c>
      <c r="V201" s="522" t="s">
        <v>556</v>
      </c>
      <c r="W201" s="557" t="s">
        <v>808</v>
      </c>
      <c r="X201" s="558">
        <v>40940</v>
      </c>
      <c r="Y201" s="559">
        <v>1</v>
      </c>
      <c r="Z201" s="558" t="s">
        <v>507</v>
      </c>
      <c r="AA201" s="513" t="s">
        <v>848</v>
      </c>
      <c r="AB201" s="522"/>
      <c r="AC201" s="574">
        <v>42387</v>
      </c>
      <c r="AD201" s="519" t="s">
        <v>1407</v>
      </c>
      <c r="AE201" s="559" t="s">
        <v>1100</v>
      </c>
      <c r="AF201" s="530">
        <f>IF(CampList[[#This Row],[Type of Accomodation]]="camp",MAX(0,CampList[[#This Row],[HH]]-SUMIF(Table_Shelter[Pcode],CampList[[#This Row],[CP_Pcode]],Table_Shelter[HH Covered])),0)</f>
        <v>0</v>
      </c>
      <c r="AG201" s="530"/>
      <c r="AH201" s="520">
        <f>MIN(CampList[[#This Row],[Shelter Gap]],CampList[[#This Row],[Land Status]])</f>
        <v>0</v>
      </c>
      <c r="AI201" s="520" t="str">
        <f ca="1">IFERROR(OFFSET(DistanceToCamp[Nearest Town],MATCH(CampList[[#This Row],[CP_Pcode]],DistanceToCamp[CP_Pcode],0)-1,0,1,1),"")</f>
        <v>Waingmaw Town</v>
      </c>
      <c r="AJ201" s="336">
        <f ca="1">IFERROR(OFFSET(DistanceToCamp[distance],MATCH(CampList[[#This Row],[CP_Pcode]],DistanceToCamp[CP_Pcode],0)-1,0,1,1),"")</f>
        <v>1.0367202051285227</v>
      </c>
      <c r="AK201" s="562">
        <f ca="1">IFERROR(INT(CampList[[#This Row],[Distance]]/5)+1,"")</f>
        <v>1</v>
      </c>
      <c r="AL201" s="721"/>
      <c r="AM201" s="721"/>
      <c r="AN201" s="721"/>
      <c r="BD201" s="5"/>
      <c r="BE201" s="5"/>
    </row>
    <row r="202" spans="1:57" s="4" customFormat="1" ht="15.6" customHeight="1" x14ac:dyDescent="0.25">
      <c r="A202" s="550" t="s">
        <v>502</v>
      </c>
      <c r="B202" s="522" t="s">
        <v>380</v>
      </c>
      <c r="C202" s="520" t="s">
        <v>527</v>
      </c>
      <c r="D202" s="520" t="s">
        <v>180</v>
      </c>
      <c r="E202" s="520" t="s">
        <v>528</v>
      </c>
      <c r="F202" s="520" t="s">
        <v>529</v>
      </c>
      <c r="G202" s="218" t="s">
        <v>530</v>
      </c>
      <c r="H202" s="577" t="s">
        <v>600</v>
      </c>
      <c r="I202" s="577" t="s">
        <v>601</v>
      </c>
      <c r="J202" s="577" t="s">
        <v>602</v>
      </c>
      <c r="K202" s="578">
        <v>166785</v>
      </c>
      <c r="L202" s="522" t="s">
        <v>118</v>
      </c>
      <c r="M202" s="219" t="s">
        <v>117</v>
      </c>
      <c r="N202" s="553">
        <v>96.279200000000003</v>
      </c>
      <c r="O202" s="553">
        <v>25.56551</v>
      </c>
      <c r="P202" s="554">
        <v>259</v>
      </c>
      <c r="Q202" s="505">
        <v>10</v>
      </c>
      <c r="R202" s="528">
        <v>39</v>
      </c>
      <c r="S202" s="333">
        <f>IF(CampList[[#This Row],[HH]]&gt;0,CampList[[#This Row],[Total]]/CampList[[#This Row],[HH]],"NA")</f>
        <v>3.9</v>
      </c>
      <c r="T202" s="576" t="s">
        <v>513</v>
      </c>
      <c r="U202" s="334" t="s">
        <v>1204</v>
      </c>
      <c r="V202" s="219" t="s">
        <v>556</v>
      </c>
      <c r="W202" s="557" t="s">
        <v>862</v>
      </c>
      <c r="X202" s="558">
        <v>41275</v>
      </c>
      <c r="Y202" s="559">
        <v>1</v>
      </c>
      <c r="Z202" s="558" t="s">
        <v>507</v>
      </c>
      <c r="AA202" s="513" t="s">
        <v>848</v>
      </c>
      <c r="AB202" s="522"/>
      <c r="AC202" s="574">
        <v>42291</v>
      </c>
      <c r="AD202" s="519" t="s">
        <v>1333</v>
      </c>
      <c r="AE202" s="559" t="s">
        <v>1100</v>
      </c>
      <c r="AF202" s="233">
        <f>IF(CampList[[#This Row],[Type of Accomodation]]="camp",MAX(0,CampList[[#This Row],[HH]]-SUMIF(Table_Shelter[Pcode],CampList[[#This Row],[CP_Pcode]],Table_Shelter[HH Covered])),0)</f>
        <v>0</v>
      </c>
      <c r="AG202" s="530"/>
      <c r="AH202" s="218">
        <f>MIN(CampList[[#This Row],[Shelter Gap]],CampList[[#This Row],[Land Status]])</f>
        <v>0</v>
      </c>
      <c r="AI202" s="218" t="str">
        <f ca="1">IFERROR(OFFSET(DistanceToCamp[Nearest Town],MATCH(CampList[[#This Row],[CP_Pcode]],DistanceToCamp[CP_Pcode],0)-1,0,1,1),"")</f>
        <v>Hpakant Town</v>
      </c>
      <c r="AJ202" s="336">
        <f ca="1">IFERROR(OFFSET(DistanceToCamp[distance],MATCH(CampList[[#This Row],[CP_Pcode]],DistanceToCamp[CP_Pcode],0)-1,0,1,1),"")</f>
        <v>6.2085564346706201</v>
      </c>
      <c r="AK202" s="337">
        <f ca="1">IFERROR(INT(CampList[[#This Row],[Distance]]/5)+1,"")</f>
        <v>2</v>
      </c>
      <c r="AL202" s="721"/>
      <c r="AM202" s="721"/>
      <c r="AN202" s="721"/>
      <c r="BD202" s="5"/>
      <c r="BE202" s="5"/>
    </row>
    <row r="203" spans="1:57" s="4" customFormat="1" ht="15.6" customHeight="1" x14ac:dyDescent="0.25">
      <c r="A203" s="550" t="s">
        <v>502</v>
      </c>
      <c r="B203" s="522" t="s">
        <v>380</v>
      </c>
      <c r="C203" s="520" t="s">
        <v>527</v>
      </c>
      <c r="D203" s="520" t="s">
        <v>5</v>
      </c>
      <c r="E203" s="520" t="s">
        <v>531</v>
      </c>
      <c r="F203" s="520" t="s">
        <v>5</v>
      </c>
      <c r="G203" s="520" t="s">
        <v>532</v>
      </c>
      <c r="H203" s="577" t="s">
        <v>639</v>
      </c>
      <c r="I203" s="577" t="s">
        <v>640</v>
      </c>
      <c r="J203" s="577" t="s">
        <v>643</v>
      </c>
      <c r="K203" s="578" t="s">
        <v>644</v>
      </c>
      <c r="L203" s="569" t="s">
        <v>22</v>
      </c>
      <c r="M203" s="522" t="s">
        <v>21</v>
      </c>
      <c r="N203" s="553">
        <v>97.229116811594196</v>
      </c>
      <c r="O203" s="553">
        <v>24.268292826086999</v>
      </c>
      <c r="P203" s="554"/>
      <c r="Q203" s="505">
        <v>652</v>
      </c>
      <c r="R203" s="528">
        <v>3706</v>
      </c>
      <c r="S203" s="333">
        <f>IF(CampList[[#This Row],[HH]]&gt;0,CampList[[#This Row],[Total]]/CampList[[#This Row],[HH]],"NA")</f>
        <v>5.6840490797546011</v>
      </c>
      <c r="T203" s="576" t="s">
        <v>513</v>
      </c>
      <c r="U203" s="557" t="s">
        <v>1204</v>
      </c>
      <c r="V203" s="522" t="s">
        <v>556</v>
      </c>
      <c r="W203" s="557" t="s">
        <v>808</v>
      </c>
      <c r="X203" s="558">
        <v>40725</v>
      </c>
      <c r="Y203" s="559">
        <v>3</v>
      </c>
      <c r="Z203" s="558" t="s">
        <v>462</v>
      </c>
      <c r="AA203" s="513" t="s">
        <v>848</v>
      </c>
      <c r="AB203" s="522"/>
      <c r="AC203" s="574">
        <v>42397</v>
      </c>
      <c r="AD203" s="519" t="s">
        <v>1419</v>
      </c>
      <c r="AE203" s="559" t="s">
        <v>1100</v>
      </c>
      <c r="AF203" s="530">
        <f>IF(CampList[[#This Row],[Type of Accomodation]]="camp",MAX(0,CampList[[#This Row],[HH]]-SUMIF(Table_Shelter[Pcode],CampList[[#This Row],[CP_Pcode]],Table_Shelter[HH Covered])),0)</f>
        <v>227</v>
      </c>
      <c r="AG203" s="530"/>
      <c r="AH203" s="520">
        <f>MIN(CampList[[#This Row],[Shelter Gap]],CampList[[#This Row],[Land Status]])</f>
        <v>227</v>
      </c>
      <c r="AI203" s="520" t="str">
        <f ca="1">IFERROR(OFFSET(DistanceToCamp[Nearest Town],MATCH(CampList[[#This Row],[CP_Pcode]],DistanceToCamp[CP_Pcode],0)-1,0,1,1),"")</f>
        <v>Bhamo Town</v>
      </c>
      <c r="AJ203" s="336">
        <f ca="1">IFERROR(OFFSET(DistanceToCamp[distance],MATCH(CampList[[#This Row],[CP_Pcode]],DistanceToCamp[CP_Pcode],0)-1,0,1,1),"")</f>
        <v>1.5797992800898704</v>
      </c>
      <c r="AK203" s="562">
        <f ca="1">IFERROR(INT(CampList[[#This Row],[Distance]]/5)+1,"")</f>
        <v>1</v>
      </c>
      <c r="AL203" s="721"/>
      <c r="AM203" s="721"/>
      <c r="AN203" s="721"/>
      <c r="BD203" s="5"/>
      <c r="BE203" s="5"/>
    </row>
    <row r="204" spans="1:57" s="4" customFormat="1" ht="15.6" hidden="1" customHeight="1" x14ac:dyDescent="0.25">
      <c r="A204" s="550" t="s">
        <v>849</v>
      </c>
      <c r="B204" s="522" t="s">
        <v>380</v>
      </c>
      <c r="C204" s="522" t="s">
        <v>527</v>
      </c>
      <c r="D204" s="522" t="s">
        <v>180</v>
      </c>
      <c r="E204" s="522" t="s">
        <v>528</v>
      </c>
      <c r="F204" s="522" t="s">
        <v>529</v>
      </c>
      <c r="G204" s="520" t="s">
        <v>530</v>
      </c>
      <c r="H204" s="520"/>
      <c r="I204" s="522"/>
      <c r="J204" s="522"/>
      <c r="K204" s="568"/>
      <c r="L204" s="522" t="s">
        <v>122</v>
      </c>
      <c r="M204" s="522" t="s">
        <v>121</v>
      </c>
      <c r="N204" s="741"/>
      <c r="O204" s="741"/>
      <c r="P204" s="564"/>
      <c r="Q204" s="504">
        <v>0</v>
      </c>
      <c r="R204" s="526">
        <v>0</v>
      </c>
      <c r="S204" s="555" t="str">
        <f>IF(CampList[[#This Row],[HH]]&gt;0,CampList[[#This Row],[Total]]/CampList[[#This Row],[HH]],"NA")</f>
        <v>NA</v>
      </c>
      <c r="T204" s="556" t="s">
        <v>513</v>
      </c>
      <c r="U204" s="557" t="s">
        <v>1204</v>
      </c>
      <c r="V204" s="522" t="s">
        <v>556</v>
      </c>
      <c r="W204" s="557"/>
      <c r="X204" s="565"/>
      <c r="Y204" s="566"/>
      <c r="Z204" s="557"/>
      <c r="AA204" s="507"/>
      <c r="AB204" s="522"/>
      <c r="AC204" s="567"/>
      <c r="AD204" s="518"/>
      <c r="AE204" s="566" t="s">
        <v>1014</v>
      </c>
      <c r="AF204" s="530">
        <f>IF(CampList[[#This Row],[Type of Accomodation]]="camp",MAX(0,CampList[[#This Row],[HH]]-SUMIF(Table_Shelter[Pcode],CampList[[#This Row],[CP_Pcode]],Table_Shelter[HH Covered])),0)</f>
        <v>0</v>
      </c>
      <c r="AG204" s="520"/>
      <c r="AH204" s="520">
        <f>MIN(CampList[[#This Row],[Shelter Gap]],CampList[[#This Row],[Land Status]])</f>
        <v>0</v>
      </c>
      <c r="AI204" s="520" t="str">
        <f ca="1">IFERROR(OFFSET(DistanceToCamp[Nearest Town],MATCH(CampList[[#This Row],[CP_Pcode]],DistanceToCamp[CP_Pcode],0)-1,0,1,1),"")</f>
        <v/>
      </c>
      <c r="AJ204" s="561" t="str">
        <f ca="1">IFERROR(OFFSET(DistanceToCamp[distance],MATCH(CampList[[#This Row],[CP_Pcode]],DistanceToCamp[CP_Pcode],0)-1,0,1,1),"")</f>
        <v/>
      </c>
      <c r="AK204" s="562" t="str">
        <f ca="1">IFERROR(INT(CampList[[#This Row],[Distance]]/5)+1,"")</f>
        <v/>
      </c>
      <c r="AL204" s="721"/>
      <c r="AM204" s="721"/>
      <c r="AN204" s="721"/>
      <c r="BD204" s="5"/>
      <c r="BE204" s="5"/>
    </row>
    <row r="205" spans="1:57" s="4" customFormat="1" ht="15.6" customHeight="1" x14ac:dyDescent="0.25">
      <c r="A205" s="332" t="s">
        <v>502</v>
      </c>
      <c r="B205" s="522" t="s">
        <v>380</v>
      </c>
      <c r="C205" s="520" t="s">
        <v>527</v>
      </c>
      <c r="D205" s="520" t="s">
        <v>180</v>
      </c>
      <c r="E205" s="520" t="s">
        <v>528</v>
      </c>
      <c r="F205" s="520" t="s">
        <v>529</v>
      </c>
      <c r="G205" s="218" t="s">
        <v>530</v>
      </c>
      <c r="H205" s="520" t="s">
        <v>614</v>
      </c>
      <c r="I205" s="520" t="s">
        <v>1129</v>
      </c>
      <c r="J205" s="577"/>
      <c r="K205" s="578"/>
      <c r="L205" s="569" t="s">
        <v>124</v>
      </c>
      <c r="M205" s="522" t="s">
        <v>123</v>
      </c>
      <c r="N205" s="553">
        <v>96.353030000000004</v>
      </c>
      <c r="O205" s="553">
        <v>25.668399999999998</v>
      </c>
      <c r="P205" s="554">
        <v>0</v>
      </c>
      <c r="Q205" s="505">
        <v>8</v>
      </c>
      <c r="R205" s="528">
        <v>40</v>
      </c>
      <c r="S205" s="333">
        <f>IF(CampList[[#This Row],[HH]]&gt;0,CampList[[#This Row],[Total]]/CampList[[#This Row],[HH]],"NA")</f>
        <v>5</v>
      </c>
      <c r="T205" s="576" t="s">
        <v>513</v>
      </c>
      <c r="U205" s="334" t="s">
        <v>1204</v>
      </c>
      <c r="V205" s="522" t="s">
        <v>556</v>
      </c>
      <c r="W205" s="557" t="s">
        <v>862</v>
      </c>
      <c r="X205" s="558">
        <v>41275</v>
      </c>
      <c r="Y205" s="559">
        <v>1</v>
      </c>
      <c r="Z205" s="558" t="s">
        <v>462</v>
      </c>
      <c r="AA205" s="513" t="s">
        <v>848</v>
      </c>
      <c r="AB205" s="522"/>
      <c r="AC205" s="574">
        <v>42397</v>
      </c>
      <c r="AD205" s="519" t="s">
        <v>1437</v>
      </c>
      <c r="AE205" s="559" t="s">
        <v>1100</v>
      </c>
      <c r="AF205" s="233">
        <f>IF(CampList[[#This Row],[Type of Accomodation]]="camp",MAX(0,CampList[[#This Row],[HH]]-SUMIF(Table_Shelter[Pcode],CampList[[#This Row],[CP_Pcode]],Table_Shelter[HH Covered])),0)</f>
        <v>3</v>
      </c>
      <c r="AG205" s="530"/>
      <c r="AH205" s="218">
        <f>MIN(CampList[[#This Row],[Shelter Gap]],CampList[[#This Row],[Land Status]])</f>
        <v>3</v>
      </c>
      <c r="AI205" s="218" t="str">
        <f ca="1">IFERROR(OFFSET(DistanceToCamp[Nearest Town],MATCH(CampList[[#This Row],[CP_Pcode]],DistanceToCamp[CP_Pcode],0)-1,0,1,1),"")</f>
        <v>Hpakant Town</v>
      </c>
      <c r="AJ205" s="336">
        <f ca="1">IFERROR(OFFSET(DistanceToCamp[distance],MATCH(CampList[[#This Row],[CP_Pcode]],DistanceToCamp[CP_Pcode],0)-1,0,1,1),"")</f>
        <v>7.419312682373878</v>
      </c>
      <c r="AK205" s="337">
        <f ca="1">IFERROR(INT(CampList[[#This Row],[Distance]]/5)+1,"")</f>
        <v>2</v>
      </c>
      <c r="AL205" s="721"/>
      <c r="AM205" s="721"/>
      <c r="AN205" s="721"/>
      <c r="BD205" s="5"/>
      <c r="BE205" s="5"/>
    </row>
    <row r="206" spans="1:57" s="4" customFormat="1" ht="15.6" customHeight="1" x14ac:dyDescent="0.25">
      <c r="A206" s="490" t="s">
        <v>502</v>
      </c>
      <c r="B206" s="530" t="s">
        <v>380</v>
      </c>
      <c r="C206" s="520" t="s">
        <v>527</v>
      </c>
      <c r="D206" s="520" t="s">
        <v>300</v>
      </c>
      <c r="E206" s="520" t="s">
        <v>548</v>
      </c>
      <c r="F206" s="520" t="s">
        <v>813</v>
      </c>
      <c r="G206" s="520" t="s">
        <v>814</v>
      </c>
      <c r="H206" s="530"/>
      <c r="I206" s="593"/>
      <c r="J206" s="530"/>
      <c r="K206" s="530"/>
      <c r="L206" s="530" t="s">
        <v>1323</v>
      </c>
      <c r="M206" s="530" t="s">
        <v>1324</v>
      </c>
      <c r="N206" s="20">
        <v>97.75609</v>
      </c>
      <c r="O206" s="20">
        <v>26.548506</v>
      </c>
      <c r="P206" s="527"/>
      <c r="Q206" s="506"/>
      <c r="R206" s="527">
        <v>489</v>
      </c>
      <c r="S206" s="333" t="str">
        <f>IF(CampList[[#This Row],[HH]]&gt;0,CampList[[#This Row],[Total]]/CampList[[#This Row],[HH]],"NA")</f>
        <v>NA</v>
      </c>
      <c r="T206" s="594" t="s">
        <v>513</v>
      </c>
      <c r="U206" s="556" t="s">
        <v>1204</v>
      </c>
      <c r="V206" s="491" t="s">
        <v>556</v>
      </c>
      <c r="W206" s="503"/>
      <c r="X206" s="572"/>
      <c r="Y206" s="528"/>
      <c r="Z206" s="528"/>
      <c r="AA206" s="506"/>
      <c r="AB206" s="594"/>
      <c r="AC206" s="727">
        <v>42279</v>
      </c>
      <c r="AD206" s="708" t="s">
        <v>1322</v>
      </c>
      <c r="AE206" s="592"/>
      <c r="AF206" s="593">
        <f>IF(CampList[[#This Row],[Type of Accomodation]]="camp",MAX(0,CampList[[#This Row],[HH]]-SUMIF(Table_Shelter[Pcode],CampList[[#This Row],[CP_Pcode]],Table_Shelter[HH Covered])),0)</f>
        <v>0</v>
      </c>
      <c r="AG206" s="530"/>
      <c r="AH206" s="593">
        <f>MIN(CampList[[#This Row],[Shelter Gap]],CampList[[#This Row],[Land Status]])</f>
        <v>0</v>
      </c>
      <c r="AI206" s="593" t="str">
        <f ca="1">IFERROR(OFFSET(DistanceToCamp[Nearest Town],MATCH(CampList[[#This Row],[CP_Pcode]],DistanceToCamp[CP_Pcode],0)-1,0,1,1),"")</f>
        <v/>
      </c>
      <c r="AJ206" s="336" t="str">
        <f ca="1">IFERROR(OFFSET(DistanceToCamp[distance],MATCH(CampList[[#This Row],[CP_Pcode]],DistanceToCamp[CP_Pcode],0)-1,0,1,1),"")</f>
        <v/>
      </c>
      <c r="AK206" s="595" t="str">
        <f ca="1">IFERROR(INT(CampList[[#This Row],[Distance]]/5)+1,"")</f>
        <v/>
      </c>
      <c r="AL206" s="721"/>
      <c r="AM206" s="721"/>
      <c r="AN206" s="721"/>
      <c r="BD206" s="5"/>
      <c r="BE206" s="5"/>
    </row>
    <row r="207" spans="1:57" s="4" customFormat="1" ht="15.6" hidden="1" customHeight="1" x14ac:dyDescent="0.25">
      <c r="A207" s="550" t="s">
        <v>849</v>
      </c>
      <c r="B207" s="522" t="s">
        <v>380</v>
      </c>
      <c r="C207" s="522" t="s">
        <v>527</v>
      </c>
      <c r="D207" s="522" t="s">
        <v>180</v>
      </c>
      <c r="E207" s="522" t="s">
        <v>528</v>
      </c>
      <c r="F207" s="522" t="s">
        <v>529</v>
      </c>
      <c r="G207" s="520" t="s">
        <v>530</v>
      </c>
      <c r="H207" s="520"/>
      <c r="I207" s="520"/>
      <c r="J207" s="520"/>
      <c r="K207" s="568"/>
      <c r="L207" s="522" t="s">
        <v>96</v>
      </c>
      <c r="M207" s="522" t="s">
        <v>95</v>
      </c>
      <c r="N207" s="563"/>
      <c r="O207" s="563"/>
      <c r="P207" s="564"/>
      <c r="Q207" s="504">
        <v>0</v>
      </c>
      <c r="R207" s="526">
        <v>0</v>
      </c>
      <c r="S207" s="333" t="str">
        <f>IF(CampList[[#This Row],[HH]]&gt;0,CampList[[#This Row],[Total]]/CampList[[#This Row],[HH]],"NA")</f>
        <v>NA</v>
      </c>
      <c r="T207" s="556" t="s">
        <v>513</v>
      </c>
      <c r="U207" s="557" t="s">
        <v>1204</v>
      </c>
      <c r="V207" s="522" t="s">
        <v>556</v>
      </c>
      <c r="W207" s="557"/>
      <c r="X207" s="565"/>
      <c r="Y207" s="566"/>
      <c r="Z207" s="557"/>
      <c r="AA207" s="507"/>
      <c r="AB207" s="522"/>
      <c r="AC207" s="567"/>
      <c r="AD207" s="518" t="s">
        <v>603</v>
      </c>
      <c r="AE207" s="566" t="s">
        <v>1014</v>
      </c>
      <c r="AF207" s="530">
        <f>IF(CampList[[#This Row],[Type of Accomodation]]="camp",MAX(0,CampList[[#This Row],[HH]]-SUMIF(Table_Shelter[Pcode],CampList[[#This Row],[CP_Pcode]],Table_Shelter[HH Covered])),0)</f>
        <v>0</v>
      </c>
      <c r="AG207" s="520"/>
      <c r="AH207" s="520">
        <f>MIN(CampList[[#This Row],[Shelter Gap]],CampList[[#This Row],[Land Status]])</f>
        <v>0</v>
      </c>
      <c r="AI207" s="520" t="str">
        <f ca="1">IFERROR(OFFSET(DistanceToCamp[Nearest Town],MATCH(CampList[[#This Row],[CP_Pcode]],DistanceToCamp[CP_Pcode],0)-1,0,1,1),"")</f>
        <v/>
      </c>
      <c r="AJ207" s="336" t="str">
        <f ca="1">IFERROR(OFFSET(DistanceToCamp[distance],MATCH(CampList[[#This Row],[CP_Pcode]],DistanceToCamp[CP_Pcode],0)-1,0,1,1),"")</f>
        <v/>
      </c>
      <c r="AK207" s="562" t="str">
        <f ca="1">IFERROR(INT(CampList[[#This Row],[Distance]]/5)+1,"")</f>
        <v/>
      </c>
      <c r="AL207" s="721"/>
      <c r="AM207" s="721"/>
      <c r="AN207" s="721"/>
      <c r="BD207" s="5"/>
      <c r="BE207" s="5"/>
    </row>
    <row r="208" spans="1:57" s="4" customFormat="1" ht="15.6" customHeight="1" x14ac:dyDescent="0.25">
      <c r="A208" s="550" t="s">
        <v>502</v>
      </c>
      <c r="B208" s="520" t="s">
        <v>380</v>
      </c>
      <c r="C208" s="520"/>
      <c r="D208" s="520"/>
      <c r="E208" s="520"/>
      <c r="F208" s="520" t="s">
        <v>173</v>
      </c>
      <c r="G208" s="520" t="s">
        <v>547</v>
      </c>
      <c r="H208" s="520" t="s">
        <v>1293</v>
      </c>
      <c r="I208" s="520" t="s">
        <v>1294</v>
      </c>
      <c r="J208" s="520" t="s">
        <v>1293</v>
      </c>
      <c r="K208" s="581">
        <v>166724</v>
      </c>
      <c r="L208" s="520" t="s">
        <v>1298</v>
      </c>
      <c r="M208" s="520" t="s">
        <v>1289</v>
      </c>
      <c r="N208" s="553"/>
      <c r="O208" s="553"/>
      <c r="P208" s="527"/>
      <c r="Q208" s="506">
        <v>24</v>
      </c>
      <c r="R208" s="527">
        <v>83</v>
      </c>
      <c r="S208" s="333">
        <f>IF(CampList[[#This Row],[HH]]&gt;0,CampList[[#This Row],[Total]]/CampList[[#This Row],[HH]],"NA")</f>
        <v>3.4583333333333335</v>
      </c>
      <c r="T208" s="576" t="s">
        <v>513</v>
      </c>
      <c r="U208" s="557" t="s">
        <v>1204</v>
      </c>
      <c r="V208" s="522" t="s">
        <v>12</v>
      </c>
      <c r="W208" s="522" t="s">
        <v>862</v>
      </c>
      <c r="X208" s="572">
        <v>42125</v>
      </c>
      <c r="Y208" s="528"/>
      <c r="Z208" s="522"/>
      <c r="AA208" s="515" t="s">
        <v>847</v>
      </c>
      <c r="AB208" s="520"/>
      <c r="AC208" s="574">
        <v>42180</v>
      </c>
      <c r="AD208" s="523" t="s">
        <v>1292</v>
      </c>
      <c r="AE208" s="528"/>
      <c r="AF208" s="530">
        <f>IF(CampList[[#This Row],[Type of Accomodation]]="camp",MAX(0,CampList[[#This Row],[HH]]-SUMIF(Table_Shelter[Pcode],CampList[[#This Row],[CP_Pcode]],Table_Shelter[HH Covered])),0)</f>
        <v>0</v>
      </c>
      <c r="AG208" s="520"/>
      <c r="AH208" s="520">
        <f>MIN(CampList[[#This Row],[Shelter Gap]],CampList[[#This Row],[Land Status]])</f>
        <v>0</v>
      </c>
      <c r="AI208" s="520" t="str">
        <f ca="1">IFERROR(OFFSET(DistanceToCamp[Nearest Town],MATCH(CampList[[#This Row],[CP_Pcode]],DistanceToCamp[CP_Pcode],0)-1,0,1,1),"")</f>
        <v/>
      </c>
      <c r="AJ208" s="336" t="str">
        <f ca="1">IFERROR(OFFSET(DistanceToCamp[distance],MATCH(CampList[[#This Row],[CP_Pcode]],DistanceToCamp[CP_Pcode],0)-1,0,1,1),"")</f>
        <v/>
      </c>
      <c r="AK208" s="562" t="str">
        <f ca="1">IFERROR(INT(CampList[[#This Row],[Distance]]/5)+1,"")</f>
        <v/>
      </c>
      <c r="AL208" s="721"/>
      <c r="AM208" s="721"/>
      <c r="AN208" s="721"/>
      <c r="BD208" s="5"/>
      <c r="BE208" s="5"/>
    </row>
    <row r="209" spans="1:57" s="4" customFormat="1" ht="15.6" customHeight="1" x14ac:dyDescent="0.25">
      <c r="A209" s="550" t="s">
        <v>502</v>
      </c>
      <c r="B209" s="520" t="s">
        <v>380</v>
      </c>
      <c r="C209" s="520"/>
      <c r="D209" s="520"/>
      <c r="E209" s="520"/>
      <c r="F209" s="520" t="s">
        <v>173</v>
      </c>
      <c r="G209" s="520" t="s">
        <v>547</v>
      </c>
      <c r="H209" s="520" t="s">
        <v>1293</v>
      </c>
      <c r="I209" s="520" t="s">
        <v>1294</v>
      </c>
      <c r="J209" s="520" t="s">
        <v>1293</v>
      </c>
      <c r="K209" s="520">
        <v>166724</v>
      </c>
      <c r="L209" s="525" t="s">
        <v>1297</v>
      </c>
      <c r="M209" s="520" t="s">
        <v>1290</v>
      </c>
      <c r="N209" s="553"/>
      <c r="O209" s="553"/>
      <c r="P209" s="564"/>
      <c r="Q209" s="506">
        <v>39</v>
      </c>
      <c r="R209" s="527">
        <v>163</v>
      </c>
      <c r="S209" s="333">
        <f>IF(CampList[[#This Row],[HH]]&gt;0,CampList[[#This Row],[Total]]/CampList[[#This Row],[HH]],"NA")</f>
        <v>4.1794871794871797</v>
      </c>
      <c r="T209" s="576" t="s">
        <v>513</v>
      </c>
      <c r="U209" s="557" t="s">
        <v>1204</v>
      </c>
      <c r="V209" s="522" t="s">
        <v>12</v>
      </c>
      <c r="W209" s="522" t="s">
        <v>862</v>
      </c>
      <c r="X209" s="572">
        <v>42125</v>
      </c>
      <c r="Y209" s="566"/>
      <c r="Z209" s="557"/>
      <c r="AA209" s="515" t="s">
        <v>847</v>
      </c>
      <c r="AB209" s="520"/>
      <c r="AC209" s="574">
        <v>42397</v>
      </c>
      <c r="AD209" s="523" t="s">
        <v>1438</v>
      </c>
      <c r="AE209" s="566"/>
      <c r="AF209" s="530">
        <f>IF(CampList[[#This Row],[Type of Accomodation]]="camp",MAX(0,CampList[[#This Row],[HH]]-SUMIF(Table_Shelter[Pcode],CampList[[#This Row],[CP_Pcode]],Table_Shelter[HH Covered])),0)</f>
        <v>0</v>
      </c>
      <c r="AG209" s="520"/>
      <c r="AH209" s="520">
        <f>MIN(CampList[[#This Row],[Shelter Gap]],CampList[[#This Row],[Land Status]])</f>
        <v>0</v>
      </c>
      <c r="AI209" s="520" t="str">
        <f ca="1">IFERROR(OFFSET(DistanceToCamp[Nearest Town],MATCH(CampList[[#This Row],[CP_Pcode]],DistanceToCamp[CP_Pcode],0)-1,0,1,1),"")</f>
        <v/>
      </c>
      <c r="AJ209" s="336" t="str">
        <f ca="1">IFERROR(OFFSET(DistanceToCamp[distance],MATCH(CampList[[#This Row],[CP_Pcode]],DistanceToCamp[CP_Pcode],0)-1,0,1,1),"")</f>
        <v/>
      </c>
      <c r="AK209" s="562" t="str">
        <f ca="1">IFERROR(INT(CampList[[#This Row],[Distance]]/5)+1,"")</f>
        <v/>
      </c>
      <c r="AL209" s="721"/>
      <c r="AM209" s="721"/>
      <c r="AN209" s="721"/>
      <c r="BD209" s="5"/>
      <c r="BE209" s="5"/>
    </row>
    <row r="210" spans="1:57" s="4" customFormat="1" ht="15.6" customHeight="1" x14ac:dyDescent="0.25">
      <c r="A210" s="490" t="s">
        <v>502</v>
      </c>
      <c r="B210" s="530" t="s">
        <v>380</v>
      </c>
      <c r="C210" s="530" t="s">
        <v>527</v>
      </c>
      <c r="D210" s="530" t="s">
        <v>237</v>
      </c>
      <c r="E210" s="530" t="s">
        <v>533</v>
      </c>
      <c r="F210" s="530" t="s">
        <v>27</v>
      </c>
      <c r="G210" s="530" t="s">
        <v>536</v>
      </c>
      <c r="H210" s="530"/>
      <c r="I210" s="593"/>
      <c r="J210" s="530"/>
      <c r="K210" s="530"/>
      <c r="L210" s="530" t="s">
        <v>1026</v>
      </c>
      <c r="M210" s="530" t="s">
        <v>1027</v>
      </c>
      <c r="N210" s="503">
        <v>98.356260000000006</v>
      </c>
      <c r="O210" s="503">
        <v>25.645959999999999</v>
      </c>
      <c r="P210" s="564">
        <v>1945</v>
      </c>
      <c r="Q210" s="506">
        <v>30</v>
      </c>
      <c r="R210" s="527">
        <v>181</v>
      </c>
      <c r="S210" s="333">
        <f>IF(CampList[[#This Row],[HH]]&gt;0,CampList[[#This Row],[Total]]/CampList[[#This Row],[HH]],"NA")</f>
        <v>6.0333333333333332</v>
      </c>
      <c r="T210" s="594" t="s">
        <v>513</v>
      </c>
      <c r="U210" s="556" t="s">
        <v>1204</v>
      </c>
      <c r="V210" s="491" t="s">
        <v>556</v>
      </c>
      <c r="W210" s="503" t="s">
        <v>808</v>
      </c>
      <c r="X210" s="572"/>
      <c r="Y210" s="566"/>
      <c r="Z210" s="566" t="s">
        <v>1097</v>
      </c>
      <c r="AA210" s="506" t="s">
        <v>848</v>
      </c>
      <c r="AB210" s="594"/>
      <c r="AC210" s="574">
        <v>42397</v>
      </c>
      <c r="AD210" s="705" t="s">
        <v>1384</v>
      </c>
      <c r="AE210" s="592" t="s">
        <v>1084</v>
      </c>
      <c r="AF210" s="593">
        <f>IF(CampList[[#This Row],[Type of Accomodation]]="camp",MAX(0,CampList[[#This Row],[HH]]-SUMIF(Table_Shelter[Pcode],CampList[[#This Row],[CP_Pcode]],Table_Shelter[HH Covered])),0)</f>
        <v>30</v>
      </c>
      <c r="AG210" s="530"/>
      <c r="AH210" s="593">
        <f>MIN(CampList[[#This Row],[Shelter Gap]],CampList[[#This Row],[Land Status]])</f>
        <v>30</v>
      </c>
      <c r="AI210" s="593" t="str">
        <f ca="1">IFERROR(OFFSET(DistanceToCamp[Nearest Town],MATCH(CampList[[#This Row],[CP_Pcode]],DistanceToCamp[CP_Pcode],0)-1,0,1,1),"")</f>
        <v>Naypyitaw Town</v>
      </c>
      <c r="AJ210" s="336">
        <f ca="1">IFERROR(OFFSET(DistanceToCamp[distance],MATCH(CampList[[#This Row],[CP_Pcode]],DistanceToCamp[CP_Pcode],0)-1,0,1,1),"")</f>
        <v>0</v>
      </c>
      <c r="AK210" s="595">
        <f ca="1">IFERROR(INT(CampList[[#This Row],[Distance]]/5)+1,"")</f>
        <v>1</v>
      </c>
      <c r="AL210" s="721"/>
      <c r="AM210" s="721"/>
      <c r="AN210" s="721"/>
      <c r="BD210" s="5"/>
      <c r="BE210" s="5"/>
    </row>
    <row r="211" spans="1:57" s="4" customFormat="1" ht="15.6" customHeight="1" x14ac:dyDescent="0.25">
      <c r="A211" s="332" t="s">
        <v>502</v>
      </c>
      <c r="B211" s="522" t="s">
        <v>380</v>
      </c>
      <c r="C211" s="520" t="s">
        <v>527</v>
      </c>
      <c r="D211" s="520" t="s">
        <v>5</v>
      </c>
      <c r="E211" s="520" t="s">
        <v>531</v>
      </c>
      <c r="F211" s="520" t="s">
        <v>185</v>
      </c>
      <c r="G211" s="218" t="s">
        <v>535</v>
      </c>
      <c r="H211" s="577" t="s">
        <v>1143</v>
      </c>
      <c r="I211" s="577" t="s">
        <v>1273</v>
      </c>
      <c r="J211" s="577"/>
      <c r="K211" s="578"/>
      <c r="L211" s="569" t="s">
        <v>225</v>
      </c>
      <c r="M211" s="522" t="s">
        <v>224</v>
      </c>
      <c r="N211" s="553">
        <v>97.710864000000001</v>
      </c>
      <c r="O211" s="553">
        <v>24.207332999999998</v>
      </c>
      <c r="P211" s="554">
        <v>0</v>
      </c>
      <c r="Q211" s="505">
        <v>45</v>
      </c>
      <c r="R211" s="528">
        <v>269</v>
      </c>
      <c r="S211" s="333">
        <f>IF(CampList[[#This Row],[HH]]&gt;0,CampList[[#This Row],[Total]]/CampList[[#This Row],[HH]],"NA")</f>
        <v>5.9777777777777779</v>
      </c>
      <c r="T211" s="576" t="s">
        <v>513</v>
      </c>
      <c r="U211" s="334" t="s">
        <v>1204</v>
      </c>
      <c r="V211" s="522" t="s">
        <v>556</v>
      </c>
      <c r="W211" s="557" t="s">
        <v>808</v>
      </c>
      <c r="X211" s="558">
        <v>41122</v>
      </c>
      <c r="Y211" s="559">
        <v>1</v>
      </c>
      <c r="Z211" s="558" t="s">
        <v>462</v>
      </c>
      <c r="AA211" s="513" t="s">
        <v>848</v>
      </c>
      <c r="AB211" s="522"/>
      <c r="AC211" s="574">
        <v>42397</v>
      </c>
      <c r="AD211" s="519" t="s">
        <v>1432</v>
      </c>
      <c r="AE211" s="559" t="s">
        <v>1086</v>
      </c>
      <c r="AF211" s="530">
        <f>IF(CampList[[#This Row],[Type of Accomodation]]="camp",MAX(0,CampList[[#This Row],[HH]]-SUMIF(Table_Shelter[Pcode],CampList[[#This Row],[CP_Pcode]],Table_Shelter[HH Covered])),0)</f>
        <v>5</v>
      </c>
      <c r="AG211" s="218"/>
      <c r="AH211" s="218">
        <f>MIN(CampList[[#This Row],[Shelter Gap]],CampList[[#This Row],[Land Status]])</f>
        <v>5</v>
      </c>
      <c r="AI211" s="218" t="str">
        <f ca="1">IFERROR(OFFSET(DistanceToCamp[Nearest Town],MATCH(CampList[[#This Row],[CP_Pcode]],DistanceToCamp[CP_Pcode],0)-1,0,1,1),"")</f>
        <v>Lwegel Town</v>
      </c>
      <c r="AJ211" s="336">
        <f ca="1">IFERROR(OFFSET(DistanceToCamp[distance],MATCH(CampList[[#This Row],[CP_Pcode]],DistanceToCamp[CP_Pcode],0)-1,0,1,1),"")</f>
        <v>1.343152344964242</v>
      </c>
      <c r="AK211" s="337">
        <f ca="1">IFERROR(INT(CampList[[#This Row],[Distance]]/5)+1,"")</f>
        <v>1</v>
      </c>
      <c r="AL211" s="721"/>
      <c r="AM211" s="721"/>
      <c r="AN211" s="721"/>
      <c r="BD211" s="5"/>
      <c r="BE211" s="5"/>
    </row>
    <row r="212" spans="1:57" s="4" customFormat="1" ht="15.6" customHeight="1" x14ac:dyDescent="0.25">
      <c r="A212" s="550" t="s">
        <v>502</v>
      </c>
      <c r="B212" s="522" t="s">
        <v>380</v>
      </c>
      <c r="C212" s="520" t="s">
        <v>527</v>
      </c>
      <c r="D212" s="520" t="s">
        <v>237</v>
      </c>
      <c r="E212" s="520" t="s">
        <v>533</v>
      </c>
      <c r="F212" s="520" t="s">
        <v>237</v>
      </c>
      <c r="G212" s="520" t="s">
        <v>537</v>
      </c>
      <c r="H212" s="577" t="s">
        <v>673</v>
      </c>
      <c r="I212" s="577" t="s">
        <v>674</v>
      </c>
      <c r="J212" s="577" t="s">
        <v>683</v>
      </c>
      <c r="K212" s="578" t="s">
        <v>684</v>
      </c>
      <c r="L212" s="569" t="s">
        <v>277</v>
      </c>
      <c r="M212" s="522" t="s">
        <v>276</v>
      </c>
      <c r="N212" s="553">
        <v>97.399628000000007</v>
      </c>
      <c r="O212" s="553">
        <v>25.412313000000001</v>
      </c>
      <c r="P212" s="554">
        <v>0</v>
      </c>
      <c r="Q212" s="505">
        <v>95</v>
      </c>
      <c r="R212" s="528">
        <v>385</v>
      </c>
      <c r="S212" s="333">
        <f>IF(CampList[[#This Row],[HH]]&gt;0,CampList[[#This Row],[Total]]/CampList[[#This Row],[HH]],"NA")</f>
        <v>4.0526315789473681</v>
      </c>
      <c r="T212" s="576" t="s">
        <v>513</v>
      </c>
      <c r="U212" s="557" t="s">
        <v>1204</v>
      </c>
      <c r="V212" s="522" t="s">
        <v>556</v>
      </c>
      <c r="W212" s="557" t="s">
        <v>808</v>
      </c>
      <c r="X212" s="558">
        <v>40756</v>
      </c>
      <c r="Y212" s="559">
        <v>2</v>
      </c>
      <c r="Z212" s="558" t="s">
        <v>462</v>
      </c>
      <c r="AA212" s="513" t="s">
        <v>848</v>
      </c>
      <c r="AB212" s="522"/>
      <c r="AC212" s="574">
        <v>42397</v>
      </c>
      <c r="AD212" s="519" t="s">
        <v>1439</v>
      </c>
      <c r="AE212" s="559" t="s">
        <v>1100</v>
      </c>
      <c r="AF212" s="530">
        <f>IF(CampList[[#This Row],[Type of Accomodation]]="camp",MAX(0,CampList[[#This Row],[HH]]-SUMIF(Table_Shelter[Pcode],CampList[[#This Row],[CP_Pcode]],Table_Shelter[HH Covered])),0)</f>
        <v>31</v>
      </c>
      <c r="AG212" s="218"/>
      <c r="AH212" s="218">
        <f>MIN(CampList[[#This Row],[Shelter Gap]],CampList[[#This Row],[Land Status]])</f>
        <v>31</v>
      </c>
      <c r="AI212" s="520" t="str">
        <f ca="1">IFERROR(OFFSET(DistanceToCamp[Nearest Town],MATCH(CampList[[#This Row],[CP_Pcode]],DistanceToCamp[CP_Pcode],0)-1,0,1,1),"")</f>
        <v>Myitkyina Town</v>
      </c>
      <c r="AJ212" s="336">
        <f ca="1">IFERROR(OFFSET(DistanceToCamp[distance],MATCH(CampList[[#This Row],[CP_Pcode]],DistanceToCamp[CP_Pcode],0)-1,0,1,1),"")</f>
        <v>2.9133254097712102</v>
      </c>
      <c r="AK212" s="562">
        <f ca="1">IFERROR(INT(CampList[[#This Row],[Distance]]/5)+1,"")</f>
        <v>1</v>
      </c>
      <c r="AL212" s="721"/>
      <c r="AM212" s="721"/>
      <c r="AN212" s="721"/>
      <c r="BD212" s="5"/>
      <c r="BE212" s="5"/>
    </row>
    <row r="213" spans="1:57" s="4" customFormat="1" ht="15.6" customHeight="1" x14ac:dyDescent="0.25">
      <c r="A213" s="728" t="s">
        <v>502</v>
      </c>
      <c r="B213" s="600" t="s">
        <v>380</v>
      </c>
      <c r="C213" s="597" t="s">
        <v>527</v>
      </c>
      <c r="D213" s="597" t="s">
        <v>237</v>
      </c>
      <c r="E213" s="597" t="s">
        <v>533</v>
      </c>
      <c r="F213" s="597" t="s">
        <v>237</v>
      </c>
      <c r="G213" s="597" t="s">
        <v>537</v>
      </c>
      <c r="H213" s="679" t="s">
        <v>673</v>
      </c>
      <c r="I213" s="679" t="s">
        <v>674</v>
      </c>
      <c r="J213" s="679" t="s">
        <v>683</v>
      </c>
      <c r="K213" s="680" t="s">
        <v>684</v>
      </c>
      <c r="L213" s="600" t="s">
        <v>279</v>
      </c>
      <c r="M213" s="600" t="s">
        <v>278</v>
      </c>
      <c r="N213" s="744">
        <v>97.418004999999994</v>
      </c>
      <c r="O213" s="744">
        <v>25.423817</v>
      </c>
      <c r="P213" s="745">
        <v>0</v>
      </c>
      <c r="Q213" s="746">
        <v>28</v>
      </c>
      <c r="R213" s="747">
        <v>132</v>
      </c>
      <c r="S213" s="598">
        <f>IF(CampList[[#This Row],[HH]]&gt;0,CampList[[#This Row],[Total]]/CampList[[#This Row],[HH]],"NA")</f>
        <v>4.7142857142857144</v>
      </c>
      <c r="T213" s="748" t="s">
        <v>513</v>
      </c>
      <c r="U213" s="599" t="s">
        <v>1204</v>
      </c>
      <c r="V213" s="600" t="s">
        <v>556</v>
      </c>
      <c r="W213" s="599" t="s">
        <v>808</v>
      </c>
      <c r="X213" s="749">
        <v>40909</v>
      </c>
      <c r="Y213" s="750">
        <v>1</v>
      </c>
      <c r="Z213" s="749" t="s">
        <v>507</v>
      </c>
      <c r="AA213" s="751" t="s">
        <v>848</v>
      </c>
      <c r="AB213" s="600"/>
      <c r="AC213" s="574">
        <v>42387</v>
      </c>
      <c r="AD213" s="752" t="s">
        <v>1408</v>
      </c>
      <c r="AE213" s="750" t="s">
        <v>1100</v>
      </c>
      <c r="AF213" s="601">
        <f>IF(CampList[[#This Row],[Type of Accomodation]]="camp",MAX(0,CampList[[#This Row],[HH]]-SUMIF(Table_Shelter[Pcode],CampList[[#This Row],[CP_Pcode]],Table_Shelter[HH Covered])),0)</f>
        <v>28</v>
      </c>
      <c r="AG213" s="597"/>
      <c r="AH213" s="597">
        <f>MIN(CampList[[#This Row],[Shelter Gap]],CampList[[#This Row],[Land Status]])</f>
        <v>28</v>
      </c>
      <c r="AI213" s="597" t="str">
        <f ca="1">IFERROR(OFFSET(DistanceToCamp[Nearest Town],MATCH(CampList[[#This Row],[CP_Pcode]],DistanceToCamp[CP_Pcode],0)-1,0,1,1),"")</f>
        <v>Myitkyina Town</v>
      </c>
      <c r="AJ213" s="602">
        <f ca="1">IFERROR(OFFSET(DistanceToCamp[distance],MATCH(CampList[[#This Row],[CP_Pcode]],DistanceToCamp[CP_Pcode],0)-1,0,1,1),"")</f>
        <v>4.9021696969220816</v>
      </c>
      <c r="AK213" s="603">
        <f ca="1">IFERROR(INT(CampList[[#This Row],[Distance]]/5)+1,"")</f>
        <v>1</v>
      </c>
      <c r="AL213" s="721"/>
      <c r="AM213" s="721"/>
      <c r="AN213" s="721"/>
      <c r="BD213" s="5"/>
      <c r="BE213" s="5"/>
    </row>
    <row r="214" spans="1:57" s="681" customFormat="1" ht="15.6" customHeight="1" x14ac:dyDescent="0.25">
      <c r="A214" s="585" t="s">
        <v>502</v>
      </c>
      <c r="B214" s="522" t="s">
        <v>380</v>
      </c>
      <c r="C214" s="520" t="s">
        <v>527</v>
      </c>
      <c r="D214" s="520" t="s">
        <v>237</v>
      </c>
      <c r="E214" s="520" t="s">
        <v>533</v>
      </c>
      <c r="F214" s="520" t="s">
        <v>310</v>
      </c>
      <c r="G214" s="520" t="s">
        <v>534</v>
      </c>
      <c r="H214" s="577" t="s">
        <v>776</v>
      </c>
      <c r="I214" s="577" t="s">
        <v>777</v>
      </c>
      <c r="J214" s="577" t="s">
        <v>778</v>
      </c>
      <c r="K214" s="578">
        <v>165845</v>
      </c>
      <c r="L214" s="569" t="s">
        <v>347</v>
      </c>
      <c r="M214" s="522" t="s">
        <v>346</v>
      </c>
      <c r="N214" s="553">
        <v>98.025662999999994</v>
      </c>
      <c r="O214" s="553">
        <v>25.418084</v>
      </c>
      <c r="P214" s="554"/>
      <c r="Q214" s="505">
        <v>183</v>
      </c>
      <c r="R214" s="528">
        <v>919</v>
      </c>
      <c r="S214" s="555">
        <f>IF(CampList[[#This Row],[HH]]&gt;0,CampList[[#This Row],[Total]]/CampList[[#This Row],[HH]],"NA")</f>
        <v>5.0218579234972678</v>
      </c>
      <c r="T214" s="576" t="s">
        <v>513</v>
      </c>
      <c r="U214" s="557" t="s">
        <v>1204</v>
      </c>
      <c r="V214" s="522" t="s">
        <v>556</v>
      </c>
      <c r="W214" s="557" t="s">
        <v>862</v>
      </c>
      <c r="X214" s="558"/>
      <c r="Y214" s="559">
        <v>2</v>
      </c>
      <c r="Z214" s="558" t="s">
        <v>462</v>
      </c>
      <c r="AA214" s="513" t="s">
        <v>848</v>
      </c>
      <c r="AB214" s="522"/>
      <c r="AC214" s="574">
        <v>42397</v>
      </c>
      <c r="AD214" s="519" t="s">
        <v>1440</v>
      </c>
      <c r="AE214" s="559" t="s">
        <v>1084</v>
      </c>
      <c r="AF214" s="530">
        <f>IF(CampList[[#This Row],[Type of Accomodation]]="camp",MAX(0,CampList[[#This Row],[HH]]-SUMIF(Table_Shelter[Pcode],CampList[[#This Row],[CP_Pcode]],Table_Shelter[HH Covered])),0)</f>
        <v>0</v>
      </c>
      <c r="AG214" s="520"/>
      <c r="AH214" s="520">
        <f>MIN(CampList[[#This Row],[Shelter Gap]],CampList[[#This Row],[Land Status]])</f>
        <v>0</v>
      </c>
      <c r="AI214" s="520" t="str">
        <f ca="1">IFERROR(OFFSET(DistanceToCamp[Nearest Town],MATCH(CampList[[#This Row],[CP_Pcode]],DistanceToCamp[CP_Pcode],0)-1,0,1,1),"")</f>
        <v>Kan Paik Ti Town</v>
      </c>
      <c r="AJ214" s="561">
        <f ca="1">IFERROR(OFFSET(DistanceToCamp[distance],MATCH(CampList[[#This Row],[CP_Pcode]],DistanceToCamp[CP_Pcode],0)-1,0,1,1),"")</f>
        <v>9.3609732231189877</v>
      </c>
      <c r="AK214" s="562">
        <f ca="1">IFERROR(INT(CampList[[#This Row],[Distance]]/5)+1,"")</f>
        <v>2</v>
      </c>
      <c r="AL214" s="722"/>
      <c r="AM214" s="722"/>
      <c r="AN214" s="722"/>
      <c r="AY214" s="682"/>
      <c r="AZ214" s="682"/>
    </row>
    <row r="215" spans="1:57" s="681" customFormat="1" ht="15.6" customHeight="1" x14ac:dyDescent="0.25">
      <c r="A215" s="585" t="s">
        <v>502</v>
      </c>
      <c r="B215" s="522" t="s">
        <v>380</v>
      </c>
      <c r="C215" s="520" t="s">
        <v>527</v>
      </c>
      <c r="D215" s="520" t="s">
        <v>5</v>
      </c>
      <c r="E215" s="520" t="s">
        <v>531</v>
      </c>
      <c r="F215" s="520" t="s">
        <v>302</v>
      </c>
      <c r="G215" s="520" t="s">
        <v>542</v>
      </c>
      <c r="H215" s="577" t="s">
        <v>623</v>
      </c>
      <c r="I215" s="577" t="s">
        <v>624</v>
      </c>
      <c r="J215" s="577" t="s">
        <v>623</v>
      </c>
      <c r="K215" s="578" t="s">
        <v>625</v>
      </c>
      <c r="L215" s="569" t="s">
        <v>306</v>
      </c>
      <c r="M215" s="522" t="s">
        <v>305</v>
      </c>
      <c r="N215" s="553">
        <v>96.807353000000006</v>
      </c>
      <c r="O215" s="553">
        <v>24.200361000000001</v>
      </c>
      <c r="P215" s="554">
        <v>0</v>
      </c>
      <c r="Q215" s="505">
        <v>83</v>
      </c>
      <c r="R215" s="528">
        <v>293</v>
      </c>
      <c r="S215" s="555">
        <f>IF(CampList[[#This Row],[HH]]&gt;0,CampList[[#This Row],[Total]]/CampList[[#This Row],[HH]],"NA")</f>
        <v>3.5301204819277108</v>
      </c>
      <c r="T215" s="576" t="s">
        <v>513</v>
      </c>
      <c r="U215" s="557" t="s">
        <v>1204</v>
      </c>
      <c r="V215" s="522" t="s">
        <v>556</v>
      </c>
      <c r="W215" s="557" t="s">
        <v>808</v>
      </c>
      <c r="X215" s="558">
        <v>40725</v>
      </c>
      <c r="Y215" s="559">
        <v>1</v>
      </c>
      <c r="Z215" s="558" t="s">
        <v>462</v>
      </c>
      <c r="AA215" s="513" t="s">
        <v>848</v>
      </c>
      <c r="AB215" s="522"/>
      <c r="AC215" s="574">
        <v>42397</v>
      </c>
      <c r="AD215" s="519" t="s">
        <v>1441</v>
      </c>
      <c r="AE215" s="559" t="s">
        <v>1100</v>
      </c>
      <c r="AF215" s="530">
        <f>IF(CampList[[#This Row],[Type of Accomodation]]="camp",MAX(0,CampList[[#This Row],[HH]]-SUMIF(Table_Shelter[Pcode],CampList[[#This Row],[CP_Pcode]],Table_Shelter[HH Covered])),0)</f>
        <v>41</v>
      </c>
      <c r="AG215" s="520"/>
      <c r="AH215" s="520">
        <f>MIN(CampList[[#This Row],[Shelter Gap]],CampList[[#This Row],[Land Status]])</f>
        <v>41</v>
      </c>
      <c r="AI215" s="520" t="str">
        <f ca="1">IFERROR(OFFSET(DistanceToCamp[Nearest Town],MATCH(CampList[[#This Row],[CP_Pcode]],DistanceToCamp[CP_Pcode],0)-1,0,1,1),"")</f>
        <v>Shwegu Town</v>
      </c>
      <c r="AJ215" s="561">
        <f ca="1">IFERROR(OFFSET(DistanceToCamp[distance],MATCH(CampList[[#This Row],[CP_Pcode]],DistanceToCamp[CP_Pcode],0)-1,0,1,1),"")</f>
        <v>0.74396039478864395</v>
      </c>
      <c r="AK215" s="562">
        <f ca="1">IFERROR(INT(CampList[[#This Row],[Distance]]/5)+1,"")</f>
        <v>1</v>
      </c>
      <c r="AL215" s="722"/>
      <c r="AM215" s="722"/>
      <c r="AN215" s="722"/>
      <c r="AY215" s="682"/>
      <c r="AZ215" s="682"/>
    </row>
    <row r="216" spans="1:57" s="681" customFormat="1" ht="15.6" customHeight="1" x14ac:dyDescent="0.25">
      <c r="A216" s="684" t="s">
        <v>502</v>
      </c>
      <c r="B216" s="530" t="s">
        <v>380</v>
      </c>
      <c r="C216" s="530" t="s">
        <v>527</v>
      </c>
      <c r="D216" s="530" t="s">
        <v>5</v>
      </c>
      <c r="E216" s="530" t="s">
        <v>531</v>
      </c>
      <c r="F216" s="530" t="s">
        <v>302</v>
      </c>
      <c r="G216" s="530" t="s">
        <v>542</v>
      </c>
      <c r="H216" s="530" t="s">
        <v>623</v>
      </c>
      <c r="I216" s="593" t="s">
        <v>624</v>
      </c>
      <c r="J216" s="530" t="s">
        <v>623</v>
      </c>
      <c r="K216" s="530" t="s">
        <v>625</v>
      </c>
      <c r="L216" s="530" t="s">
        <v>308</v>
      </c>
      <c r="M216" s="530" t="s">
        <v>307</v>
      </c>
      <c r="N216" s="503">
        <v>96.807353000000006</v>
      </c>
      <c r="O216" s="503">
        <v>24.200367</v>
      </c>
      <c r="P216" s="564"/>
      <c r="Q216" s="506">
        <v>41</v>
      </c>
      <c r="R216" s="527">
        <v>152</v>
      </c>
      <c r="S216" s="555">
        <f>IF(CampList[[#This Row],[HH]]&gt;0,CampList[[#This Row],[Total]]/CampList[[#This Row],[HH]],"NA")</f>
        <v>3.7073170731707319</v>
      </c>
      <c r="T216" s="594" t="s">
        <v>513</v>
      </c>
      <c r="U216" s="556" t="s">
        <v>1204</v>
      </c>
      <c r="V216" s="491" t="s">
        <v>556</v>
      </c>
      <c r="W216" s="503" t="s">
        <v>808</v>
      </c>
      <c r="X216" s="572">
        <v>40725</v>
      </c>
      <c r="Y216" s="566">
        <v>2</v>
      </c>
      <c r="Z216" s="566" t="s">
        <v>1096</v>
      </c>
      <c r="AA216" s="506" t="s">
        <v>848</v>
      </c>
      <c r="AB216" s="594"/>
      <c r="AC216" s="574">
        <v>42397</v>
      </c>
      <c r="AD216" s="705" t="s">
        <v>1395</v>
      </c>
      <c r="AE216" s="592" t="s">
        <v>1100</v>
      </c>
      <c r="AF216" s="593">
        <f>IF(CampList[[#This Row],[Type of Accomodation]]="camp",MAX(0,CampList[[#This Row],[HH]]-SUMIF(Table_Shelter[Pcode],CampList[[#This Row],[CP_Pcode]],Table_Shelter[HH Covered])),0)</f>
        <v>0</v>
      </c>
      <c r="AG216" s="530"/>
      <c r="AH216" s="593">
        <f>MIN(CampList[[#This Row],[Shelter Gap]],CampList[[#This Row],[Land Status]])</f>
        <v>0</v>
      </c>
      <c r="AI216" s="593" t="str">
        <f ca="1">IFERROR(OFFSET(DistanceToCamp[Nearest Town],MATCH(CampList[[#This Row],[CP_Pcode]],DistanceToCamp[CP_Pcode],0)-1,0,1,1),"")</f>
        <v>Shwegu Town</v>
      </c>
      <c r="AJ216" s="561">
        <f ca="1">IFERROR(OFFSET(DistanceToCamp[distance],MATCH(CampList[[#This Row],[CP_Pcode]],DistanceToCamp[CP_Pcode],0)-1,0,1,1),"")</f>
        <v>0.74330366237812662</v>
      </c>
      <c r="AK216" s="595">
        <f ca="1">IFERROR(INT(CampList[[#This Row],[Distance]]/5)+1,"")</f>
        <v>1</v>
      </c>
      <c r="AL216" s="722"/>
      <c r="AM216" s="722"/>
      <c r="AN216" s="722"/>
      <c r="AY216" s="682"/>
      <c r="AZ216" s="682"/>
    </row>
    <row r="217" spans="1:57" s="681" customFormat="1" ht="15.6" customHeight="1" x14ac:dyDescent="0.25">
      <c r="A217" s="550" t="s">
        <v>502</v>
      </c>
      <c r="B217" s="522" t="s">
        <v>380</v>
      </c>
      <c r="C217" s="520" t="s">
        <v>527</v>
      </c>
      <c r="D217" s="520" t="s">
        <v>237</v>
      </c>
      <c r="E217" s="520" t="s">
        <v>533</v>
      </c>
      <c r="F217" s="520" t="s">
        <v>237</v>
      </c>
      <c r="G217" s="520" t="s">
        <v>537</v>
      </c>
      <c r="H217" s="577" t="s">
        <v>673</v>
      </c>
      <c r="I217" s="577" t="s">
        <v>674</v>
      </c>
      <c r="J217" s="577" t="s">
        <v>693</v>
      </c>
      <c r="K217" s="578" t="s">
        <v>694</v>
      </c>
      <c r="L217" s="569" t="s">
        <v>281</v>
      </c>
      <c r="M217" s="522" t="s">
        <v>280</v>
      </c>
      <c r="N217" s="553">
        <v>97.419403000000003</v>
      </c>
      <c r="O217" s="553">
        <v>25.440928</v>
      </c>
      <c r="P217" s="554">
        <v>0</v>
      </c>
      <c r="Q217" s="505">
        <v>90</v>
      </c>
      <c r="R217" s="528">
        <v>487</v>
      </c>
      <c r="S217" s="555">
        <f>IF(CampList[[#This Row],[HH]]&gt;0,CampList[[#This Row],[Total]]/CampList[[#This Row],[HH]],"NA")</f>
        <v>5.4111111111111114</v>
      </c>
      <c r="T217" s="576" t="s">
        <v>513</v>
      </c>
      <c r="U217" s="557" t="s">
        <v>1204</v>
      </c>
      <c r="V217" s="522" t="s">
        <v>556</v>
      </c>
      <c r="W217" s="557" t="s">
        <v>808</v>
      </c>
      <c r="X217" s="558">
        <v>40725</v>
      </c>
      <c r="Y217" s="559">
        <v>2</v>
      </c>
      <c r="Z217" s="558" t="s">
        <v>462</v>
      </c>
      <c r="AA217" s="513" t="s">
        <v>848</v>
      </c>
      <c r="AB217" s="522"/>
      <c r="AC217" s="574">
        <v>42397</v>
      </c>
      <c r="AD217" s="519" t="s">
        <v>1442</v>
      </c>
      <c r="AE217" s="559" t="s">
        <v>1100</v>
      </c>
      <c r="AF217" s="530">
        <f>IF(CampList[[#This Row],[Type of Accomodation]]="camp",MAX(0,CampList[[#This Row],[HH]]-SUMIF(Table_Shelter[Pcode],CampList[[#This Row],[CP_Pcode]],Table_Shelter[HH Covered])),0)</f>
        <v>40</v>
      </c>
      <c r="AG217" s="520"/>
      <c r="AH217" s="520">
        <f>MIN(CampList[[#This Row],[Shelter Gap]],CampList[[#This Row],[Land Status]])</f>
        <v>40</v>
      </c>
      <c r="AI217" s="520" t="str">
        <f ca="1">IFERROR(OFFSET(DistanceToCamp[Nearest Town],MATCH(CampList[[#This Row],[CP_Pcode]],DistanceToCamp[CP_Pcode],0)-1,0,1,1),"")</f>
        <v>Myitkyina Town</v>
      </c>
      <c r="AJ217" s="561">
        <f ca="1">IFERROR(OFFSET(DistanceToCamp[distance],MATCH(CampList[[#This Row],[CP_Pcode]],DistanceToCamp[CP_Pcode],0)-1,0,1,1),"")</f>
        <v>6.6198004689728469</v>
      </c>
      <c r="AK217" s="562">
        <f ca="1">IFERROR(INT(CampList[[#This Row],[Distance]]/5)+1,"")</f>
        <v>2</v>
      </c>
      <c r="AL217" s="722"/>
      <c r="AM217" s="722"/>
      <c r="AN217" s="722"/>
      <c r="AY217" s="682"/>
      <c r="AZ217" s="682"/>
    </row>
    <row r="218" spans="1:57" s="681" customFormat="1" ht="15.6" hidden="1" customHeight="1" x14ac:dyDescent="0.25">
      <c r="A218" s="550" t="s">
        <v>849</v>
      </c>
      <c r="B218" s="520" t="s">
        <v>380</v>
      </c>
      <c r="C218" s="520" t="s">
        <v>527</v>
      </c>
      <c r="D218" s="520" t="s">
        <v>5</v>
      </c>
      <c r="E218" s="522" t="s">
        <v>531</v>
      </c>
      <c r="F218" s="520" t="s">
        <v>151</v>
      </c>
      <c r="G218" s="520" t="s">
        <v>541</v>
      </c>
      <c r="H218" s="520"/>
      <c r="I218" s="520"/>
      <c r="J218" s="520"/>
      <c r="K218" s="520"/>
      <c r="L218" s="520" t="s">
        <v>893</v>
      </c>
      <c r="M218" s="522" t="s">
        <v>894</v>
      </c>
      <c r="N218" s="503"/>
      <c r="O218" s="503"/>
      <c r="P218" s="527"/>
      <c r="Q218" s="504">
        <v>0</v>
      </c>
      <c r="R218" s="526">
        <v>0</v>
      </c>
      <c r="S218" s="555" t="str">
        <f>IF(CampList[[#This Row],[HH]]&gt;0,CampList[[#This Row],[Total]]/CampList[[#This Row],[HH]],"NA")</f>
        <v>NA</v>
      </c>
      <c r="T218" s="576" t="s">
        <v>513</v>
      </c>
      <c r="U218" s="557" t="s">
        <v>1204</v>
      </c>
      <c r="V218" s="522" t="s">
        <v>556</v>
      </c>
      <c r="W218" s="522" t="s">
        <v>862</v>
      </c>
      <c r="X218" s="572"/>
      <c r="Y218" s="528"/>
      <c r="Z218" s="522"/>
      <c r="AA218" s="513" t="s">
        <v>848</v>
      </c>
      <c r="AB218" s="576"/>
      <c r="AC218" s="560">
        <v>41652</v>
      </c>
      <c r="AD218" s="521" t="s">
        <v>935</v>
      </c>
      <c r="AE218" s="528" t="s">
        <v>1014</v>
      </c>
      <c r="AF218" s="530">
        <f>IF(CampList[[#This Row],[Type of Accomodation]]="camp",MAX(0,CampList[[#This Row],[HH]]-SUMIF(Table_Shelter[Pcode],CampList[[#This Row],[CP_Pcode]],Table_Shelter[HH Covered])),0)</f>
        <v>0</v>
      </c>
      <c r="AG218" s="520"/>
      <c r="AH218" s="520">
        <f>MIN(CampList[[#This Row],[Shelter Gap]],CampList[[#This Row],[Land Status]])</f>
        <v>0</v>
      </c>
      <c r="AI218" s="520" t="str">
        <f ca="1">IFERROR(OFFSET(DistanceToCamp[Nearest Town],MATCH(CampList[[#This Row],[CP_Pcode]],DistanceToCamp[CP_Pcode],0)-1,0,1,1),"")</f>
        <v/>
      </c>
      <c r="AJ218" s="561" t="str">
        <f ca="1">IFERROR(OFFSET(DistanceToCamp[distance],MATCH(CampList[[#This Row],[CP_Pcode]],DistanceToCamp[CP_Pcode],0)-1,0,1,1),"")</f>
        <v/>
      </c>
      <c r="AK218" s="562" t="str">
        <f ca="1">IFERROR(INT(CampList[[#This Row],[Distance]]/5)+1,"")</f>
        <v/>
      </c>
      <c r="AL218" s="722"/>
      <c r="AM218" s="722"/>
      <c r="AN218" s="722"/>
      <c r="AY218" s="682"/>
      <c r="AZ218" s="682"/>
    </row>
    <row r="219" spans="1:57" s="681" customFormat="1" ht="15.6" customHeight="1" x14ac:dyDescent="0.25">
      <c r="A219" s="490" t="s">
        <v>502</v>
      </c>
      <c r="B219" s="530" t="s">
        <v>380</v>
      </c>
      <c r="C219" s="530" t="s">
        <v>527</v>
      </c>
      <c r="D219" s="530" t="s">
        <v>180</v>
      </c>
      <c r="E219" s="530" t="s">
        <v>528</v>
      </c>
      <c r="F219" s="530" t="s">
        <v>180</v>
      </c>
      <c r="G219" s="530" t="s">
        <v>553</v>
      </c>
      <c r="H219" s="530" t="s">
        <v>1140</v>
      </c>
      <c r="I219" s="593" t="s">
        <v>1268</v>
      </c>
      <c r="J219" s="530"/>
      <c r="K219" s="530"/>
      <c r="L219" s="530" t="s">
        <v>181</v>
      </c>
      <c r="M219" s="530" t="s">
        <v>179</v>
      </c>
      <c r="N219" s="503">
        <v>96.367059999999995</v>
      </c>
      <c r="O219" s="503">
        <v>24.764800000000001</v>
      </c>
      <c r="P219" s="564"/>
      <c r="Q219" s="506">
        <v>12</v>
      </c>
      <c r="R219" s="527">
        <v>55</v>
      </c>
      <c r="S219" s="555">
        <f>IF(CampList[[#This Row],[HH]]&gt;0,CampList[[#This Row],[Total]]/CampList[[#This Row],[HH]],"NA")</f>
        <v>4.583333333333333</v>
      </c>
      <c r="T219" s="594" t="s">
        <v>513</v>
      </c>
      <c r="U219" s="556" t="s">
        <v>1204</v>
      </c>
      <c r="V219" s="491" t="s">
        <v>556</v>
      </c>
      <c r="W219" s="503" t="s">
        <v>808</v>
      </c>
      <c r="X219" s="572"/>
      <c r="Y219" s="566"/>
      <c r="Z219" s="566" t="s">
        <v>1097</v>
      </c>
      <c r="AA219" s="506" t="s">
        <v>848</v>
      </c>
      <c r="AB219" s="594"/>
      <c r="AC219" s="574">
        <v>42397</v>
      </c>
      <c r="AD219" s="705" t="s">
        <v>1385</v>
      </c>
      <c r="AE219" s="592" t="s">
        <v>1100</v>
      </c>
      <c r="AF219" s="593">
        <f>IF(CampList[[#This Row],[Type of Accomodation]]="camp",MAX(0,CampList[[#This Row],[HH]]-SUMIF(Table_Shelter[Pcode],CampList[[#This Row],[CP_Pcode]],Table_Shelter[HH Covered])),0)</f>
        <v>0</v>
      </c>
      <c r="AG219" s="530"/>
      <c r="AH219" s="593">
        <f>MIN(CampList[[#This Row],[Shelter Gap]],CampList[[#This Row],[Land Status]])</f>
        <v>0</v>
      </c>
      <c r="AI219" s="593" t="str">
        <f ca="1">IFERROR(OFFSET(DistanceToCamp[Nearest Town],MATCH(CampList[[#This Row],[CP_Pcode]],DistanceToCamp[CP_Pcode],0)-1,0,1,1),"")</f>
        <v>Mohnyin Town</v>
      </c>
      <c r="AJ219" s="561">
        <f ca="1">IFERROR(OFFSET(DistanceToCamp[distance],MATCH(CampList[[#This Row],[CP_Pcode]],DistanceToCamp[CP_Pcode],0)-1,0,1,1),"")</f>
        <v>1.7021273757523427</v>
      </c>
      <c r="AK219" s="595">
        <f ca="1">IFERROR(INT(CampList[[#This Row],[Distance]]/5)+1,"")</f>
        <v>1</v>
      </c>
      <c r="AL219" s="722"/>
      <c r="AM219" s="722"/>
      <c r="AN219" s="722"/>
      <c r="AY219" s="682"/>
      <c r="AZ219" s="682"/>
    </row>
    <row r="220" spans="1:57" s="681" customFormat="1" ht="15.6" hidden="1" customHeight="1" x14ac:dyDescent="0.25">
      <c r="A220" s="550" t="s">
        <v>849</v>
      </c>
      <c r="B220" s="520" t="s">
        <v>380</v>
      </c>
      <c r="C220" s="520" t="s">
        <v>527</v>
      </c>
      <c r="D220" s="520" t="s">
        <v>5</v>
      </c>
      <c r="E220" s="520" t="s">
        <v>531</v>
      </c>
      <c r="F220" s="522" t="s">
        <v>5</v>
      </c>
      <c r="G220" s="520" t="s">
        <v>532</v>
      </c>
      <c r="H220" s="520"/>
      <c r="I220" s="520"/>
      <c r="J220" s="520"/>
      <c r="K220" s="520"/>
      <c r="L220" s="520" t="s">
        <v>904</v>
      </c>
      <c r="M220" s="522" t="s">
        <v>903</v>
      </c>
      <c r="N220" s="563"/>
      <c r="O220" s="563"/>
      <c r="P220" s="527"/>
      <c r="Q220" s="504">
        <v>0</v>
      </c>
      <c r="R220" s="526">
        <v>0</v>
      </c>
      <c r="S220" s="555" t="str">
        <f>IF(CampList[[#This Row],[HH]]&gt;0,CampList[[#This Row],[Total]]/CampList[[#This Row],[HH]],"NA")</f>
        <v>NA</v>
      </c>
      <c r="T220" s="556" t="s">
        <v>513</v>
      </c>
      <c r="U220" s="557" t="s">
        <v>1204</v>
      </c>
      <c r="V220" s="522" t="s">
        <v>556</v>
      </c>
      <c r="W220" s="557" t="s">
        <v>808</v>
      </c>
      <c r="X220" s="572"/>
      <c r="Y220" s="528"/>
      <c r="Z220" s="522"/>
      <c r="AA220" s="510" t="s">
        <v>848</v>
      </c>
      <c r="AB220" s="576"/>
      <c r="AC220" s="560">
        <v>41702</v>
      </c>
      <c r="AD220" s="520" t="s">
        <v>1023</v>
      </c>
      <c r="AE220" s="528" t="s">
        <v>1014</v>
      </c>
      <c r="AF220" s="530">
        <f>IF(CampList[[#This Row],[Type of Accomodation]]="camp",MAX(0,CampList[[#This Row],[HH]]-SUMIF(Table_Shelter[Pcode],CampList[[#This Row],[CP_Pcode]],Table_Shelter[HH Covered])),0)</f>
        <v>0</v>
      </c>
      <c r="AG220" s="520"/>
      <c r="AH220" s="520">
        <f>MIN(CampList[[#This Row],[Shelter Gap]],CampList[[#This Row],[Land Status]])</f>
        <v>0</v>
      </c>
      <c r="AI220" s="520" t="str">
        <f ca="1">IFERROR(OFFSET(DistanceToCamp[Nearest Town],MATCH(CampList[[#This Row],[CP_Pcode]],DistanceToCamp[CP_Pcode],0)-1,0,1,1),"")</f>
        <v/>
      </c>
      <c r="AJ220" s="561" t="str">
        <f ca="1">IFERROR(OFFSET(DistanceToCamp[distance],MATCH(CampList[[#This Row],[CP_Pcode]],DistanceToCamp[CP_Pcode],0)-1,0,1,1),"")</f>
        <v/>
      </c>
      <c r="AK220" s="562" t="str">
        <f ca="1">IFERROR(INT(CampList[[#This Row],[Distance]]/5)+1,"")</f>
        <v/>
      </c>
      <c r="AL220" s="722"/>
      <c r="AM220" s="722"/>
      <c r="AN220" s="722"/>
      <c r="AY220" s="682"/>
      <c r="AZ220" s="682"/>
    </row>
    <row r="221" spans="1:57" s="681" customFormat="1" ht="15.6" customHeight="1" x14ac:dyDescent="0.25">
      <c r="A221" s="585" t="s">
        <v>502</v>
      </c>
      <c r="B221" s="522" t="s">
        <v>380</v>
      </c>
      <c r="C221" s="520" t="s">
        <v>527</v>
      </c>
      <c r="D221" s="520" t="s">
        <v>300</v>
      </c>
      <c r="E221" s="520" t="s">
        <v>548</v>
      </c>
      <c r="F221" s="520" t="s">
        <v>813</v>
      </c>
      <c r="G221" s="520" t="s">
        <v>814</v>
      </c>
      <c r="H221" s="577" t="s">
        <v>815</v>
      </c>
      <c r="I221" s="577" t="s">
        <v>816</v>
      </c>
      <c r="J221" s="577"/>
      <c r="K221" s="578"/>
      <c r="L221" s="522" t="s">
        <v>813</v>
      </c>
      <c r="M221" s="522" t="s">
        <v>817</v>
      </c>
      <c r="N221" s="553">
        <v>97.568836000000005</v>
      </c>
      <c r="O221" s="553">
        <v>26.541930000000001</v>
      </c>
      <c r="P221" s="554">
        <v>1025</v>
      </c>
      <c r="Q221" s="505">
        <v>5</v>
      </c>
      <c r="R221" s="528">
        <v>32</v>
      </c>
      <c r="S221" s="555">
        <f>IF(CampList[[#This Row],[HH]]&gt;0,CampList[[#This Row],[Total]]/CampList[[#This Row],[HH]],"NA")</f>
        <v>6.4</v>
      </c>
      <c r="T221" s="576" t="s">
        <v>513</v>
      </c>
      <c r="U221" s="557" t="s">
        <v>1204</v>
      </c>
      <c r="V221" s="522" t="s">
        <v>556</v>
      </c>
      <c r="W221" s="557" t="s">
        <v>862</v>
      </c>
      <c r="X221" s="558"/>
      <c r="Y221" s="559"/>
      <c r="Z221" s="558"/>
      <c r="AA221" s="513" t="s">
        <v>847</v>
      </c>
      <c r="AB221" s="522"/>
      <c r="AC221" s="574"/>
      <c r="AD221" s="522" t="s">
        <v>603</v>
      </c>
      <c r="AE221" s="559" t="s">
        <v>1100</v>
      </c>
      <c r="AF221" s="530">
        <f>IF(CampList[[#This Row],[Type of Accomodation]]="camp",MAX(0,CampList[[#This Row],[HH]]-SUMIF(Table_Shelter[Pcode],CampList[[#This Row],[CP_Pcode]],Table_Shelter[HH Covered])),0)</f>
        <v>5</v>
      </c>
      <c r="AG221" s="520"/>
      <c r="AH221" s="520">
        <f>MIN(CampList[[#This Row],[Shelter Gap]],CampList[[#This Row],[Land Status]])</f>
        <v>5</v>
      </c>
      <c r="AI221" s="520" t="str">
        <f ca="1">IFERROR(OFFSET(DistanceToCamp[Nearest Town],MATCH(CampList[[#This Row],[CP_Pcode]],DistanceToCamp[CP_Pcode],0)-1,0,1,1),"")</f>
        <v>Sumprabum Town</v>
      </c>
      <c r="AJ221" s="561">
        <f ca="1">IFERROR(OFFSET(DistanceToCamp[distance],MATCH(CampList[[#This Row],[CP_Pcode]],DistanceToCamp[CP_Pcode],0)-1,0,1,1),"")</f>
        <v>0.23004407510846425</v>
      </c>
      <c r="AK221" s="562">
        <f ca="1">IFERROR(INT(CampList[[#This Row],[Distance]]/5)+1,"")</f>
        <v>1</v>
      </c>
      <c r="AL221" s="722"/>
      <c r="AM221" s="722"/>
      <c r="AN221" s="722"/>
      <c r="AY221" s="682"/>
      <c r="AZ221" s="682"/>
    </row>
    <row r="222" spans="1:57" s="681" customFormat="1" ht="15.6" customHeight="1" x14ac:dyDescent="0.25">
      <c r="A222" s="550" t="s">
        <v>502</v>
      </c>
      <c r="B222" s="522" t="s">
        <v>380</v>
      </c>
      <c r="C222" s="520" t="s">
        <v>527</v>
      </c>
      <c r="D222" s="520" t="s">
        <v>5</v>
      </c>
      <c r="E222" s="520" t="s">
        <v>531</v>
      </c>
      <c r="F222" s="520" t="s">
        <v>5</v>
      </c>
      <c r="G222" s="520" t="s">
        <v>532</v>
      </c>
      <c r="H222" s="577" t="s">
        <v>639</v>
      </c>
      <c r="I222" s="577" t="s">
        <v>640</v>
      </c>
      <c r="J222" s="577" t="s">
        <v>641</v>
      </c>
      <c r="K222" s="578" t="s">
        <v>642</v>
      </c>
      <c r="L222" s="522" t="s">
        <v>24</v>
      </c>
      <c r="M222" s="522" t="s">
        <v>23</v>
      </c>
      <c r="N222" s="553">
        <v>97.227789999999999</v>
      </c>
      <c r="O222" s="553">
        <v>24.29138</v>
      </c>
      <c r="P222" s="554">
        <v>0</v>
      </c>
      <c r="Q222" s="505">
        <v>25</v>
      </c>
      <c r="R222" s="528">
        <v>104</v>
      </c>
      <c r="S222" s="555">
        <f>IF(CampList[[#This Row],[HH]]&gt;0,CampList[[#This Row],[Total]]/CampList[[#This Row],[HH]],"NA")</f>
        <v>4.16</v>
      </c>
      <c r="T222" s="576" t="s">
        <v>513</v>
      </c>
      <c r="U222" s="557" t="s">
        <v>1204</v>
      </c>
      <c r="V222" s="522" t="s">
        <v>556</v>
      </c>
      <c r="W222" s="557" t="s">
        <v>808</v>
      </c>
      <c r="X222" s="558">
        <v>41030</v>
      </c>
      <c r="Y222" s="559">
        <v>2</v>
      </c>
      <c r="Z222" s="558" t="s">
        <v>507</v>
      </c>
      <c r="AA222" s="513" t="s">
        <v>848</v>
      </c>
      <c r="AB222" s="522"/>
      <c r="AC222" s="560">
        <v>42317</v>
      </c>
      <c r="AD222" s="519" t="s">
        <v>1343</v>
      </c>
      <c r="AE222" s="559" t="s">
        <v>1100</v>
      </c>
      <c r="AF222" s="530">
        <f>IF(CampList[[#This Row],[Type of Accomodation]]="camp",MAX(0,CampList[[#This Row],[HH]]-SUMIF(Table_Shelter[Pcode],CampList[[#This Row],[CP_Pcode]],Table_Shelter[HH Covered])),0)</f>
        <v>0</v>
      </c>
      <c r="AG222" s="520">
        <v>0</v>
      </c>
      <c r="AH222" s="520">
        <f>MIN(CampList[[#This Row],[Shelter Gap]],CampList[[#This Row],[Land Status]])</f>
        <v>0</v>
      </c>
      <c r="AI222" s="520" t="str">
        <f ca="1">IFERROR(OFFSET(DistanceToCamp[Nearest Town],MATCH(CampList[[#This Row],[CP_Pcode]],DistanceToCamp[CP_Pcode],0)-1,0,1,1),"")</f>
        <v>Bhamo Town</v>
      </c>
      <c r="AJ222" s="561">
        <f ca="1">IFERROR(OFFSET(DistanceToCamp[distance],MATCH(CampList[[#This Row],[CP_Pcode]],DistanceToCamp[CP_Pcode],0)-1,0,1,1),"")</f>
        <v>4.108228790802368</v>
      </c>
      <c r="AK222" s="562">
        <f ca="1">IFERROR(INT(CampList[[#This Row],[Distance]]/5)+1,"")</f>
        <v>1</v>
      </c>
      <c r="AL222" s="722"/>
      <c r="AM222" s="722"/>
      <c r="AN222" s="722"/>
      <c r="AY222" s="682"/>
      <c r="AZ222" s="682"/>
    </row>
    <row r="223" spans="1:57" s="681" customFormat="1" ht="15.6" hidden="1" customHeight="1" x14ac:dyDescent="0.25">
      <c r="A223" s="550" t="s">
        <v>849</v>
      </c>
      <c r="B223" s="522" t="s">
        <v>380</v>
      </c>
      <c r="C223" s="522" t="s">
        <v>527</v>
      </c>
      <c r="D223" s="522" t="s">
        <v>180</v>
      </c>
      <c r="E223" s="522" t="s">
        <v>528</v>
      </c>
      <c r="F223" s="522" t="s">
        <v>529</v>
      </c>
      <c r="G223" s="520" t="s">
        <v>530</v>
      </c>
      <c r="H223" s="551" t="s">
        <v>714</v>
      </c>
      <c r="I223" s="551" t="s">
        <v>715</v>
      </c>
      <c r="J223" s="551" t="s">
        <v>714</v>
      </c>
      <c r="K223" s="552">
        <v>166794</v>
      </c>
      <c r="L223" s="522" t="s">
        <v>132</v>
      </c>
      <c r="M223" s="522" t="s">
        <v>131</v>
      </c>
      <c r="N223" s="563"/>
      <c r="O223" s="563"/>
      <c r="P223" s="564"/>
      <c r="Q223" s="504">
        <v>0</v>
      </c>
      <c r="R223" s="526">
        <v>0</v>
      </c>
      <c r="S223" s="555" t="str">
        <f>IF(CampList[[#This Row],[HH]]&gt;0,CampList[[#This Row],[Total]]/CampList[[#This Row],[HH]],"NA")</f>
        <v>NA</v>
      </c>
      <c r="T223" s="556" t="s">
        <v>513</v>
      </c>
      <c r="U223" s="557" t="s">
        <v>1204</v>
      </c>
      <c r="V223" s="522" t="s">
        <v>556</v>
      </c>
      <c r="W223" s="557"/>
      <c r="X223" s="565"/>
      <c r="Y223" s="566"/>
      <c r="Z223" s="557"/>
      <c r="AA223" s="507"/>
      <c r="AB223" s="522"/>
      <c r="AC223" s="567"/>
      <c r="AD223" s="518"/>
      <c r="AE223" s="566" t="s">
        <v>1014</v>
      </c>
      <c r="AF223" s="530">
        <f>IF(CampList[[#This Row],[Type of Accomodation]]="camp",MAX(0,CampList[[#This Row],[HH]]-SUMIF(Table_Shelter[Pcode],CampList[[#This Row],[CP_Pcode]],Table_Shelter[HH Covered])),0)</f>
        <v>0</v>
      </c>
      <c r="AG223" s="520"/>
      <c r="AH223" s="520">
        <f>MIN(CampList[[#This Row],[Shelter Gap]],CampList[[#This Row],[Land Status]])</f>
        <v>0</v>
      </c>
      <c r="AI223" s="520" t="str">
        <f ca="1">IFERROR(OFFSET(DistanceToCamp[Nearest Town],MATCH(CampList[[#This Row],[CP_Pcode]],DistanceToCamp[CP_Pcode],0)-1,0,1,1),"")</f>
        <v/>
      </c>
      <c r="AJ223" s="561" t="str">
        <f ca="1">IFERROR(OFFSET(DistanceToCamp[distance],MATCH(CampList[[#This Row],[CP_Pcode]],DistanceToCamp[CP_Pcode],0)-1,0,1,1),"")</f>
        <v/>
      </c>
      <c r="AK223" s="562" t="str">
        <f ca="1">IFERROR(INT(CampList[[#This Row],[Distance]]/5)+1,"")</f>
        <v/>
      </c>
      <c r="AL223" s="722"/>
      <c r="AM223" s="722"/>
      <c r="AN223" s="722"/>
      <c r="AY223" s="682"/>
      <c r="AZ223" s="682"/>
    </row>
    <row r="224" spans="1:57" s="681" customFormat="1" ht="15.6" customHeight="1" x14ac:dyDescent="0.25">
      <c r="A224" s="550" t="s">
        <v>502</v>
      </c>
      <c r="B224" s="522" t="s">
        <v>380</v>
      </c>
      <c r="C224" s="520" t="s">
        <v>527</v>
      </c>
      <c r="D224" s="520" t="s">
        <v>5</v>
      </c>
      <c r="E224" s="520" t="s">
        <v>531</v>
      </c>
      <c r="F224" s="520" t="s">
        <v>185</v>
      </c>
      <c r="G224" s="520" t="s">
        <v>535</v>
      </c>
      <c r="H224" s="577" t="s">
        <v>801</v>
      </c>
      <c r="I224" s="577" t="s">
        <v>802</v>
      </c>
      <c r="J224" s="577" t="s">
        <v>801</v>
      </c>
      <c r="K224" s="578">
        <v>167086</v>
      </c>
      <c r="L224" s="522" t="s">
        <v>227</v>
      </c>
      <c r="M224" s="522" t="s">
        <v>226</v>
      </c>
      <c r="N224" s="553">
        <v>97.416826999999998</v>
      </c>
      <c r="O224" s="553">
        <v>24.492493</v>
      </c>
      <c r="P224" s="554"/>
      <c r="Q224" s="505">
        <v>10</v>
      </c>
      <c r="R224" s="528">
        <v>38</v>
      </c>
      <c r="S224" s="555">
        <f>IF(CampList[[#This Row],[HH]]&gt;0,CampList[[#This Row],[Total]]/CampList[[#This Row],[HH]],"NA")</f>
        <v>3.8</v>
      </c>
      <c r="T224" s="576" t="s">
        <v>513</v>
      </c>
      <c r="U224" s="557" t="s">
        <v>1204</v>
      </c>
      <c r="V224" s="522" t="s">
        <v>12</v>
      </c>
      <c r="W224" s="557" t="s">
        <v>862</v>
      </c>
      <c r="X224" s="558"/>
      <c r="Y224" s="559"/>
      <c r="Z224" s="558"/>
      <c r="AA224" s="513" t="s">
        <v>847</v>
      </c>
      <c r="AB224" s="522"/>
      <c r="AC224" s="560">
        <v>41803</v>
      </c>
      <c r="AD224" s="519" t="s">
        <v>1075</v>
      </c>
      <c r="AE224" s="559" t="s">
        <v>1100</v>
      </c>
      <c r="AF224" s="530">
        <f>IF(CampList[[#This Row],[Type of Accomodation]]="camp",MAX(0,CampList[[#This Row],[HH]]-SUMIF(Table_Shelter[Pcode],CampList[[#This Row],[CP_Pcode]],Table_Shelter[HH Covered])),0)</f>
        <v>0</v>
      </c>
      <c r="AG224" s="520"/>
      <c r="AH224" s="520">
        <f>MIN(CampList[[#This Row],[Shelter Gap]],CampList[[#This Row],[Land Status]])</f>
        <v>0</v>
      </c>
      <c r="AI224" s="520" t="str">
        <f ca="1">IFERROR(OFFSET(DistanceToCamp[Nearest Town],MATCH(CampList[[#This Row],[CP_Pcode]],DistanceToCamp[CP_Pcode],0)-1,0,1,1),"")</f>
        <v>Dawthponeyan  Town</v>
      </c>
      <c r="AJ224" s="561">
        <f ca="1">IFERROR(OFFSET(DistanceToCamp[distance],MATCH(CampList[[#This Row],[CP_Pcode]],DistanceToCamp[CP_Pcode],0)-1,0,1,1),"")</f>
        <v>14.236592976936194</v>
      </c>
      <c r="AK224" s="562">
        <f ca="1">IFERROR(INT(CampList[[#This Row],[Distance]]/5)+1,"")</f>
        <v>3</v>
      </c>
      <c r="AL224" s="722"/>
      <c r="AM224" s="722"/>
      <c r="AN224" s="722"/>
      <c r="AY224" s="682"/>
      <c r="AZ224" s="682"/>
    </row>
    <row r="225" spans="1:52" s="681" customFormat="1" ht="15.6" customHeight="1" x14ac:dyDescent="0.25">
      <c r="A225" s="550" t="s">
        <v>502</v>
      </c>
      <c r="B225" s="522" t="s">
        <v>380</v>
      </c>
      <c r="C225" s="520" t="s">
        <v>527</v>
      </c>
      <c r="D225" s="520" t="s">
        <v>237</v>
      </c>
      <c r="E225" s="520" t="s">
        <v>533</v>
      </c>
      <c r="F225" s="520" t="s">
        <v>237</v>
      </c>
      <c r="G225" s="520" t="s">
        <v>537</v>
      </c>
      <c r="H225" s="577" t="s">
        <v>673</v>
      </c>
      <c r="I225" s="577" t="s">
        <v>674</v>
      </c>
      <c r="J225" s="577" t="s">
        <v>678</v>
      </c>
      <c r="K225" s="578" t="s">
        <v>679</v>
      </c>
      <c r="L225" s="569" t="s">
        <v>238</v>
      </c>
      <c r="M225" s="522" t="s">
        <v>236</v>
      </c>
      <c r="N225" s="553">
        <v>97.386718999999999</v>
      </c>
      <c r="O225" s="553">
        <v>25.415482000000001</v>
      </c>
      <c r="P225" s="554">
        <v>0</v>
      </c>
      <c r="Q225" s="505">
        <v>70</v>
      </c>
      <c r="R225" s="528">
        <v>369</v>
      </c>
      <c r="S225" s="555">
        <f>IF(CampList[[#This Row],[HH]]&gt;0,CampList[[#This Row],[Total]]/CampList[[#This Row],[HH]],"NA")</f>
        <v>5.2714285714285714</v>
      </c>
      <c r="T225" s="576" t="s">
        <v>513</v>
      </c>
      <c r="U225" s="557" t="s">
        <v>1204</v>
      </c>
      <c r="V225" s="522" t="s">
        <v>556</v>
      </c>
      <c r="W225" s="557" t="s">
        <v>808</v>
      </c>
      <c r="X225" s="558">
        <v>40695</v>
      </c>
      <c r="Y225" s="559">
        <v>1</v>
      </c>
      <c r="Z225" s="558" t="s">
        <v>462</v>
      </c>
      <c r="AA225" s="513" t="s">
        <v>848</v>
      </c>
      <c r="AB225" s="522"/>
      <c r="AC225" s="574">
        <v>42397</v>
      </c>
      <c r="AD225" s="519" t="s">
        <v>1434</v>
      </c>
      <c r="AE225" s="559" t="s">
        <v>1100</v>
      </c>
      <c r="AF225" s="530">
        <f>IF(CampList[[#This Row],[Type of Accomodation]]="camp",MAX(0,CampList[[#This Row],[HH]]-SUMIF(Table_Shelter[Pcode],CampList[[#This Row],[CP_Pcode]],Table_Shelter[HH Covered])),0)</f>
        <v>10</v>
      </c>
      <c r="AG225" s="520"/>
      <c r="AH225" s="520">
        <f>MIN(CampList[[#This Row],[Shelter Gap]],CampList[[#This Row],[Land Status]])</f>
        <v>10</v>
      </c>
      <c r="AI225" s="520" t="str">
        <f ca="1">IFERROR(OFFSET(DistanceToCamp[Nearest Town],MATCH(CampList[[#This Row],[CP_Pcode]],DistanceToCamp[CP_Pcode],0)-1,0,1,1),"")</f>
        <v>Myitkyina Town</v>
      </c>
      <c r="AJ225" s="561">
        <f ca="1">IFERROR(OFFSET(DistanceToCamp[distance],MATCH(CampList[[#This Row],[CP_Pcode]],DistanceToCamp[CP_Pcode],0)-1,0,1,1),"")</f>
        <v>3.1341427522962952</v>
      </c>
      <c r="AK225" s="562">
        <f ca="1">IFERROR(INT(CampList[[#This Row],[Distance]]/5)+1,"")</f>
        <v>1</v>
      </c>
      <c r="AL225" s="722"/>
      <c r="AM225" s="722"/>
      <c r="AN225" s="722"/>
      <c r="AY225" s="682"/>
      <c r="AZ225" s="682"/>
    </row>
    <row r="226" spans="1:52" s="681" customFormat="1" ht="15.6" customHeight="1" x14ac:dyDescent="0.25">
      <c r="A226" s="550" t="s">
        <v>502</v>
      </c>
      <c r="B226" s="522" t="s">
        <v>380</v>
      </c>
      <c r="C226" s="520" t="s">
        <v>527</v>
      </c>
      <c r="D226" s="520" t="s">
        <v>237</v>
      </c>
      <c r="E226" s="520" t="s">
        <v>533</v>
      </c>
      <c r="F226" s="520" t="s">
        <v>237</v>
      </c>
      <c r="G226" s="520" t="s">
        <v>537</v>
      </c>
      <c r="H226" s="577" t="s">
        <v>673</v>
      </c>
      <c r="I226" s="577" t="s">
        <v>674</v>
      </c>
      <c r="J226" s="577" t="s">
        <v>678</v>
      </c>
      <c r="K226" s="578" t="s">
        <v>679</v>
      </c>
      <c r="L226" s="522" t="s">
        <v>1258</v>
      </c>
      <c r="M226" s="522" t="s">
        <v>241</v>
      </c>
      <c r="N226" s="553">
        <v>97.387636874999998</v>
      </c>
      <c r="O226" s="553">
        <v>25.410913749999999</v>
      </c>
      <c r="P226" s="554">
        <v>0</v>
      </c>
      <c r="Q226" s="505">
        <v>68</v>
      </c>
      <c r="R226" s="528">
        <v>340</v>
      </c>
      <c r="S226" s="555">
        <f>IF(CampList[[#This Row],[HH]]&gt;0,CampList[[#This Row],[Total]]/CampList[[#This Row],[HH]],"NA")</f>
        <v>5</v>
      </c>
      <c r="T226" s="576" t="s">
        <v>513</v>
      </c>
      <c r="U226" s="557" t="s">
        <v>1204</v>
      </c>
      <c r="V226" s="522" t="s">
        <v>556</v>
      </c>
      <c r="W226" s="557" t="s">
        <v>808</v>
      </c>
      <c r="X226" s="558">
        <v>41000</v>
      </c>
      <c r="Y226" s="559">
        <v>1</v>
      </c>
      <c r="Z226" s="558" t="s">
        <v>507</v>
      </c>
      <c r="AA226" s="513" t="s">
        <v>848</v>
      </c>
      <c r="AB226" s="522"/>
      <c r="AC226" s="574">
        <v>42387</v>
      </c>
      <c r="AD226" s="519" t="s">
        <v>1409</v>
      </c>
      <c r="AE226" s="559" t="s">
        <v>1100</v>
      </c>
      <c r="AF226" s="530">
        <f>IF(CampList[[#This Row],[Type of Accomodation]]="camp",MAX(0,CampList[[#This Row],[HH]]-SUMIF(Table_Shelter[Pcode],CampList[[#This Row],[CP_Pcode]],Table_Shelter[HH Covered])),0)</f>
        <v>0</v>
      </c>
      <c r="AG226" s="520"/>
      <c r="AH226" s="520">
        <f>MIN(CampList[[#This Row],[Shelter Gap]],CampList[[#This Row],[Land Status]])</f>
        <v>0</v>
      </c>
      <c r="AI226" s="520" t="str">
        <f ca="1">IFERROR(OFFSET(DistanceToCamp[Nearest Town],MATCH(CampList[[#This Row],[CP_Pcode]],DistanceToCamp[CP_Pcode],0)-1,0,1,1),"")</f>
        <v>Myitkyina Town</v>
      </c>
      <c r="AJ226" s="561">
        <f ca="1">IFERROR(OFFSET(DistanceToCamp[distance],MATCH(CampList[[#This Row],[CP_Pcode]],DistanceToCamp[CP_Pcode],0)-1,0,1,1),"")</f>
        <v>2.6190942927115026</v>
      </c>
      <c r="AK226" s="562">
        <f ca="1">IFERROR(INT(CampList[[#This Row],[Distance]]/5)+1,"")</f>
        <v>1</v>
      </c>
      <c r="AL226" s="722"/>
      <c r="AM226" s="722"/>
      <c r="AN226" s="722"/>
      <c r="AY226" s="682"/>
      <c r="AZ226" s="682"/>
    </row>
    <row r="227" spans="1:52" s="681" customFormat="1" ht="15.6" customHeight="1" x14ac:dyDescent="0.25">
      <c r="A227" s="550" t="s">
        <v>502</v>
      </c>
      <c r="B227" s="522" t="s">
        <v>380</v>
      </c>
      <c r="C227" s="520" t="s">
        <v>527</v>
      </c>
      <c r="D227" s="520" t="s">
        <v>237</v>
      </c>
      <c r="E227" s="520" t="s">
        <v>533</v>
      </c>
      <c r="F227" s="520" t="s">
        <v>237</v>
      </c>
      <c r="G227" s="520" t="s">
        <v>537</v>
      </c>
      <c r="H227" s="577" t="s">
        <v>673</v>
      </c>
      <c r="I227" s="577" t="s">
        <v>674</v>
      </c>
      <c r="J227" s="577" t="s">
        <v>678</v>
      </c>
      <c r="K227" s="578" t="s">
        <v>679</v>
      </c>
      <c r="L227" s="522" t="s">
        <v>249</v>
      </c>
      <c r="M227" s="522" t="s">
        <v>248</v>
      </c>
      <c r="N227" s="553">
        <v>97.389778000000007</v>
      </c>
      <c r="O227" s="553">
        <v>25.417733999999999</v>
      </c>
      <c r="P227" s="554">
        <v>0</v>
      </c>
      <c r="Q227" s="505">
        <v>12</v>
      </c>
      <c r="R227" s="528">
        <v>57</v>
      </c>
      <c r="S227" s="555">
        <f>IF(CampList[[#This Row],[HH]]&gt;0,CampList[[#This Row],[Total]]/CampList[[#This Row],[HH]],"NA")</f>
        <v>4.75</v>
      </c>
      <c r="T227" s="576" t="s">
        <v>513</v>
      </c>
      <c r="U227" s="557" t="s">
        <v>1204</v>
      </c>
      <c r="V227" s="522" t="s">
        <v>556</v>
      </c>
      <c r="W227" s="557" t="s">
        <v>808</v>
      </c>
      <c r="X227" s="558">
        <v>40756</v>
      </c>
      <c r="Y227" s="559">
        <v>1</v>
      </c>
      <c r="Z227" s="558" t="s">
        <v>507</v>
      </c>
      <c r="AA227" s="513" t="s">
        <v>848</v>
      </c>
      <c r="AB227" s="522"/>
      <c r="AC227" s="574">
        <v>42387</v>
      </c>
      <c r="AD227" s="519" t="s">
        <v>1410</v>
      </c>
      <c r="AE227" s="559" t="s">
        <v>1100</v>
      </c>
      <c r="AF227" s="530">
        <f>IF(CampList[[#This Row],[Type of Accomodation]]="camp",MAX(0,CampList[[#This Row],[HH]]-SUMIF(Table_Shelter[Pcode],CampList[[#This Row],[CP_Pcode]],Table_Shelter[HH Covered])),0)</f>
        <v>0</v>
      </c>
      <c r="AG227" s="520"/>
      <c r="AH227" s="520">
        <f>MIN(CampList[[#This Row],[Shelter Gap]],CampList[[#This Row],[Land Status]])</f>
        <v>0</v>
      </c>
      <c r="AI227" s="520" t="str">
        <f ca="1">IFERROR(OFFSET(DistanceToCamp[Nearest Town],MATCH(CampList[[#This Row],[CP_Pcode]],DistanceToCamp[CP_Pcode],0)-1,0,1,1),"")</f>
        <v>Myitkyina Town</v>
      </c>
      <c r="AJ227" s="561">
        <f ca="1">IFERROR(OFFSET(DistanceToCamp[distance],MATCH(CampList[[#This Row],[CP_Pcode]],DistanceToCamp[CP_Pcode],0)-1,0,1,1),"")</f>
        <v>3.3637010801853577</v>
      </c>
      <c r="AK227" s="562">
        <f ca="1">IFERROR(INT(CampList[[#This Row],[Distance]]/5)+1,"")</f>
        <v>1</v>
      </c>
      <c r="AL227" s="722"/>
      <c r="AM227" s="722"/>
      <c r="AN227" s="722"/>
      <c r="AY227" s="682"/>
      <c r="AZ227" s="682"/>
    </row>
    <row r="228" spans="1:52" s="681" customFormat="1" ht="15.6" customHeight="1" x14ac:dyDescent="0.25">
      <c r="A228" s="550" t="s">
        <v>502</v>
      </c>
      <c r="B228" s="522" t="s">
        <v>380</v>
      </c>
      <c r="C228" s="520" t="s">
        <v>527</v>
      </c>
      <c r="D228" s="520" t="s">
        <v>237</v>
      </c>
      <c r="E228" s="520" t="s">
        <v>533</v>
      </c>
      <c r="F228" s="520" t="s">
        <v>237</v>
      </c>
      <c r="G228" s="520" t="s">
        <v>537</v>
      </c>
      <c r="H228" s="577" t="s">
        <v>673</v>
      </c>
      <c r="I228" s="577" t="s">
        <v>674</v>
      </c>
      <c r="J228" s="577" t="s">
        <v>678</v>
      </c>
      <c r="K228" s="578" t="s">
        <v>679</v>
      </c>
      <c r="L228" s="569" t="s">
        <v>251</v>
      </c>
      <c r="M228" s="522" t="s">
        <v>250</v>
      </c>
      <c r="N228" s="553">
        <v>97.377662999999998</v>
      </c>
      <c r="O228" s="553">
        <v>25.404752999999999</v>
      </c>
      <c r="P228" s="554">
        <v>0</v>
      </c>
      <c r="Q228" s="505">
        <v>32</v>
      </c>
      <c r="R228" s="528">
        <v>146</v>
      </c>
      <c r="S228" s="555">
        <f>IF(CampList[[#This Row],[HH]]&gt;0,CampList[[#This Row],[Total]]/CampList[[#This Row],[HH]],"NA")</f>
        <v>4.5625</v>
      </c>
      <c r="T228" s="576" t="s">
        <v>513</v>
      </c>
      <c r="U228" s="557" t="s">
        <v>1204</v>
      </c>
      <c r="V228" s="522" t="s">
        <v>556</v>
      </c>
      <c r="W228" s="557" t="s">
        <v>808</v>
      </c>
      <c r="X228" s="558">
        <v>40725</v>
      </c>
      <c r="Y228" s="559">
        <v>1</v>
      </c>
      <c r="Z228" s="558" t="s">
        <v>462</v>
      </c>
      <c r="AA228" s="513" t="s">
        <v>848</v>
      </c>
      <c r="AB228" s="522"/>
      <c r="AC228" s="574">
        <v>42397</v>
      </c>
      <c r="AD228" s="519" t="s">
        <v>1443</v>
      </c>
      <c r="AE228" s="559" t="s">
        <v>1100</v>
      </c>
      <c r="AF228" s="530">
        <f>IF(CampList[[#This Row],[Type of Accomodation]]="camp",MAX(0,CampList[[#This Row],[HH]]-SUMIF(Table_Shelter[Pcode],CampList[[#This Row],[CP_Pcode]],Table_Shelter[HH Covered])),0)</f>
        <v>12</v>
      </c>
      <c r="AG228" s="520"/>
      <c r="AH228" s="520">
        <f>MIN(CampList[[#This Row],[Shelter Gap]],CampList[[#This Row],[Land Status]])</f>
        <v>12</v>
      </c>
      <c r="AI228" s="520" t="str">
        <f ca="1">IFERROR(OFFSET(DistanceToCamp[Nearest Town],MATCH(CampList[[#This Row],[CP_Pcode]],DistanceToCamp[CP_Pcode],0)-1,0,1,1),"")</f>
        <v>Myitkyina Town</v>
      </c>
      <c r="AJ228" s="561">
        <f ca="1">IFERROR(OFFSET(DistanceToCamp[distance],MATCH(CampList[[#This Row],[CP_Pcode]],DistanceToCamp[CP_Pcode],0)-1,0,1,1),"")</f>
        <v>2.3045478259125423</v>
      </c>
      <c r="AK228" s="562">
        <f ca="1">IFERROR(INT(CampList[[#This Row],[Distance]]/5)+1,"")</f>
        <v>1</v>
      </c>
      <c r="AL228" s="722"/>
      <c r="AM228" s="722"/>
      <c r="AN228" s="722"/>
      <c r="AY228" s="682"/>
      <c r="AZ228" s="682"/>
    </row>
    <row r="229" spans="1:52" s="681" customFormat="1" ht="15.6" customHeight="1" x14ac:dyDescent="0.25">
      <c r="A229" s="550" t="s">
        <v>502</v>
      </c>
      <c r="B229" s="522" t="s">
        <v>380</v>
      </c>
      <c r="C229" s="520" t="s">
        <v>527</v>
      </c>
      <c r="D229" s="520" t="s">
        <v>237</v>
      </c>
      <c r="E229" s="520" t="s">
        <v>533</v>
      </c>
      <c r="F229" s="520" t="s">
        <v>237</v>
      </c>
      <c r="G229" s="520" t="s">
        <v>537</v>
      </c>
      <c r="H229" s="577" t="s">
        <v>673</v>
      </c>
      <c r="I229" s="577" t="s">
        <v>674</v>
      </c>
      <c r="J229" s="577" t="s">
        <v>678</v>
      </c>
      <c r="K229" s="578" t="s">
        <v>679</v>
      </c>
      <c r="L229" s="569" t="s">
        <v>275</v>
      </c>
      <c r="M229" s="522" t="s">
        <v>274</v>
      </c>
      <c r="N229" s="553">
        <v>97.382192000000003</v>
      </c>
      <c r="O229" s="553">
        <v>25.404015000000001</v>
      </c>
      <c r="P229" s="554">
        <v>0</v>
      </c>
      <c r="Q229" s="505">
        <v>44</v>
      </c>
      <c r="R229" s="528">
        <v>212</v>
      </c>
      <c r="S229" s="555">
        <f>IF(CampList[[#This Row],[HH]]&gt;0,CampList[[#This Row],[Total]]/CampList[[#This Row],[HH]],"NA")</f>
        <v>4.8181818181818183</v>
      </c>
      <c r="T229" s="576" t="s">
        <v>513</v>
      </c>
      <c r="U229" s="557" t="s">
        <v>1204</v>
      </c>
      <c r="V229" s="522" t="s">
        <v>556</v>
      </c>
      <c r="W229" s="557" t="s">
        <v>808</v>
      </c>
      <c r="X229" s="558"/>
      <c r="Y229" s="559">
        <v>1</v>
      </c>
      <c r="Z229" s="558" t="s">
        <v>462</v>
      </c>
      <c r="AA229" s="513" t="s">
        <v>848</v>
      </c>
      <c r="AB229" s="522"/>
      <c r="AC229" s="574">
        <v>42397</v>
      </c>
      <c r="AD229" s="519" t="s">
        <v>1444</v>
      </c>
      <c r="AE229" s="559" t="s">
        <v>1100</v>
      </c>
      <c r="AF229" s="530">
        <f>IF(CampList[[#This Row],[Type of Accomodation]]="camp",MAX(0,CampList[[#This Row],[HH]]-SUMIF(Table_Shelter[Pcode],CampList[[#This Row],[CP_Pcode]],Table_Shelter[HH Covered])),0)</f>
        <v>12</v>
      </c>
      <c r="AG229" s="520"/>
      <c r="AH229" s="520">
        <f>MIN(CampList[[#This Row],[Shelter Gap]],CampList[[#This Row],[Land Status]])</f>
        <v>12</v>
      </c>
      <c r="AI229" s="520" t="str">
        <f ca="1">IFERROR(OFFSET(DistanceToCamp[Nearest Town],MATCH(CampList[[#This Row],[CP_Pcode]],DistanceToCamp[CP_Pcode],0)-1,0,1,1),"")</f>
        <v>Myitkyina Town</v>
      </c>
      <c r="AJ229" s="561">
        <f ca="1">IFERROR(OFFSET(DistanceToCamp[distance],MATCH(CampList[[#This Row],[CP_Pcode]],DistanceToCamp[CP_Pcode],0)-1,0,1,1),"")</f>
        <v>2.0123527499589278</v>
      </c>
      <c r="AK229" s="562">
        <f ca="1">IFERROR(INT(CampList[[#This Row],[Distance]]/5)+1,"")</f>
        <v>1</v>
      </c>
      <c r="AL229" s="722"/>
      <c r="AM229" s="722"/>
      <c r="AN229" s="722"/>
      <c r="AY229" s="682"/>
      <c r="AZ229" s="682"/>
    </row>
    <row r="230" spans="1:52" s="681" customFormat="1" ht="15.6" customHeight="1" x14ac:dyDescent="0.25">
      <c r="A230" s="585" t="s">
        <v>502</v>
      </c>
      <c r="B230" s="522" t="s">
        <v>380</v>
      </c>
      <c r="C230" s="520" t="s">
        <v>527</v>
      </c>
      <c r="D230" s="520" t="s">
        <v>237</v>
      </c>
      <c r="E230" s="520" t="s">
        <v>533</v>
      </c>
      <c r="F230" s="520" t="s">
        <v>310</v>
      </c>
      <c r="G230" s="520" t="s">
        <v>534</v>
      </c>
      <c r="H230" s="577" t="s">
        <v>697</v>
      </c>
      <c r="I230" s="577" t="s">
        <v>698</v>
      </c>
      <c r="J230" s="577" t="s">
        <v>699</v>
      </c>
      <c r="K230" s="578" t="s">
        <v>700</v>
      </c>
      <c r="L230" s="522" t="s">
        <v>349</v>
      </c>
      <c r="M230" s="522" t="s">
        <v>348</v>
      </c>
      <c r="N230" s="553">
        <v>97.428251153846105</v>
      </c>
      <c r="O230" s="553">
        <v>25.333683333333301</v>
      </c>
      <c r="P230" s="554"/>
      <c r="Q230" s="505">
        <v>44</v>
      </c>
      <c r="R230" s="528">
        <v>182</v>
      </c>
      <c r="S230" s="555">
        <f>IF(CampList[[#This Row],[HH]]&gt;0,CampList[[#This Row],[Total]]/CampList[[#This Row],[HH]],"NA")</f>
        <v>4.1363636363636367</v>
      </c>
      <c r="T230" s="576" t="s">
        <v>513</v>
      </c>
      <c r="U230" s="557" t="s">
        <v>1204</v>
      </c>
      <c r="V230" s="522" t="s">
        <v>556</v>
      </c>
      <c r="W230" s="557" t="s">
        <v>808</v>
      </c>
      <c r="X230" s="558"/>
      <c r="Y230" s="559">
        <v>1</v>
      </c>
      <c r="Z230" s="558" t="s">
        <v>507</v>
      </c>
      <c r="AA230" s="513" t="s">
        <v>848</v>
      </c>
      <c r="AB230" s="522"/>
      <c r="AC230" s="574">
        <v>42387</v>
      </c>
      <c r="AD230" s="519" t="s">
        <v>1407</v>
      </c>
      <c r="AE230" s="559" t="s">
        <v>1100</v>
      </c>
      <c r="AF230" s="530">
        <f>IF(CampList[[#This Row],[Type of Accomodation]]="camp",MAX(0,CampList[[#This Row],[HH]]-SUMIF(Table_Shelter[Pcode],CampList[[#This Row],[CP_Pcode]],Table_Shelter[HH Covered])),0)</f>
        <v>0</v>
      </c>
      <c r="AG230" s="520"/>
      <c r="AH230" s="520">
        <f>MIN(CampList[[#This Row],[Shelter Gap]],CampList[[#This Row],[Land Status]])</f>
        <v>0</v>
      </c>
      <c r="AI230" s="520" t="str">
        <f ca="1">IFERROR(OFFSET(DistanceToCamp[Nearest Town],MATCH(CampList[[#This Row],[CP_Pcode]],DistanceToCamp[CP_Pcode],0)-1,0,1,1),"")</f>
        <v>Waingmaw Town</v>
      </c>
      <c r="AJ230" s="561">
        <f ca="1">IFERROR(OFFSET(DistanceToCamp[distance],MATCH(CampList[[#This Row],[CP_Pcode]],DistanceToCamp[CP_Pcode],0)-1,0,1,1),"")</f>
        <v>2.4174307716662291</v>
      </c>
      <c r="AK230" s="562">
        <f ca="1">IFERROR(INT(CampList[[#This Row],[Distance]]/5)+1,"")</f>
        <v>1</v>
      </c>
      <c r="AL230" s="722"/>
      <c r="AM230" s="722"/>
      <c r="AN230" s="722"/>
      <c r="AY230" s="682"/>
      <c r="AZ230" s="682"/>
    </row>
    <row r="231" spans="1:52" s="681" customFormat="1" ht="15.6" hidden="1" customHeight="1" x14ac:dyDescent="0.25">
      <c r="A231" s="340" t="s">
        <v>849</v>
      </c>
      <c r="B231" s="520" t="s">
        <v>380</v>
      </c>
      <c r="C231" s="520" t="s">
        <v>527</v>
      </c>
      <c r="D231" s="520" t="s">
        <v>5</v>
      </c>
      <c r="E231" s="520" t="s">
        <v>531</v>
      </c>
      <c r="F231" s="520" t="s">
        <v>5</v>
      </c>
      <c r="G231" s="520" t="s">
        <v>532</v>
      </c>
      <c r="H231" s="520" t="s">
        <v>647</v>
      </c>
      <c r="I231" s="520" t="s">
        <v>648</v>
      </c>
      <c r="J231" s="520"/>
      <c r="K231" s="520"/>
      <c r="L231" s="520" t="s">
        <v>1028</v>
      </c>
      <c r="M231" s="520" t="s">
        <v>1025</v>
      </c>
      <c r="N231" s="563">
        <v>97.239130000000003</v>
      </c>
      <c r="O231" s="503">
        <v>24.229189999999999</v>
      </c>
      <c r="P231" s="527">
        <v>126</v>
      </c>
      <c r="Q231" s="506">
        <v>0</v>
      </c>
      <c r="R231" s="527">
        <v>0</v>
      </c>
      <c r="S231" s="555" t="str">
        <f>IF(CampList[[#This Row],[HH]]&gt;0,CampList[[#This Row],[Total]]/CampList[[#This Row],[HH]],"NA")</f>
        <v>NA</v>
      </c>
      <c r="T231" s="556" t="s">
        <v>513</v>
      </c>
      <c r="U231" s="557" t="s">
        <v>1204</v>
      </c>
      <c r="V231" s="522" t="s">
        <v>556</v>
      </c>
      <c r="W231" s="522" t="s">
        <v>808</v>
      </c>
      <c r="X231" s="572"/>
      <c r="Y231" s="528"/>
      <c r="Z231" s="522" t="s">
        <v>507</v>
      </c>
      <c r="AA231" s="515" t="s">
        <v>848</v>
      </c>
      <c r="AB231" s="520"/>
      <c r="AC231" s="574">
        <v>41906</v>
      </c>
      <c r="AD231" s="520" t="s">
        <v>1123</v>
      </c>
      <c r="AE231" s="528" t="s">
        <v>1100</v>
      </c>
      <c r="AF231" s="530">
        <f>IF(CampList[[#This Row],[Type of Accomodation]]="camp",MAX(0,CampList[[#This Row],[HH]]-SUMIF(Table_Shelter[Pcode],CampList[[#This Row],[CP_Pcode]],Table_Shelter[HH Covered])),0)</f>
        <v>0</v>
      </c>
      <c r="AG231" s="520"/>
      <c r="AH231" s="520">
        <f>MIN(CampList[[#This Row],[Shelter Gap]],CampList[[#This Row],[Land Status]])</f>
        <v>0</v>
      </c>
      <c r="AI231" s="520" t="str">
        <f ca="1">IFERROR(OFFSET(DistanceToCamp[Nearest Town],MATCH(CampList[[#This Row],[CP_Pcode]],DistanceToCamp[CP_Pcode],0)-1,0,1,1),"")</f>
        <v/>
      </c>
      <c r="AJ231" s="561" t="str">
        <f ca="1">IFERROR(OFFSET(DistanceToCamp[distance],MATCH(CampList[[#This Row],[CP_Pcode]],DistanceToCamp[CP_Pcode],0)-1,0,1,1),"")</f>
        <v/>
      </c>
      <c r="AK231" s="562" t="str">
        <f ca="1">IFERROR(INT(CampList[[#This Row],[Distance]]/5)+1,"")</f>
        <v/>
      </c>
      <c r="AL231" s="722"/>
      <c r="AM231" s="722"/>
      <c r="AN231" s="722"/>
      <c r="AY231" s="682"/>
      <c r="AZ231" s="682"/>
    </row>
    <row r="232" spans="1:52" s="681" customFormat="1" ht="15.6" hidden="1" customHeight="1" x14ac:dyDescent="0.25">
      <c r="A232" s="550" t="s">
        <v>849</v>
      </c>
      <c r="B232" s="522" t="s">
        <v>380</v>
      </c>
      <c r="C232" s="522" t="s">
        <v>527</v>
      </c>
      <c r="D232" s="522" t="s">
        <v>180</v>
      </c>
      <c r="E232" s="522" t="s">
        <v>528</v>
      </c>
      <c r="F232" s="522" t="s">
        <v>529</v>
      </c>
      <c r="G232" s="520" t="s">
        <v>530</v>
      </c>
      <c r="H232" s="551" t="s">
        <v>605</v>
      </c>
      <c r="I232" s="551" t="s">
        <v>606</v>
      </c>
      <c r="J232" s="551" t="s">
        <v>705</v>
      </c>
      <c r="K232" s="552" t="s">
        <v>706</v>
      </c>
      <c r="L232" s="522" t="s">
        <v>134</v>
      </c>
      <c r="M232" s="522" t="s">
        <v>133</v>
      </c>
      <c r="N232" s="563"/>
      <c r="O232" s="563"/>
      <c r="P232" s="564"/>
      <c r="Q232" s="504">
        <v>0</v>
      </c>
      <c r="R232" s="526">
        <v>0</v>
      </c>
      <c r="S232" s="555" t="str">
        <f>IF(CampList[[#This Row],[HH]]&gt;0,CampList[[#This Row],[Total]]/CampList[[#This Row],[HH]],"NA")</f>
        <v>NA</v>
      </c>
      <c r="T232" s="556" t="s">
        <v>513</v>
      </c>
      <c r="U232" s="557" t="s">
        <v>1204</v>
      </c>
      <c r="V232" s="522" t="s">
        <v>556</v>
      </c>
      <c r="W232" s="557"/>
      <c r="X232" s="565"/>
      <c r="Y232" s="566"/>
      <c r="Z232" s="557"/>
      <c r="AA232" s="510"/>
      <c r="AB232" s="522"/>
      <c r="AC232" s="567"/>
      <c r="AD232" s="518" t="s">
        <v>603</v>
      </c>
      <c r="AE232" s="566" t="s">
        <v>1014</v>
      </c>
      <c r="AF232" s="530">
        <f>IF(CampList[[#This Row],[Type of Accomodation]]="camp",MAX(0,CampList[[#This Row],[HH]]-SUMIF(Table_Shelter[Pcode],CampList[[#This Row],[CP_Pcode]],Table_Shelter[HH Covered])),0)</f>
        <v>0</v>
      </c>
      <c r="AG232" s="520"/>
      <c r="AH232" s="520">
        <f>MIN(CampList[[#This Row],[Shelter Gap]],CampList[[#This Row],[Land Status]])</f>
        <v>0</v>
      </c>
      <c r="AI232" s="520" t="str">
        <f ca="1">IFERROR(OFFSET(DistanceToCamp[Nearest Town],MATCH(CampList[[#This Row],[CP_Pcode]],DistanceToCamp[CP_Pcode],0)-1,0,1,1),"")</f>
        <v/>
      </c>
      <c r="AJ232" s="561" t="str">
        <f ca="1">IFERROR(OFFSET(DistanceToCamp[distance],MATCH(CampList[[#This Row],[CP_Pcode]],DistanceToCamp[CP_Pcode],0)-1,0,1,1),"")</f>
        <v/>
      </c>
      <c r="AK232" s="562" t="str">
        <f ca="1">IFERROR(INT(CampList[[#This Row],[Distance]]/5)+1,"")</f>
        <v/>
      </c>
      <c r="AL232" s="722"/>
      <c r="AM232" s="722"/>
      <c r="AN232" s="722"/>
      <c r="AY232" s="682"/>
      <c r="AZ232" s="682"/>
    </row>
    <row r="233" spans="1:52" s="681" customFormat="1" ht="15.6" hidden="1" customHeight="1" x14ac:dyDescent="0.25">
      <c r="A233" s="550" t="s">
        <v>849</v>
      </c>
      <c r="B233" s="522" t="s">
        <v>380</v>
      </c>
      <c r="C233" s="522" t="s">
        <v>527</v>
      </c>
      <c r="D233" s="522" t="s">
        <v>5</v>
      </c>
      <c r="E233" s="522" t="s">
        <v>531</v>
      </c>
      <c r="F233" s="522" t="s">
        <v>5</v>
      </c>
      <c r="G233" s="520" t="s">
        <v>532</v>
      </c>
      <c r="H233" s="551"/>
      <c r="I233" s="551"/>
      <c r="J233" s="551"/>
      <c r="K233" s="552"/>
      <c r="L233" s="522" t="s">
        <v>875</v>
      </c>
      <c r="M233" s="522" t="s">
        <v>861</v>
      </c>
      <c r="N233" s="563"/>
      <c r="O233" s="563"/>
      <c r="P233" s="554"/>
      <c r="Q233" s="504">
        <v>0</v>
      </c>
      <c r="R233" s="526">
        <v>0</v>
      </c>
      <c r="S233" s="555" t="str">
        <f>IF(CampList[[#This Row],[HH]]&gt;0,CampList[[#This Row],[Total]]/CampList[[#This Row],[HH]],"NA")</f>
        <v>NA</v>
      </c>
      <c r="T233" s="556" t="s">
        <v>513</v>
      </c>
      <c r="U233" s="557" t="s">
        <v>1204</v>
      </c>
      <c r="V233" s="522" t="s">
        <v>556</v>
      </c>
      <c r="W233" s="557" t="s">
        <v>808</v>
      </c>
      <c r="X233" s="558"/>
      <c r="Y233" s="559"/>
      <c r="Z233" s="558"/>
      <c r="AA233" s="511" t="s">
        <v>848</v>
      </c>
      <c r="AB233" s="522"/>
      <c r="AC233" s="574">
        <v>41701</v>
      </c>
      <c r="AD233" s="518" t="s">
        <v>1024</v>
      </c>
      <c r="AE233" s="559" t="s">
        <v>1014</v>
      </c>
      <c r="AF233" s="530">
        <f>IF(CampList[[#This Row],[Type of Accomodation]]="camp",MAX(0,CampList[[#This Row],[HH]]-SUMIF(Table_Shelter[Pcode],CampList[[#This Row],[CP_Pcode]],Table_Shelter[HH Covered])),0)</f>
        <v>0</v>
      </c>
      <c r="AG233" s="520"/>
      <c r="AH233" s="520">
        <f>MIN(CampList[[#This Row],[Shelter Gap]],CampList[[#This Row],[Land Status]])</f>
        <v>0</v>
      </c>
      <c r="AI233" s="520" t="str">
        <f ca="1">IFERROR(OFFSET(DistanceToCamp[Nearest Town],MATCH(CampList[[#This Row],[CP_Pcode]],DistanceToCamp[CP_Pcode],0)-1,0,1,1),"")</f>
        <v/>
      </c>
      <c r="AJ233" s="561" t="str">
        <f ca="1">IFERROR(OFFSET(DistanceToCamp[distance],MATCH(CampList[[#This Row],[CP_Pcode]],DistanceToCamp[CP_Pcode],0)-1,0,1,1),"")</f>
        <v/>
      </c>
      <c r="AK233" s="562" t="str">
        <f ca="1">IFERROR(INT(CampList[[#This Row],[Distance]]/5)+1,"")</f>
        <v/>
      </c>
      <c r="AL233" s="722"/>
      <c r="AM233" s="722"/>
      <c r="AN233" s="722"/>
      <c r="AY233" s="682"/>
      <c r="AZ233" s="682"/>
    </row>
    <row r="234" spans="1:52" s="681" customFormat="1" ht="15.6" customHeight="1" x14ac:dyDescent="0.25">
      <c r="A234" s="585" t="s">
        <v>502</v>
      </c>
      <c r="B234" s="522" t="s">
        <v>380</v>
      </c>
      <c r="C234" s="520" t="s">
        <v>527</v>
      </c>
      <c r="D234" s="520" t="s">
        <v>300</v>
      </c>
      <c r="E234" s="520" t="s">
        <v>548</v>
      </c>
      <c r="F234" s="520" t="s">
        <v>300</v>
      </c>
      <c r="G234" s="520" t="s">
        <v>554</v>
      </c>
      <c r="H234" s="577" t="s">
        <v>805</v>
      </c>
      <c r="I234" s="577" t="s">
        <v>806</v>
      </c>
      <c r="J234" s="577" t="s">
        <v>1039</v>
      </c>
      <c r="K234" s="578" t="s">
        <v>1040</v>
      </c>
      <c r="L234" s="522" t="s">
        <v>301</v>
      </c>
      <c r="M234" s="522" t="s">
        <v>299</v>
      </c>
      <c r="N234" s="553">
        <v>97.415289999999999</v>
      </c>
      <c r="O234" s="553">
        <v>27.311699999999998</v>
      </c>
      <c r="P234" s="554">
        <v>476.7</v>
      </c>
      <c r="Q234" s="505">
        <v>14</v>
      </c>
      <c r="R234" s="528">
        <v>64</v>
      </c>
      <c r="S234" s="555">
        <f>IF(CampList[[#This Row],[HH]]&gt;0,CampList[[#This Row],[Total]]/CampList[[#This Row],[HH]],"NA")</f>
        <v>4.5714285714285712</v>
      </c>
      <c r="T234" s="576" t="s">
        <v>513</v>
      </c>
      <c r="U234" s="557" t="s">
        <v>1204</v>
      </c>
      <c r="V234" s="522" t="s">
        <v>12</v>
      </c>
      <c r="W234" s="557" t="s">
        <v>862</v>
      </c>
      <c r="X234" s="558"/>
      <c r="Y234" s="559"/>
      <c r="Z234" s="558"/>
      <c r="AA234" s="513" t="s">
        <v>848</v>
      </c>
      <c r="AB234" s="522"/>
      <c r="AC234" s="560">
        <v>41736</v>
      </c>
      <c r="AD234" s="522" t="s">
        <v>1046</v>
      </c>
      <c r="AE234" s="559" t="s">
        <v>1086</v>
      </c>
      <c r="AF234" s="530">
        <f>IF(CampList[[#This Row],[Type of Accomodation]]="camp",MAX(0,CampList[[#This Row],[HH]]-SUMIF(Table_Shelter[Pcode],CampList[[#This Row],[CP_Pcode]],Table_Shelter[HH Covered])),0)</f>
        <v>0</v>
      </c>
      <c r="AG234" s="520"/>
      <c r="AH234" s="520">
        <f>MIN(CampList[[#This Row],[Shelter Gap]],CampList[[#This Row],[Land Status]])</f>
        <v>0</v>
      </c>
      <c r="AI234" s="520" t="str">
        <f ca="1">IFERROR(OFFSET(DistanceToCamp[Nearest Town],MATCH(CampList[[#This Row],[CP_Pcode]],DistanceToCamp[CP_Pcode],0)-1,0,1,1),"")</f>
        <v>Puta-O Town</v>
      </c>
      <c r="AJ234" s="561">
        <f ca="1">IFERROR(OFFSET(DistanceToCamp[distance],MATCH(CampList[[#This Row],[CP_Pcode]],DistanceToCamp[CP_Pcode],0)-1,0,1,1),"")</f>
        <v>1.3759254000531889</v>
      </c>
      <c r="AK234" s="562">
        <f ca="1">IFERROR(INT(CampList[[#This Row],[Distance]]/5)+1,"")</f>
        <v>1</v>
      </c>
      <c r="AL234" s="722"/>
      <c r="AM234" s="722"/>
      <c r="AN234" s="722"/>
      <c r="AY234" s="682"/>
      <c r="AZ234" s="682"/>
    </row>
    <row r="235" spans="1:52" s="681" customFormat="1" ht="15.6" customHeight="1" x14ac:dyDescent="0.25">
      <c r="A235" s="585" t="s">
        <v>502</v>
      </c>
      <c r="B235" s="522" t="s">
        <v>380</v>
      </c>
      <c r="C235" s="520" t="s">
        <v>527</v>
      </c>
      <c r="D235" s="520" t="s">
        <v>237</v>
      </c>
      <c r="E235" s="520" t="s">
        <v>533</v>
      </c>
      <c r="F235" s="520" t="s">
        <v>310</v>
      </c>
      <c r="G235" s="520" t="s">
        <v>534</v>
      </c>
      <c r="H235" s="577" t="s">
        <v>697</v>
      </c>
      <c r="I235" s="577" t="s">
        <v>698</v>
      </c>
      <c r="J235" s="577" t="s">
        <v>716</v>
      </c>
      <c r="K235" s="578" t="s">
        <v>717</v>
      </c>
      <c r="L235" s="522" t="s">
        <v>316</v>
      </c>
      <c r="M235" s="522" t="s">
        <v>315</v>
      </c>
      <c r="N235" s="553">
        <v>97.444283730158702</v>
      </c>
      <c r="O235" s="553">
        <v>25.351250396825399</v>
      </c>
      <c r="P235" s="554">
        <v>476</v>
      </c>
      <c r="Q235" s="505">
        <v>90</v>
      </c>
      <c r="R235" s="528">
        <v>365</v>
      </c>
      <c r="S235" s="555">
        <f>IF(CampList[[#This Row],[HH]]&gt;0,CampList[[#This Row],[Total]]/CampList[[#This Row],[HH]],"NA")</f>
        <v>4.0555555555555554</v>
      </c>
      <c r="T235" s="576" t="s">
        <v>513</v>
      </c>
      <c r="U235" s="557" t="s">
        <v>1204</v>
      </c>
      <c r="V235" s="522" t="s">
        <v>556</v>
      </c>
      <c r="W235" s="557" t="s">
        <v>808</v>
      </c>
      <c r="X235" s="558">
        <v>40848</v>
      </c>
      <c r="Y235" s="559">
        <v>1</v>
      </c>
      <c r="Z235" s="558" t="s">
        <v>507</v>
      </c>
      <c r="AA235" s="513" t="s">
        <v>848</v>
      </c>
      <c r="AB235" s="522"/>
      <c r="AC235" s="574">
        <v>42387</v>
      </c>
      <c r="AD235" s="519" t="s">
        <v>1407</v>
      </c>
      <c r="AE235" s="559" t="s">
        <v>1100</v>
      </c>
      <c r="AF235" s="530">
        <f>IF(CampList[[#This Row],[Type of Accomodation]]="camp",MAX(0,CampList[[#This Row],[HH]]-SUMIF(Table_Shelter[Pcode],CampList[[#This Row],[CP_Pcode]],Table_Shelter[HH Covered])),0)</f>
        <v>35</v>
      </c>
      <c r="AG235" s="520"/>
      <c r="AH235" s="520">
        <f>MIN(CampList[[#This Row],[Shelter Gap]],CampList[[#This Row],[Land Status]])</f>
        <v>35</v>
      </c>
      <c r="AI235" s="520" t="str">
        <f ca="1">IFERROR(OFFSET(DistanceToCamp[Nearest Town],MATCH(CampList[[#This Row],[CP_Pcode]],DistanceToCamp[CP_Pcode],0)-1,0,1,1),"")</f>
        <v>Waingmaw Town</v>
      </c>
      <c r="AJ235" s="561">
        <f ca="1">IFERROR(OFFSET(DistanceToCamp[distance],MATCH(CampList[[#This Row],[CP_Pcode]],DistanceToCamp[CP_Pcode],0)-1,0,1,1),"")</f>
        <v>0.15089472113650237</v>
      </c>
      <c r="AK235" s="562">
        <f ca="1">IFERROR(INT(CampList[[#This Row],[Distance]]/5)+1,"")</f>
        <v>1</v>
      </c>
      <c r="AL235" s="722"/>
      <c r="AM235" s="722"/>
      <c r="AN235" s="722"/>
      <c r="AY235" s="682"/>
      <c r="AZ235" s="682"/>
    </row>
    <row r="236" spans="1:52" s="822" customFormat="1" ht="15.6" hidden="1" customHeight="1" x14ac:dyDescent="0.25">
      <c r="A236" s="550" t="s">
        <v>849</v>
      </c>
      <c r="B236" s="522" t="s">
        <v>380</v>
      </c>
      <c r="C236" s="520" t="s">
        <v>527</v>
      </c>
      <c r="D236" s="520" t="s">
        <v>237</v>
      </c>
      <c r="E236" s="520" t="s">
        <v>533</v>
      </c>
      <c r="F236" s="520" t="s">
        <v>310</v>
      </c>
      <c r="G236" s="520" t="s">
        <v>534</v>
      </c>
      <c r="H236" s="577" t="s">
        <v>697</v>
      </c>
      <c r="I236" s="577" t="s">
        <v>698</v>
      </c>
      <c r="J236" s="577" t="s">
        <v>718</v>
      </c>
      <c r="K236" s="578" t="s">
        <v>719</v>
      </c>
      <c r="L236" s="569" t="s">
        <v>311</v>
      </c>
      <c r="M236" s="522" t="s">
        <v>309</v>
      </c>
      <c r="N236" s="553">
        <v>97.438259000000002</v>
      </c>
      <c r="O236" s="553">
        <v>25.355841999999999</v>
      </c>
      <c r="P236" s="554">
        <v>0</v>
      </c>
      <c r="Q236" s="505"/>
      <c r="R236" s="528"/>
      <c r="S236" s="555" t="str">
        <f>IF(CampList[[#This Row],[HH]]&gt;0,CampList[[#This Row],[Total]]/CampList[[#This Row],[HH]],"NA")</f>
        <v>NA</v>
      </c>
      <c r="T236" s="576" t="s">
        <v>513</v>
      </c>
      <c r="U236" s="522" t="s">
        <v>1204</v>
      </c>
      <c r="V236" s="522" t="s">
        <v>993</v>
      </c>
      <c r="W236" s="522" t="s">
        <v>808</v>
      </c>
      <c r="X236" s="590">
        <v>40848</v>
      </c>
      <c r="Y236" s="592">
        <v>1</v>
      </c>
      <c r="Z236" s="590" t="s">
        <v>462</v>
      </c>
      <c r="AA236" s="513" t="s">
        <v>848</v>
      </c>
      <c r="AB236" s="522"/>
      <c r="AC236" s="574">
        <v>42432</v>
      </c>
      <c r="AD236" s="519" t="s">
        <v>1484</v>
      </c>
      <c r="AE236" s="592" t="s">
        <v>1100</v>
      </c>
      <c r="AF236" s="530">
        <f>IF(CampList[[#This Row],[Type of Accomodation]]="camp",MAX(0,CampList[[#This Row],[HH]]-SUMIF(Table_Shelter[Pcode],CampList[[#This Row],[CP_Pcode]],Table_Shelter[HH Covered])),0)</f>
        <v>0</v>
      </c>
      <c r="AG236" s="520"/>
      <c r="AH236" s="520">
        <f>MIN(CampList[[#This Row],[Shelter Gap]],CampList[[#This Row],[Land Status]])</f>
        <v>0</v>
      </c>
      <c r="AI236" s="520" t="str">
        <f ca="1">IFERROR(OFFSET(DistanceToCamp[Nearest Town],MATCH(CampList[[#This Row],[CP_Pcode]],DistanceToCamp[CP_Pcode],0)-1,0,1,1),"")</f>
        <v>Waingmaw Town</v>
      </c>
      <c r="AJ236" s="561">
        <f ca="1">IFERROR(OFFSET(DistanceToCamp[distance],MATCH(CampList[[#This Row],[CP_Pcode]],DistanceToCamp[CP_Pcode],0)-1,0,1,1),"")</f>
        <v>0.70725493400809891</v>
      </c>
      <c r="AK236" s="562">
        <f ca="1">IFERROR(INT(CampList[[#This Row],[Distance]]/5)+1,"")</f>
        <v>1</v>
      </c>
      <c r="AL236" s="821"/>
      <c r="AM236" s="821"/>
      <c r="AN236" s="821"/>
      <c r="AY236" s="823"/>
      <c r="AZ236" s="823"/>
    </row>
    <row r="237" spans="1:52" s="681" customFormat="1" ht="15.6" hidden="1" customHeight="1" x14ac:dyDescent="0.25">
      <c r="A237" s="550" t="s">
        <v>849</v>
      </c>
      <c r="B237" s="522" t="s">
        <v>380</v>
      </c>
      <c r="C237" s="522" t="s">
        <v>527</v>
      </c>
      <c r="D237" s="522" t="s">
        <v>180</v>
      </c>
      <c r="E237" s="522" t="s">
        <v>528</v>
      </c>
      <c r="F237" s="522" t="s">
        <v>529</v>
      </c>
      <c r="G237" s="520" t="s">
        <v>530</v>
      </c>
      <c r="H237" s="551" t="s">
        <v>600</v>
      </c>
      <c r="I237" s="551" t="s">
        <v>601</v>
      </c>
      <c r="J237" s="551" t="s">
        <v>600</v>
      </c>
      <c r="K237" s="552">
        <v>166783</v>
      </c>
      <c r="L237" s="522" t="s">
        <v>64</v>
      </c>
      <c r="M237" s="522" t="s">
        <v>63</v>
      </c>
      <c r="N237" s="553">
        <v>96.288250000000005</v>
      </c>
      <c r="O237" s="553">
        <v>25.57921</v>
      </c>
      <c r="P237" s="554">
        <v>0</v>
      </c>
      <c r="Q237" s="504">
        <v>0</v>
      </c>
      <c r="R237" s="526">
        <v>0</v>
      </c>
      <c r="S237" s="555" t="str">
        <f>IF(CampList[[#This Row],[HH]]&gt;0,CampList[[#This Row],[Total]]/CampList[[#This Row],[HH]],"NA")</f>
        <v>NA</v>
      </c>
      <c r="T237" s="556" t="s">
        <v>513</v>
      </c>
      <c r="U237" s="557" t="s">
        <v>1204</v>
      </c>
      <c r="V237" s="522" t="s">
        <v>556</v>
      </c>
      <c r="W237" s="557" t="s">
        <v>862</v>
      </c>
      <c r="X237" s="558">
        <v>41275</v>
      </c>
      <c r="Y237" s="559"/>
      <c r="Z237" s="558" t="s">
        <v>1097</v>
      </c>
      <c r="AA237" s="510" t="s">
        <v>847</v>
      </c>
      <c r="AB237" s="522"/>
      <c r="AC237" s="560">
        <v>41736</v>
      </c>
      <c r="AD237" s="522" t="s">
        <v>1045</v>
      </c>
      <c r="AE237" s="559" t="s">
        <v>1014</v>
      </c>
      <c r="AF237" s="530">
        <f>IF(CampList[[#This Row],[Type of Accomodation]]="camp",MAX(0,CampList[[#This Row],[HH]]-SUMIF(Table_Shelter[Pcode],CampList[[#This Row],[CP_Pcode]],Table_Shelter[HH Covered])),0)</f>
        <v>0</v>
      </c>
      <c r="AG237" s="520"/>
      <c r="AH237" s="520">
        <f>MIN(CampList[[#This Row],[Shelter Gap]],CampList[[#This Row],[Land Status]])</f>
        <v>0</v>
      </c>
      <c r="AI237" s="520" t="str">
        <f ca="1">IFERROR(OFFSET(DistanceToCamp[Nearest Town],MATCH(CampList[[#This Row],[CP_Pcode]],DistanceToCamp[CP_Pcode],0)-1,0,1,1),"")</f>
        <v/>
      </c>
      <c r="AJ237" s="561" t="str">
        <f ca="1">IFERROR(OFFSET(DistanceToCamp[distance],MATCH(CampList[[#This Row],[CP_Pcode]],DistanceToCamp[CP_Pcode],0)-1,0,1,1),"")</f>
        <v/>
      </c>
      <c r="AK237" s="562" t="str">
        <f ca="1">IFERROR(INT(CampList[[#This Row],[Distance]]/5)+1,"")</f>
        <v/>
      </c>
      <c r="AL237" s="722"/>
      <c r="AM237" s="722"/>
      <c r="AN237" s="722"/>
      <c r="AY237" s="682"/>
      <c r="AZ237" s="682"/>
    </row>
    <row r="238" spans="1:52" s="681" customFormat="1" ht="15.6" customHeight="1" x14ac:dyDescent="0.25">
      <c r="A238" s="550" t="s">
        <v>502</v>
      </c>
      <c r="B238" s="522" t="s">
        <v>380</v>
      </c>
      <c r="C238" s="520" t="s">
        <v>527</v>
      </c>
      <c r="D238" s="520" t="s">
        <v>180</v>
      </c>
      <c r="E238" s="520" t="s">
        <v>528</v>
      </c>
      <c r="F238" s="520" t="s">
        <v>529</v>
      </c>
      <c r="G238" s="520" t="s">
        <v>530</v>
      </c>
      <c r="H238" s="577" t="s">
        <v>600</v>
      </c>
      <c r="I238" s="577" t="s">
        <v>601</v>
      </c>
      <c r="J238" s="577" t="s">
        <v>604</v>
      </c>
      <c r="K238" s="578">
        <v>166788</v>
      </c>
      <c r="L238" s="569" t="s">
        <v>126</v>
      </c>
      <c r="M238" s="522" t="s">
        <v>125</v>
      </c>
      <c r="N238" s="553">
        <v>96.286680000000004</v>
      </c>
      <c r="O238" s="553">
        <v>25.577559999999998</v>
      </c>
      <c r="P238" s="554">
        <v>0</v>
      </c>
      <c r="Q238" s="505">
        <v>41</v>
      </c>
      <c r="R238" s="528">
        <v>201</v>
      </c>
      <c r="S238" s="555">
        <f>IF(CampList[[#This Row],[HH]]&gt;0,CampList[[#This Row],[Total]]/CampList[[#This Row],[HH]],"NA")</f>
        <v>4.9024390243902438</v>
      </c>
      <c r="T238" s="576" t="s">
        <v>513</v>
      </c>
      <c r="U238" s="557" t="s">
        <v>1204</v>
      </c>
      <c r="V238" s="522" t="s">
        <v>556</v>
      </c>
      <c r="W238" s="522" t="s">
        <v>808</v>
      </c>
      <c r="X238" s="558">
        <v>41275</v>
      </c>
      <c r="Y238" s="559">
        <v>2</v>
      </c>
      <c r="Z238" s="558" t="s">
        <v>462</v>
      </c>
      <c r="AA238" s="513" t="s">
        <v>848</v>
      </c>
      <c r="AB238" s="522"/>
      <c r="AC238" s="574">
        <v>42397</v>
      </c>
      <c r="AD238" s="519" t="s">
        <v>1445</v>
      </c>
      <c r="AE238" s="559" t="s">
        <v>1100</v>
      </c>
      <c r="AF238" s="530">
        <f>IF(CampList[[#This Row],[Type of Accomodation]]="camp",MAX(0,CampList[[#This Row],[HH]]-SUMIF(Table_Shelter[Pcode],CampList[[#This Row],[CP_Pcode]],Table_Shelter[HH Covered])),0)</f>
        <v>26</v>
      </c>
      <c r="AG238" s="520"/>
      <c r="AH238" s="520">
        <f>MIN(CampList[[#This Row],[Shelter Gap]],CampList[[#This Row],[Land Status]])</f>
        <v>26</v>
      </c>
      <c r="AI238" s="520" t="str">
        <f ca="1">IFERROR(OFFSET(DistanceToCamp[Nearest Town],MATCH(CampList[[#This Row],[CP_Pcode]],DistanceToCamp[CP_Pcode],0)-1,0,1,1),"")</f>
        <v>Hpakant Town</v>
      </c>
      <c r="AJ238" s="561">
        <f ca="1">IFERROR(OFFSET(DistanceToCamp[distance],MATCH(CampList[[#This Row],[CP_Pcode]],DistanceToCamp[CP_Pcode],0)-1,0,1,1),"")</f>
        <v>4.6754712546149264</v>
      </c>
      <c r="AK238" s="562">
        <f ca="1">IFERROR(INT(CampList[[#This Row],[Distance]]/5)+1,"")</f>
        <v>1</v>
      </c>
      <c r="AL238" s="722"/>
      <c r="AM238" s="722"/>
      <c r="AN238" s="722"/>
      <c r="AY238" s="682"/>
      <c r="AZ238" s="682"/>
    </row>
    <row r="239" spans="1:52" s="681" customFormat="1" ht="15.6" customHeight="1" x14ac:dyDescent="0.25">
      <c r="A239" s="684" t="s">
        <v>502</v>
      </c>
      <c r="B239" s="530" t="s">
        <v>380</v>
      </c>
      <c r="C239" s="530" t="s">
        <v>527</v>
      </c>
      <c r="D239" s="530" t="s">
        <v>237</v>
      </c>
      <c r="E239" s="530" t="s">
        <v>533</v>
      </c>
      <c r="F239" s="530" t="s">
        <v>310</v>
      </c>
      <c r="G239" s="530" t="s">
        <v>534</v>
      </c>
      <c r="H239" s="530" t="s">
        <v>729</v>
      </c>
      <c r="I239" s="593" t="s">
        <v>730</v>
      </c>
      <c r="J239" s="530" t="s">
        <v>729</v>
      </c>
      <c r="K239" s="530">
        <v>165772</v>
      </c>
      <c r="L239" s="530" t="s">
        <v>353</v>
      </c>
      <c r="M239" s="530" t="s">
        <v>352</v>
      </c>
      <c r="N239" s="503">
        <v>97.546893999999995</v>
      </c>
      <c r="O239" s="503">
        <v>24.755253</v>
      </c>
      <c r="P239" s="564">
        <v>316</v>
      </c>
      <c r="Q239" s="506">
        <v>1348</v>
      </c>
      <c r="R239" s="527">
        <v>6839</v>
      </c>
      <c r="S239" s="555">
        <f>IF(CampList[[#This Row],[HH]]&gt;0,CampList[[#This Row],[Total]]/CampList[[#This Row],[HH]],"NA")</f>
        <v>5.0734421364985165</v>
      </c>
      <c r="T239" s="594" t="s">
        <v>515</v>
      </c>
      <c r="U239" s="556" t="s">
        <v>1204</v>
      </c>
      <c r="V239" s="491" t="s">
        <v>556</v>
      </c>
      <c r="W239" s="503" t="s">
        <v>808</v>
      </c>
      <c r="X239" s="572">
        <v>40695</v>
      </c>
      <c r="Y239" s="566">
        <v>5</v>
      </c>
      <c r="Z239" s="566" t="s">
        <v>1097</v>
      </c>
      <c r="AA239" s="506" t="s">
        <v>574</v>
      </c>
      <c r="AB239" s="594"/>
      <c r="AC239" s="574">
        <v>42416</v>
      </c>
      <c r="AD239" s="705" t="s">
        <v>1451</v>
      </c>
      <c r="AE239" s="592" t="s">
        <v>1100</v>
      </c>
      <c r="AF239" s="593">
        <f>IF(CampList[[#This Row],[Type of Accomodation]]="camp",MAX(0,CampList[[#This Row],[HH]]-SUMIF(Table_Shelter[Pcode],CampList[[#This Row],[CP_Pcode]],Table_Shelter[HH Covered])),0)</f>
        <v>1188</v>
      </c>
      <c r="AG239" s="530"/>
      <c r="AH239" s="593">
        <f>MIN(CampList[[#This Row],[Shelter Gap]],CampList[[#This Row],[Land Status]])</f>
        <v>1188</v>
      </c>
      <c r="AI239" s="593" t="str">
        <f ca="1">IFERROR(OFFSET(DistanceToCamp[Nearest Town],MATCH(CampList[[#This Row],[CP_Pcode]],DistanceToCamp[CP_Pcode],0)-1,0,1,1),"")</f>
        <v>Laiza town</v>
      </c>
      <c r="AJ239" s="561">
        <f ca="1">IFERROR(OFFSET(DistanceToCamp[distance],MATCH(CampList[[#This Row],[CP_Pcode]],DistanceToCamp[CP_Pcode],0)-1,0,1,1),"")</f>
        <v>1.7420415164460403</v>
      </c>
      <c r="AK239" s="595">
        <f ca="1">IFERROR(INT(CampList[[#This Row],[Distance]]/5)+1,"")</f>
        <v>1</v>
      </c>
      <c r="AL239" s="722"/>
      <c r="AM239" s="722"/>
      <c r="AN239" s="722"/>
      <c r="AY239" s="682"/>
      <c r="AZ239" s="682"/>
    </row>
    <row r="240" spans="1:52" s="681" customFormat="1" ht="15.6" hidden="1" customHeight="1" x14ac:dyDescent="0.25">
      <c r="A240" s="550" t="s">
        <v>849</v>
      </c>
      <c r="B240" s="522" t="s">
        <v>380</v>
      </c>
      <c r="C240" s="522" t="s">
        <v>527</v>
      </c>
      <c r="D240" s="522" t="s">
        <v>237</v>
      </c>
      <c r="E240" s="522" t="s">
        <v>533</v>
      </c>
      <c r="F240" s="522" t="s">
        <v>27</v>
      </c>
      <c r="G240" s="520" t="s">
        <v>536</v>
      </c>
      <c r="H240" s="520"/>
      <c r="I240" s="522"/>
      <c r="J240" s="522"/>
      <c r="K240" s="568"/>
      <c r="L240" s="522" t="s">
        <v>37</v>
      </c>
      <c r="M240" s="522" t="s">
        <v>36</v>
      </c>
      <c r="N240" s="563"/>
      <c r="O240" s="563"/>
      <c r="P240" s="564"/>
      <c r="Q240" s="504">
        <v>0</v>
      </c>
      <c r="R240" s="526">
        <v>0</v>
      </c>
      <c r="S240" s="555" t="str">
        <f>IF(CampList[[#This Row],[HH]]&gt;0,CampList[[#This Row],[Total]]/CampList[[#This Row],[HH]],"NA")</f>
        <v>NA</v>
      </c>
      <c r="T240" s="556" t="s">
        <v>513</v>
      </c>
      <c r="U240" s="557" t="s">
        <v>1204</v>
      </c>
      <c r="V240" s="522" t="s">
        <v>556</v>
      </c>
      <c r="W240" s="557"/>
      <c r="X240" s="565"/>
      <c r="Y240" s="566"/>
      <c r="Z240" s="557"/>
      <c r="AA240" s="507"/>
      <c r="AB240" s="522"/>
      <c r="AC240" s="567"/>
      <c r="AD240" s="518" t="s">
        <v>603</v>
      </c>
      <c r="AE240" s="566" t="s">
        <v>1014</v>
      </c>
      <c r="AF240" s="530">
        <f>IF(CampList[[#This Row],[Type of Accomodation]]="camp",MAX(0,CampList[[#This Row],[HH]]-SUMIF(Table_Shelter[Pcode],CampList[[#This Row],[CP_Pcode]],Table_Shelter[HH Covered])),0)</f>
        <v>0</v>
      </c>
      <c r="AG240" s="520"/>
      <c r="AH240" s="520">
        <f>MIN(CampList[[#This Row],[Shelter Gap]],CampList[[#This Row],[Land Status]])</f>
        <v>0</v>
      </c>
      <c r="AI240" s="520" t="str">
        <f ca="1">IFERROR(OFFSET(DistanceToCamp[Nearest Town],MATCH(CampList[[#This Row],[CP_Pcode]],DistanceToCamp[CP_Pcode],0)-1,0,1,1),"")</f>
        <v/>
      </c>
      <c r="AJ240" s="561" t="str">
        <f ca="1">IFERROR(OFFSET(DistanceToCamp[distance],MATCH(CampList[[#This Row],[CP_Pcode]],DistanceToCamp[CP_Pcode],0)-1,0,1,1),"")</f>
        <v/>
      </c>
      <c r="AK240" s="562" t="str">
        <f ca="1">IFERROR(INT(CampList[[#This Row],[Distance]]/5)+1,"")</f>
        <v/>
      </c>
      <c r="AL240" s="722"/>
      <c r="AM240" s="722"/>
      <c r="AN240" s="722"/>
      <c r="AY240" s="682"/>
      <c r="AZ240" s="682"/>
    </row>
    <row r="241" spans="1:52" s="681" customFormat="1" ht="15.6" hidden="1" customHeight="1" x14ac:dyDescent="0.25">
      <c r="A241" s="550" t="s">
        <v>849</v>
      </c>
      <c r="B241" s="522" t="s">
        <v>380</v>
      </c>
      <c r="C241" s="522" t="s">
        <v>527</v>
      </c>
      <c r="D241" s="522" t="s">
        <v>180</v>
      </c>
      <c r="E241" s="522" t="s">
        <v>528</v>
      </c>
      <c r="F241" s="522" t="s">
        <v>529</v>
      </c>
      <c r="G241" s="520" t="s">
        <v>530</v>
      </c>
      <c r="H241" s="551" t="s">
        <v>605</v>
      </c>
      <c r="I241" s="551" t="s">
        <v>606</v>
      </c>
      <c r="J241" s="551" t="s">
        <v>703</v>
      </c>
      <c r="K241" s="552" t="s">
        <v>704</v>
      </c>
      <c r="L241" s="522" t="s">
        <v>74</v>
      </c>
      <c r="M241" s="522" t="s">
        <v>73</v>
      </c>
      <c r="N241" s="563"/>
      <c r="O241" s="563"/>
      <c r="P241" s="564"/>
      <c r="Q241" s="504">
        <v>0</v>
      </c>
      <c r="R241" s="526">
        <v>0</v>
      </c>
      <c r="S241" s="555" t="str">
        <f>IF(CampList[[#This Row],[HH]]&gt;0,CampList[[#This Row],[Total]]/CampList[[#This Row],[HH]],"NA")</f>
        <v>NA</v>
      </c>
      <c r="T241" s="556" t="s">
        <v>513</v>
      </c>
      <c r="U241" s="557" t="s">
        <v>1204</v>
      </c>
      <c r="V241" s="522" t="s">
        <v>556</v>
      </c>
      <c r="W241" s="557"/>
      <c r="X241" s="565"/>
      <c r="Y241" s="566"/>
      <c r="Z241" s="557"/>
      <c r="AA241" s="510"/>
      <c r="AB241" s="522"/>
      <c r="AC241" s="567"/>
      <c r="AD241" s="518" t="s">
        <v>603</v>
      </c>
      <c r="AE241" s="566" t="s">
        <v>1014</v>
      </c>
      <c r="AF241" s="530">
        <f>IF(CampList[[#This Row],[Type of Accomodation]]="camp",MAX(0,CampList[[#This Row],[HH]]-SUMIF(Table_Shelter[Pcode],CampList[[#This Row],[CP_Pcode]],Table_Shelter[HH Covered])),0)</f>
        <v>0</v>
      </c>
      <c r="AG241" s="520"/>
      <c r="AH241" s="520">
        <f>MIN(CampList[[#This Row],[Shelter Gap]],CampList[[#This Row],[Land Status]])</f>
        <v>0</v>
      </c>
      <c r="AI241" s="520" t="str">
        <f ca="1">IFERROR(OFFSET(DistanceToCamp[Nearest Town],MATCH(CampList[[#This Row],[CP_Pcode]],DistanceToCamp[CP_Pcode],0)-1,0,1,1),"")</f>
        <v/>
      </c>
      <c r="AJ241" s="561" t="str">
        <f ca="1">IFERROR(OFFSET(DistanceToCamp[distance],MATCH(CampList[[#This Row],[CP_Pcode]],DistanceToCamp[CP_Pcode],0)-1,0,1,1),"")</f>
        <v/>
      </c>
      <c r="AK241" s="562" t="str">
        <f ca="1">IFERROR(INT(CampList[[#This Row],[Distance]]/5)+1,"")</f>
        <v/>
      </c>
      <c r="AL241" s="722"/>
      <c r="AM241" s="722"/>
      <c r="AN241" s="722"/>
      <c r="AY241" s="682"/>
      <c r="AZ241" s="682"/>
    </row>
    <row r="242" spans="1:52" s="681" customFormat="1" ht="15.6" customHeight="1" x14ac:dyDescent="0.25">
      <c r="A242" s="550" t="s">
        <v>502</v>
      </c>
      <c r="B242" s="522" t="s">
        <v>380</v>
      </c>
      <c r="C242" s="520" t="s">
        <v>527</v>
      </c>
      <c r="D242" s="520" t="s">
        <v>237</v>
      </c>
      <c r="E242" s="520" t="s">
        <v>533</v>
      </c>
      <c r="F242" s="520" t="s">
        <v>237</v>
      </c>
      <c r="G242" s="520" t="s">
        <v>537</v>
      </c>
      <c r="H242" s="577" t="s">
        <v>673</v>
      </c>
      <c r="I242" s="577" t="s">
        <v>674</v>
      </c>
      <c r="J242" s="577" t="s">
        <v>685</v>
      </c>
      <c r="K242" s="578" t="s">
        <v>686</v>
      </c>
      <c r="L242" s="522" t="s">
        <v>283</v>
      </c>
      <c r="M242" s="522" t="s">
        <v>282</v>
      </c>
      <c r="N242" s="553">
        <v>97.403878500000005</v>
      </c>
      <c r="O242" s="553">
        <v>25.377038166666701</v>
      </c>
      <c r="P242" s="554">
        <v>0</v>
      </c>
      <c r="Q242" s="505">
        <v>7</v>
      </c>
      <c r="R242" s="528">
        <v>37</v>
      </c>
      <c r="S242" s="555">
        <f>IF(CampList[[#This Row],[HH]]&gt;0,CampList[[#This Row],[Total]]/CampList[[#This Row],[HH]],"NA")</f>
        <v>5.2857142857142856</v>
      </c>
      <c r="T242" s="576" t="s">
        <v>513</v>
      </c>
      <c r="U242" s="557" t="s">
        <v>1204</v>
      </c>
      <c r="V242" s="522" t="s">
        <v>556</v>
      </c>
      <c r="W242" s="522" t="s">
        <v>808</v>
      </c>
      <c r="X242" s="558">
        <v>41000</v>
      </c>
      <c r="Y242" s="559">
        <v>1</v>
      </c>
      <c r="Z242" s="558" t="s">
        <v>507</v>
      </c>
      <c r="AA242" s="513" t="s">
        <v>848</v>
      </c>
      <c r="AB242" s="522"/>
      <c r="AC242" s="574">
        <v>42387</v>
      </c>
      <c r="AD242" s="519" t="s">
        <v>1411</v>
      </c>
      <c r="AE242" s="559" t="s">
        <v>1100</v>
      </c>
      <c r="AF242" s="530">
        <f>IF(CampList[[#This Row],[Type of Accomodation]]="camp",MAX(0,CampList[[#This Row],[HH]]-SUMIF(Table_Shelter[Pcode],CampList[[#This Row],[CP_Pcode]],Table_Shelter[HH Covered])),0)</f>
        <v>0</v>
      </c>
      <c r="AG242" s="520"/>
      <c r="AH242" s="520">
        <f>MIN(CampList[[#This Row],[Shelter Gap]],CampList[[#This Row],[Land Status]])</f>
        <v>0</v>
      </c>
      <c r="AI242" s="520" t="str">
        <f ca="1">IFERROR(OFFSET(DistanceToCamp[Nearest Town],MATCH(CampList[[#This Row],[CP_Pcode]],DistanceToCamp[CP_Pcode],0)-1,0,1,1),"")</f>
        <v>Myitkyina Town</v>
      </c>
      <c r="AJ242" s="561">
        <f ca="1">IFERROR(OFFSET(DistanceToCamp[distance],MATCH(CampList[[#This Row],[CP_Pcode]],DistanceToCamp[CP_Pcode],0)-1,0,1,1),"")</f>
        <v>1.7877148351104664</v>
      </c>
      <c r="AK242" s="562">
        <f ca="1">IFERROR(INT(CampList[[#This Row],[Distance]]/5)+1,"")</f>
        <v>1</v>
      </c>
      <c r="AL242" s="722"/>
      <c r="AM242" s="722"/>
      <c r="AN242" s="722"/>
      <c r="AY242" s="682"/>
      <c r="AZ242" s="682"/>
    </row>
    <row r="243" spans="1:52" s="709" customFormat="1" ht="15.6" customHeight="1" x14ac:dyDescent="0.25">
      <c r="A243" s="550" t="s">
        <v>502</v>
      </c>
      <c r="B243" s="522" t="s">
        <v>380</v>
      </c>
      <c r="C243" s="520" t="s">
        <v>527</v>
      </c>
      <c r="D243" s="520" t="s">
        <v>5</v>
      </c>
      <c r="E243" s="520" t="s">
        <v>531</v>
      </c>
      <c r="F243" s="520" t="s">
        <v>5</v>
      </c>
      <c r="G243" s="520" t="s">
        <v>532</v>
      </c>
      <c r="H243" s="551" t="s">
        <v>639</v>
      </c>
      <c r="I243" s="551" t="s">
        <v>640</v>
      </c>
      <c r="J243" s="577"/>
      <c r="K243" s="578"/>
      <c r="L243" s="522" t="s">
        <v>26</v>
      </c>
      <c r="M243" s="522" t="s">
        <v>25</v>
      </c>
      <c r="N243" s="553">
        <v>97.240639999999999</v>
      </c>
      <c r="O243" s="553">
        <v>24.24953</v>
      </c>
      <c r="P243" s="554">
        <v>0</v>
      </c>
      <c r="Q243" s="505">
        <v>15</v>
      </c>
      <c r="R243" s="528">
        <v>64</v>
      </c>
      <c r="S243" s="555">
        <f>IF(CampList[[#This Row],[HH]]&gt;0,CampList[[#This Row],[Total]]/CampList[[#This Row],[HH]],"NA")</f>
        <v>4.2666666666666666</v>
      </c>
      <c r="T243" s="576" t="s">
        <v>513</v>
      </c>
      <c r="U243" s="557" t="s">
        <v>1204</v>
      </c>
      <c r="V243" s="522" t="s">
        <v>556</v>
      </c>
      <c r="W243" s="522" t="s">
        <v>808</v>
      </c>
      <c r="X243" s="558">
        <v>41122</v>
      </c>
      <c r="Y243" s="559">
        <v>1</v>
      </c>
      <c r="Z243" s="558" t="s">
        <v>507</v>
      </c>
      <c r="AA243" s="513" t="s">
        <v>848</v>
      </c>
      <c r="AB243" s="522"/>
      <c r="AC243" s="574">
        <v>42317</v>
      </c>
      <c r="AD243" s="519" t="s">
        <v>1344</v>
      </c>
      <c r="AE243" s="559" t="s">
        <v>1100</v>
      </c>
      <c r="AF243" s="530">
        <f>IF(CampList[[#This Row],[Type of Accomodation]]="camp",MAX(0,CampList[[#This Row],[HH]]-SUMIF(Table_Shelter[Pcode],CampList[[#This Row],[CP_Pcode]],Table_Shelter[HH Covered])),0)</f>
        <v>0</v>
      </c>
      <c r="AG243" s="520">
        <v>0</v>
      </c>
      <c r="AH243" s="520">
        <f>MIN(CampList[[#This Row],[Shelter Gap]],CampList[[#This Row],[Land Status]])</f>
        <v>0</v>
      </c>
      <c r="AI243" s="520" t="str">
        <f ca="1">IFERROR(OFFSET(DistanceToCamp[Nearest Town],MATCH(CampList[[#This Row],[CP_Pcode]],DistanceToCamp[CP_Pcode],0)-1,0,1,1),"")</f>
        <v>Bhamo Town</v>
      </c>
      <c r="AJ243" s="561">
        <f ca="1">IFERROR(OFFSET(DistanceToCamp[distance],MATCH(CampList[[#This Row],[CP_Pcode]],DistanceToCamp[CP_Pcode],0)-1,0,1,1),"")</f>
        <v>0.87147615879849294</v>
      </c>
      <c r="AK243" s="562">
        <f ca="1">IFERROR(INT(CampList[[#This Row],[Distance]]/5)+1,"")</f>
        <v>1</v>
      </c>
      <c r="AL243" s="723"/>
      <c r="AM243" s="723"/>
      <c r="AN243" s="723"/>
      <c r="AY243" s="710"/>
      <c r="AZ243" s="710"/>
    </row>
    <row r="244" spans="1:52" s="709" customFormat="1" ht="15.6" customHeight="1" x14ac:dyDescent="0.25">
      <c r="A244" s="550" t="s">
        <v>502</v>
      </c>
      <c r="B244" s="522" t="s">
        <v>380</v>
      </c>
      <c r="C244" s="520" t="s">
        <v>527</v>
      </c>
      <c r="D244" s="520" t="s">
        <v>180</v>
      </c>
      <c r="E244" s="520" t="s">
        <v>528</v>
      </c>
      <c r="F244" s="520" t="s">
        <v>529</v>
      </c>
      <c r="G244" s="520" t="s">
        <v>530</v>
      </c>
      <c r="H244" s="551" t="s">
        <v>611</v>
      </c>
      <c r="I244" s="551" t="s">
        <v>612</v>
      </c>
      <c r="J244" s="577"/>
      <c r="K244" s="578"/>
      <c r="L244" s="569" t="s">
        <v>140</v>
      </c>
      <c r="M244" s="522" t="s">
        <v>139</v>
      </c>
      <c r="N244" s="553">
        <v>96.306910999999999</v>
      </c>
      <c r="O244" s="553">
        <v>25.599250000000001</v>
      </c>
      <c r="P244" s="554">
        <v>0</v>
      </c>
      <c r="Q244" s="505">
        <v>20</v>
      </c>
      <c r="R244" s="528">
        <v>80</v>
      </c>
      <c r="S244" s="555">
        <f>IF(CampList[[#This Row],[HH]]&gt;0,CampList[[#This Row],[Total]]/CampList[[#This Row],[HH]],"NA")</f>
        <v>4</v>
      </c>
      <c r="T244" s="576" t="s">
        <v>513</v>
      </c>
      <c r="U244" s="557" t="s">
        <v>1204</v>
      </c>
      <c r="V244" s="522" t="s">
        <v>556</v>
      </c>
      <c r="W244" s="522" t="s">
        <v>808</v>
      </c>
      <c r="X244" s="558">
        <v>41122</v>
      </c>
      <c r="Y244" s="559">
        <v>1</v>
      </c>
      <c r="Z244" s="558" t="s">
        <v>462</v>
      </c>
      <c r="AA244" s="513" t="s">
        <v>848</v>
      </c>
      <c r="AB244" s="522"/>
      <c r="AC244" s="574">
        <v>42397</v>
      </c>
      <c r="AD244" s="519" t="s">
        <v>1446</v>
      </c>
      <c r="AE244" s="559" t="s">
        <v>1100</v>
      </c>
      <c r="AF244" s="530">
        <f>IF(CampList[[#This Row],[Type of Accomodation]]="camp",MAX(0,CampList[[#This Row],[HH]]-SUMIF(Table_Shelter[Pcode],CampList[[#This Row],[CP_Pcode]],Table_Shelter[HH Covered])),0)</f>
        <v>10</v>
      </c>
      <c r="AG244" s="520"/>
      <c r="AH244" s="520">
        <f>MIN(CampList[[#This Row],[Shelter Gap]],CampList[[#This Row],[Land Status]])</f>
        <v>10</v>
      </c>
      <c r="AI244" s="520" t="str">
        <f ca="1">IFERROR(OFFSET(DistanceToCamp[Nearest Town],MATCH(CampList[[#This Row],[CP_Pcode]],DistanceToCamp[CP_Pcode],0)-1,0,1,1),"")</f>
        <v>Hpakant Town</v>
      </c>
      <c r="AJ244" s="561">
        <f ca="1">IFERROR(OFFSET(DistanceToCamp[distance],MATCH(CampList[[#This Row],[CP_Pcode]],DistanceToCamp[CP_Pcode],0)-1,0,1,1),"")</f>
        <v>1.5942018764815451</v>
      </c>
      <c r="AK244" s="562">
        <f ca="1">IFERROR(INT(CampList[[#This Row],[Distance]]/5)+1,"")</f>
        <v>1</v>
      </c>
      <c r="AL244" s="723"/>
      <c r="AM244" s="723"/>
      <c r="AN244" s="723"/>
      <c r="AY244" s="710"/>
      <c r="AZ244" s="710"/>
    </row>
    <row r="245" spans="1:52" s="681" customFormat="1" ht="15.6" customHeight="1" x14ac:dyDescent="0.25">
      <c r="A245" s="734" t="s">
        <v>502</v>
      </c>
      <c r="B245" s="600" t="s">
        <v>380</v>
      </c>
      <c r="C245" s="597" t="s">
        <v>527</v>
      </c>
      <c r="D245" s="597" t="s">
        <v>237</v>
      </c>
      <c r="E245" s="597" t="s">
        <v>533</v>
      </c>
      <c r="F245" s="597" t="s">
        <v>310</v>
      </c>
      <c r="G245" s="597" t="s">
        <v>534</v>
      </c>
      <c r="H245" s="679" t="s">
        <v>768</v>
      </c>
      <c r="I245" s="679" t="s">
        <v>769</v>
      </c>
      <c r="J245" s="679" t="s">
        <v>770</v>
      </c>
      <c r="K245" s="680"/>
      <c r="L245" s="812" t="s">
        <v>1259</v>
      </c>
      <c r="M245" s="600" t="s">
        <v>356</v>
      </c>
      <c r="N245" s="744">
        <v>97.756789999999995</v>
      </c>
      <c r="O245" s="744">
        <v>25.106670000000001</v>
      </c>
      <c r="P245" s="745">
        <v>756</v>
      </c>
      <c r="Q245" s="746">
        <v>620</v>
      </c>
      <c r="R245" s="747">
        <v>2782</v>
      </c>
      <c r="S245" s="598">
        <f>IF(CampList[[#This Row],[HH]]&gt;0,CampList[[#This Row],[Total]]/CampList[[#This Row],[HH]],"NA")</f>
        <v>4.4870967741935486</v>
      </c>
      <c r="T245" s="748" t="s">
        <v>515</v>
      </c>
      <c r="U245" s="599" t="s">
        <v>1204</v>
      </c>
      <c r="V245" s="600" t="s">
        <v>556</v>
      </c>
      <c r="W245" s="600" t="s">
        <v>862</v>
      </c>
      <c r="X245" s="749">
        <v>40848</v>
      </c>
      <c r="Y245" s="750">
        <v>3</v>
      </c>
      <c r="Z245" s="749" t="s">
        <v>462</v>
      </c>
      <c r="AA245" s="751" t="s">
        <v>848</v>
      </c>
      <c r="AB245" s="600"/>
      <c r="AC245" s="574">
        <v>42397</v>
      </c>
      <c r="AD245" s="752" t="s">
        <v>1415</v>
      </c>
      <c r="AE245" s="750" t="s">
        <v>1085</v>
      </c>
      <c r="AF245" s="601">
        <f>IF(CampList[[#This Row],[Type of Accomodation]]="camp",MAX(0,CampList[[#This Row],[HH]]-SUMIF(Table_Shelter[Pcode],CampList[[#This Row],[CP_Pcode]],Table_Shelter[HH Covered])),0)</f>
        <v>0</v>
      </c>
      <c r="AG245" s="597"/>
      <c r="AH245" s="597">
        <f>MIN(CampList[[#This Row],[Shelter Gap]],CampList[[#This Row],[Land Status]])</f>
        <v>0</v>
      </c>
      <c r="AI245" s="597" t="str">
        <f ca="1">IFERROR(OFFSET(DistanceToCamp[Nearest Town],MATCH(CampList[[#This Row],[CP_Pcode]],DistanceToCamp[CP_Pcode],0)-1,0,1,1),"")</f>
        <v>Sadung Town</v>
      </c>
      <c r="AJ245" s="602">
        <f ca="1">IFERROR(OFFSET(DistanceToCamp[distance],MATCH(CampList[[#This Row],[CP_Pcode]],DistanceToCamp[CP_Pcode],0)-1,0,1,1),"")</f>
        <v>32.827754639406997</v>
      </c>
      <c r="AK245" s="603">
        <f ca="1">IFERROR(INT(CampList[[#This Row],[Distance]]/5)+1,"")</f>
        <v>7</v>
      </c>
      <c r="AL245" s="722"/>
      <c r="AM245" s="722"/>
      <c r="AN245" s="722"/>
      <c r="AY245" s="682"/>
      <c r="AZ245" s="682"/>
    </row>
    <row r="246" spans="1:52" ht="15.6" hidden="1" customHeight="1" x14ac:dyDescent="0.25">
      <c r="A246" s="550" t="s">
        <v>849</v>
      </c>
      <c r="B246" s="522" t="s">
        <v>380</v>
      </c>
      <c r="C246" s="522" t="s">
        <v>527</v>
      </c>
      <c r="D246" s="522" t="s">
        <v>180</v>
      </c>
      <c r="E246" s="600" t="s">
        <v>528</v>
      </c>
      <c r="F246" s="736" t="s">
        <v>529</v>
      </c>
      <c r="G246" s="737" t="s">
        <v>530</v>
      </c>
      <c r="H246" s="739" t="s">
        <v>605</v>
      </c>
      <c r="I246" s="739" t="s">
        <v>606</v>
      </c>
      <c r="J246" s="551" t="s">
        <v>609</v>
      </c>
      <c r="K246" s="552" t="s">
        <v>610</v>
      </c>
      <c r="L246" s="522" t="s">
        <v>516</v>
      </c>
      <c r="M246" s="522" t="s">
        <v>517</v>
      </c>
      <c r="N246" s="743">
        <v>96.315601999999998</v>
      </c>
      <c r="O246" s="743">
        <v>25.615006000000001</v>
      </c>
      <c r="P246" s="564"/>
      <c r="Q246" s="504">
        <v>0</v>
      </c>
      <c r="R246" s="526">
        <v>0</v>
      </c>
      <c r="S246" s="555" t="str">
        <f>IF(CampList[[#This Row],[HH]]&gt;0,CampList[[#This Row],[Total]]/CampList[[#This Row],[HH]],"NA")</f>
        <v>NA</v>
      </c>
      <c r="T246" s="556" t="s">
        <v>513</v>
      </c>
      <c r="U246" s="557" t="s">
        <v>1204</v>
      </c>
      <c r="V246" s="522" t="s">
        <v>556</v>
      </c>
      <c r="W246" s="557"/>
      <c r="X246" s="565"/>
      <c r="Y246" s="566"/>
      <c r="Z246" s="557"/>
      <c r="AA246" s="512"/>
      <c r="AB246" s="522"/>
      <c r="AC246" s="567"/>
      <c r="AD246" s="518" t="s">
        <v>603</v>
      </c>
      <c r="AE246" s="566" t="s">
        <v>1014</v>
      </c>
      <c r="AF246" s="530">
        <f>IF(CampList[[#This Row],[Type of Accomodation]]="camp",MAX(0,CampList[[#This Row],[HH]]-SUMIF(Table_Shelter[Pcode],CampList[[#This Row],[CP_Pcode]],Table_Shelter[HH Covered])),0)</f>
        <v>0</v>
      </c>
      <c r="AG246" s="520"/>
      <c r="AH246" s="520">
        <f>MIN(CampList[[#This Row],[Shelter Gap]],CampList[[#This Row],[Land Status]])</f>
        <v>0</v>
      </c>
      <c r="AI246" s="520" t="str">
        <f ca="1">IFERROR(OFFSET(DistanceToCamp[Nearest Town],MATCH(CampList[[#This Row],[CP_Pcode]],DistanceToCamp[CP_Pcode],0)-1,0,1,1),"")</f>
        <v/>
      </c>
      <c r="AJ246" s="561" t="str">
        <f ca="1">IFERROR(OFFSET(DistanceToCamp[distance],MATCH(CampList[[#This Row],[CP_Pcode]],DistanceToCamp[CP_Pcode],0)-1,0,1,1),"")</f>
        <v/>
      </c>
      <c r="AK246" s="562" t="str">
        <f ca="1">IFERROR(INT(CampList[[#This Row],[Distance]]/5)+1,"")</f>
        <v/>
      </c>
    </row>
    <row r="247" spans="1:52" ht="15.6" customHeight="1" x14ac:dyDescent="0.25">
      <c r="A247" s="585" t="s">
        <v>502</v>
      </c>
      <c r="B247" s="522" t="s">
        <v>555</v>
      </c>
      <c r="C247" s="520" t="s">
        <v>538</v>
      </c>
      <c r="D247" s="520" t="s">
        <v>230</v>
      </c>
      <c r="E247" s="520" t="s">
        <v>539</v>
      </c>
      <c r="F247" s="520" t="s">
        <v>146</v>
      </c>
      <c r="G247" s="520" t="s">
        <v>546</v>
      </c>
      <c r="H247" s="738" t="s">
        <v>771</v>
      </c>
      <c r="I247" s="577" t="s">
        <v>772</v>
      </c>
      <c r="J247" s="577" t="s">
        <v>773</v>
      </c>
      <c r="K247" s="578">
        <v>208557</v>
      </c>
      <c r="L247" s="740" t="s">
        <v>373</v>
      </c>
      <c r="M247" s="522" t="s">
        <v>387</v>
      </c>
      <c r="N247" s="729">
        <v>97.837040000000002</v>
      </c>
      <c r="O247" s="729">
        <v>23.38503</v>
      </c>
      <c r="P247" s="554">
        <v>0</v>
      </c>
      <c r="Q247" s="505">
        <v>189</v>
      </c>
      <c r="R247" s="528">
        <v>935</v>
      </c>
      <c r="S247" s="555">
        <f>IF(CampList[[#This Row],[HH]]&gt;0,CampList[[#This Row],[Total]]/CampList[[#This Row],[HH]],"NA")</f>
        <v>4.947089947089947</v>
      </c>
      <c r="T247" s="576" t="s">
        <v>513</v>
      </c>
      <c r="U247" s="557" t="s">
        <v>1204</v>
      </c>
      <c r="V247" s="522" t="s">
        <v>556</v>
      </c>
      <c r="W247" s="522" t="s">
        <v>862</v>
      </c>
      <c r="X247" s="558">
        <v>41244</v>
      </c>
      <c r="Y247" s="559"/>
      <c r="Z247" s="558" t="s">
        <v>462</v>
      </c>
      <c r="AA247" s="513" t="s">
        <v>848</v>
      </c>
      <c r="AB247" s="522"/>
      <c r="AC247" s="574">
        <v>42397</v>
      </c>
      <c r="AD247" s="519" t="s">
        <v>1369</v>
      </c>
      <c r="AE247" s="559" t="s">
        <v>1086</v>
      </c>
      <c r="AF247" s="530">
        <f>IF(CampList[[#This Row],[Type of Accomodation]]="camp",MAX(0,CampList[[#This Row],[HH]]-SUMIF(Table_Shelter[Pcode],CampList[[#This Row],[CP_Pcode]],Table_Shelter[HH Covered])),0)</f>
        <v>88</v>
      </c>
      <c r="AG247" s="520"/>
      <c r="AH247" s="520">
        <f>MIN(CampList[[#This Row],[Shelter Gap]],CampList[[#This Row],[Land Status]])</f>
        <v>88</v>
      </c>
      <c r="AI247" s="520" t="str">
        <f ca="1">IFERROR(OFFSET(DistanceToCamp[Nearest Town],MATCH(CampList[[#This Row],[CP_Pcode]],DistanceToCamp[CP_Pcode],0)-1,0,1,1),"")</f>
        <v>Kutkai Town</v>
      </c>
      <c r="AJ247" s="561">
        <f ca="1">IFERROR(OFFSET(DistanceToCamp[distance],MATCH(CampList[[#This Row],[CP_Pcode]],DistanceToCamp[CP_Pcode],0)-1,0,1,1),"")</f>
        <v>13.632081902964599</v>
      </c>
      <c r="AK247" s="562">
        <f ca="1">IFERROR(INT(CampList[[#This Row],[Distance]]/5)+1,"")</f>
        <v>3</v>
      </c>
    </row>
    <row r="248" spans="1:52" ht="15.6" customHeight="1" x14ac:dyDescent="0.25">
      <c r="M248" s="492"/>
    </row>
    <row r="249" spans="1:52" ht="15.6" customHeight="1" x14ac:dyDescent="0.25">
      <c r="M249" s="492"/>
    </row>
    <row r="250" spans="1:52" ht="15.6" customHeight="1" x14ac:dyDescent="0.25">
      <c r="M250" s="492"/>
    </row>
    <row r="251" spans="1:52" ht="15.6" customHeight="1" x14ac:dyDescent="0.25">
      <c r="M251" s="492"/>
    </row>
    <row r="252" spans="1:52" ht="15.6" customHeight="1" x14ac:dyDescent="0.25">
      <c r="L252" s="808"/>
      <c r="M252" s="492"/>
    </row>
    <row r="253" spans="1:52" ht="15.6" customHeight="1" x14ac:dyDescent="0.25">
      <c r="M253" s="492"/>
    </row>
    <row r="254" spans="1:52" ht="15.6" customHeight="1" x14ac:dyDescent="0.25">
      <c r="M254" s="492"/>
    </row>
    <row r="255" spans="1:52" ht="15.6" customHeight="1" x14ac:dyDescent="0.25">
      <c r="M255" s="492"/>
    </row>
    <row r="256" spans="1:52" ht="15.6" customHeight="1" x14ac:dyDescent="0.25">
      <c r="M256" s="492"/>
    </row>
    <row r="257" spans="13:13" ht="15.6" customHeight="1" x14ac:dyDescent="0.25">
      <c r="M257" s="492"/>
    </row>
    <row r="258" spans="13:13" ht="15.6" customHeight="1" x14ac:dyDescent="0.25">
      <c r="M258" s="492"/>
    </row>
    <row r="259" spans="13:13" ht="15.6" customHeight="1" x14ac:dyDescent="0.25">
      <c r="M259" s="492"/>
    </row>
    <row r="260" spans="13:13" ht="15.6" customHeight="1" x14ac:dyDescent="0.25">
      <c r="M260" s="492"/>
    </row>
    <row r="261" spans="13:13" ht="15.6" customHeight="1" x14ac:dyDescent="0.25">
      <c r="M261" s="492"/>
    </row>
    <row r="262" spans="13:13" ht="15.6" customHeight="1" x14ac:dyDescent="0.25">
      <c r="M262" s="492"/>
    </row>
  </sheetData>
  <sortState ref="A73:AK238">
    <sortCondition ref="G1:G1048576"/>
    <sortCondition ref="L1:L1048576"/>
  </sortState>
  <mergeCells count="1">
    <mergeCell ref="A3:C3"/>
  </mergeCells>
  <conditionalFormatting sqref="A117:A155 A5:A110">
    <cfRule type="cellIs" dxfId="1098" priority="77" operator="equal">
      <formula>"closed"</formula>
    </cfRule>
  </conditionalFormatting>
  <conditionalFormatting sqref="A111">
    <cfRule type="cellIs" dxfId="1097" priority="73" operator="equal">
      <formula>"closed"</formula>
    </cfRule>
  </conditionalFormatting>
  <conditionalFormatting sqref="A112">
    <cfRule type="cellIs" dxfId="1096" priority="72" operator="equal">
      <formula>"closed"</formula>
    </cfRule>
  </conditionalFormatting>
  <conditionalFormatting sqref="A113:A115">
    <cfRule type="cellIs" dxfId="1095" priority="71" operator="equal">
      <formula>"closed"</formula>
    </cfRule>
  </conditionalFormatting>
  <conditionalFormatting sqref="A116">
    <cfRule type="cellIs" dxfId="1094" priority="70" operator="equal">
      <formula>"closed"</formula>
    </cfRule>
  </conditionalFormatting>
  <conditionalFormatting sqref="AB1:AB3 AA4:AA155 AB214:AB1048576">
    <cfRule type="cellIs" dxfId="1093" priority="66" operator="equal">
      <formula>"RRD"</formula>
    </cfRule>
    <cfRule type="cellIs" dxfId="1092" priority="67" operator="equal">
      <formula>"IP"</formula>
    </cfRule>
    <cfRule type="cellIs" dxfId="1091" priority="68" operator="equal">
      <formula>"IRRC"</formula>
    </cfRule>
  </conditionalFormatting>
  <conditionalFormatting sqref="A156:A205">
    <cfRule type="cellIs" dxfId="1090" priority="46" operator="equal">
      <formula>"closed"</formula>
    </cfRule>
  </conditionalFormatting>
  <conditionalFormatting sqref="AA156:AA205">
    <cfRule type="cellIs" dxfId="1089" priority="43" operator="equal">
      <formula>"RRD"</formula>
    </cfRule>
    <cfRule type="cellIs" dxfId="1088" priority="44" operator="equal">
      <formula>"IP"</formula>
    </cfRule>
    <cfRule type="cellIs" dxfId="1087" priority="45" operator="equal">
      <formula>"IRRC"</formula>
    </cfRule>
  </conditionalFormatting>
  <conditionalFormatting sqref="A206">
    <cfRule type="cellIs" dxfId="1086" priority="42" operator="equal">
      <formula>"closed"</formula>
    </cfRule>
  </conditionalFormatting>
  <conditionalFormatting sqref="AA206">
    <cfRule type="cellIs" dxfId="1085" priority="39" operator="equal">
      <formula>"RRD"</formula>
    </cfRule>
    <cfRule type="cellIs" dxfId="1084" priority="40" operator="equal">
      <formula>"IP"</formula>
    </cfRule>
    <cfRule type="cellIs" dxfId="1083" priority="41" operator="equal">
      <formula>"IRRC"</formula>
    </cfRule>
  </conditionalFormatting>
  <conditionalFormatting sqref="AG5:AG206">
    <cfRule type="notContainsBlanks" dxfId="1082" priority="78">
      <formula>LEN(TRIM(AG5))&gt;0</formula>
    </cfRule>
  </conditionalFormatting>
  <conditionalFormatting sqref="AA208 AA210 AA212">
    <cfRule type="cellIs" dxfId="1081" priority="2" operator="equal">
      <formula>"RRD"</formula>
    </cfRule>
    <cfRule type="cellIs" dxfId="1080" priority="3" operator="equal">
      <formula>"IP"</formula>
    </cfRule>
    <cfRule type="cellIs" dxfId="1079" priority="4" operator="equal">
      <formula>"IRRC"</formula>
    </cfRule>
  </conditionalFormatting>
  <conditionalFormatting sqref="A207 A209 A211 A213">
    <cfRule type="cellIs" dxfId="1078" priority="9" operator="equal">
      <formula>"closed"</formula>
    </cfRule>
  </conditionalFormatting>
  <conditionalFormatting sqref="AA207 AA209 AA211 AA213">
    <cfRule type="cellIs" dxfId="1077" priority="6" operator="equal">
      <formula>"RRD"</formula>
    </cfRule>
    <cfRule type="cellIs" dxfId="1076" priority="7" operator="equal">
      <formula>"IP"</formula>
    </cfRule>
    <cfRule type="cellIs" dxfId="1075" priority="8" operator="equal">
      <formula>"IRRC"</formula>
    </cfRule>
  </conditionalFormatting>
  <conditionalFormatting sqref="A208 A210 A212">
    <cfRule type="cellIs" dxfId="1074" priority="5" operator="equal">
      <formula>"closed"</formula>
    </cfRule>
  </conditionalFormatting>
  <conditionalFormatting sqref="AG207:AG213">
    <cfRule type="notContainsBlanks" dxfId="1073" priority="10">
      <formula>LEN(TRIM(AG207))&gt;0</formula>
    </cfRule>
  </conditionalFormatting>
  <conditionalFormatting sqref="A236">
    <cfRule type="cellIs" dxfId="1072" priority="1" operator="equal">
      <formula>"closed"</formula>
    </cfRule>
  </conditionalFormatting>
  <pageMargins left="0.7" right="0.7" top="0.75" bottom="0.75" header="0.3" footer="0.3"/>
  <pageSetup scale="82"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C160"/>
  <sheetViews>
    <sheetView workbookViewId="0">
      <selection activeCell="A161" sqref="A161"/>
    </sheetView>
  </sheetViews>
  <sheetFormatPr defaultRowHeight="15" x14ac:dyDescent="0.25"/>
  <cols>
    <col min="1" max="1" width="20" style="129" customWidth="1"/>
    <col min="2" max="2" width="23" style="129" customWidth="1"/>
    <col min="3" max="3" width="11.7109375" style="195" customWidth="1"/>
  </cols>
  <sheetData>
    <row r="1" spans="1:3" s="197" customFormat="1" ht="14.45" x14ac:dyDescent="0.25">
      <c r="A1" s="196" t="s">
        <v>932</v>
      </c>
      <c r="B1" s="198" t="s">
        <v>1205</v>
      </c>
      <c r="C1" s="199" t="s">
        <v>1206</v>
      </c>
    </row>
    <row r="2" spans="1:3" ht="14.45" x14ac:dyDescent="0.25">
      <c r="A2" s="136" t="s">
        <v>236</v>
      </c>
      <c r="B2" s="185" t="s">
        <v>673</v>
      </c>
      <c r="C2" s="192">
        <v>3.1341427522962952</v>
      </c>
    </row>
    <row r="3" spans="1:3" ht="14.45" x14ac:dyDescent="0.25">
      <c r="A3" s="136" t="s">
        <v>268</v>
      </c>
      <c r="B3" s="185" t="s">
        <v>673</v>
      </c>
      <c r="C3" s="192">
        <v>3.8820329084732181</v>
      </c>
    </row>
    <row r="4" spans="1:3" ht="14.45" x14ac:dyDescent="0.25">
      <c r="A4" s="136" t="s">
        <v>250</v>
      </c>
      <c r="B4" s="185" t="s">
        <v>673</v>
      </c>
      <c r="C4" s="192">
        <v>2.3045478259125423</v>
      </c>
    </row>
    <row r="5" spans="1:3" ht="14.45" x14ac:dyDescent="0.25">
      <c r="A5" s="136" t="s">
        <v>248</v>
      </c>
      <c r="B5" s="185" t="s">
        <v>673</v>
      </c>
      <c r="C5" s="192">
        <v>3.3637010801853577</v>
      </c>
    </row>
    <row r="6" spans="1:3" ht="14.45" x14ac:dyDescent="0.25">
      <c r="A6" s="136" t="s">
        <v>274</v>
      </c>
      <c r="B6" s="185" t="s">
        <v>673</v>
      </c>
      <c r="C6" s="192">
        <v>2.0123527499589278</v>
      </c>
    </row>
    <row r="7" spans="1:3" ht="14.45" x14ac:dyDescent="0.25">
      <c r="A7" s="136" t="s">
        <v>276</v>
      </c>
      <c r="B7" s="185" t="s">
        <v>673</v>
      </c>
      <c r="C7" s="192">
        <v>2.9133254097712102</v>
      </c>
    </row>
    <row r="8" spans="1:3" ht="14.45" x14ac:dyDescent="0.25">
      <c r="A8" s="136" t="s">
        <v>278</v>
      </c>
      <c r="B8" s="185" t="s">
        <v>673</v>
      </c>
      <c r="C8" s="192">
        <v>4.9021696969220816</v>
      </c>
    </row>
    <row r="9" spans="1:3" ht="14.45" x14ac:dyDescent="0.25">
      <c r="A9" s="186" t="s">
        <v>260</v>
      </c>
      <c r="B9" s="185" t="s">
        <v>673</v>
      </c>
      <c r="C9" s="192">
        <v>5.4145379230647226</v>
      </c>
    </row>
    <row r="10" spans="1:3" x14ac:dyDescent="0.25">
      <c r="A10" s="186" t="s">
        <v>280</v>
      </c>
      <c r="B10" s="185" t="s">
        <v>673</v>
      </c>
      <c r="C10" s="192">
        <v>6.6198004689728469</v>
      </c>
    </row>
    <row r="11" spans="1:3" x14ac:dyDescent="0.25">
      <c r="A11" s="136" t="s">
        <v>244</v>
      </c>
      <c r="B11" s="185" t="s">
        <v>673</v>
      </c>
      <c r="C11" s="192">
        <v>1.1985969617964649</v>
      </c>
    </row>
    <row r="12" spans="1:3" x14ac:dyDescent="0.25">
      <c r="A12" s="136" t="s">
        <v>246</v>
      </c>
      <c r="B12" s="185" t="s">
        <v>673</v>
      </c>
      <c r="C12" s="192">
        <v>1.3510454549069482</v>
      </c>
    </row>
    <row r="13" spans="1:3" x14ac:dyDescent="0.25">
      <c r="A13" s="136" t="s">
        <v>242</v>
      </c>
      <c r="B13" s="185" t="s">
        <v>673</v>
      </c>
      <c r="C13" s="192">
        <v>1.5295244799681529</v>
      </c>
    </row>
    <row r="14" spans="1:3" x14ac:dyDescent="0.25">
      <c r="A14" s="136" t="s">
        <v>256</v>
      </c>
      <c r="B14" s="185" t="s">
        <v>673</v>
      </c>
      <c r="C14" s="192">
        <v>2.8164250706222882</v>
      </c>
    </row>
    <row r="15" spans="1:3" x14ac:dyDescent="0.25">
      <c r="A15" s="136" t="s">
        <v>284</v>
      </c>
      <c r="B15" s="185" t="s">
        <v>673</v>
      </c>
      <c r="C15" s="192">
        <v>4.262018365878137</v>
      </c>
    </row>
    <row r="16" spans="1:3" x14ac:dyDescent="0.25">
      <c r="A16" s="136" t="s">
        <v>239</v>
      </c>
      <c r="B16" s="185" t="s">
        <v>673</v>
      </c>
      <c r="C16" s="192">
        <v>3.3602711423118103</v>
      </c>
    </row>
    <row r="17" spans="1:3" x14ac:dyDescent="0.25">
      <c r="A17" s="136" t="s">
        <v>258</v>
      </c>
      <c r="B17" s="185" t="s">
        <v>697</v>
      </c>
      <c r="C17" s="192">
        <v>3.3362307375127798</v>
      </c>
    </row>
    <row r="18" spans="1:3" x14ac:dyDescent="0.25">
      <c r="A18" s="136" t="s">
        <v>266</v>
      </c>
      <c r="B18" s="185" t="s">
        <v>673</v>
      </c>
      <c r="C18" s="192">
        <v>1.3751794210741128</v>
      </c>
    </row>
    <row r="19" spans="1:3" x14ac:dyDescent="0.25">
      <c r="A19" s="136" t="s">
        <v>252</v>
      </c>
      <c r="B19" s="185" t="s">
        <v>673</v>
      </c>
      <c r="C19" s="192">
        <v>2.4647367211404561</v>
      </c>
    </row>
    <row r="20" spans="1:3" x14ac:dyDescent="0.25">
      <c r="A20" s="136" t="s">
        <v>254</v>
      </c>
      <c r="B20" s="185" t="s">
        <v>673</v>
      </c>
      <c r="C20" s="192">
        <v>1.8563710010113432</v>
      </c>
    </row>
    <row r="21" spans="1:3" x14ac:dyDescent="0.25">
      <c r="A21" s="136" t="s">
        <v>262</v>
      </c>
      <c r="B21" s="185" t="s">
        <v>673</v>
      </c>
      <c r="C21" s="192">
        <v>10.744749696609457</v>
      </c>
    </row>
    <row r="22" spans="1:3" x14ac:dyDescent="0.25">
      <c r="A22" s="136" t="s">
        <v>264</v>
      </c>
      <c r="B22" s="185" t="s">
        <v>673</v>
      </c>
      <c r="C22" s="192">
        <v>10.15228229456989</v>
      </c>
    </row>
    <row r="23" spans="1:3" x14ac:dyDescent="0.25">
      <c r="A23" s="136" t="s">
        <v>282</v>
      </c>
      <c r="B23" s="185" t="s">
        <v>673</v>
      </c>
      <c r="C23" s="192">
        <v>1.7877148351104664</v>
      </c>
    </row>
    <row r="24" spans="1:3" x14ac:dyDescent="0.25">
      <c r="A24" s="136" t="s">
        <v>241</v>
      </c>
      <c r="B24" s="185" t="s">
        <v>673</v>
      </c>
      <c r="C24" s="192">
        <v>2.6190942927115026</v>
      </c>
    </row>
    <row r="25" spans="1:3" x14ac:dyDescent="0.25">
      <c r="A25" s="136" t="s">
        <v>270</v>
      </c>
      <c r="B25" s="185" t="s">
        <v>673</v>
      </c>
      <c r="C25" s="192">
        <v>4.037940696665812</v>
      </c>
    </row>
    <row r="26" spans="1:3" x14ac:dyDescent="0.25">
      <c r="A26" s="136" t="s">
        <v>341</v>
      </c>
      <c r="B26" s="185" t="s">
        <v>697</v>
      </c>
      <c r="C26" s="192">
        <v>0.4474205416025816</v>
      </c>
    </row>
    <row r="27" spans="1:3" x14ac:dyDescent="0.25">
      <c r="A27" s="136" t="s">
        <v>350</v>
      </c>
      <c r="B27" s="185" t="s">
        <v>697</v>
      </c>
      <c r="C27" s="192">
        <v>1.0367202051285227</v>
      </c>
    </row>
    <row r="28" spans="1:3" x14ac:dyDescent="0.25">
      <c r="A28" s="193" t="s">
        <v>319</v>
      </c>
      <c r="B28" s="185" t="s">
        <v>697</v>
      </c>
      <c r="C28" s="192">
        <v>1.1134935940025397</v>
      </c>
    </row>
    <row r="29" spans="1:3" x14ac:dyDescent="0.25">
      <c r="A29" s="136" t="s">
        <v>312</v>
      </c>
      <c r="B29" s="185" t="s">
        <v>697</v>
      </c>
      <c r="C29" s="192">
        <v>5.0655036329811631</v>
      </c>
    </row>
    <row r="30" spans="1:3" x14ac:dyDescent="0.25">
      <c r="A30" s="186" t="s">
        <v>329</v>
      </c>
      <c r="B30" s="185" t="s">
        <v>673</v>
      </c>
      <c r="C30" s="192">
        <v>5.7019834469756479</v>
      </c>
    </row>
    <row r="31" spans="1:3" x14ac:dyDescent="0.25">
      <c r="A31" s="136" t="s">
        <v>337</v>
      </c>
      <c r="B31" s="185" t="s">
        <v>697</v>
      </c>
      <c r="C31" s="192">
        <v>0.77827912736780092</v>
      </c>
    </row>
    <row r="32" spans="1:3" x14ac:dyDescent="0.25">
      <c r="A32" s="136" t="s">
        <v>327</v>
      </c>
      <c r="B32" s="185" t="s">
        <v>673</v>
      </c>
      <c r="C32" s="192">
        <v>5.9727739497559158</v>
      </c>
    </row>
    <row r="33" spans="1:3" x14ac:dyDescent="0.25">
      <c r="A33" s="136" t="s">
        <v>317</v>
      </c>
      <c r="B33" s="185" t="s">
        <v>697</v>
      </c>
      <c r="C33" s="192">
        <v>0.37684287609457234</v>
      </c>
    </row>
    <row r="34" spans="1:3" x14ac:dyDescent="0.25">
      <c r="A34" s="136" t="s">
        <v>343</v>
      </c>
      <c r="B34" s="185" t="s">
        <v>673</v>
      </c>
      <c r="C34" s="192">
        <v>6.0275881703713861</v>
      </c>
    </row>
    <row r="35" spans="1:3" x14ac:dyDescent="0.25">
      <c r="A35" s="193" t="s">
        <v>309</v>
      </c>
      <c r="B35" s="185" t="s">
        <v>697</v>
      </c>
      <c r="C35" s="192">
        <v>0.70725493400809891</v>
      </c>
    </row>
    <row r="36" spans="1:3" x14ac:dyDescent="0.25">
      <c r="A36" s="136" t="s">
        <v>348</v>
      </c>
      <c r="B36" s="185" t="s">
        <v>697</v>
      </c>
      <c r="C36" s="192">
        <v>2.4174307716662291</v>
      </c>
    </row>
    <row r="37" spans="1:3" x14ac:dyDescent="0.25">
      <c r="A37" s="136" t="s">
        <v>315</v>
      </c>
      <c r="B37" s="185" t="s">
        <v>697</v>
      </c>
      <c r="C37" s="192">
        <v>0.15089472113650237</v>
      </c>
    </row>
    <row r="38" spans="1:3" x14ac:dyDescent="0.25">
      <c r="A38" s="136" t="s">
        <v>325</v>
      </c>
      <c r="B38" s="185" t="s">
        <v>673</v>
      </c>
      <c r="C38" s="192">
        <v>4.3887485673235673</v>
      </c>
    </row>
    <row r="39" spans="1:3" x14ac:dyDescent="0.25">
      <c r="A39" s="136" t="s">
        <v>323</v>
      </c>
      <c r="B39" s="185" t="s">
        <v>673</v>
      </c>
      <c r="C39" s="192">
        <v>5.2238983299151851</v>
      </c>
    </row>
    <row r="40" spans="1:3" x14ac:dyDescent="0.25">
      <c r="A40" s="136" t="s">
        <v>346</v>
      </c>
      <c r="B40" s="185" t="s">
        <v>1221</v>
      </c>
      <c r="C40" s="192">
        <v>9.3609732231189877</v>
      </c>
    </row>
    <row r="41" spans="1:3" x14ac:dyDescent="0.25">
      <c r="A41" s="136" t="s">
        <v>30</v>
      </c>
      <c r="B41" s="185" t="s">
        <v>796</v>
      </c>
      <c r="C41" s="192">
        <v>0.15809623370782155</v>
      </c>
    </row>
    <row r="42" spans="1:3" x14ac:dyDescent="0.25">
      <c r="A42" s="136" t="s">
        <v>29</v>
      </c>
      <c r="B42" s="185" t="s">
        <v>1208</v>
      </c>
      <c r="C42" s="192">
        <v>19.834999342466848</v>
      </c>
    </row>
    <row r="43" spans="1:3" x14ac:dyDescent="0.25">
      <c r="A43" s="136" t="s">
        <v>33</v>
      </c>
      <c r="B43" s="185" t="s">
        <v>1208</v>
      </c>
      <c r="C43" s="192">
        <v>12.486065224161463</v>
      </c>
    </row>
    <row r="44" spans="1:3" x14ac:dyDescent="0.25">
      <c r="A44" s="136" t="s">
        <v>21</v>
      </c>
      <c r="B44" s="185" t="s">
        <v>639</v>
      </c>
      <c r="C44" s="192">
        <v>1.5797992800898704</v>
      </c>
    </row>
    <row r="45" spans="1:3" x14ac:dyDescent="0.25">
      <c r="A45" s="136" t="s">
        <v>17</v>
      </c>
      <c r="B45" s="185" t="s">
        <v>639</v>
      </c>
      <c r="C45" s="192">
        <v>1.0876401420946245</v>
      </c>
    </row>
    <row r="46" spans="1:3" x14ac:dyDescent="0.25">
      <c r="A46" s="136" t="s">
        <v>4</v>
      </c>
      <c r="B46" s="185" t="s">
        <v>639</v>
      </c>
      <c r="C46" s="192">
        <v>0.78440046838596356</v>
      </c>
    </row>
    <row r="47" spans="1:3" x14ac:dyDescent="0.25">
      <c r="A47" s="136" t="s">
        <v>7</v>
      </c>
      <c r="B47" s="185" t="s">
        <v>639</v>
      </c>
      <c r="C47" s="192">
        <v>0.20824727902294948</v>
      </c>
    </row>
    <row r="48" spans="1:3" x14ac:dyDescent="0.25">
      <c r="A48" s="136" t="s">
        <v>13</v>
      </c>
      <c r="B48" s="185" t="s">
        <v>639</v>
      </c>
      <c r="C48" s="192">
        <v>0.84749304721635399</v>
      </c>
    </row>
    <row r="49" spans="1:3" x14ac:dyDescent="0.25">
      <c r="A49" s="136" t="s">
        <v>25</v>
      </c>
      <c r="B49" s="185" t="s">
        <v>639</v>
      </c>
      <c r="C49" s="192">
        <v>0.87147615879849294</v>
      </c>
    </row>
    <row r="50" spans="1:3" x14ac:dyDescent="0.25">
      <c r="A50" s="186" t="s">
        <v>19</v>
      </c>
      <c r="B50" s="185" t="s">
        <v>664</v>
      </c>
      <c r="C50" s="192">
        <v>8.3788619521763046</v>
      </c>
    </row>
    <row r="51" spans="1:3" x14ac:dyDescent="0.25">
      <c r="A51" s="136" t="s">
        <v>23</v>
      </c>
      <c r="B51" s="185" t="s">
        <v>639</v>
      </c>
      <c r="C51" s="192">
        <v>4.108228790802368</v>
      </c>
    </row>
    <row r="52" spans="1:3" x14ac:dyDescent="0.25">
      <c r="A52" s="136" t="s">
        <v>208</v>
      </c>
      <c r="B52" s="185" t="s">
        <v>664</v>
      </c>
      <c r="C52" s="192">
        <v>0.62513510418653162</v>
      </c>
    </row>
    <row r="53" spans="1:3" x14ac:dyDescent="0.25">
      <c r="A53" s="136" t="s">
        <v>206</v>
      </c>
      <c r="B53" s="185" t="s">
        <v>664</v>
      </c>
      <c r="C53" s="192">
        <v>0.49034468319599833</v>
      </c>
    </row>
    <row r="54" spans="1:3" x14ac:dyDescent="0.25">
      <c r="A54" s="136" t="s">
        <v>216</v>
      </c>
      <c r="B54" s="185" t="s">
        <v>664</v>
      </c>
      <c r="C54" s="192">
        <v>0.32830807173487342</v>
      </c>
    </row>
    <row r="55" spans="1:3" x14ac:dyDescent="0.25">
      <c r="A55" s="136" t="s">
        <v>226</v>
      </c>
      <c r="B55" s="185" t="s">
        <v>1218</v>
      </c>
      <c r="C55" s="192">
        <v>14.236592976936194</v>
      </c>
    </row>
    <row r="56" spans="1:3" x14ac:dyDescent="0.25">
      <c r="A56" s="136" t="s">
        <v>212</v>
      </c>
      <c r="B56" s="185" t="s">
        <v>664</v>
      </c>
      <c r="C56" s="192">
        <v>17.689123339899055</v>
      </c>
    </row>
    <row r="57" spans="1:3" x14ac:dyDescent="0.25">
      <c r="A57" s="136" t="s">
        <v>201</v>
      </c>
      <c r="B57" s="185" t="s">
        <v>664</v>
      </c>
      <c r="C57" s="192">
        <v>2.4411071835305544</v>
      </c>
    </row>
    <row r="58" spans="1:3" x14ac:dyDescent="0.25">
      <c r="A58" s="136" t="s">
        <v>203</v>
      </c>
      <c r="B58" s="185" t="s">
        <v>664</v>
      </c>
      <c r="C58" s="192">
        <v>17.282528446236295</v>
      </c>
    </row>
    <row r="59" spans="1:3" x14ac:dyDescent="0.25">
      <c r="A59" s="136" t="s">
        <v>199</v>
      </c>
      <c r="B59" s="185" t="s">
        <v>1218</v>
      </c>
      <c r="C59" s="192">
        <v>19.860265975801305</v>
      </c>
    </row>
    <row r="60" spans="1:3" x14ac:dyDescent="0.25">
      <c r="A60" s="193" t="s">
        <v>220</v>
      </c>
      <c r="B60" s="185" t="s">
        <v>1218</v>
      </c>
      <c r="C60" s="192">
        <v>3.6887624513681017</v>
      </c>
    </row>
    <row r="61" spans="1:3" x14ac:dyDescent="0.25">
      <c r="A61" s="136" t="s">
        <v>150</v>
      </c>
      <c r="B61" s="185" t="s">
        <v>652</v>
      </c>
      <c r="C61" s="192">
        <v>1.0576516850656514</v>
      </c>
    </row>
    <row r="62" spans="1:3" x14ac:dyDescent="0.25">
      <c r="A62" s="136" t="s">
        <v>305</v>
      </c>
      <c r="B62" s="185" t="s">
        <v>623</v>
      </c>
      <c r="C62" s="192">
        <v>0.74396039478864395</v>
      </c>
    </row>
    <row r="63" spans="1:3" x14ac:dyDescent="0.25">
      <c r="A63" s="136" t="s">
        <v>307</v>
      </c>
      <c r="B63" s="185" t="s">
        <v>623</v>
      </c>
      <c r="C63" s="192">
        <v>0.74330366237812662</v>
      </c>
    </row>
    <row r="64" spans="1:3" x14ac:dyDescent="0.25">
      <c r="A64" s="136" t="s">
        <v>222</v>
      </c>
      <c r="B64" s="185" t="s">
        <v>755</v>
      </c>
      <c r="C64" s="192">
        <v>0.77978735578277303</v>
      </c>
    </row>
    <row r="65" spans="1:3" x14ac:dyDescent="0.25">
      <c r="A65" s="136" t="s">
        <v>189</v>
      </c>
      <c r="B65" s="185" t="s">
        <v>755</v>
      </c>
      <c r="C65" s="192">
        <v>0.38934692601696641</v>
      </c>
    </row>
    <row r="66" spans="1:3" x14ac:dyDescent="0.25">
      <c r="A66" s="136" t="s">
        <v>184</v>
      </c>
      <c r="B66" s="185" t="s">
        <v>755</v>
      </c>
      <c r="C66" s="192">
        <v>0.28829825866869707</v>
      </c>
    </row>
    <row r="67" spans="1:3" x14ac:dyDescent="0.25">
      <c r="A67" s="136" t="s">
        <v>228</v>
      </c>
      <c r="B67" s="185" t="s">
        <v>755</v>
      </c>
      <c r="C67" s="192">
        <v>0.77561767807574999</v>
      </c>
    </row>
    <row r="68" spans="1:3" x14ac:dyDescent="0.25">
      <c r="A68" s="136" t="s">
        <v>224</v>
      </c>
      <c r="B68" s="185" t="s">
        <v>755</v>
      </c>
      <c r="C68" s="192">
        <v>1.343152344964242</v>
      </c>
    </row>
    <row r="69" spans="1:3" x14ac:dyDescent="0.25">
      <c r="A69" s="136" t="s">
        <v>143</v>
      </c>
      <c r="B69" s="185" t="s">
        <v>1212</v>
      </c>
      <c r="C69" s="192">
        <v>28.422357500443528</v>
      </c>
    </row>
    <row r="70" spans="1:3" x14ac:dyDescent="0.25">
      <c r="A70" s="193" t="s">
        <v>299</v>
      </c>
      <c r="B70" s="185" t="s">
        <v>805</v>
      </c>
      <c r="C70" s="192">
        <v>1.3759254000531889</v>
      </c>
    </row>
    <row r="71" spans="1:3" x14ac:dyDescent="0.25">
      <c r="A71" s="136" t="s">
        <v>175</v>
      </c>
      <c r="B71" s="185" t="s">
        <v>632</v>
      </c>
      <c r="C71" s="192">
        <v>0.71141459237180937</v>
      </c>
    </row>
    <row r="72" spans="1:3" x14ac:dyDescent="0.25">
      <c r="A72" s="136" t="s">
        <v>172</v>
      </c>
      <c r="B72" s="185" t="s">
        <v>632</v>
      </c>
      <c r="C72" s="192">
        <v>1.815139598767344</v>
      </c>
    </row>
    <row r="73" spans="1:3" x14ac:dyDescent="0.25">
      <c r="A73" s="136" t="s">
        <v>177</v>
      </c>
      <c r="B73" s="185" t="s">
        <v>632</v>
      </c>
      <c r="C73" s="192">
        <v>0.86042374061342075</v>
      </c>
    </row>
    <row r="74" spans="1:3" x14ac:dyDescent="0.25">
      <c r="A74" s="136" t="s">
        <v>179</v>
      </c>
      <c r="B74" s="185" t="s">
        <v>1140</v>
      </c>
      <c r="C74" s="192">
        <v>1.7021273757523427</v>
      </c>
    </row>
    <row r="75" spans="1:3" x14ac:dyDescent="0.25">
      <c r="A75" s="136" t="s">
        <v>99</v>
      </c>
      <c r="B75" s="185" t="s">
        <v>1209</v>
      </c>
      <c r="C75" s="192">
        <v>0.79577754007276646</v>
      </c>
    </row>
    <row r="76" spans="1:3" x14ac:dyDescent="0.25">
      <c r="A76" s="136" t="s">
        <v>107</v>
      </c>
      <c r="B76" s="185" t="s">
        <v>1209</v>
      </c>
      <c r="C76" s="192">
        <v>2.9334852607184256</v>
      </c>
    </row>
    <row r="77" spans="1:3" x14ac:dyDescent="0.25">
      <c r="A77" s="136" t="s">
        <v>139</v>
      </c>
      <c r="B77" s="185" t="s">
        <v>1209</v>
      </c>
      <c r="C77" s="192">
        <v>1.5942018764815451</v>
      </c>
    </row>
    <row r="78" spans="1:3" x14ac:dyDescent="0.25">
      <c r="A78" s="136" t="s">
        <v>71</v>
      </c>
      <c r="B78" s="185" t="s">
        <v>1209</v>
      </c>
      <c r="C78" s="192">
        <v>4.4704963044882238</v>
      </c>
    </row>
    <row r="79" spans="1:3" x14ac:dyDescent="0.25">
      <c r="A79" s="136" t="s">
        <v>356</v>
      </c>
      <c r="B79" s="185" t="s">
        <v>1222</v>
      </c>
      <c r="C79" s="192">
        <v>32.827754639406997</v>
      </c>
    </row>
    <row r="80" spans="1:3" x14ac:dyDescent="0.25">
      <c r="A80" s="136" t="s">
        <v>333</v>
      </c>
      <c r="B80" s="185" t="s">
        <v>1222</v>
      </c>
      <c r="C80" s="192">
        <v>18.198335991626355</v>
      </c>
    </row>
    <row r="81" spans="1:3" x14ac:dyDescent="0.25">
      <c r="A81" s="136" t="s">
        <v>335</v>
      </c>
      <c r="B81" s="185" t="s">
        <v>1222</v>
      </c>
      <c r="C81" s="192">
        <v>21.287604662770121</v>
      </c>
    </row>
    <row r="82" spans="1:3" x14ac:dyDescent="0.25">
      <c r="A82" s="186" t="s">
        <v>352</v>
      </c>
      <c r="B82" s="185" t="s">
        <v>1217</v>
      </c>
      <c r="C82" s="192">
        <v>1.7420415164460403</v>
      </c>
    </row>
    <row r="83" spans="1:3" x14ac:dyDescent="0.25">
      <c r="A83" s="186" t="s">
        <v>314</v>
      </c>
      <c r="B83" s="185" t="s">
        <v>1217</v>
      </c>
      <c r="C83" s="192">
        <v>1.857513522619473</v>
      </c>
    </row>
    <row r="84" spans="1:3" x14ac:dyDescent="0.25">
      <c r="A84" s="136" t="s">
        <v>321</v>
      </c>
      <c r="B84" s="185" t="s">
        <v>1217</v>
      </c>
      <c r="C84" s="192">
        <v>28.888856599204185</v>
      </c>
    </row>
    <row r="85" spans="1:3" x14ac:dyDescent="0.25">
      <c r="A85" s="136" t="s">
        <v>345</v>
      </c>
      <c r="B85" s="185" t="s">
        <v>1217</v>
      </c>
      <c r="C85" s="192">
        <v>20.599512012485512</v>
      </c>
    </row>
    <row r="86" spans="1:3" x14ac:dyDescent="0.25">
      <c r="A86" s="136" t="s">
        <v>195</v>
      </c>
      <c r="B86" s="185" t="s">
        <v>1217</v>
      </c>
      <c r="C86" s="192">
        <v>7.985347533011188</v>
      </c>
    </row>
    <row r="87" spans="1:3" x14ac:dyDescent="0.25">
      <c r="A87" s="136" t="s">
        <v>193</v>
      </c>
      <c r="B87" s="185" t="s">
        <v>1217</v>
      </c>
      <c r="C87" s="192">
        <v>10.953347686331073</v>
      </c>
    </row>
    <row r="88" spans="1:3" x14ac:dyDescent="0.25">
      <c r="A88" s="136" t="s">
        <v>191</v>
      </c>
      <c r="B88" s="185" t="s">
        <v>1218</v>
      </c>
      <c r="C88" s="192">
        <v>18.65617244319267</v>
      </c>
    </row>
    <row r="89" spans="1:3" x14ac:dyDescent="0.25">
      <c r="A89" s="136" t="s">
        <v>218</v>
      </c>
      <c r="B89" s="185" t="s">
        <v>755</v>
      </c>
      <c r="C89" s="192">
        <v>8.953204937938569</v>
      </c>
    </row>
    <row r="90" spans="1:3" x14ac:dyDescent="0.25">
      <c r="A90" s="136" t="s">
        <v>197</v>
      </c>
      <c r="B90" s="185" t="s">
        <v>755</v>
      </c>
      <c r="C90" s="192">
        <v>18.620903555062636</v>
      </c>
    </row>
    <row r="91" spans="1:3" x14ac:dyDescent="0.25">
      <c r="A91" s="136" t="s">
        <v>187</v>
      </c>
      <c r="B91" s="185" t="s">
        <v>1213</v>
      </c>
      <c r="C91" s="192">
        <v>19.796407430638478</v>
      </c>
    </row>
    <row r="92" spans="1:3" x14ac:dyDescent="0.25">
      <c r="A92" s="136" t="s">
        <v>214</v>
      </c>
      <c r="B92" s="185" t="s">
        <v>755</v>
      </c>
      <c r="C92" s="192">
        <v>20.558236360788097</v>
      </c>
    </row>
    <row r="93" spans="1:3" x14ac:dyDescent="0.25">
      <c r="A93" s="136" t="s">
        <v>153</v>
      </c>
      <c r="B93" s="185" t="s">
        <v>1213</v>
      </c>
      <c r="C93" s="192">
        <v>10.509375400480517</v>
      </c>
    </row>
    <row r="94" spans="1:3" x14ac:dyDescent="0.25">
      <c r="A94" s="136" t="s">
        <v>159</v>
      </c>
      <c r="B94" s="185" t="s">
        <v>1213</v>
      </c>
      <c r="C94" s="192">
        <v>9.3704379947870464</v>
      </c>
    </row>
    <row r="95" spans="1:3" x14ac:dyDescent="0.25">
      <c r="A95" s="136" t="s">
        <v>155</v>
      </c>
      <c r="B95" s="185" t="s">
        <v>1213</v>
      </c>
      <c r="C95" s="192">
        <v>9.5650381623500511</v>
      </c>
    </row>
    <row r="96" spans="1:3" x14ac:dyDescent="0.25">
      <c r="A96" s="136" t="s">
        <v>157</v>
      </c>
      <c r="B96" s="185" t="s">
        <v>1213</v>
      </c>
      <c r="C96" s="192">
        <v>12.392289083396149</v>
      </c>
    </row>
    <row r="97" spans="1:3" x14ac:dyDescent="0.25">
      <c r="A97" s="136" t="s">
        <v>87</v>
      </c>
      <c r="B97" s="185" t="s">
        <v>1210</v>
      </c>
      <c r="C97" s="192">
        <v>1.1537462444167914</v>
      </c>
    </row>
    <row r="98" spans="1:3" x14ac:dyDescent="0.25">
      <c r="A98" s="186" t="s">
        <v>339</v>
      </c>
      <c r="B98" s="185" t="s">
        <v>1222</v>
      </c>
      <c r="C98" s="192">
        <v>34.344689881690819</v>
      </c>
    </row>
    <row r="99" spans="1:3" x14ac:dyDescent="0.25">
      <c r="A99" s="136" t="s">
        <v>286</v>
      </c>
      <c r="B99" s="185" t="s">
        <v>1216</v>
      </c>
      <c r="C99" s="192">
        <v>16.668825701583572</v>
      </c>
    </row>
    <row r="100" spans="1:3" x14ac:dyDescent="0.25">
      <c r="A100" s="136" t="s">
        <v>354</v>
      </c>
      <c r="B100" s="185" t="s">
        <v>1222</v>
      </c>
      <c r="C100" s="192">
        <v>17.035515422123492</v>
      </c>
    </row>
    <row r="101" spans="1:3" x14ac:dyDescent="0.25">
      <c r="A101" s="186" t="s">
        <v>272</v>
      </c>
      <c r="B101" s="185" t="s">
        <v>673</v>
      </c>
      <c r="C101" s="192">
        <v>12.627188913244609</v>
      </c>
    </row>
    <row r="102" spans="1:3" x14ac:dyDescent="0.25">
      <c r="A102" s="136" t="s">
        <v>11</v>
      </c>
      <c r="B102" s="185" t="s">
        <v>639</v>
      </c>
      <c r="C102" s="192">
        <v>1.1354007641426449</v>
      </c>
    </row>
    <row r="103" spans="1:3" x14ac:dyDescent="0.25">
      <c r="A103" s="136" t="s">
        <v>91</v>
      </c>
      <c r="B103" s="185" t="s">
        <v>1209</v>
      </c>
      <c r="C103" s="192">
        <v>0.75842119772531946</v>
      </c>
    </row>
    <row r="104" spans="1:3" x14ac:dyDescent="0.25">
      <c r="A104" s="136" t="s">
        <v>119</v>
      </c>
      <c r="B104" s="185" t="s">
        <v>1209</v>
      </c>
      <c r="C104" s="192">
        <v>6.3039408411778268</v>
      </c>
    </row>
    <row r="105" spans="1:3" x14ac:dyDescent="0.25">
      <c r="A105" s="136" t="s">
        <v>51</v>
      </c>
      <c r="B105" s="185" t="s">
        <v>1209</v>
      </c>
      <c r="C105" s="192">
        <v>5.184483270539272</v>
      </c>
    </row>
    <row r="106" spans="1:3" x14ac:dyDescent="0.25">
      <c r="A106" s="136" t="s">
        <v>75</v>
      </c>
      <c r="B106" s="185" t="s">
        <v>1209</v>
      </c>
      <c r="C106" s="192">
        <v>4.8862832644478198</v>
      </c>
    </row>
    <row r="107" spans="1:3" x14ac:dyDescent="0.25">
      <c r="A107" s="136" t="s">
        <v>40</v>
      </c>
      <c r="B107" s="185" t="s">
        <v>1209</v>
      </c>
      <c r="C107" s="192">
        <v>4.1842484710239098</v>
      </c>
    </row>
    <row r="108" spans="1:3" x14ac:dyDescent="0.25">
      <c r="A108" s="136" t="s">
        <v>61</v>
      </c>
      <c r="B108" s="185" t="s">
        <v>1209</v>
      </c>
      <c r="C108" s="192">
        <v>6.4753396248436657</v>
      </c>
    </row>
    <row r="109" spans="1:3" x14ac:dyDescent="0.25">
      <c r="A109" s="136" t="s">
        <v>89</v>
      </c>
      <c r="B109" s="185" t="s">
        <v>1209</v>
      </c>
      <c r="C109" s="192">
        <v>6.7094919928483892</v>
      </c>
    </row>
    <row r="110" spans="1:3" x14ac:dyDescent="0.25">
      <c r="A110" s="136" t="s">
        <v>117</v>
      </c>
      <c r="B110" s="185" t="s">
        <v>1209</v>
      </c>
      <c r="C110" s="192">
        <v>6.2085564346706201</v>
      </c>
    </row>
    <row r="111" spans="1:3" x14ac:dyDescent="0.25">
      <c r="A111" s="136" t="s">
        <v>123</v>
      </c>
      <c r="B111" s="185" t="s">
        <v>1209</v>
      </c>
      <c r="C111" s="192">
        <v>7.419312682373878</v>
      </c>
    </row>
    <row r="112" spans="1:3" x14ac:dyDescent="0.25">
      <c r="A112" s="136" t="s">
        <v>125</v>
      </c>
      <c r="B112" s="185" t="s">
        <v>1209</v>
      </c>
      <c r="C112" s="192">
        <v>4.6754712546149264</v>
      </c>
    </row>
    <row r="113" spans="1:3" x14ac:dyDescent="0.25">
      <c r="A113" s="136" t="s">
        <v>57</v>
      </c>
      <c r="B113" s="185" t="s">
        <v>1210</v>
      </c>
      <c r="C113" s="192">
        <v>23.222739740353646</v>
      </c>
    </row>
    <row r="114" spans="1:3" x14ac:dyDescent="0.25">
      <c r="A114" s="136" t="s">
        <v>42</v>
      </c>
      <c r="B114" s="185" t="s">
        <v>1209</v>
      </c>
      <c r="C114" s="192">
        <v>0.66733171900141897</v>
      </c>
    </row>
    <row r="115" spans="1:3" x14ac:dyDescent="0.25">
      <c r="A115" s="136" t="s">
        <v>45</v>
      </c>
      <c r="B115" s="185" t="s">
        <v>1209</v>
      </c>
      <c r="C115" s="192">
        <v>0.56771790814545575</v>
      </c>
    </row>
    <row r="116" spans="1:3" x14ac:dyDescent="0.25">
      <c r="A116" s="136" t="s">
        <v>46</v>
      </c>
      <c r="B116" s="185" t="s">
        <v>1209</v>
      </c>
      <c r="C116" s="192">
        <v>2.814225084976667</v>
      </c>
    </row>
    <row r="117" spans="1:3" x14ac:dyDescent="0.25">
      <c r="A117" s="136" t="s">
        <v>376</v>
      </c>
      <c r="B117" s="185" t="s">
        <v>639</v>
      </c>
      <c r="C117" s="192">
        <v>4.067486452659054</v>
      </c>
    </row>
    <row r="118" spans="1:3" x14ac:dyDescent="0.25">
      <c r="A118" s="136" t="s">
        <v>377</v>
      </c>
      <c r="B118" s="185" t="s">
        <v>639</v>
      </c>
      <c r="C118" s="192">
        <v>1.9489261822960435</v>
      </c>
    </row>
    <row r="119" spans="1:3" x14ac:dyDescent="0.25">
      <c r="A119" s="136" t="s">
        <v>391</v>
      </c>
      <c r="B119" s="185" t="s">
        <v>652</v>
      </c>
      <c r="C119" s="192">
        <v>0.51447052329458698</v>
      </c>
    </row>
    <row r="120" spans="1:3" x14ac:dyDescent="0.25">
      <c r="A120" s="136" t="s">
        <v>392</v>
      </c>
      <c r="B120" s="185" t="s">
        <v>664</v>
      </c>
      <c r="C120" s="192">
        <v>0.60629049139006752</v>
      </c>
    </row>
    <row r="121" spans="1:3" x14ac:dyDescent="0.25">
      <c r="A121" s="136" t="s">
        <v>393</v>
      </c>
      <c r="B121" s="185" t="s">
        <v>1218</v>
      </c>
      <c r="C121" s="192">
        <v>24.701686141136339</v>
      </c>
    </row>
    <row r="122" spans="1:3" x14ac:dyDescent="0.25">
      <c r="A122" s="136" t="s">
        <v>394</v>
      </c>
      <c r="B122" s="185" t="s">
        <v>623</v>
      </c>
      <c r="C122" s="192">
        <v>2.3794331620169178</v>
      </c>
    </row>
    <row r="123" spans="1:3" x14ac:dyDescent="0.25">
      <c r="A123" s="136" t="s">
        <v>524</v>
      </c>
      <c r="B123" s="185" t="s">
        <v>664</v>
      </c>
      <c r="C123" s="192">
        <v>13.446032768350749</v>
      </c>
    </row>
    <row r="124" spans="1:3" x14ac:dyDescent="0.25">
      <c r="A124" s="193" t="s">
        <v>817</v>
      </c>
      <c r="B124" s="185" t="s">
        <v>815</v>
      </c>
      <c r="C124" s="192">
        <v>0.23004407510846425</v>
      </c>
    </row>
    <row r="125" spans="1:3" x14ac:dyDescent="0.25">
      <c r="A125" s="186" t="s">
        <v>819</v>
      </c>
      <c r="B125" s="185" t="s">
        <v>1217</v>
      </c>
      <c r="C125" s="192">
        <v>2.3307568207764655</v>
      </c>
    </row>
    <row r="126" spans="1:3" x14ac:dyDescent="0.25">
      <c r="A126" s="193" t="s">
        <v>869</v>
      </c>
      <c r="B126" s="185" t="s">
        <v>1208</v>
      </c>
      <c r="C126" s="192">
        <v>0.18710270881855062</v>
      </c>
    </row>
    <row r="127" spans="1:3" x14ac:dyDescent="0.25">
      <c r="A127" s="136" t="s">
        <v>892</v>
      </c>
      <c r="B127" s="185" t="s">
        <v>652</v>
      </c>
      <c r="C127" s="192">
        <v>17.731070777343263</v>
      </c>
    </row>
    <row r="128" spans="1:3" x14ac:dyDescent="0.25">
      <c r="A128" s="193" t="s">
        <v>898</v>
      </c>
      <c r="B128" s="185" t="s">
        <v>1223</v>
      </c>
      <c r="C128" s="192">
        <v>1.7005689699647559</v>
      </c>
    </row>
    <row r="129" spans="1:3" x14ac:dyDescent="0.25">
      <c r="A129" s="193" t="s">
        <v>902</v>
      </c>
      <c r="B129" s="185" t="s">
        <v>1223</v>
      </c>
      <c r="C129" s="192">
        <v>1.136583238544624</v>
      </c>
    </row>
    <row r="130" spans="1:3" x14ac:dyDescent="0.25">
      <c r="A130" s="136" t="s">
        <v>948</v>
      </c>
      <c r="B130" s="185" t="s">
        <v>1210</v>
      </c>
      <c r="C130" s="192">
        <v>12.257552920582597</v>
      </c>
    </row>
    <row r="131" spans="1:3" x14ac:dyDescent="0.25">
      <c r="A131" s="136" t="s">
        <v>1027</v>
      </c>
      <c r="B131" s="185" t="s">
        <v>1207</v>
      </c>
      <c r="C131" s="192">
        <v>0</v>
      </c>
    </row>
    <row r="132" spans="1:3" x14ac:dyDescent="0.25">
      <c r="A132" s="94" t="s">
        <v>1042</v>
      </c>
      <c r="B132" s="185" t="s">
        <v>1213</v>
      </c>
      <c r="C132" s="192">
        <v>19.631786732140053</v>
      </c>
    </row>
    <row r="133" spans="1:3" x14ac:dyDescent="0.25">
      <c r="A133" s="194" t="s">
        <v>1050</v>
      </c>
      <c r="B133" s="185" t="s">
        <v>1223</v>
      </c>
      <c r="C133" s="192">
        <v>4.789460146835963</v>
      </c>
    </row>
    <row r="134" spans="1:3" x14ac:dyDescent="0.25">
      <c r="A134" s="136" t="s">
        <v>1069</v>
      </c>
      <c r="B134" s="185" t="s">
        <v>1213</v>
      </c>
      <c r="C134" s="192">
        <v>10.527586947557506</v>
      </c>
    </row>
    <row r="135" spans="1:3" x14ac:dyDescent="0.25">
      <c r="A135" s="136" t="s">
        <v>1073</v>
      </c>
      <c r="B135" s="185" t="s">
        <v>1209</v>
      </c>
      <c r="C135" s="192">
        <v>0.19374952337076978</v>
      </c>
    </row>
    <row r="136" spans="1:3" x14ac:dyDescent="0.25">
      <c r="A136" s="136" t="s">
        <v>1103</v>
      </c>
      <c r="B136" s="185" t="s">
        <v>1213</v>
      </c>
      <c r="C136" s="192">
        <v>9.2957189123335944</v>
      </c>
    </row>
    <row r="137" spans="1:3" x14ac:dyDescent="0.25">
      <c r="A137" s="136" t="s">
        <v>288</v>
      </c>
      <c r="B137" s="185" t="s">
        <v>1213</v>
      </c>
      <c r="C137" s="192">
        <v>1.5619149693996526</v>
      </c>
    </row>
    <row r="138" spans="1:3" x14ac:dyDescent="0.25">
      <c r="A138" s="136" t="s">
        <v>295</v>
      </c>
      <c r="B138" s="185" t="s">
        <v>1213</v>
      </c>
      <c r="C138" s="192">
        <v>1.5239325151406049</v>
      </c>
    </row>
    <row r="139" spans="1:3" x14ac:dyDescent="0.25">
      <c r="A139" s="136" t="s">
        <v>291</v>
      </c>
      <c r="B139" s="185" t="s">
        <v>1213</v>
      </c>
      <c r="C139" s="192">
        <v>1.7369508287203668</v>
      </c>
    </row>
    <row r="140" spans="1:3" x14ac:dyDescent="0.25">
      <c r="A140" s="136" t="s">
        <v>234</v>
      </c>
      <c r="B140" s="185" t="s">
        <v>1220</v>
      </c>
      <c r="C140" s="192">
        <v>7.490291417449443</v>
      </c>
    </row>
    <row r="141" spans="1:3" x14ac:dyDescent="0.25">
      <c r="A141" s="136" t="s">
        <v>147</v>
      </c>
      <c r="B141" s="185" t="s">
        <v>1214</v>
      </c>
      <c r="C141" s="192">
        <v>23.172399462804503</v>
      </c>
    </row>
    <row r="142" spans="1:3" x14ac:dyDescent="0.25">
      <c r="A142" s="136" t="s">
        <v>148</v>
      </c>
      <c r="B142" s="185" t="s">
        <v>1213</v>
      </c>
      <c r="C142" s="192">
        <v>21.148671772283631</v>
      </c>
    </row>
    <row r="143" spans="1:3" x14ac:dyDescent="0.25">
      <c r="A143" s="136" t="s">
        <v>165</v>
      </c>
      <c r="B143" s="185" t="s">
        <v>1215</v>
      </c>
      <c r="C143" s="192">
        <v>0.43878855438285824</v>
      </c>
    </row>
    <row r="144" spans="1:3" x14ac:dyDescent="0.25">
      <c r="A144" s="136" t="s">
        <v>168</v>
      </c>
      <c r="B144" s="185" t="s">
        <v>1220</v>
      </c>
      <c r="C144" s="192">
        <v>18.405283544772924</v>
      </c>
    </row>
    <row r="145" spans="1:3" x14ac:dyDescent="0.25">
      <c r="A145" s="136" t="s">
        <v>170</v>
      </c>
      <c r="B145" s="185" t="s">
        <v>1220</v>
      </c>
      <c r="C145" s="192">
        <v>12.794700705104317</v>
      </c>
    </row>
    <row r="146" spans="1:3" x14ac:dyDescent="0.25">
      <c r="A146" s="136" t="s">
        <v>232</v>
      </c>
      <c r="B146" s="185" t="s">
        <v>1219</v>
      </c>
      <c r="C146" s="192">
        <v>1.789574394782699</v>
      </c>
    </row>
    <row r="147" spans="1:3" x14ac:dyDescent="0.25">
      <c r="A147" s="136" t="s">
        <v>297</v>
      </c>
      <c r="B147" s="185" t="s">
        <v>823</v>
      </c>
      <c r="C147" s="192">
        <v>0.37588352961435612</v>
      </c>
    </row>
    <row r="148" spans="1:3" x14ac:dyDescent="0.25">
      <c r="A148" s="136" t="s">
        <v>382</v>
      </c>
      <c r="B148" s="185" t="s">
        <v>731</v>
      </c>
      <c r="C148" s="192">
        <v>11.65743881259678</v>
      </c>
    </row>
    <row r="149" spans="1:3" x14ac:dyDescent="0.25">
      <c r="A149" s="136" t="s">
        <v>383</v>
      </c>
      <c r="B149" s="185" t="s">
        <v>731</v>
      </c>
      <c r="C149" s="192">
        <v>1.9281430163271129</v>
      </c>
    </row>
    <row r="150" spans="1:3" x14ac:dyDescent="0.25">
      <c r="A150" s="136" t="s">
        <v>384</v>
      </c>
      <c r="B150" s="185" t="s">
        <v>731</v>
      </c>
      <c r="C150" s="192">
        <v>0.42212558305526549</v>
      </c>
    </row>
    <row r="151" spans="1:3" x14ac:dyDescent="0.25">
      <c r="A151" s="136" t="s">
        <v>385</v>
      </c>
      <c r="B151" s="185" t="s">
        <v>731</v>
      </c>
      <c r="C151" s="192">
        <v>21.050742639251741</v>
      </c>
    </row>
    <row r="152" spans="1:3" x14ac:dyDescent="0.25">
      <c r="A152" s="136" t="s">
        <v>387</v>
      </c>
      <c r="B152" s="185" t="s">
        <v>731</v>
      </c>
      <c r="C152" s="192">
        <v>13.632081902964599</v>
      </c>
    </row>
    <row r="153" spans="1:3" x14ac:dyDescent="0.25">
      <c r="A153" s="136" t="s">
        <v>388</v>
      </c>
      <c r="B153" s="185" t="s">
        <v>1220</v>
      </c>
      <c r="C153" s="192">
        <v>5.5919136174199959</v>
      </c>
    </row>
    <row r="154" spans="1:3" x14ac:dyDescent="0.25">
      <c r="A154" s="136" t="s">
        <v>844</v>
      </c>
      <c r="B154" s="185" t="s">
        <v>1211</v>
      </c>
      <c r="C154" s="192">
        <v>30.037709702375544</v>
      </c>
    </row>
    <row r="155" spans="1:3" x14ac:dyDescent="0.25">
      <c r="A155" s="136" t="s">
        <v>829</v>
      </c>
      <c r="B155" s="185" t="s">
        <v>1215</v>
      </c>
      <c r="C155" s="192">
        <v>0.71762888500316424</v>
      </c>
    </row>
    <row r="156" spans="1:3" x14ac:dyDescent="0.25">
      <c r="A156" s="136" t="s">
        <v>830</v>
      </c>
      <c r="B156" s="185" t="s">
        <v>823</v>
      </c>
      <c r="C156" s="192">
        <v>0.63626694856259092</v>
      </c>
    </row>
    <row r="157" spans="1:3" x14ac:dyDescent="0.25">
      <c r="A157" s="94" t="s">
        <v>1061</v>
      </c>
      <c r="B157" s="185" t="s">
        <v>1056</v>
      </c>
      <c r="C157" s="192">
        <v>1.989668595899414</v>
      </c>
    </row>
    <row r="158" spans="1:3" x14ac:dyDescent="0.25">
      <c r="A158" s="94" t="s">
        <v>1063</v>
      </c>
      <c r="B158" s="185" t="s">
        <v>1213</v>
      </c>
      <c r="C158" s="192">
        <v>2.0141034419413328</v>
      </c>
    </row>
    <row r="159" spans="1:3" x14ac:dyDescent="0.25">
      <c r="A159" s="94" t="s">
        <v>1067</v>
      </c>
      <c r="B159" s="185" t="s">
        <v>1213</v>
      </c>
      <c r="C159" s="192">
        <v>2.8590638493982405</v>
      </c>
    </row>
    <row r="160" spans="1:3" x14ac:dyDescent="0.25">
      <c r="A160" s="94" t="s">
        <v>1071</v>
      </c>
      <c r="B160" s="185" t="s">
        <v>1056</v>
      </c>
      <c r="C160" s="192">
        <v>2.1362355825722226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G265"/>
  <sheetViews>
    <sheetView showZeros="0" zoomScale="85" zoomScaleNormal="85" workbookViewId="0">
      <pane ySplit="1" topLeftCell="A2" activePane="bottomLeft" state="frozen"/>
      <selection activeCell="AS915" sqref="AS915"/>
      <selection pane="bottomLeft" activeCell="T24" sqref="T24"/>
    </sheetView>
  </sheetViews>
  <sheetFormatPr defaultColWidth="9.140625" defaultRowHeight="15" x14ac:dyDescent="0.25"/>
  <cols>
    <col min="1" max="1" width="19.5703125" style="6" customWidth="1"/>
    <col min="2" max="2" width="16.28515625" style="6" customWidth="1"/>
    <col min="3" max="3" width="13.42578125" style="6" customWidth="1"/>
    <col min="4" max="5" width="11.28515625" style="6" customWidth="1"/>
    <col min="6" max="6" width="7" style="6" customWidth="1"/>
    <col min="7" max="7" width="16.42578125" style="6" customWidth="1"/>
    <col min="8" max="8" width="11.28515625" style="6" customWidth="1"/>
    <col min="9" max="9" width="7.28515625" style="6" customWidth="1"/>
    <col min="10" max="10" width="11.28515625" style="6" customWidth="1"/>
    <col min="11" max="11" width="8.7109375" style="6" customWidth="1"/>
    <col min="12" max="12" width="11.28515625" style="6" customWidth="1"/>
    <col min="13" max="13" width="12.28515625" style="6" customWidth="1"/>
    <col min="14" max="14" width="9.140625" style="6"/>
    <col min="15" max="15" width="0" style="6" hidden="1" customWidth="1"/>
    <col min="16" max="16" width="19.42578125" style="6" hidden="1" customWidth="1"/>
    <col min="17" max="17" width="20.5703125" style="6" hidden="1" customWidth="1"/>
    <col min="18" max="18" width="0" style="6" hidden="1" customWidth="1"/>
    <col min="19" max="22" width="9.140625" style="6"/>
    <col min="23" max="23" width="15.5703125" style="6" customWidth="1"/>
    <col min="24" max="24" width="10.7109375" style="6" customWidth="1"/>
    <col min="25" max="25" width="14.28515625" style="6" bestFit="1" customWidth="1"/>
    <col min="26" max="26" width="10.140625" style="6" customWidth="1"/>
    <col min="27" max="27" width="9.140625" style="6"/>
    <col min="28" max="28" width="7.42578125" style="6" customWidth="1"/>
    <col min="29" max="29" width="7" style="6" customWidth="1"/>
    <col min="30" max="30" width="6.5703125" style="6" customWidth="1"/>
    <col min="31" max="31" width="9.85546875" style="6" bestFit="1" customWidth="1"/>
    <col min="32" max="32" width="7.140625" style="6" customWidth="1"/>
    <col min="33" max="33" width="8.140625" style="6" customWidth="1"/>
    <col min="34" max="34" width="6" style="6" customWidth="1"/>
    <col min="35" max="35" width="8" style="6" customWidth="1"/>
    <col min="36" max="36" width="9.42578125" style="6" bestFit="1" customWidth="1"/>
    <col min="37" max="37" width="9" style="6" customWidth="1"/>
    <col min="38" max="38" width="10.85546875" style="6" bestFit="1" customWidth="1"/>
    <col min="39" max="39" width="9.85546875" style="6" bestFit="1" customWidth="1"/>
    <col min="40" max="40" width="13.85546875" style="6" bestFit="1" customWidth="1"/>
    <col min="41" max="42" width="7.28515625" style="6" customWidth="1"/>
    <col min="43" max="43" width="11.5703125" style="6" bestFit="1" customWidth="1"/>
    <col min="44" max="16384" width="9.140625" style="6"/>
  </cols>
  <sheetData>
    <row r="1" spans="1:59" s="129" customFormat="1" ht="36" x14ac:dyDescent="0.25">
      <c r="A1" s="303"/>
      <c r="B1" s="304"/>
      <c r="C1" s="304"/>
      <c r="D1" s="304"/>
      <c r="E1" s="304"/>
      <c r="F1" s="304"/>
      <c r="G1" s="304"/>
      <c r="H1" s="304"/>
      <c r="I1" s="304"/>
      <c r="J1" s="304"/>
      <c r="K1" s="304"/>
      <c r="L1" s="304"/>
      <c r="M1" s="304"/>
      <c r="N1" s="254"/>
      <c r="O1" s="6"/>
      <c r="P1" s="6"/>
      <c r="Q1" s="6"/>
      <c r="R1" s="6"/>
      <c r="S1" s="6"/>
      <c r="T1" s="6"/>
      <c r="U1" s="6"/>
      <c r="BF1" s="2"/>
      <c r="BG1" s="2"/>
    </row>
    <row r="2" spans="1:59" s="1" customFormat="1" ht="63.75" customHeight="1" x14ac:dyDescent="0.25">
      <c r="A2" s="324" t="s">
        <v>419</v>
      </c>
      <c r="B2" s="58"/>
      <c r="C2" s="58"/>
      <c r="D2" s="58"/>
      <c r="E2" s="58"/>
      <c r="F2" s="58"/>
      <c r="G2" s="58"/>
      <c r="H2" s="58"/>
      <c r="I2" s="58"/>
      <c r="J2" s="58"/>
      <c r="K2" s="58"/>
      <c r="L2" s="58"/>
      <c r="M2" s="58"/>
      <c r="N2" s="255"/>
      <c r="O2" s="6"/>
      <c r="P2" s="6"/>
      <c r="Q2" s="6"/>
      <c r="R2" s="6"/>
      <c r="S2" s="384"/>
      <c r="T2" s="384"/>
      <c r="U2" s="384"/>
      <c r="V2" s="251"/>
      <c r="BF2" s="59"/>
      <c r="BG2" s="59"/>
    </row>
    <row r="3" spans="1:59" s="18" customFormat="1" ht="18" customHeight="1" x14ac:dyDescent="0.25">
      <c r="A3" s="325">
        <f>Report_Date</f>
        <v>42370</v>
      </c>
      <c r="B3" s="326"/>
      <c r="C3" s="326"/>
      <c r="D3" s="326"/>
      <c r="E3" s="326"/>
      <c r="F3" s="326"/>
      <c r="G3" s="326"/>
      <c r="H3" s="326"/>
      <c r="I3" s="326"/>
      <c r="J3" s="326"/>
      <c r="K3" s="326"/>
      <c r="L3" s="326"/>
      <c r="M3" s="326"/>
      <c r="N3" s="327"/>
      <c r="O3" s="45"/>
      <c r="P3" s="45"/>
      <c r="Q3" s="45"/>
      <c r="R3" s="45"/>
      <c r="S3" s="385"/>
      <c r="T3" s="386"/>
      <c r="U3" s="386"/>
      <c r="V3" s="251"/>
      <c r="BF3" s="60"/>
      <c r="BG3" s="60"/>
    </row>
    <row r="4" spans="1:59" s="18" customFormat="1" ht="18" hidden="1" customHeight="1" x14ac:dyDescent="0.25">
      <c r="A4" s="214"/>
      <c r="B4" s="214"/>
      <c r="C4" s="234"/>
      <c r="D4" s="234"/>
      <c r="E4" s="234"/>
      <c r="F4" s="234"/>
      <c r="G4" s="235"/>
      <c r="H4" s="235"/>
      <c r="I4" s="235"/>
      <c r="J4" s="235"/>
      <c r="K4" s="39"/>
      <c r="L4" s="235"/>
      <c r="M4" s="235"/>
      <c r="N4" s="235"/>
      <c r="O4" s="45"/>
      <c r="P4" s="45"/>
      <c r="Q4" s="45"/>
      <c r="R4" s="45"/>
      <c r="S4" s="385"/>
      <c r="T4" s="386"/>
      <c r="U4" s="386"/>
      <c r="V4" s="251"/>
      <c r="BF4" s="60"/>
      <c r="BG4" s="60"/>
    </row>
    <row r="5" spans="1:59" s="18" customFormat="1" ht="16.5" customHeight="1" x14ac:dyDescent="0.25">
      <c r="A5" s="669" t="s">
        <v>396</v>
      </c>
      <c r="B5" s="669" t="s">
        <v>598</v>
      </c>
      <c r="C5" s="236"/>
      <c r="D5" s="236"/>
      <c r="E5" s="236"/>
      <c r="F5" s="236"/>
      <c r="G5" s="236"/>
      <c r="H5" s="236"/>
      <c r="I5" s="236"/>
      <c r="J5" s="236"/>
      <c r="K5" s="236"/>
      <c r="L5" s="235"/>
      <c r="M5" s="235"/>
      <c r="N5" s="235"/>
      <c r="O5" s="45"/>
      <c r="P5" s="45"/>
      <c r="Q5" s="45"/>
      <c r="R5" s="45"/>
      <c r="S5" s="385"/>
      <c r="T5" s="386"/>
      <c r="U5" s="386"/>
      <c r="V5" s="251"/>
      <c r="BF5" s="60"/>
      <c r="BG5" s="60"/>
    </row>
    <row r="6" spans="1:59" ht="18.75" x14ac:dyDescent="0.25">
      <c r="A6" s="669" t="s">
        <v>0</v>
      </c>
      <c r="B6" s="669" t="s">
        <v>598</v>
      </c>
      <c r="C6" s="254"/>
      <c r="S6" s="387"/>
      <c r="T6" s="384"/>
      <c r="U6" s="384"/>
      <c r="V6" s="384"/>
    </row>
    <row r="7" spans="1:59" x14ac:dyDescent="0.25">
      <c r="A7" s="733" t="s">
        <v>1263</v>
      </c>
      <c r="B7" s="732" t="s">
        <v>1204</v>
      </c>
      <c r="C7" s="258" t="s">
        <v>422</v>
      </c>
      <c r="P7" s="129"/>
      <c r="Q7" s="129"/>
      <c r="S7" s="384"/>
      <c r="T7" s="384"/>
      <c r="U7" s="384"/>
      <c r="V7" s="384"/>
    </row>
    <row r="8" spans="1:59" x14ac:dyDescent="0.25">
      <c r="P8" s="129"/>
      <c r="Q8" s="129"/>
      <c r="S8" s="384"/>
      <c r="T8" s="384"/>
      <c r="U8" s="384"/>
      <c r="V8" s="384"/>
    </row>
    <row r="9" spans="1:59" x14ac:dyDescent="0.25">
      <c r="A9" s="607" t="s">
        <v>415</v>
      </c>
      <c r="B9" s="608" t="s">
        <v>418</v>
      </c>
      <c r="C9" s="606" t="s">
        <v>417</v>
      </c>
      <c r="P9" s="498" t="s">
        <v>396</v>
      </c>
      <c r="Q9" s="495" t="s">
        <v>598</v>
      </c>
      <c r="R9" s="6" t="s">
        <v>422</v>
      </c>
      <c r="S9" s="384"/>
      <c r="T9" s="384"/>
      <c r="U9" s="384"/>
      <c r="V9" s="384"/>
    </row>
    <row r="10" spans="1:59" x14ac:dyDescent="0.25">
      <c r="A10" s="609" t="s">
        <v>502</v>
      </c>
      <c r="B10" s="610">
        <v>19304</v>
      </c>
      <c r="C10" s="611">
        <v>95813</v>
      </c>
      <c r="S10" s="384"/>
      <c r="T10" s="384"/>
      <c r="U10" s="384"/>
      <c r="V10" s="384"/>
      <c r="W10" s="129"/>
      <c r="X10" s="129"/>
    </row>
    <row r="11" spans="1:59" x14ac:dyDescent="0.25">
      <c r="A11" s="612" t="s">
        <v>5</v>
      </c>
      <c r="B11" s="610">
        <v>1548</v>
      </c>
      <c r="C11" s="611">
        <v>8110</v>
      </c>
      <c r="P11" s="495" t="s">
        <v>415</v>
      </c>
      <c r="Q11" s="495" t="s">
        <v>417</v>
      </c>
      <c r="R11" s="129"/>
      <c r="S11" s="384"/>
      <c r="T11" s="384"/>
      <c r="U11" s="384"/>
      <c r="V11" s="384"/>
      <c r="W11" s="129"/>
      <c r="X11" s="129"/>
    </row>
    <row r="12" spans="1:59" x14ac:dyDescent="0.25">
      <c r="A12" s="612" t="s">
        <v>27</v>
      </c>
      <c r="B12" s="610">
        <v>501</v>
      </c>
      <c r="C12" s="611">
        <v>2570</v>
      </c>
      <c r="P12" s="496" t="s">
        <v>5</v>
      </c>
      <c r="Q12" s="497"/>
      <c r="R12" s="129"/>
      <c r="S12" s="384"/>
      <c r="T12" s="384"/>
      <c r="U12" s="384"/>
      <c r="V12" s="384"/>
      <c r="W12" s="129"/>
      <c r="X12" s="129"/>
    </row>
    <row r="13" spans="1:59" x14ac:dyDescent="0.25">
      <c r="A13" s="612" t="s">
        <v>529</v>
      </c>
      <c r="B13" s="610">
        <v>724</v>
      </c>
      <c r="C13" s="611">
        <v>3566</v>
      </c>
      <c r="P13" s="502" t="s">
        <v>5</v>
      </c>
      <c r="Q13" s="497">
        <v>8110</v>
      </c>
      <c r="R13" s="129"/>
      <c r="S13" s="384"/>
      <c r="T13" s="384"/>
      <c r="U13" s="384"/>
      <c r="V13" s="384"/>
      <c r="W13" s="129"/>
      <c r="X13" s="129"/>
    </row>
    <row r="14" spans="1:59" x14ac:dyDescent="0.25">
      <c r="A14" s="612" t="s">
        <v>784</v>
      </c>
      <c r="B14" s="610">
        <v>111</v>
      </c>
      <c r="C14" s="611">
        <v>665</v>
      </c>
      <c r="P14" s="496" t="s">
        <v>27</v>
      </c>
      <c r="Q14" s="497"/>
      <c r="R14" s="129"/>
      <c r="W14" s="129"/>
      <c r="X14" s="129"/>
    </row>
    <row r="15" spans="1:59" x14ac:dyDescent="0.25">
      <c r="A15" s="612" t="s">
        <v>1195</v>
      </c>
      <c r="B15" s="610">
        <v>1449</v>
      </c>
      <c r="C15" s="611">
        <v>6650</v>
      </c>
      <c r="P15" s="502" t="s">
        <v>27</v>
      </c>
      <c r="Q15" s="497">
        <v>2570</v>
      </c>
      <c r="R15" s="129"/>
      <c r="W15" s="129"/>
      <c r="X15" s="129"/>
    </row>
    <row r="16" spans="1:59" x14ac:dyDescent="0.25">
      <c r="A16" s="612" t="s">
        <v>146</v>
      </c>
      <c r="B16" s="610">
        <v>700</v>
      </c>
      <c r="C16" s="611">
        <v>3409</v>
      </c>
      <c r="P16" s="496" t="s">
        <v>529</v>
      </c>
      <c r="Q16" s="497"/>
      <c r="R16" s="129"/>
      <c r="W16" s="129"/>
      <c r="X16" s="129"/>
    </row>
    <row r="17" spans="1:24" x14ac:dyDescent="0.25">
      <c r="A17" s="612" t="s">
        <v>151</v>
      </c>
      <c r="B17" s="610">
        <v>2785</v>
      </c>
      <c r="C17" s="611">
        <v>12558</v>
      </c>
      <c r="P17" s="502" t="s">
        <v>529</v>
      </c>
      <c r="Q17" s="497">
        <v>3566</v>
      </c>
      <c r="R17" s="129"/>
      <c r="W17" s="129"/>
      <c r="X17" s="129"/>
    </row>
    <row r="18" spans="1:24" x14ac:dyDescent="0.25">
      <c r="A18" s="612" t="s">
        <v>185</v>
      </c>
      <c r="B18" s="610">
        <v>4821</v>
      </c>
      <c r="C18" s="611">
        <v>24578</v>
      </c>
      <c r="P18" s="496" t="s">
        <v>784</v>
      </c>
      <c r="Q18" s="497"/>
      <c r="R18" s="129"/>
      <c r="W18" s="129"/>
      <c r="X18" s="129"/>
    </row>
    <row r="19" spans="1:24" x14ac:dyDescent="0.25">
      <c r="A19" s="612" t="s">
        <v>237</v>
      </c>
      <c r="B19" s="610">
        <v>1511</v>
      </c>
      <c r="C19" s="611">
        <v>7415</v>
      </c>
      <c r="P19" s="502" t="s">
        <v>784</v>
      </c>
      <c r="Q19" s="497">
        <v>665</v>
      </c>
      <c r="R19" s="129"/>
      <c r="W19" s="129"/>
      <c r="X19" s="129"/>
    </row>
    <row r="20" spans="1:24" x14ac:dyDescent="0.25">
      <c r="A20" s="612" t="s">
        <v>289</v>
      </c>
      <c r="B20" s="610">
        <v>380</v>
      </c>
      <c r="C20" s="611">
        <v>1896</v>
      </c>
      <c r="P20" s="496" t="s">
        <v>363</v>
      </c>
      <c r="Q20" s="497"/>
      <c r="R20" s="129"/>
      <c r="W20" s="129"/>
      <c r="X20" s="129"/>
    </row>
    <row r="21" spans="1:24" x14ac:dyDescent="0.25">
      <c r="A21" s="612" t="s">
        <v>310</v>
      </c>
      <c r="B21" s="610">
        <v>4774</v>
      </c>
      <c r="C21" s="611">
        <v>24396</v>
      </c>
      <c r="P21" s="502" t="s">
        <v>363</v>
      </c>
      <c r="Q21" s="497">
        <v>0</v>
      </c>
      <c r="R21" s="129"/>
      <c r="W21" s="129"/>
      <c r="X21" s="129"/>
    </row>
    <row r="22" spans="1:24" x14ac:dyDescent="0.25">
      <c r="A22" s="609" t="s">
        <v>849</v>
      </c>
      <c r="B22" s="610">
        <v>0</v>
      </c>
      <c r="C22" s="611">
        <v>0</v>
      </c>
      <c r="P22" s="496" t="s">
        <v>1195</v>
      </c>
      <c r="Q22" s="497"/>
      <c r="R22" s="129"/>
      <c r="W22" s="129"/>
      <c r="X22" s="129"/>
    </row>
    <row r="23" spans="1:24" x14ac:dyDescent="0.25">
      <c r="A23" s="612" t="s">
        <v>5</v>
      </c>
      <c r="B23" s="610">
        <v>0</v>
      </c>
      <c r="C23" s="611">
        <v>0</v>
      </c>
      <c r="P23" s="502" t="s">
        <v>144</v>
      </c>
      <c r="Q23" s="497">
        <v>17</v>
      </c>
      <c r="R23" s="129"/>
      <c r="W23" s="129"/>
      <c r="X23" s="129"/>
    </row>
    <row r="24" spans="1:24" x14ac:dyDescent="0.25">
      <c r="A24" s="612" t="s">
        <v>27</v>
      </c>
      <c r="B24" s="610">
        <v>0</v>
      </c>
      <c r="C24" s="611">
        <v>0</v>
      </c>
      <c r="P24" s="502" t="s">
        <v>899</v>
      </c>
      <c r="Q24" s="497">
        <v>0</v>
      </c>
      <c r="R24" s="129"/>
      <c r="W24" s="129"/>
      <c r="X24" s="129"/>
    </row>
    <row r="25" spans="1:24" x14ac:dyDescent="0.25">
      <c r="A25" s="612" t="s">
        <v>529</v>
      </c>
      <c r="B25" s="610">
        <v>0</v>
      </c>
      <c r="C25" s="611">
        <v>0</v>
      </c>
      <c r="P25" s="502" t="s">
        <v>166</v>
      </c>
      <c r="Q25" s="497">
        <v>347</v>
      </c>
      <c r="R25" s="129"/>
      <c r="W25" s="129"/>
      <c r="X25" s="129"/>
    </row>
    <row r="26" spans="1:24" x14ac:dyDescent="0.25">
      <c r="A26" s="612" t="s">
        <v>363</v>
      </c>
      <c r="B26" s="610">
        <v>0</v>
      </c>
      <c r="C26" s="611">
        <v>0</v>
      </c>
      <c r="P26" s="502" t="s">
        <v>173</v>
      </c>
      <c r="Q26" s="497">
        <v>477</v>
      </c>
      <c r="R26" s="129"/>
      <c r="W26" s="129"/>
      <c r="X26" s="129"/>
    </row>
    <row r="27" spans="1:24" x14ac:dyDescent="0.25">
      <c r="A27" s="612" t="s">
        <v>1195</v>
      </c>
      <c r="B27" s="610">
        <v>0</v>
      </c>
      <c r="C27" s="611">
        <v>0</v>
      </c>
      <c r="P27" s="502" t="s">
        <v>180</v>
      </c>
      <c r="Q27" s="497">
        <v>416</v>
      </c>
      <c r="W27" s="129"/>
      <c r="X27" s="129"/>
    </row>
    <row r="28" spans="1:24" x14ac:dyDescent="0.25">
      <c r="A28" s="612" t="s">
        <v>146</v>
      </c>
      <c r="B28" s="610">
        <v>0</v>
      </c>
      <c r="C28" s="611">
        <v>0</v>
      </c>
      <c r="P28" s="502" t="s">
        <v>230</v>
      </c>
      <c r="Q28" s="497">
        <v>1090</v>
      </c>
      <c r="W28" s="129"/>
      <c r="X28" s="129"/>
    </row>
    <row r="29" spans="1:24" x14ac:dyDescent="0.25">
      <c r="A29" s="612" t="s">
        <v>151</v>
      </c>
      <c r="B29" s="610">
        <v>0</v>
      </c>
      <c r="C29" s="611">
        <v>0</v>
      </c>
      <c r="P29" s="502" t="s">
        <v>298</v>
      </c>
      <c r="Q29" s="497">
        <v>561</v>
      </c>
      <c r="W29" s="129"/>
      <c r="X29" s="129"/>
    </row>
    <row r="30" spans="1:24" x14ac:dyDescent="0.25">
      <c r="A30" s="612" t="s">
        <v>185</v>
      </c>
      <c r="B30" s="610"/>
      <c r="C30" s="611"/>
      <c r="P30" s="502" t="s">
        <v>300</v>
      </c>
      <c r="Q30" s="497">
        <v>344</v>
      </c>
      <c r="W30" s="129"/>
      <c r="X30" s="129"/>
    </row>
    <row r="31" spans="1:24" x14ac:dyDescent="0.25">
      <c r="A31" s="612" t="s">
        <v>237</v>
      </c>
      <c r="B31" s="610">
        <v>0</v>
      </c>
      <c r="C31" s="611">
        <v>0</v>
      </c>
      <c r="P31" s="502" t="s">
        <v>302</v>
      </c>
      <c r="Q31" s="497">
        <v>2166</v>
      </c>
      <c r="W31" s="129"/>
      <c r="X31" s="129"/>
    </row>
    <row r="32" spans="1:24" x14ac:dyDescent="0.25">
      <c r="A32" s="612" t="s">
        <v>289</v>
      </c>
      <c r="B32" s="610">
        <v>0</v>
      </c>
      <c r="C32" s="611">
        <v>0</v>
      </c>
      <c r="P32" s="502" t="s">
        <v>813</v>
      </c>
      <c r="Q32" s="497">
        <v>1232</v>
      </c>
      <c r="W32" s="129"/>
      <c r="X32" s="129"/>
    </row>
    <row r="33" spans="1:24" x14ac:dyDescent="0.25">
      <c r="A33" s="612" t="s">
        <v>310</v>
      </c>
      <c r="B33" s="610">
        <v>0</v>
      </c>
      <c r="C33" s="611">
        <v>0</v>
      </c>
      <c r="P33" s="496" t="s">
        <v>146</v>
      </c>
      <c r="Q33" s="497"/>
      <c r="W33" s="129"/>
      <c r="X33" s="129"/>
    </row>
    <row r="34" spans="1:24" x14ac:dyDescent="0.25">
      <c r="A34" s="613" t="s">
        <v>416</v>
      </c>
      <c r="B34" s="614">
        <v>19304</v>
      </c>
      <c r="C34" s="715">
        <v>95813</v>
      </c>
      <c r="P34" s="502" t="s">
        <v>146</v>
      </c>
      <c r="Q34" s="497">
        <v>3409</v>
      </c>
      <c r="W34" s="129"/>
      <c r="X34" s="129"/>
    </row>
    <row r="35" spans="1:24" x14ac:dyDescent="0.25">
      <c r="A35"/>
      <c r="B35"/>
      <c r="C35"/>
      <c r="P35" s="496" t="s">
        <v>151</v>
      </c>
      <c r="Q35" s="497"/>
      <c r="W35" s="129"/>
      <c r="X35" s="129"/>
    </row>
    <row r="36" spans="1:24" hidden="1" x14ac:dyDescent="0.25">
      <c r="A36"/>
      <c r="B36"/>
      <c r="C36"/>
      <c r="P36" s="502" t="s">
        <v>151</v>
      </c>
      <c r="Q36" s="497">
        <v>12558</v>
      </c>
      <c r="W36" s="129"/>
      <c r="X36" s="129"/>
    </row>
    <row r="37" spans="1:24" hidden="1" x14ac:dyDescent="0.25">
      <c r="P37" s="496" t="s">
        <v>185</v>
      </c>
      <c r="Q37" s="497"/>
      <c r="W37" s="129"/>
      <c r="X37" s="129"/>
    </row>
    <row r="38" spans="1:24" hidden="1" x14ac:dyDescent="0.25">
      <c r="P38" s="502" t="s">
        <v>185</v>
      </c>
      <c r="Q38" s="497">
        <v>24578</v>
      </c>
      <c r="W38" s="129"/>
      <c r="X38" s="129"/>
    </row>
    <row r="39" spans="1:24" hidden="1" x14ac:dyDescent="0.25">
      <c r="P39" s="496" t="s">
        <v>237</v>
      </c>
      <c r="Q39" s="497"/>
      <c r="W39" s="129"/>
      <c r="X39" s="129"/>
    </row>
    <row r="40" spans="1:24" hidden="1" x14ac:dyDescent="0.25">
      <c r="P40" s="502" t="s">
        <v>237</v>
      </c>
      <c r="Q40" s="497">
        <v>7415</v>
      </c>
      <c r="W40" s="129"/>
      <c r="X40" s="129"/>
    </row>
    <row r="41" spans="1:24" hidden="1" x14ac:dyDescent="0.25">
      <c r="P41" s="496" t="s">
        <v>289</v>
      </c>
      <c r="Q41" s="497"/>
      <c r="W41" s="129"/>
      <c r="X41" s="129"/>
    </row>
    <row r="42" spans="1:24" hidden="1" x14ac:dyDescent="0.25">
      <c r="P42" s="502" t="s">
        <v>289</v>
      </c>
      <c r="Q42" s="497">
        <v>1896</v>
      </c>
      <c r="W42" s="129"/>
      <c r="X42" s="129"/>
    </row>
    <row r="43" spans="1:24" x14ac:dyDescent="0.25">
      <c r="A43" s="631" t="s">
        <v>396</v>
      </c>
      <c r="B43" s="623" t="s">
        <v>598</v>
      </c>
      <c r="P43" s="496" t="s">
        <v>310</v>
      </c>
      <c r="Q43" s="497"/>
      <c r="W43" s="129"/>
      <c r="X43" s="129"/>
    </row>
    <row r="44" spans="1:24" x14ac:dyDescent="0.25">
      <c r="A44" s="631" t="s">
        <v>1263</v>
      </c>
      <c r="B44" s="623" t="s">
        <v>1204</v>
      </c>
      <c r="C44" s="383" t="s">
        <v>422</v>
      </c>
      <c r="P44" s="502" t="s">
        <v>310</v>
      </c>
      <c r="Q44" s="497">
        <v>28846</v>
      </c>
      <c r="W44" s="129"/>
      <c r="X44" s="129"/>
    </row>
    <row r="45" spans="1:24" x14ac:dyDescent="0.25">
      <c r="P45" s="714" t="s">
        <v>416</v>
      </c>
      <c r="Q45" s="713">
        <v>100263</v>
      </c>
      <c r="W45" s="129"/>
      <c r="X45" s="129"/>
    </row>
    <row r="46" spans="1:24" x14ac:dyDescent="0.25">
      <c r="A46" s="617" t="s">
        <v>832</v>
      </c>
      <c r="B46" s="531" t="s">
        <v>831</v>
      </c>
      <c r="C46" s="531"/>
      <c r="D46" s="532"/>
      <c r="E46"/>
      <c r="P46"/>
      <c r="Q46"/>
      <c r="W46" s="129"/>
      <c r="X46" s="129"/>
    </row>
    <row r="47" spans="1:24" x14ac:dyDescent="0.25">
      <c r="A47" s="618" t="s">
        <v>415</v>
      </c>
      <c r="B47" s="509" t="s">
        <v>513</v>
      </c>
      <c r="C47" s="509" t="s">
        <v>515</v>
      </c>
      <c r="D47" s="533" t="s">
        <v>416</v>
      </c>
      <c r="E47"/>
      <c r="P47"/>
      <c r="Q47"/>
      <c r="W47" s="129"/>
      <c r="X47" s="129"/>
    </row>
    <row r="48" spans="1:24" x14ac:dyDescent="0.25">
      <c r="A48" s="625" t="s">
        <v>502</v>
      </c>
      <c r="B48" s="626">
        <v>53295</v>
      </c>
      <c r="C48" s="626">
        <v>42518</v>
      </c>
      <c r="D48" s="627">
        <v>95813</v>
      </c>
      <c r="E48"/>
      <c r="W48" s="129"/>
      <c r="X48" s="129"/>
    </row>
    <row r="49" spans="1:24" x14ac:dyDescent="0.25">
      <c r="A49" s="625" t="s">
        <v>849</v>
      </c>
      <c r="B49" s="626">
        <v>0</v>
      </c>
      <c r="C49" s="626">
        <v>0</v>
      </c>
      <c r="D49" s="627">
        <v>0</v>
      </c>
      <c r="E49"/>
      <c r="W49" s="129"/>
      <c r="X49" s="129"/>
    </row>
    <row r="50" spans="1:24" x14ac:dyDescent="0.25">
      <c r="A50" s="716" t="s">
        <v>416</v>
      </c>
      <c r="B50" s="717">
        <v>53295</v>
      </c>
      <c r="C50" s="717">
        <v>42518</v>
      </c>
      <c r="D50" s="715">
        <v>95813</v>
      </c>
      <c r="E50"/>
      <c r="W50" s="129"/>
      <c r="X50" s="129"/>
    </row>
    <row r="51" spans="1:24" x14ac:dyDescent="0.25">
      <c r="A51"/>
      <c r="B51"/>
      <c r="C51"/>
      <c r="D51"/>
      <c r="E51"/>
      <c r="W51" s="129"/>
      <c r="X51" s="129"/>
    </row>
    <row r="52" spans="1:24" s="495" customFormat="1" x14ac:dyDescent="0.25">
      <c r="A52" s="492"/>
      <c r="B52" s="492"/>
      <c r="C52" s="492"/>
      <c r="D52" s="492"/>
      <c r="E52" s="492"/>
      <c r="W52" s="492"/>
      <c r="X52" s="492"/>
    </row>
    <row r="53" spans="1:24" x14ac:dyDescent="0.25">
      <c r="A53" s="669" t="s">
        <v>500</v>
      </c>
      <c r="B53" s="669" t="s">
        <v>502</v>
      </c>
      <c r="W53" s="129"/>
      <c r="X53" s="129"/>
    </row>
    <row r="54" spans="1:24" x14ac:dyDescent="0.25">
      <c r="A54" s="631" t="s">
        <v>1263</v>
      </c>
      <c r="B54" s="623" t="s">
        <v>1204</v>
      </c>
    </row>
    <row r="56" spans="1:24" x14ac:dyDescent="0.25">
      <c r="A56" s="617" t="s">
        <v>832</v>
      </c>
      <c r="B56" s="531" t="s">
        <v>831</v>
      </c>
      <c r="C56" s="531"/>
      <c r="D56" s="532"/>
    </row>
    <row r="57" spans="1:24" x14ac:dyDescent="0.25">
      <c r="A57" s="618" t="s">
        <v>415</v>
      </c>
      <c r="B57" s="509" t="s">
        <v>513</v>
      </c>
      <c r="C57" s="509" t="s">
        <v>515</v>
      </c>
      <c r="D57" s="533" t="s">
        <v>416</v>
      </c>
    </row>
    <row r="58" spans="1:24" x14ac:dyDescent="0.25">
      <c r="A58" s="628" t="s">
        <v>556</v>
      </c>
      <c r="B58" s="629">
        <v>48468</v>
      </c>
      <c r="C58" s="629">
        <v>38698</v>
      </c>
      <c r="D58" s="630">
        <v>87166</v>
      </c>
    </row>
    <row r="59" spans="1:24" x14ac:dyDescent="0.25">
      <c r="A59" s="628" t="s">
        <v>12</v>
      </c>
      <c r="B59" s="629">
        <v>4778</v>
      </c>
      <c r="C59" s="629">
        <v>2773</v>
      </c>
      <c r="D59" s="630">
        <v>7551</v>
      </c>
    </row>
    <row r="60" spans="1:24" x14ac:dyDescent="0.25">
      <c r="A60" s="628" t="s">
        <v>993</v>
      </c>
      <c r="B60" s="629">
        <v>49</v>
      </c>
      <c r="C60" s="629">
        <v>1047</v>
      </c>
      <c r="D60" s="630">
        <v>1096</v>
      </c>
    </row>
    <row r="61" spans="1:24" x14ac:dyDescent="0.25">
      <c r="A61" s="620" t="s">
        <v>416</v>
      </c>
      <c r="B61" s="621">
        <v>53295</v>
      </c>
      <c r="C61" s="621">
        <v>42518</v>
      </c>
      <c r="D61" s="622">
        <v>95813</v>
      </c>
    </row>
    <row r="62" spans="1:24" x14ac:dyDescent="0.25">
      <c r="A62"/>
      <c r="B62"/>
      <c r="C62"/>
      <c r="D62"/>
    </row>
    <row r="65" spans="1:4" x14ac:dyDescent="0.25">
      <c r="A65" s="615" t="s">
        <v>500</v>
      </c>
      <c r="B65" s="616" t="s">
        <v>502</v>
      </c>
    </row>
    <row r="66" spans="1:4" x14ac:dyDescent="0.25">
      <c r="A66" s="615" t="s">
        <v>1263</v>
      </c>
      <c r="B66" s="616" t="s">
        <v>1204</v>
      </c>
    </row>
    <row r="68" spans="1:4" x14ac:dyDescent="0.25">
      <c r="A68" s="638" t="s">
        <v>947</v>
      </c>
      <c r="B68" s="639" t="s">
        <v>831</v>
      </c>
      <c r="C68" s="604"/>
      <c r="D68" s="605"/>
    </row>
    <row r="69" spans="1:4" x14ac:dyDescent="0.25">
      <c r="A69" s="640" t="s">
        <v>415</v>
      </c>
      <c r="B69" s="493" t="s">
        <v>513</v>
      </c>
      <c r="C69" s="493" t="s">
        <v>515</v>
      </c>
      <c r="D69" s="549" t="s">
        <v>416</v>
      </c>
    </row>
    <row r="70" spans="1:4" x14ac:dyDescent="0.25">
      <c r="A70" s="641" t="s">
        <v>556</v>
      </c>
      <c r="B70" s="534">
        <v>120</v>
      </c>
      <c r="C70" s="534">
        <v>17</v>
      </c>
      <c r="D70" s="642">
        <v>137</v>
      </c>
    </row>
    <row r="71" spans="1:4" x14ac:dyDescent="0.25">
      <c r="A71" s="641" t="s">
        <v>12</v>
      </c>
      <c r="B71" s="534">
        <v>22</v>
      </c>
      <c r="C71" s="534">
        <v>4</v>
      </c>
      <c r="D71" s="642">
        <v>26</v>
      </c>
    </row>
    <row r="72" spans="1:4" x14ac:dyDescent="0.25">
      <c r="A72" s="641" t="s">
        <v>993</v>
      </c>
      <c r="B72" s="534">
        <v>1</v>
      </c>
      <c r="C72" s="534">
        <v>1</v>
      </c>
      <c r="D72" s="642">
        <v>2</v>
      </c>
    </row>
    <row r="73" spans="1:4" x14ac:dyDescent="0.25">
      <c r="A73" s="643" t="s">
        <v>416</v>
      </c>
      <c r="B73" s="644">
        <v>143</v>
      </c>
      <c r="C73" s="644">
        <v>22</v>
      </c>
      <c r="D73" s="645">
        <v>165</v>
      </c>
    </row>
    <row r="74" spans="1:4" x14ac:dyDescent="0.25">
      <c r="A74"/>
      <c r="B74"/>
      <c r="C74"/>
      <c r="D74"/>
    </row>
    <row r="78" spans="1:4" x14ac:dyDescent="0.25">
      <c r="A78" s="669" t="s">
        <v>500</v>
      </c>
      <c r="B78" s="670" t="s">
        <v>502</v>
      </c>
    </row>
    <row r="79" spans="1:4" x14ac:dyDescent="0.25">
      <c r="A79" s="733" t="s">
        <v>1263</v>
      </c>
      <c r="B79" s="732" t="s">
        <v>1204</v>
      </c>
      <c r="C79" s="383" t="s">
        <v>422</v>
      </c>
    </row>
    <row r="81" spans="1:4" x14ac:dyDescent="0.25">
      <c r="A81" s="617" t="s">
        <v>415</v>
      </c>
      <c r="B81" s="531" t="s">
        <v>1188</v>
      </c>
      <c r="C81" s="531" t="s">
        <v>832</v>
      </c>
      <c r="D81" s="532" t="s">
        <v>1189</v>
      </c>
    </row>
    <row r="82" spans="1:4" x14ac:dyDescent="0.25">
      <c r="A82" s="619" t="s">
        <v>380</v>
      </c>
      <c r="B82" s="624">
        <v>138</v>
      </c>
      <c r="C82" s="624">
        <v>87845</v>
      </c>
      <c r="D82" s="632">
        <v>0.91683800736851995</v>
      </c>
    </row>
    <row r="83" spans="1:4" x14ac:dyDescent="0.25">
      <c r="A83" s="612" t="s">
        <v>513</v>
      </c>
      <c r="B83" s="610"/>
      <c r="C83" s="610"/>
      <c r="D83" s="633"/>
    </row>
    <row r="84" spans="1:4" x14ac:dyDescent="0.25">
      <c r="A84" s="634" t="s">
        <v>993</v>
      </c>
      <c r="B84" s="610">
        <v>1</v>
      </c>
      <c r="C84" s="610">
        <v>49</v>
      </c>
      <c r="D84" s="635">
        <v>5.1141285629298741E-4</v>
      </c>
    </row>
    <row r="85" spans="1:4" x14ac:dyDescent="0.25">
      <c r="A85" s="634" t="s">
        <v>556</v>
      </c>
      <c r="B85" s="610">
        <v>100</v>
      </c>
      <c r="C85" s="610">
        <v>42154</v>
      </c>
      <c r="D85" s="635">
        <v>0.43996117437090998</v>
      </c>
    </row>
    <row r="86" spans="1:4" x14ac:dyDescent="0.25">
      <c r="A86" s="634" t="s">
        <v>12</v>
      </c>
      <c r="B86" s="610">
        <v>19</v>
      </c>
      <c r="C86" s="610">
        <v>4258</v>
      </c>
      <c r="D86" s="635">
        <v>4.4440733512153885E-2</v>
      </c>
    </row>
    <row r="87" spans="1:4" x14ac:dyDescent="0.25">
      <c r="A87" s="612" t="s">
        <v>515</v>
      </c>
      <c r="B87" s="610"/>
      <c r="C87" s="610"/>
      <c r="D87" s="635"/>
    </row>
    <row r="88" spans="1:4" x14ac:dyDescent="0.25">
      <c r="A88" s="634" t="s">
        <v>993</v>
      </c>
      <c r="B88" s="610">
        <v>1</v>
      </c>
      <c r="C88" s="610">
        <v>1047</v>
      </c>
      <c r="D88" s="635">
        <v>1.0927535929362403E-2</v>
      </c>
    </row>
    <row r="89" spans="1:4" x14ac:dyDescent="0.25">
      <c r="A89" s="634" t="s">
        <v>556</v>
      </c>
      <c r="B89" s="610">
        <v>16</v>
      </c>
      <c r="C89" s="610">
        <v>38646</v>
      </c>
      <c r="D89" s="635">
        <v>0.403348188659159</v>
      </c>
    </row>
    <row r="90" spans="1:4" x14ac:dyDescent="0.25">
      <c r="A90" s="634" t="s">
        <v>12</v>
      </c>
      <c r="B90" s="610">
        <v>1</v>
      </c>
      <c r="C90" s="610">
        <v>1691</v>
      </c>
      <c r="D90" s="635">
        <v>1.7648962040641668E-2</v>
      </c>
    </row>
    <row r="91" spans="1:4" x14ac:dyDescent="0.25">
      <c r="A91" s="636" t="s">
        <v>555</v>
      </c>
      <c r="B91" s="610">
        <v>27</v>
      </c>
      <c r="C91" s="610">
        <v>7968</v>
      </c>
      <c r="D91" s="635">
        <v>8.3161992631480067E-2</v>
      </c>
    </row>
    <row r="92" spans="1:4" x14ac:dyDescent="0.25">
      <c r="A92" s="613" t="s">
        <v>416</v>
      </c>
      <c r="B92" s="614">
        <v>165</v>
      </c>
      <c r="C92" s="614">
        <v>95813</v>
      </c>
      <c r="D92" s="637">
        <v>1</v>
      </c>
    </row>
    <row r="93" spans="1:4" x14ac:dyDescent="0.25">
      <c r="A93"/>
      <c r="B93"/>
      <c r="C93"/>
      <c r="D93"/>
    </row>
    <row r="94" spans="1:4" x14ac:dyDescent="0.25">
      <c r="A94" s="384"/>
      <c r="B94" s="384"/>
      <c r="C94" s="384"/>
      <c r="D94" s="384"/>
    </row>
    <row r="95" spans="1:4" x14ac:dyDescent="0.25">
      <c r="A95" s="384"/>
      <c r="B95" s="384"/>
      <c r="C95" s="384"/>
      <c r="D95" s="384"/>
    </row>
    <row r="96" spans="1:4" x14ac:dyDescent="0.25">
      <c r="A96" s="384"/>
      <c r="B96" s="384"/>
      <c r="C96" s="384"/>
      <c r="D96" s="384"/>
    </row>
    <row r="97" spans="1:4" x14ac:dyDescent="0.25">
      <c r="A97" s="384"/>
      <c r="B97" s="384"/>
      <c r="C97" s="384"/>
      <c r="D97" s="384"/>
    </row>
    <row r="98" spans="1:4" x14ac:dyDescent="0.25">
      <c r="A98" s="384"/>
      <c r="B98" s="384"/>
      <c r="C98" s="384"/>
      <c r="D98" s="384"/>
    </row>
    <row r="99" spans="1:4" x14ac:dyDescent="0.25">
      <c r="A99" s="384"/>
      <c r="B99" s="384"/>
      <c r="C99" s="384"/>
      <c r="D99" s="384"/>
    </row>
    <row r="100" spans="1:4" x14ac:dyDescent="0.25">
      <c r="A100" s="384"/>
      <c r="B100" s="384"/>
      <c r="C100" s="384"/>
      <c r="D100" s="384"/>
    </row>
    <row r="101" spans="1:4" x14ac:dyDescent="0.25">
      <c r="A101" s="384"/>
      <c r="B101" s="384"/>
      <c r="C101" s="384"/>
      <c r="D101" s="384"/>
    </row>
    <row r="102" spans="1:4" x14ac:dyDescent="0.25">
      <c r="A102" s="384"/>
      <c r="B102" s="384"/>
      <c r="C102" s="384"/>
      <c r="D102" s="384"/>
    </row>
    <row r="103" spans="1:4" x14ac:dyDescent="0.25">
      <c r="A103" s="384"/>
      <c r="B103" s="384"/>
      <c r="C103" s="384"/>
      <c r="D103" s="384"/>
    </row>
    <row r="104" spans="1:4" x14ac:dyDescent="0.25">
      <c r="A104" s="384"/>
      <c r="B104" s="384"/>
      <c r="C104" s="384"/>
      <c r="D104" s="384"/>
    </row>
    <row r="105" spans="1:4" x14ac:dyDescent="0.25">
      <c r="A105" s="384"/>
      <c r="B105" s="384"/>
      <c r="C105" s="384"/>
      <c r="D105" s="384"/>
    </row>
    <row r="106" spans="1:4" x14ac:dyDescent="0.25">
      <c r="A106" s="384"/>
      <c r="B106" s="384"/>
      <c r="C106" s="384"/>
      <c r="D106" s="384"/>
    </row>
    <row r="107" spans="1:4" x14ac:dyDescent="0.25">
      <c r="A107" s="384"/>
      <c r="B107" s="384"/>
      <c r="C107" s="384"/>
      <c r="D107" s="384"/>
    </row>
    <row r="108" spans="1:4" x14ac:dyDescent="0.25">
      <c r="A108" s="384"/>
      <c r="B108" s="384"/>
      <c r="C108" s="384"/>
      <c r="D108" s="384"/>
    </row>
    <row r="109" spans="1:4" x14ac:dyDescent="0.25">
      <c r="A109" s="384"/>
      <c r="B109" s="384"/>
      <c r="C109" s="384"/>
      <c r="D109" s="384"/>
    </row>
    <row r="110" spans="1:4" x14ac:dyDescent="0.25">
      <c r="A110" s="384"/>
      <c r="B110" s="384"/>
      <c r="C110" s="384"/>
      <c r="D110" s="384"/>
    </row>
    <row r="111" spans="1:4" x14ac:dyDescent="0.25">
      <c r="A111" s="384"/>
      <c r="B111" s="384"/>
      <c r="C111" s="384"/>
      <c r="D111" s="384"/>
    </row>
    <row r="112" spans="1:4" x14ac:dyDescent="0.25">
      <c r="A112" s="384"/>
      <c r="B112" s="384"/>
      <c r="C112" s="384"/>
      <c r="D112" s="384"/>
    </row>
    <row r="113" spans="1:4" x14ac:dyDescent="0.25">
      <c r="A113" s="384"/>
      <c r="B113" s="384"/>
      <c r="C113" s="384"/>
      <c r="D113" s="384"/>
    </row>
    <row r="114" spans="1:4" x14ac:dyDescent="0.25">
      <c r="A114" s="384"/>
      <c r="B114" s="384"/>
      <c r="C114" s="384"/>
      <c r="D114" s="384"/>
    </row>
    <row r="115" spans="1:4" x14ac:dyDescent="0.25">
      <c r="A115" s="384"/>
      <c r="B115" s="384"/>
      <c r="C115" s="384"/>
      <c r="D115" s="384"/>
    </row>
    <row r="116" spans="1:4" x14ac:dyDescent="0.25">
      <c r="A116" s="384"/>
      <c r="B116" s="384"/>
      <c r="C116" s="384"/>
      <c r="D116" s="384"/>
    </row>
    <row r="117" spans="1:4" x14ac:dyDescent="0.25">
      <c r="A117" s="384"/>
      <c r="B117" s="384"/>
      <c r="C117" s="384"/>
      <c r="D117" s="384"/>
    </row>
    <row r="118" spans="1:4" x14ac:dyDescent="0.25">
      <c r="A118" s="384"/>
      <c r="B118" s="384"/>
      <c r="C118" s="384"/>
      <c r="D118" s="384"/>
    </row>
    <row r="119" spans="1:4" x14ac:dyDescent="0.25">
      <c r="A119" s="384"/>
      <c r="B119" s="384"/>
      <c r="C119" s="384"/>
      <c r="D119" s="384"/>
    </row>
    <row r="120" spans="1:4" x14ac:dyDescent="0.25">
      <c r="A120" s="384"/>
      <c r="B120" s="384"/>
      <c r="C120" s="384"/>
      <c r="D120" s="384"/>
    </row>
    <row r="121" spans="1:4" x14ac:dyDescent="0.25">
      <c r="A121" s="384"/>
      <c r="B121" s="384"/>
      <c r="C121" s="384"/>
      <c r="D121" s="384"/>
    </row>
    <row r="122" spans="1:4" x14ac:dyDescent="0.25">
      <c r="A122" s="384"/>
      <c r="B122" s="384"/>
      <c r="C122" s="384"/>
      <c r="D122" s="384"/>
    </row>
    <row r="123" spans="1:4" x14ac:dyDescent="0.25">
      <c r="A123" s="384"/>
      <c r="B123" s="384"/>
      <c r="C123" s="384"/>
      <c r="D123" s="384"/>
    </row>
    <row r="124" spans="1:4" x14ac:dyDescent="0.25">
      <c r="A124" s="384"/>
      <c r="B124" s="384"/>
      <c r="C124" s="384"/>
      <c r="D124" s="384"/>
    </row>
    <row r="125" spans="1:4" x14ac:dyDescent="0.25">
      <c r="A125" s="384"/>
      <c r="B125" s="384"/>
      <c r="C125" s="384"/>
      <c r="D125" s="384"/>
    </row>
    <row r="126" spans="1:4" x14ac:dyDescent="0.25">
      <c r="A126" s="384"/>
      <c r="B126" s="384"/>
      <c r="C126" s="384"/>
      <c r="D126" s="384"/>
    </row>
    <row r="127" spans="1:4" x14ac:dyDescent="0.25">
      <c r="A127" s="384"/>
      <c r="B127" s="384"/>
      <c r="C127" s="384"/>
      <c r="D127" s="384"/>
    </row>
    <row r="128" spans="1:4" x14ac:dyDescent="0.25">
      <c r="A128" s="384"/>
      <c r="B128" s="384"/>
      <c r="C128" s="384"/>
      <c r="D128" s="384"/>
    </row>
    <row r="129" spans="1:4" x14ac:dyDescent="0.25">
      <c r="A129" s="384"/>
      <c r="B129" s="384"/>
      <c r="C129" s="384"/>
      <c r="D129" s="384"/>
    </row>
    <row r="130" spans="1:4" x14ac:dyDescent="0.25">
      <c r="A130" s="384"/>
      <c r="B130" s="384"/>
      <c r="C130" s="384"/>
      <c r="D130" s="384"/>
    </row>
    <row r="131" spans="1:4" x14ac:dyDescent="0.25">
      <c r="A131" s="384"/>
      <c r="B131" s="384"/>
      <c r="C131" s="384"/>
      <c r="D131" s="384"/>
    </row>
    <row r="132" spans="1:4" x14ac:dyDescent="0.25">
      <c r="A132" s="384"/>
      <c r="B132" s="384"/>
      <c r="C132" s="384"/>
      <c r="D132" s="384"/>
    </row>
    <row r="133" spans="1:4" x14ac:dyDescent="0.25">
      <c r="A133" s="384"/>
      <c r="B133" s="384"/>
      <c r="C133" s="384"/>
      <c r="D133" s="384"/>
    </row>
    <row r="134" spans="1:4" x14ac:dyDescent="0.25">
      <c r="A134" s="384"/>
      <c r="B134" s="384"/>
      <c r="C134" s="384"/>
      <c r="D134" s="384"/>
    </row>
    <row r="135" spans="1:4" x14ac:dyDescent="0.25">
      <c r="A135" s="384"/>
      <c r="B135" s="384"/>
      <c r="C135" s="384"/>
      <c r="D135" s="384"/>
    </row>
    <row r="136" spans="1:4" x14ac:dyDescent="0.25">
      <c r="A136" s="384"/>
      <c r="B136" s="384"/>
      <c r="C136" s="384"/>
      <c r="D136" s="384"/>
    </row>
    <row r="137" spans="1:4" x14ac:dyDescent="0.25">
      <c r="A137" s="384"/>
      <c r="B137" s="384"/>
      <c r="C137" s="384"/>
      <c r="D137" s="384"/>
    </row>
    <row r="138" spans="1:4" x14ac:dyDescent="0.25">
      <c r="A138" s="384"/>
      <c r="B138" s="384"/>
      <c r="C138" s="384"/>
      <c r="D138" s="384"/>
    </row>
    <row r="139" spans="1:4" x14ac:dyDescent="0.25">
      <c r="A139" s="384"/>
      <c r="B139" s="384"/>
      <c r="C139" s="384"/>
      <c r="D139" s="384"/>
    </row>
    <row r="140" spans="1:4" x14ac:dyDescent="0.25">
      <c r="A140" s="384"/>
      <c r="B140" s="384"/>
      <c r="C140" s="384"/>
      <c r="D140" s="384"/>
    </row>
    <row r="141" spans="1:4" x14ac:dyDescent="0.25">
      <c r="A141" s="384"/>
      <c r="B141" s="384"/>
      <c r="C141" s="384"/>
      <c r="D141" s="384"/>
    </row>
    <row r="142" spans="1:4" x14ac:dyDescent="0.25">
      <c r="A142" s="384"/>
      <c r="B142" s="384"/>
      <c r="C142" s="384"/>
      <c r="D142" s="384"/>
    </row>
    <row r="143" spans="1:4" x14ac:dyDescent="0.25">
      <c r="A143" s="384"/>
      <c r="B143" s="384"/>
      <c r="C143" s="384"/>
      <c r="D143" s="384"/>
    </row>
    <row r="144" spans="1:4" x14ac:dyDescent="0.25">
      <c r="A144" s="384"/>
      <c r="B144" s="384"/>
      <c r="C144" s="384"/>
      <c r="D144" s="384"/>
    </row>
    <row r="145" spans="1:4" x14ac:dyDescent="0.25">
      <c r="A145" s="384"/>
      <c r="B145" s="384"/>
      <c r="C145" s="384"/>
      <c r="D145" s="384"/>
    </row>
    <row r="146" spans="1:4" x14ac:dyDescent="0.25">
      <c r="A146" s="384"/>
      <c r="B146" s="384"/>
      <c r="C146" s="384"/>
      <c r="D146" s="384"/>
    </row>
    <row r="147" spans="1:4" x14ac:dyDescent="0.25">
      <c r="A147" s="384"/>
      <c r="B147" s="384"/>
      <c r="C147" s="384"/>
      <c r="D147" s="384"/>
    </row>
    <row r="148" spans="1:4" x14ac:dyDescent="0.25">
      <c r="A148" s="384"/>
      <c r="B148" s="384"/>
      <c r="C148" s="384"/>
      <c r="D148" s="384"/>
    </row>
    <row r="149" spans="1:4" x14ac:dyDescent="0.25">
      <c r="A149" s="384"/>
      <c r="B149" s="384"/>
      <c r="C149" s="384"/>
      <c r="D149" s="384"/>
    </row>
    <row r="150" spans="1:4" x14ac:dyDescent="0.25">
      <c r="A150" s="384"/>
      <c r="B150" s="384"/>
      <c r="C150" s="384"/>
      <c r="D150" s="384"/>
    </row>
    <row r="151" spans="1:4" x14ac:dyDescent="0.25">
      <c r="A151" s="384"/>
      <c r="B151" s="384"/>
      <c r="C151" s="384"/>
      <c r="D151" s="384"/>
    </row>
    <row r="152" spans="1:4" x14ac:dyDescent="0.25">
      <c r="A152" s="384"/>
      <c r="B152" s="384"/>
      <c r="C152" s="384"/>
      <c r="D152" s="384"/>
    </row>
    <row r="153" spans="1:4" x14ac:dyDescent="0.25">
      <c r="A153" s="384"/>
      <c r="B153" s="384"/>
      <c r="C153" s="384"/>
      <c r="D153" s="384"/>
    </row>
    <row r="154" spans="1:4" x14ac:dyDescent="0.25">
      <c r="A154" s="384"/>
      <c r="B154" s="384"/>
      <c r="C154" s="384"/>
      <c r="D154" s="384"/>
    </row>
    <row r="155" spans="1:4" x14ac:dyDescent="0.25">
      <c r="A155" s="384"/>
      <c r="B155" s="384"/>
      <c r="C155" s="384"/>
      <c r="D155" s="384"/>
    </row>
    <row r="156" spans="1:4" x14ac:dyDescent="0.25">
      <c r="A156" s="384"/>
      <c r="B156" s="384"/>
      <c r="C156" s="384"/>
      <c r="D156" s="384"/>
    </row>
    <row r="157" spans="1:4" x14ac:dyDescent="0.25">
      <c r="A157" s="384"/>
      <c r="B157" s="384"/>
      <c r="C157" s="384"/>
      <c r="D157" s="384"/>
    </row>
    <row r="158" spans="1:4" x14ac:dyDescent="0.25">
      <c r="A158" s="129"/>
      <c r="B158" s="129"/>
      <c r="C158" s="129"/>
      <c r="D158" s="129"/>
    </row>
    <row r="159" spans="1:4" x14ac:dyDescent="0.25">
      <c r="A159" s="129"/>
      <c r="B159" s="129"/>
      <c r="C159" s="129"/>
      <c r="D159" s="129"/>
    </row>
    <row r="160" spans="1:4" x14ac:dyDescent="0.25">
      <c r="A160" s="129"/>
      <c r="B160" s="129"/>
      <c r="C160" s="129"/>
      <c r="D160" s="129"/>
    </row>
    <row r="161" spans="1:4" x14ac:dyDescent="0.25">
      <c r="A161" s="129"/>
      <c r="B161" s="129"/>
      <c r="C161" s="129"/>
      <c r="D161" s="129"/>
    </row>
    <row r="162" spans="1:4" x14ac:dyDescent="0.25">
      <c r="A162" s="129"/>
      <c r="B162" s="129"/>
      <c r="C162" s="129"/>
      <c r="D162" s="129"/>
    </row>
    <row r="163" spans="1:4" x14ac:dyDescent="0.25">
      <c r="A163" s="129"/>
      <c r="B163" s="129"/>
      <c r="C163" s="129"/>
      <c r="D163" s="129"/>
    </row>
    <row r="164" spans="1:4" x14ac:dyDescent="0.25">
      <c r="A164" s="129"/>
      <c r="B164" s="129"/>
      <c r="C164" s="129"/>
      <c r="D164" s="129"/>
    </row>
    <row r="165" spans="1:4" x14ac:dyDescent="0.25">
      <c r="A165" s="129"/>
      <c r="B165" s="129"/>
      <c r="C165" s="129"/>
      <c r="D165" s="129"/>
    </row>
    <row r="166" spans="1:4" x14ac:dyDescent="0.25">
      <c r="A166" s="129"/>
      <c r="B166" s="129"/>
      <c r="C166" s="129"/>
      <c r="D166" s="129"/>
    </row>
    <row r="167" spans="1:4" x14ac:dyDescent="0.25">
      <c r="A167" s="129"/>
      <c r="B167" s="129"/>
      <c r="C167" s="129"/>
      <c r="D167" s="129"/>
    </row>
    <row r="168" spans="1:4" x14ac:dyDescent="0.25">
      <c r="A168" s="129"/>
      <c r="B168" s="129"/>
      <c r="C168" s="129"/>
      <c r="D168" s="129"/>
    </row>
    <row r="169" spans="1:4" x14ac:dyDescent="0.25">
      <c r="A169" s="129"/>
      <c r="B169" s="129"/>
      <c r="C169" s="129"/>
      <c r="D169" s="129"/>
    </row>
    <row r="170" spans="1:4" x14ac:dyDescent="0.25">
      <c r="A170" s="129"/>
      <c r="B170" s="129"/>
      <c r="C170" s="129"/>
      <c r="D170" s="129"/>
    </row>
    <row r="171" spans="1:4" x14ac:dyDescent="0.25">
      <c r="A171" s="129"/>
      <c r="B171" s="129"/>
      <c r="C171" s="129"/>
      <c r="D171" s="129"/>
    </row>
    <row r="172" spans="1:4" x14ac:dyDescent="0.25">
      <c r="A172" s="129"/>
      <c r="B172" s="129"/>
      <c r="C172" s="129"/>
      <c r="D172" s="129"/>
    </row>
    <row r="173" spans="1:4" x14ac:dyDescent="0.25">
      <c r="A173" s="129"/>
      <c r="B173" s="129"/>
      <c r="C173" s="129"/>
      <c r="D173" s="129"/>
    </row>
    <row r="174" spans="1:4" x14ac:dyDescent="0.25">
      <c r="A174" s="129"/>
      <c r="B174" s="129"/>
      <c r="C174" s="129"/>
      <c r="D174" s="129"/>
    </row>
    <row r="175" spans="1:4" x14ac:dyDescent="0.25">
      <c r="A175" s="129"/>
      <c r="B175" s="129"/>
      <c r="C175" s="129"/>
      <c r="D175" s="129"/>
    </row>
    <row r="176" spans="1:4" x14ac:dyDescent="0.25">
      <c r="A176" s="129"/>
      <c r="B176" s="129"/>
      <c r="C176" s="129"/>
      <c r="D176" s="129"/>
    </row>
    <row r="177" spans="1:4" x14ac:dyDescent="0.25">
      <c r="A177" s="129"/>
      <c r="B177" s="129"/>
      <c r="C177" s="129"/>
      <c r="D177" s="129"/>
    </row>
    <row r="178" spans="1:4" x14ac:dyDescent="0.25">
      <c r="A178" s="129"/>
      <c r="B178" s="129"/>
      <c r="C178" s="129"/>
      <c r="D178" s="129"/>
    </row>
    <row r="179" spans="1:4" x14ac:dyDescent="0.25">
      <c r="A179" s="129"/>
      <c r="B179" s="129"/>
      <c r="C179" s="129"/>
      <c r="D179" s="129"/>
    </row>
    <row r="180" spans="1:4" x14ac:dyDescent="0.25">
      <c r="A180" s="129"/>
      <c r="B180" s="129"/>
      <c r="C180" s="129"/>
      <c r="D180" s="129"/>
    </row>
    <row r="181" spans="1:4" x14ac:dyDescent="0.25">
      <c r="A181" s="129"/>
      <c r="B181" s="129"/>
      <c r="C181" s="129"/>
      <c r="D181" s="129"/>
    </row>
    <row r="182" spans="1:4" x14ac:dyDescent="0.25">
      <c r="A182" s="129"/>
      <c r="B182" s="129"/>
      <c r="C182" s="129"/>
      <c r="D182" s="129"/>
    </row>
    <row r="183" spans="1:4" x14ac:dyDescent="0.25">
      <c r="A183" s="129"/>
      <c r="B183" s="129"/>
      <c r="C183" s="129"/>
      <c r="D183" s="129"/>
    </row>
    <row r="184" spans="1:4" x14ac:dyDescent="0.25">
      <c r="A184" s="129"/>
      <c r="B184" s="129"/>
      <c r="C184" s="129"/>
      <c r="D184" s="129"/>
    </row>
    <row r="185" spans="1:4" x14ac:dyDescent="0.25">
      <c r="A185" s="129"/>
      <c r="B185" s="129"/>
      <c r="C185" s="129"/>
      <c r="D185" s="129"/>
    </row>
    <row r="186" spans="1:4" x14ac:dyDescent="0.25">
      <c r="A186" s="129"/>
      <c r="B186" s="129"/>
      <c r="C186" s="129"/>
      <c r="D186" s="129"/>
    </row>
    <row r="187" spans="1:4" x14ac:dyDescent="0.25">
      <c r="A187" s="129"/>
      <c r="B187" s="129"/>
      <c r="C187" s="129"/>
      <c r="D187" s="129"/>
    </row>
    <row r="188" spans="1:4" x14ac:dyDescent="0.25">
      <c r="A188" s="129"/>
      <c r="B188" s="129"/>
      <c r="C188" s="129"/>
      <c r="D188" s="129"/>
    </row>
    <row r="189" spans="1:4" x14ac:dyDescent="0.25">
      <c r="A189" s="129"/>
      <c r="B189" s="129"/>
      <c r="C189" s="129"/>
      <c r="D189" s="129"/>
    </row>
    <row r="190" spans="1:4" x14ac:dyDescent="0.25">
      <c r="A190" s="129"/>
      <c r="B190" s="129"/>
      <c r="C190" s="129"/>
      <c r="D190" s="129"/>
    </row>
    <row r="191" spans="1:4" x14ac:dyDescent="0.25">
      <c r="A191" s="129"/>
      <c r="B191" s="129"/>
      <c r="C191" s="129"/>
      <c r="D191" s="129"/>
    </row>
    <row r="192" spans="1:4" x14ac:dyDescent="0.25">
      <c r="A192" s="129"/>
      <c r="B192" s="129"/>
      <c r="C192" s="129"/>
      <c r="D192" s="129"/>
    </row>
    <row r="193" spans="1:4" x14ac:dyDescent="0.25">
      <c r="A193" s="129"/>
      <c r="B193" s="129"/>
      <c r="C193" s="129"/>
      <c r="D193" s="129"/>
    </row>
    <row r="194" spans="1:4" x14ac:dyDescent="0.25">
      <c r="A194" s="129"/>
      <c r="B194" s="129"/>
      <c r="C194" s="129"/>
      <c r="D194" s="129"/>
    </row>
    <row r="195" spans="1:4" x14ac:dyDescent="0.25">
      <c r="A195" s="129"/>
      <c r="B195" s="129"/>
      <c r="C195" s="129"/>
      <c r="D195" s="129"/>
    </row>
    <row r="196" spans="1:4" x14ac:dyDescent="0.25">
      <c r="A196" s="129"/>
      <c r="B196" s="129"/>
      <c r="C196" s="129"/>
      <c r="D196" s="129"/>
    </row>
    <row r="197" spans="1:4" x14ac:dyDescent="0.25">
      <c r="A197" s="129"/>
      <c r="B197" s="129"/>
      <c r="C197" s="129"/>
      <c r="D197" s="129"/>
    </row>
    <row r="198" spans="1:4" x14ac:dyDescent="0.25">
      <c r="A198" s="129"/>
      <c r="B198" s="129"/>
      <c r="C198" s="129"/>
      <c r="D198" s="129"/>
    </row>
    <row r="199" spans="1:4" x14ac:dyDescent="0.25">
      <c r="A199" s="129"/>
      <c r="B199" s="129"/>
      <c r="C199" s="129"/>
      <c r="D199" s="129"/>
    </row>
    <row r="200" spans="1:4" x14ac:dyDescent="0.25">
      <c r="A200" s="129"/>
      <c r="B200" s="129"/>
      <c r="C200" s="129"/>
      <c r="D200" s="129"/>
    </row>
    <row r="201" spans="1:4" x14ac:dyDescent="0.25">
      <c r="A201" s="129"/>
      <c r="B201" s="129"/>
      <c r="C201" s="129"/>
      <c r="D201" s="129"/>
    </row>
    <row r="202" spans="1:4" x14ac:dyDescent="0.25">
      <c r="A202" s="129"/>
      <c r="B202" s="129"/>
      <c r="C202" s="129"/>
      <c r="D202" s="129"/>
    </row>
    <row r="203" spans="1:4" x14ac:dyDescent="0.25">
      <c r="A203" s="129"/>
      <c r="B203" s="129"/>
      <c r="C203" s="129"/>
      <c r="D203" s="129"/>
    </row>
    <row r="204" spans="1:4" x14ac:dyDescent="0.25">
      <c r="A204" s="129"/>
      <c r="B204" s="129"/>
      <c r="C204" s="129"/>
      <c r="D204" s="129"/>
    </row>
    <row r="205" spans="1:4" x14ac:dyDescent="0.25">
      <c r="A205" s="129"/>
      <c r="B205" s="129"/>
      <c r="C205" s="129"/>
      <c r="D205" s="129"/>
    </row>
    <row r="206" spans="1:4" x14ac:dyDescent="0.25">
      <c r="A206" s="129"/>
      <c r="B206" s="129"/>
      <c r="C206" s="129"/>
      <c r="D206" s="129"/>
    </row>
    <row r="207" spans="1:4" x14ac:dyDescent="0.25">
      <c r="A207" s="129"/>
      <c r="B207" s="129"/>
      <c r="C207" s="129"/>
      <c r="D207" s="129"/>
    </row>
    <row r="208" spans="1:4" x14ac:dyDescent="0.25">
      <c r="A208" s="129"/>
      <c r="B208" s="129"/>
      <c r="C208" s="129"/>
      <c r="D208" s="129"/>
    </row>
    <row r="209" spans="1:4" x14ac:dyDescent="0.25">
      <c r="A209" s="129"/>
      <c r="B209" s="129"/>
      <c r="C209" s="129"/>
      <c r="D209" s="129"/>
    </row>
    <row r="210" spans="1:4" x14ac:dyDescent="0.25">
      <c r="A210" s="129"/>
      <c r="B210" s="129"/>
      <c r="C210" s="129"/>
      <c r="D210" s="129"/>
    </row>
    <row r="211" spans="1:4" x14ac:dyDescent="0.25">
      <c r="A211" s="129"/>
      <c r="B211" s="129"/>
      <c r="C211" s="129"/>
      <c r="D211" s="129"/>
    </row>
    <row r="212" spans="1:4" x14ac:dyDescent="0.25">
      <c r="A212" s="129"/>
      <c r="B212" s="129"/>
      <c r="C212" s="129"/>
      <c r="D212" s="129"/>
    </row>
    <row r="213" spans="1:4" x14ac:dyDescent="0.25">
      <c r="A213" s="129"/>
      <c r="B213" s="129"/>
      <c r="C213" s="129"/>
      <c r="D213" s="129"/>
    </row>
    <row r="214" spans="1:4" x14ac:dyDescent="0.25">
      <c r="A214" s="129"/>
      <c r="B214" s="129"/>
      <c r="C214" s="129"/>
      <c r="D214" s="129"/>
    </row>
    <row r="215" spans="1:4" x14ac:dyDescent="0.25">
      <c r="A215" s="129"/>
      <c r="B215" s="129"/>
      <c r="C215" s="129"/>
      <c r="D215" s="129"/>
    </row>
    <row r="216" spans="1:4" x14ac:dyDescent="0.25">
      <c r="A216" s="129"/>
      <c r="B216" s="129"/>
      <c r="C216" s="129"/>
      <c r="D216" s="129"/>
    </row>
    <row r="217" spans="1:4" x14ac:dyDescent="0.25">
      <c r="A217" s="129"/>
      <c r="B217" s="129"/>
      <c r="C217" s="129"/>
      <c r="D217" s="129"/>
    </row>
    <row r="218" spans="1:4" x14ac:dyDescent="0.25">
      <c r="A218" s="129"/>
      <c r="B218" s="129"/>
      <c r="C218" s="129"/>
      <c r="D218" s="129"/>
    </row>
    <row r="219" spans="1:4" x14ac:dyDescent="0.25">
      <c r="A219" s="129"/>
      <c r="B219" s="129"/>
      <c r="C219" s="129"/>
      <c r="D219" s="129"/>
    </row>
    <row r="220" spans="1:4" x14ac:dyDescent="0.25">
      <c r="A220" s="129"/>
      <c r="B220" s="129"/>
      <c r="C220" s="129"/>
      <c r="D220" s="129"/>
    </row>
    <row r="221" spans="1:4" x14ac:dyDescent="0.25">
      <c r="A221" s="129"/>
      <c r="B221" s="129"/>
      <c r="C221" s="129"/>
      <c r="D221" s="129"/>
    </row>
    <row r="222" spans="1:4" x14ac:dyDescent="0.25">
      <c r="A222" s="129"/>
      <c r="B222" s="129"/>
      <c r="C222" s="129"/>
      <c r="D222" s="129"/>
    </row>
    <row r="223" spans="1:4" x14ac:dyDescent="0.25">
      <c r="A223" s="129"/>
      <c r="B223" s="129"/>
      <c r="C223" s="129"/>
      <c r="D223" s="129"/>
    </row>
    <row r="224" spans="1:4" x14ac:dyDescent="0.25">
      <c r="A224" s="129"/>
      <c r="B224" s="129"/>
      <c r="C224" s="129"/>
      <c r="D224" s="129"/>
    </row>
    <row r="225" spans="1:4" x14ac:dyDescent="0.25">
      <c r="A225" s="129"/>
      <c r="B225" s="129"/>
      <c r="C225" s="129"/>
      <c r="D225" s="129"/>
    </row>
    <row r="226" spans="1:4" x14ac:dyDescent="0.25">
      <c r="A226" s="129"/>
      <c r="B226" s="129"/>
      <c r="C226" s="129"/>
      <c r="D226" s="129"/>
    </row>
    <row r="227" spans="1:4" x14ac:dyDescent="0.25">
      <c r="A227" s="129"/>
      <c r="B227" s="129"/>
      <c r="C227" s="129"/>
      <c r="D227" s="129"/>
    </row>
    <row r="228" spans="1:4" x14ac:dyDescent="0.25">
      <c r="A228" s="129"/>
      <c r="B228" s="129"/>
      <c r="C228" s="129"/>
      <c r="D228" s="129"/>
    </row>
    <row r="229" spans="1:4" x14ac:dyDescent="0.25">
      <c r="A229" s="129"/>
      <c r="B229" s="129"/>
      <c r="C229" s="129"/>
      <c r="D229" s="129"/>
    </row>
    <row r="230" spans="1:4" x14ac:dyDescent="0.25">
      <c r="A230" s="129"/>
      <c r="B230" s="129"/>
      <c r="C230" s="129"/>
      <c r="D230" s="129"/>
    </row>
    <row r="231" spans="1:4" x14ac:dyDescent="0.25">
      <c r="A231" s="129"/>
      <c r="B231" s="129"/>
      <c r="C231" s="129"/>
      <c r="D231" s="129"/>
    </row>
    <row r="232" spans="1:4" x14ac:dyDescent="0.25">
      <c r="A232" s="129"/>
      <c r="B232" s="129"/>
      <c r="C232" s="129"/>
      <c r="D232" s="129"/>
    </row>
    <row r="233" spans="1:4" x14ac:dyDescent="0.25">
      <c r="A233" s="129"/>
      <c r="B233" s="129"/>
      <c r="C233" s="129"/>
      <c r="D233" s="129"/>
    </row>
    <row r="234" spans="1:4" x14ac:dyDescent="0.25">
      <c r="A234" s="129"/>
      <c r="B234" s="129"/>
      <c r="C234" s="129"/>
      <c r="D234" s="129"/>
    </row>
    <row r="235" spans="1:4" x14ac:dyDescent="0.25">
      <c r="A235" s="129"/>
      <c r="B235" s="129"/>
      <c r="C235" s="129"/>
      <c r="D235" s="129"/>
    </row>
    <row r="236" spans="1:4" x14ac:dyDescent="0.25">
      <c r="A236" s="129"/>
      <c r="B236" s="129"/>
      <c r="C236" s="129"/>
      <c r="D236" s="129"/>
    </row>
    <row r="237" spans="1:4" x14ac:dyDescent="0.25">
      <c r="A237" s="129"/>
      <c r="B237" s="129"/>
      <c r="C237" s="129"/>
      <c r="D237" s="129"/>
    </row>
    <row r="238" spans="1:4" x14ac:dyDescent="0.25">
      <c r="A238" s="129"/>
      <c r="B238" s="129"/>
      <c r="C238" s="129"/>
      <c r="D238" s="129"/>
    </row>
    <row r="239" spans="1:4" x14ac:dyDescent="0.25">
      <c r="A239" s="129"/>
      <c r="B239" s="129"/>
      <c r="C239" s="129"/>
      <c r="D239" s="129"/>
    </row>
    <row r="240" spans="1:4" x14ac:dyDescent="0.25">
      <c r="A240" s="129"/>
      <c r="B240" s="129"/>
      <c r="C240" s="129"/>
      <c r="D240" s="129"/>
    </row>
    <row r="241" spans="1:4" x14ac:dyDescent="0.25">
      <c r="A241" s="129"/>
      <c r="B241" s="129"/>
      <c r="C241" s="129"/>
      <c r="D241" s="129"/>
    </row>
    <row r="242" spans="1:4" x14ac:dyDescent="0.25">
      <c r="A242" s="129"/>
      <c r="B242" s="129"/>
      <c r="C242" s="129"/>
      <c r="D242" s="129"/>
    </row>
    <row r="243" spans="1:4" x14ac:dyDescent="0.25">
      <c r="A243" s="129"/>
      <c r="B243" s="129"/>
      <c r="C243" s="129"/>
      <c r="D243" s="129"/>
    </row>
    <row r="244" spans="1:4" x14ac:dyDescent="0.25">
      <c r="A244" s="129"/>
      <c r="B244" s="129"/>
      <c r="C244" s="129"/>
      <c r="D244" s="129"/>
    </row>
    <row r="245" spans="1:4" x14ac:dyDescent="0.25">
      <c r="A245" s="129"/>
      <c r="B245" s="129"/>
      <c r="C245" s="129"/>
      <c r="D245" s="129"/>
    </row>
    <row r="246" spans="1:4" x14ac:dyDescent="0.25">
      <c r="A246" s="129"/>
      <c r="B246" s="129"/>
      <c r="C246" s="129"/>
      <c r="D246" s="129"/>
    </row>
    <row r="247" spans="1:4" x14ac:dyDescent="0.25">
      <c r="A247" s="129"/>
      <c r="B247" s="129"/>
      <c r="C247" s="129"/>
      <c r="D247" s="129"/>
    </row>
    <row r="248" spans="1:4" x14ac:dyDescent="0.25">
      <c r="A248" s="129"/>
      <c r="B248" s="129"/>
      <c r="C248" s="129"/>
      <c r="D248" s="129"/>
    </row>
    <row r="249" spans="1:4" x14ac:dyDescent="0.25">
      <c r="A249" s="129"/>
      <c r="B249" s="129"/>
      <c r="C249" s="129"/>
      <c r="D249" s="129"/>
    </row>
    <row r="250" spans="1:4" x14ac:dyDescent="0.25">
      <c r="A250" s="129"/>
      <c r="B250" s="129"/>
      <c r="C250" s="129"/>
      <c r="D250" s="129"/>
    </row>
    <row r="251" spans="1:4" x14ac:dyDescent="0.25">
      <c r="A251" s="129"/>
      <c r="B251" s="129"/>
      <c r="C251" s="129"/>
      <c r="D251" s="129"/>
    </row>
    <row r="252" spans="1:4" x14ac:dyDescent="0.25">
      <c r="A252" s="129"/>
      <c r="B252" s="129"/>
      <c r="C252" s="129"/>
      <c r="D252" s="129"/>
    </row>
    <row r="253" spans="1:4" x14ac:dyDescent="0.25">
      <c r="A253" s="129"/>
      <c r="B253" s="129"/>
      <c r="C253" s="129"/>
      <c r="D253" s="129"/>
    </row>
    <row r="254" spans="1:4" x14ac:dyDescent="0.25">
      <c r="A254" s="129"/>
      <c r="B254" s="129"/>
      <c r="C254" s="129"/>
      <c r="D254" s="129"/>
    </row>
    <row r="255" spans="1:4" x14ac:dyDescent="0.25">
      <c r="A255" s="129"/>
      <c r="B255" s="129"/>
      <c r="C255" s="129"/>
      <c r="D255" s="129"/>
    </row>
    <row r="256" spans="1:4" x14ac:dyDescent="0.25">
      <c r="A256" s="129"/>
      <c r="B256" s="129"/>
      <c r="C256" s="129"/>
      <c r="D256" s="129"/>
    </row>
    <row r="257" spans="1:4" x14ac:dyDescent="0.25">
      <c r="A257" s="129"/>
      <c r="B257" s="129"/>
      <c r="C257" s="129"/>
      <c r="D257" s="129"/>
    </row>
    <row r="258" spans="1:4" x14ac:dyDescent="0.25">
      <c r="A258" s="129"/>
      <c r="B258" s="129"/>
      <c r="C258" s="129"/>
      <c r="D258" s="129"/>
    </row>
    <row r="259" spans="1:4" x14ac:dyDescent="0.25">
      <c r="A259" s="129"/>
      <c r="B259" s="129"/>
      <c r="C259" s="129"/>
      <c r="D259" s="129"/>
    </row>
    <row r="260" spans="1:4" x14ac:dyDescent="0.25">
      <c r="A260" s="129"/>
      <c r="B260" s="129"/>
      <c r="C260" s="129"/>
      <c r="D260" s="129"/>
    </row>
    <row r="261" spans="1:4" x14ac:dyDescent="0.25">
      <c r="A261" s="129"/>
      <c r="B261" s="129"/>
      <c r="C261" s="129"/>
      <c r="D261" s="129"/>
    </row>
    <row r="262" spans="1:4" x14ac:dyDescent="0.25">
      <c r="A262" s="129"/>
      <c r="B262" s="129"/>
      <c r="C262" s="129"/>
      <c r="D262" s="129"/>
    </row>
    <row r="263" spans="1:4" x14ac:dyDescent="0.25">
      <c r="A263" s="129"/>
      <c r="B263" s="129"/>
      <c r="C263" s="129"/>
      <c r="D263" s="129"/>
    </row>
    <row r="264" spans="1:4" x14ac:dyDescent="0.25">
      <c r="A264" s="129"/>
      <c r="B264" s="129"/>
      <c r="C264" s="129"/>
      <c r="D264" s="129"/>
    </row>
    <row r="265" spans="1:4" x14ac:dyDescent="0.25">
      <c r="A265" s="129"/>
      <c r="B265" s="129"/>
      <c r="C265" s="129"/>
      <c r="D265" s="129"/>
    </row>
  </sheetData>
  <printOptions horizontalCentered="1"/>
  <pageMargins left="0" right="0" top="0" bottom="0" header="0.3" footer="0.3"/>
  <pageSetup paperSize="9" scale="76" fitToWidth="0"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tint="0.59999389629810485"/>
  </sheetPr>
  <dimension ref="A1:K358"/>
  <sheetViews>
    <sheetView zoomScale="90" zoomScaleNormal="90" workbookViewId="0">
      <selection activeCell="L28" sqref="L28"/>
    </sheetView>
  </sheetViews>
  <sheetFormatPr defaultRowHeight="15" x14ac:dyDescent="0.25"/>
  <cols>
    <col min="1" max="1" width="11.28515625" style="129" customWidth="1"/>
    <col min="2" max="2" width="12.7109375" style="129" customWidth="1"/>
    <col min="3" max="3" width="47" style="129" bestFit="1" customWidth="1"/>
    <col min="4" max="4" width="19.140625" style="129" customWidth="1"/>
    <col min="5" max="5" width="15" style="129" customWidth="1"/>
    <col min="6" max="6" width="12" style="129" customWidth="1"/>
    <col min="7" max="7" width="10.7109375" style="25" customWidth="1"/>
    <col min="8" max="8" width="11.28515625" style="25" customWidth="1"/>
    <col min="9" max="9" width="9.7109375" style="129" customWidth="1"/>
    <col min="10" max="11" width="9.140625" style="129"/>
  </cols>
  <sheetData>
    <row r="1" spans="1:11" x14ac:dyDescent="0.25">
      <c r="A1" s="382"/>
      <c r="B1" s="253"/>
      <c r="C1" s="253"/>
      <c r="D1" s="253"/>
      <c r="E1" s="253"/>
      <c r="F1" s="253"/>
      <c r="G1" s="253"/>
      <c r="H1" s="254"/>
      <c r="I1" s="4"/>
      <c r="J1" s="4"/>
      <c r="K1" s="4"/>
    </row>
    <row r="2" spans="1:11" ht="28.5" x14ac:dyDescent="0.45">
      <c r="A2" s="388" t="s">
        <v>864</v>
      </c>
      <c r="B2" s="237"/>
      <c r="C2" s="237"/>
      <c r="D2" s="237"/>
      <c r="E2" s="237"/>
      <c r="F2" s="237"/>
      <c r="G2" s="237"/>
      <c r="H2" s="389"/>
      <c r="I2" s="128"/>
      <c r="J2" s="140"/>
      <c r="K2" s="140"/>
    </row>
    <row r="3" spans="1:11" ht="28.5" x14ac:dyDescent="0.45">
      <c r="A3" s="847">
        <f>Report_Date</f>
        <v>42370</v>
      </c>
      <c r="B3" s="848"/>
      <c r="C3" s="390"/>
      <c r="D3" s="390"/>
      <c r="E3" s="390"/>
      <c r="F3" s="390"/>
      <c r="G3" s="390"/>
      <c r="H3" s="391"/>
      <c r="I3" s="128"/>
      <c r="J3" s="141"/>
      <c r="K3" s="128"/>
    </row>
    <row r="4" spans="1:11" ht="17.25" customHeight="1" x14ac:dyDescent="0.45">
      <c r="A4" s="615" t="s">
        <v>500</v>
      </c>
      <c r="B4" s="616" t="s">
        <v>502</v>
      </c>
      <c r="C4" s="128"/>
      <c r="D4" s="128"/>
      <c r="E4" s="128"/>
      <c r="F4" s="128"/>
      <c r="G4" s="128"/>
      <c r="H4" s="128"/>
      <c r="I4" s="128"/>
      <c r="J4" s="141"/>
      <c r="K4" s="128"/>
    </row>
    <row r="5" spans="1:11" x14ac:dyDescent="0.25">
      <c r="A5" s="615" t="s">
        <v>1263</v>
      </c>
      <c r="B5" s="616" t="s">
        <v>1204</v>
      </c>
    </row>
    <row r="7" spans="1:11" ht="45" x14ac:dyDescent="0.25">
      <c r="A7" s="646" t="s">
        <v>396</v>
      </c>
      <c r="B7" s="647" t="s">
        <v>0</v>
      </c>
      <c r="C7" s="647" t="s">
        <v>556</v>
      </c>
      <c r="D7" s="647" t="s">
        <v>932</v>
      </c>
      <c r="E7" s="647" t="s">
        <v>1315</v>
      </c>
      <c r="F7" s="697" t="s">
        <v>933</v>
      </c>
      <c r="G7" s="648" t="s">
        <v>499</v>
      </c>
      <c r="H7" s="649" t="s">
        <v>866</v>
      </c>
      <c r="I7" s="649" t="s">
        <v>867</v>
      </c>
      <c r="J7" s="605" t="s">
        <v>1314</v>
      </c>
      <c r="K7" s="184"/>
    </row>
    <row r="8" spans="1:11" ht="11.25" customHeight="1" x14ac:dyDescent="0.25">
      <c r="A8" s="548" t="s">
        <v>380</v>
      </c>
      <c r="B8" s="493" t="s">
        <v>5</v>
      </c>
      <c r="C8" s="493" t="s">
        <v>6</v>
      </c>
      <c r="D8" s="493" t="s">
        <v>4</v>
      </c>
      <c r="E8" s="493" t="s">
        <v>556</v>
      </c>
      <c r="F8" s="493" t="s">
        <v>1096</v>
      </c>
      <c r="G8" s="493" t="s">
        <v>513</v>
      </c>
      <c r="H8" s="534">
        <v>274</v>
      </c>
      <c r="I8" s="534">
        <v>1349</v>
      </c>
      <c r="J8" s="642">
        <v>1</v>
      </c>
    </row>
    <row r="9" spans="1:11" ht="11.25" customHeight="1" x14ac:dyDescent="0.25">
      <c r="A9" s="548"/>
      <c r="B9" s="493"/>
      <c r="C9" s="493" t="s">
        <v>514</v>
      </c>
      <c r="D9" s="493" t="s">
        <v>377</v>
      </c>
      <c r="E9" s="493" t="s">
        <v>556</v>
      </c>
      <c r="F9" s="493" t="s">
        <v>462</v>
      </c>
      <c r="G9" s="493" t="s">
        <v>513</v>
      </c>
      <c r="H9" s="534">
        <v>12</v>
      </c>
      <c r="I9" s="534">
        <v>52</v>
      </c>
      <c r="J9" s="642">
        <v>1</v>
      </c>
    </row>
    <row r="10" spans="1:11" ht="11.25" customHeight="1" x14ac:dyDescent="0.25">
      <c r="A10" s="548"/>
      <c r="B10" s="493"/>
      <c r="C10" s="493" t="s">
        <v>12</v>
      </c>
      <c r="D10" s="493" t="s">
        <v>11</v>
      </c>
      <c r="E10" s="493" t="s">
        <v>12</v>
      </c>
      <c r="F10" s="493" t="s">
        <v>603</v>
      </c>
      <c r="G10" s="493" t="s">
        <v>513</v>
      </c>
      <c r="H10" s="534">
        <v>211</v>
      </c>
      <c r="I10" s="534">
        <v>989</v>
      </c>
      <c r="J10" s="642">
        <v>1</v>
      </c>
    </row>
    <row r="11" spans="1:11" x14ac:dyDescent="0.25">
      <c r="A11" s="548"/>
      <c r="B11" s="493"/>
      <c r="C11" s="493" t="s">
        <v>14</v>
      </c>
      <c r="D11" s="493" t="s">
        <v>13</v>
      </c>
      <c r="E11" s="493" t="s">
        <v>556</v>
      </c>
      <c r="F11" s="493" t="s">
        <v>462</v>
      </c>
      <c r="G11" s="493" t="s">
        <v>513</v>
      </c>
      <c r="H11" s="534">
        <v>43</v>
      </c>
      <c r="I11" s="534">
        <v>237</v>
      </c>
      <c r="J11" s="642">
        <v>1</v>
      </c>
    </row>
    <row r="12" spans="1:11" ht="11.25" customHeight="1" x14ac:dyDescent="0.25">
      <c r="A12" s="548"/>
      <c r="B12" s="493"/>
      <c r="C12" s="499" t="s">
        <v>18</v>
      </c>
      <c r="D12" s="493" t="s">
        <v>17</v>
      </c>
      <c r="E12" s="493" t="s">
        <v>556</v>
      </c>
      <c r="F12" s="493" t="s">
        <v>507</v>
      </c>
      <c r="G12" s="493" t="s">
        <v>513</v>
      </c>
      <c r="H12" s="534">
        <v>116</v>
      </c>
      <c r="I12" s="534">
        <v>659</v>
      </c>
      <c r="J12" s="642">
        <v>1</v>
      </c>
    </row>
    <row r="13" spans="1:11" ht="11.25" customHeight="1" x14ac:dyDescent="0.25">
      <c r="A13" s="548"/>
      <c r="B13" s="493"/>
      <c r="C13" s="499" t="s">
        <v>8</v>
      </c>
      <c r="D13" s="493" t="s">
        <v>7</v>
      </c>
      <c r="E13" s="493" t="s">
        <v>556</v>
      </c>
      <c r="F13" s="493" t="s">
        <v>507</v>
      </c>
      <c r="G13" s="493" t="s">
        <v>513</v>
      </c>
      <c r="H13" s="534">
        <v>23</v>
      </c>
      <c r="I13" s="534">
        <v>86</v>
      </c>
      <c r="J13" s="642">
        <v>1</v>
      </c>
    </row>
    <row r="14" spans="1:11" ht="11.25" customHeight="1" x14ac:dyDescent="0.25">
      <c r="A14" s="548"/>
      <c r="B14" s="493"/>
      <c r="C14" s="499" t="s">
        <v>20</v>
      </c>
      <c r="D14" s="493" t="s">
        <v>19</v>
      </c>
      <c r="E14" s="493" t="s">
        <v>556</v>
      </c>
      <c r="F14" s="493" t="s">
        <v>1096</v>
      </c>
      <c r="G14" s="493" t="s">
        <v>513</v>
      </c>
      <c r="H14" s="534">
        <v>20</v>
      </c>
      <c r="I14" s="534">
        <v>103</v>
      </c>
      <c r="J14" s="642">
        <v>1</v>
      </c>
    </row>
    <row r="15" spans="1:11" ht="11.25" customHeight="1" x14ac:dyDescent="0.25">
      <c r="A15" s="548"/>
      <c r="B15" s="493"/>
      <c r="C15" s="499" t="s">
        <v>366</v>
      </c>
      <c r="D15" s="493" t="s">
        <v>376</v>
      </c>
      <c r="E15" s="493" t="s">
        <v>556</v>
      </c>
      <c r="F15" s="493" t="s">
        <v>462</v>
      </c>
      <c r="G15" s="493" t="s">
        <v>513</v>
      </c>
      <c r="H15" s="534">
        <v>157</v>
      </c>
      <c r="I15" s="534">
        <v>761</v>
      </c>
      <c r="J15" s="642">
        <v>1</v>
      </c>
    </row>
    <row r="16" spans="1:11" ht="11.25" customHeight="1" x14ac:dyDescent="0.25">
      <c r="A16" s="548"/>
      <c r="B16" s="493"/>
      <c r="C16" s="499" t="s">
        <v>22</v>
      </c>
      <c r="D16" s="493" t="s">
        <v>21</v>
      </c>
      <c r="E16" s="493" t="s">
        <v>556</v>
      </c>
      <c r="F16" s="493" t="s">
        <v>462</v>
      </c>
      <c r="G16" s="493" t="s">
        <v>513</v>
      </c>
      <c r="H16" s="534">
        <v>652</v>
      </c>
      <c r="I16" s="534">
        <v>3706</v>
      </c>
      <c r="J16" s="642">
        <v>1</v>
      </c>
    </row>
    <row r="17" spans="1:10" ht="11.25" customHeight="1" x14ac:dyDescent="0.25">
      <c r="A17" s="548"/>
      <c r="B17" s="493"/>
      <c r="C17" s="499" t="s">
        <v>24</v>
      </c>
      <c r="D17" s="493" t="s">
        <v>23</v>
      </c>
      <c r="E17" s="493" t="s">
        <v>556</v>
      </c>
      <c r="F17" s="493" t="s">
        <v>507</v>
      </c>
      <c r="G17" s="493" t="s">
        <v>513</v>
      </c>
      <c r="H17" s="534">
        <v>25</v>
      </c>
      <c r="I17" s="534">
        <v>104</v>
      </c>
      <c r="J17" s="642">
        <v>1</v>
      </c>
    </row>
    <row r="18" spans="1:10" ht="11.25" customHeight="1" x14ac:dyDescent="0.25">
      <c r="A18" s="548"/>
      <c r="B18" s="493"/>
      <c r="C18" s="493" t="s">
        <v>26</v>
      </c>
      <c r="D18" s="493" t="s">
        <v>25</v>
      </c>
      <c r="E18" s="493" t="s">
        <v>556</v>
      </c>
      <c r="F18" s="493" t="s">
        <v>507</v>
      </c>
      <c r="G18" s="493" t="s">
        <v>513</v>
      </c>
      <c r="H18" s="534">
        <v>15</v>
      </c>
      <c r="I18" s="534">
        <v>64</v>
      </c>
      <c r="J18" s="642">
        <v>1</v>
      </c>
    </row>
    <row r="19" spans="1:10" ht="11.25" customHeight="1" x14ac:dyDescent="0.25">
      <c r="A19" s="548"/>
      <c r="B19" s="493" t="s">
        <v>1177</v>
      </c>
      <c r="C19" s="493"/>
      <c r="D19" s="493"/>
      <c r="E19" s="493"/>
      <c r="F19" s="493"/>
      <c r="G19" s="493"/>
      <c r="H19" s="534">
        <v>1548</v>
      </c>
      <c r="I19" s="534">
        <v>8110</v>
      </c>
      <c r="J19" s="642">
        <v>11</v>
      </c>
    </row>
    <row r="20" spans="1:10" ht="11.25" customHeight="1" x14ac:dyDescent="0.25">
      <c r="A20" s="548"/>
      <c r="B20" s="493" t="s">
        <v>27</v>
      </c>
      <c r="C20" s="493" t="s">
        <v>28</v>
      </c>
      <c r="D20" s="493" t="s">
        <v>30</v>
      </c>
      <c r="E20" s="493" t="s">
        <v>556</v>
      </c>
      <c r="F20" s="493" t="s">
        <v>507</v>
      </c>
      <c r="G20" s="493" t="s">
        <v>513</v>
      </c>
      <c r="H20" s="534">
        <v>108</v>
      </c>
      <c r="I20" s="534">
        <v>518</v>
      </c>
      <c r="J20" s="642">
        <v>1</v>
      </c>
    </row>
    <row r="21" spans="1:10" ht="11.25" customHeight="1" x14ac:dyDescent="0.25">
      <c r="A21" s="548"/>
      <c r="B21" s="493"/>
      <c r="C21" s="493" t="s">
        <v>364</v>
      </c>
      <c r="D21" s="493" t="s">
        <v>29</v>
      </c>
      <c r="E21" s="493" t="s">
        <v>556</v>
      </c>
      <c r="F21" s="493" t="s">
        <v>462</v>
      </c>
      <c r="G21" s="493" t="s">
        <v>515</v>
      </c>
      <c r="H21" s="534">
        <v>154</v>
      </c>
      <c r="I21" s="534">
        <v>920</v>
      </c>
      <c r="J21" s="642">
        <v>1</v>
      </c>
    </row>
    <row r="22" spans="1:10" ht="11.25" customHeight="1" x14ac:dyDescent="0.25">
      <c r="A22" s="548"/>
      <c r="B22" s="493"/>
      <c r="C22" s="493" t="s">
        <v>34</v>
      </c>
      <c r="D22" s="493" t="s">
        <v>33</v>
      </c>
      <c r="E22" s="493" t="s">
        <v>12</v>
      </c>
      <c r="F22" s="493" t="s">
        <v>603</v>
      </c>
      <c r="G22" s="493" t="s">
        <v>513</v>
      </c>
      <c r="H22" s="534"/>
      <c r="I22" s="534"/>
      <c r="J22" s="642">
        <v>1</v>
      </c>
    </row>
    <row r="23" spans="1:10" ht="11.25" customHeight="1" x14ac:dyDescent="0.25">
      <c r="A23" s="548"/>
      <c r="B23" s="493"/>
      <c r="C23" s="493" t="s">
        <v>365</v>
      </c>
      <c r="D23" s="493" t="s">
        <v>378</v>
      </c>
      <c r="E23" s="493" t="s">
        <v>556</v>
      </c>
      <c r="F23" s="493" t="s">
        <v>507</v>
      </c>
      <c r="G23" s="493" t="s">
        <v>513</v>
      </c>
      <c r="H23" s="534">
        <v>144</v>
      </c>
      <c r="I23" s="534">
        <v>645</v>
      </c>
      <c r="J23" s="642">
        <v>1</v>
      </c>
    </row>
    <row r="24" spans="1:10" ht="11.25" customHeight="1" x14ac:dyDescent="0.25">
      <c r="A24" s="548"/>
      <c r="B24" s="493"/>
      <c r="C24" s="493" t="s">
        <v>870</v>
      </c>
      <c r="D24" s="493" t="s">
        <v>869</v>
      </c>
      <c r="E24" s="493" t="s">
        <v>556</v>
      </c>
      <c r="F24" s="493" t="s">
        <v>1097</v>
      </c>
      <c r="G24" s="493" t="s">
        <v>513</v>
      </c>
      <c r="H24" s="534">
        <v>65</v>
      </c>
      <c r="I24" s="534">
        <v>306</v>
      </c>
      <c r="J24" s="642">
        <v>1</v>
      </c>
    </row>
    <row r="25" spans="1:10" ht="11.25" customHeight="1" x14ac:dyDescent="0.25">
      <c r="A25" s="548"/>
      <c r="B25" s="493"/>
      <c r="C25" s="493" t="s">
        <v>1026</v>
      </c>
      <c r="D25" s="493" t="s">
        <v>1027</v>
      </c>
      <c r="E25" s="493" t="s">
        <v>556</v>
      </c>
      <c r="F25" s="493" t="s">
        <v>1097</v>
      </c>
      <c r="G25" s="493" t="s">
        <v>513</v>
      </c>
      <c r="H25" s="534">
        <v>30</v>
      </c>
      <c r="I25" s="534">
        <v>181</v>
      </c>
      <c r="J25" s="642">
        <v>1</v>
      </c>
    </row>
    <row r="26" spans="1:10" ht="11.25" customHeight="1" x14ac:dyDescent="0.25">
      <c r="A26" s="548"/>
      <c r="B26" s="493" t="s">
        <v>1124</v>
      </c>
      <c r="C26" s="493"/>
      <c r="D26" s="493"/>
      <c r="E26" s="493"/>
      <c r="F26" s="493"/>
      <c r="G26" s="493"/>
      <c r="H26" s="534">
        <v>501</v>
      </c>
      <c r="I26" s="534">
        <v>2570</v>
      </c>
      <c r="J26" s="642">
        <v>6</v>
      </c>
    </row>
    <row r="27" spans="1:10" ht="11.25" customHeight="1" x14ac:dyDescent="0.25">
      <c r="A27" s="548"/>
      <c r="B27" s="493" t="s">
        <v>529</v>
      </c>
      <c r="C27" s="493" t="s">
        <v>62</v>
      </c>
      <c r="D27" s="493" t="s">
        <v>61</v>
      </c>
      <c r="E27" s="493" t="s">
        <v>556</v>
      </c>
      <c r="F27" s="493" t="s">
        <v>462</v>
      </c>
      <c r="G27" s="493" t="s">
        <v>513</v>
      </c>
      <c r="H27" s="534">
        <v>76</v>
      </c>
      <c r="I27" s="534">
        <v>344</v>
      </c>
      <c r="J27" s="642">
        <v>1</v>
      </c>
    </row>
    <row r="28" spans="1:10" ht="11.25" customHeight="1" x14ac:dyDescent="0.25">
      <c r="A28" s="548"/>
      <c r="B28" s="493"/>
      <c r="C28" s="493" t="s">
        <v>120</v>
      </c>
      <c r="D28" s="493" t="s">
        <v>119</v>
      </c>
      <c r="E28" s="493" t="s">
        <v>556</v>
      </c>
      <c r="F28" s="493" t="s">
        <v>1097</v>
      </c>
      <c r="G28" s="493" t="s">
        <v>513</v>
      </c>
      <c r="H28" s="534">
        <v>75</v>
      </c>
      <c r="I28" s="534">
        <v>404</v>
      </c>
      <c r="J28" s="642">
        <v>1</v>
      </c>
    </row>
    <row r="29" spans="1:10" ht="11.25" customHeight="1" x14ac:dyDescent="0.25">
      <c r="A29" s="548"/>
      <c r="B29" s="493"/>
      <c r="C29" s="493" t="s">
        <v>41</v>
      </c>
      <c r="D29" s="493" t="s">
        <v>40</v>
      </c>
      <c r="E29" s="493" t="s">
        <v>556</v>
      </c>
      <c r="F29" s="493" t="s">
        <v>507</v>
      </c>
      <c r="G29" s="493" t="s">
        <v>513</v>
      </c>
      <c r="H29" s="534">
        <v>67</v>
      </c>
      <c r="I29" s="534">
        <v>350</v>
      </c>
      <c r="J29" s="642">
        <v>1</v>
      </c>
    </row>
    <row r="30" spans="1:10" ht="11.25" customHeight="1" x14ac:dyDescent="0.25">
      <c r="A30" s="548"/>
      <c r="B30" s="493"/>
      <c r="C30" s="493" t="s">
        <v>43</v>
      </c>
      <c r="D30" s="493" t="s">
        <v>42</v>
      </c>
      <c r="E30" s="493" t="s">
        <v>556</v>
      </c>
      <c r="F30" s="493" t="s">
        <v>507</v>
      </c>
      <c r="G30" s="493" t="s">
        <v>513</v>
      </c>
      <c r="H30" s="534">
        <v>14</v>
      </c>
      <c r="I30" s="534">
        <v>83</v>
      </c>
      <c r="J30" s="642">
        <v>1</v>
      </c>
    </row>
    <row r="31" spans="1:10" ht="11.25" customHeight="1" x14ac:dyDescent="0.25">
      <c r="A31" s="548"/>
      <c r="B31" s="493"/>
      <c r="C31" s="493" t="s">
        <v>52</v>
      </c>
      <c r="D31" s="493" t="s">
        <v>51</v>
      </c>
      <c r="E31" s="493" t="s">
        <v>556</v>
      </c>
      <c r="F31" s="493" t="s">
        <v>462</v>
      </c>
      <c r="G31" s="493" t="s">
        <v>513</v>
      </c>
      <c r="H31" s="534">
        <v>35</v>
      </c>
      <c r="I31" s="534">
        <v>214</v>
      </c>
      <c r="J31" s="642">
        <v>1</v>
      </c>
    </row>
    <row r="32" spans="1:10" ht="11.25" customHeight="1" x14ac:dyDescent="0.25">
      <c r="A32" s="548"/>
      <c r="B32" s="493"/>
      <c r="C32" s="493" t="s">
        <v>72</v>
      </c>
      <c r="D32" s="493" t="s">
        <v>71</v>
      </c>
      <c r="E32" s="493" t="s">
        <v>556</v>
      </c>
      <c r="F32" s="493" t="s">
        <v>507</v>
      </c>
      <c r="G32" s="493" t="s">
        <v>513</v>
      </c>
      <c r="H32" s="534">
        <v>6</v>
      </c>
      <c r="I32" s="534">
        <v>30</v>
      </c>
      <c r="J32" s="642">
        <v>1</v>
      </c>
    </row>
    <row r="33" spans="1:10" ht="11.25" customHeight="1" x14ac:dyDescent="0.25">
      <c r="A33" s="548"/>
      <c r="B33" s="493"/>
      <c r="C33" s="493" t="s">
        <v>76</v>
      </c>
      <c r="D33" s="493" t="s">
        <v>75</v>
      </c>
      <c r="E33" s="493" t="s">
        <v>556</v>
      </c>
      <c r="F33" s="493" t="s">
        <v>507</v>
      </c>
      <c r="G33" s="493" t="s">
        <v>513</v>
      </c>
      <c r="H33" s="534">
        <v>65</v>
      </c>
      <c r="I33" s="534">
        <v>347</v>
      </c>
      <c r="J33" s="642">
        <v>1</v>
      </c>
    </row>
    <row r="34" spans="1:10" ht="11.25" customHeight="1" x14ac:dyDescent="0.25">
      <c r="A34" s="548"/>
      <c r="B34" s="493"/>
      <c r="C34" s="493" t="s">
        <v>88</v>
      </c>
      <c r="D34" s="493" t="s">
        <v>87</v>
      </c>
      <c r="E34" s="493" t="s">
        <v>556</v>
      </c>
      <c r="F34" s="493" t="s">
        <v>462</v>
      </c>
      <c r="G34" s="493" t="s">
        <v>513</v>
      </c>
      <c r="H34" s="534">
        <v>12</v>
      </c>
      <c r="I34" s="534">
        <v>52</v>
      </c>
      <c r="J34" s="642">
        <v>1</v>
      </c>
    </row>
    <row r="35" spans="1:10" ht="11.25" customHeight="1" x14ac:dyDescent="0.25">
      <c r="A35" s="548"/>
      <c r="B35" s="493"/>
      <c r="C35" s="493" t="s">
        <v>44</v>
      </c>
      <c r="D35" s="493" t="s">
        <v>45</v>
      </c>
      <c r="E35" s="493" t="s">
        <v>556</v>
      </c>
      <c r="F35" s="493" t="s">
        <v>507</v>
      </c>
      <c r="G35" s="493" t="s">
        <v>513</v>
      </c>
      <c r="H35" s="534">
        <v>13</v>
      </c>
      <c r="I35" s="534">
        <v>75</v>
      </c>
      <c r="J35" s="642">
        <v>1</v>
      </c>
    </row>
    <row r="36" spans="1:10" ht="11.25" customHeight="1" x14ac:dyDescent="0.25">
      <c r="A36" s="548"/>
      <c r="B36" s="493"/>
      <c r="C36" s="493" t="s">
        <v>90</v>
      </c>
      <c r="D36" s="493" t="s">
        <v>89</v>
      </c>
      <c r="E36" s="493" t="s">
        <v>556</v>
      </c>
      <c r="F36" s="493" t="s">
        <v>507</v>
      </c>
      <c r="G36" s="493" t="s">
        <v>513</v>
      </c>
      <c r="H36" s="534">
        <v>25</v>
      </c>
      <c r="I36" s="534">
        <v>133</v>
      </c>
      <c r="J36" s="642">
        <v>1</v>
      </c>
    </row>
    <row r="37" spans="1:10" ht="11.25" customHeight="1" x14ac:dyDescent="0.25">
      <c r="A37" s="548"/>
      <c r="B37" s="493"/>
      <c r="C37" s="493" t="s">
        <v>92</v>
      </c>
      <c r="D37" s="493" t="s">
        <v>91</v>
      </c>
      <c r="E37" s="493" t="s">
        <v>556</v>
      </c>
      <c r="F37" s="493" t="s">
        <v>507</v>
      </c>
      <c r="G37" s="493" t="s">
        <v>513</v>
      </c>
      <c r="H37" s="534">
        <v>15</v>
      </c>
      <c r="I37" s="534">
        <v>74</v>
      </c>
      <c r="J37" s="642">
        <v>1</v>
      </c>
    </row>
    <row r="38" spans="1:10" ht="11.25" customHeight="1" x14ac:dyDescent="0.25">
      <c r="A38" s="548"/>
      <c r="B38" s="493"/>
      <c r="C38" s="493" t="s">
        <v>100</v>
      </c>
      <c r="D38" s="493" t="s">
        <v>99</v>
      </c>
      <c r="E38" s="493" t="s">
        <v>556</v>
      </c>
      <c r="F38" s="493" t="s">
        <v>507</v>
      </c>
      <c r="G38" s="493" t="s">
        <v>513</v>
      </c>
      <c r="H38" s="534">
        <v>5</v>
      </c>
      <c r="I38" s="534">
        <v>26</v>
      </c>
      <c r="J38" s="642">
        <v>1</v>
      </c>
    </row>
    <row r="39" spans="1:10" ht="11.25" customHeight="1" x14ac:dyDescent="0.25">
      <c r="A39" s="548"/>
      <c r="B39" s="493"/>
      <c r="C39" s="493" t="s">
        <v>613</v>
      </c>
      <c r="D39" s="493" t="s">
        <v>46</v>
      </c>
      <c r="E39" s="493" t="s">
        <v>556</v>
      </c>
      <c r="F39" s="493" t="s">
        <v>507</v>
      </c>
      <c r="G39" s="493" t="s">
        <v>513</v>
      </c>
      <c r="H39" s="534">
        <v>17</v>
      </c>
      <c r="I39" s="534">
        <v>64</v>
      </c>
      <c r="J39" s="642">
        <v>1</v>
      </c>
    </row>
    <row r="40" spans="1:10" ht="11.25" customHeight="1" x14ac:dyDescent="0.25">
      <c r="A40" s="548"/>
      <c r="B40" s="493"/>
      <c r="C40" s="493" t="s">
        <v>108</v>
      </c>
      <c r="D40" s="493" t="s">
        <v>107</v>
      </c>
      <c r="E40" s="493" t="s">
        <v>556</v>
      </c>
      <c r="F40" s="493" t="s">
        <v>1097</v>
      </c>
      <c r="G40" s="493" t="s">
        <v>513</v>
      </c>
      <c r="H40" s="534">
        <v>54</v>
      </c>
      <c r="I40" s="534">
        <v>254</v>
      </c>
      <c r="J40" s="642">
        <v>1</v>
      </c>
    </row>
    <row r="41" spans="1:10" ht="11.25" customHeight="1" x14ac:dyDescent="0.25">
      <c r="A41" s="548"/>
      <c r="B41" s="493"/>
      <c r="C41" s="493" t="s">
        <v>118</v>
      </c>
      <c r="D41" s="493" t="s">
        <v>117</v>
      </c>
      <c r="E41" s="493" t="s">
        <v>556</v>
      </c>
      <c r="F41" s="493" t="s">
        <v>507</v>
      </c>
      <c r="G41" s="493" t="s">
        <v>513</v>
      </c>
      <c r="H41" s="534">
        <v>10</v>
      </c>
      <c r="I41" s="534">
        <v>39</v>
      </c>
      <c r="J41" s="642">
        <v>1</v>
      </c>
    </row>
    <row r="42" spans="1:10" ht="11.25" customHeight="1" x14ac:dyDescent="0.25">
      <c r="A42" s="548"/>
      <c r="B42" s="493"/>
      <c r="C42" s="493" t="s">
        <v>124</v>
      </c>
      <c r="D42" s="493" t="s">
        <v>123</v>
      </c>
      <c r="E42" s="493" t="s">
        <v>556</v>
      </c>
      <c r="F42" s="493" t="s">
        <v>462</v>
      </c>
      <c r="G42" s="493" t="s">
        <v>513</v>
      </c>
      <c r="H42" s="534">
        <v>8</v>
      </c>
      <c r="I42" s="534">
        <v>40</v>
      </c>
      <c r="J42" s="642">
        <v>1</v>
      </c>
    </row>
    <row r="43" spans="1:10" ht="11.25" customHeight="1" x14ac:dyDescent="0.25">
      <c r="A43" s="548"/>
      <c r="B43" s="493"/>
      <c r="C43" s="493" t="s">
        <v>126</v>
      </c>
      <c r="D43" s="493" t="s">
        <v>125</v>
      </c>
      <c r="E43" s="493" t="s">
        <v>556</v>
      </c>
      <c r="F43" s="493" t="s">
        <v>462</v>
      </c>
      <c r="G43" s="493" t="s">
        <v>513</v>
      </c>
      <c r="H43" s="534">
        <v>41</v>
      </c>
      <c r="I43" s="534">
        <v>201</v>
      </c>
      <c r="J43" s="642">
        <v>1</v>
      </c>
    </row>
    <row r="44" spans="1:10" ht="11.25" customHeight="1" x14ac:dyDescent="0.25">
      <c r="A44" s="548"/>
      <c r="B44" s="493"/>
      <c r="C44" s="493" t="s">
        <v>140</v>
      </c>
      <c r="D44" s="493" t="s">
        <v>139</v>
      </c>
      <c r="E44" s="493" t="s">
        <v>556</v>
      </c>
      <c r="F44" s="493" t="s">
        <v>462</v>
      </c>
      <c r="G44" s="493" t="s">
        <v>513</v>
      </c>
      <c r="H44" s="534">
        <v>20</v>
      </c>
      <c r="I44" s="534">
        <v>80</v>
      </c>
      <c r="J44" s="642">
        <v>1</v>
      </c>
    </row>
    <row r="45" spans="1:10" ht="11.25" customHeight="1" x14ac:dyDescent="0.25">
      <c r="A45" s="548"/>
      <c r="B45" s="493"/>
      <c r="C45" s="493" t="s">
        <v>1072</v>
      </c>
      <c r="D45" s="493" t="s">
        <v>1073</v>
      </c>
      <c r="E45" s="493" t="s">
        <v>556</v>
      </c>
      <c r="F45" s="493" t="s">
        <v>462</v>
      </c>
      <c r="G45" s="493" t="s">
        <v>513</v>
      </c>
      <c r="H45" s="534">
        <v>116</v>
      </c>
      <c r="I45" s="534">
        <v>530</v>
      </c>
      <c r="J45" s="642">
        <v>1</v>
      </c>
    </row>
    <row r="46" spans="1:10" ht="11.25" customHeight="1" x14ac:dyDescent="0.25">
      <c r="A46" s="548"/>
      <c r="B46" s="493"/>
      <c r="C46" s="493" t="s">
        <v>1127</v>
      </c>
      <c r="D46" s="493" t="s">
        <v>1128</v>
      </c>
      <c r="E46" s="493" t="s">
        <v>556</v>
      </c>
      <c r="F46" s="493" t="s">
        <v>462</v>
      </c>
      <c r="G46" s="493" t="s">
        <v>513</v>
      </c>
      <c r="H46" s="534">
        <v>50</v>
      </c>
      <c r="I46" s="534">
        <v>226</v>
      </c>
      <c r="J46" s="642">
        <v>1</v>
      </c>
    </row>
    <row r="47" spans="1:10" ht="11.25" customHeight="1" x14ac:dyDescent="0.25">
      <c r="A47" s="548"/>
      <c r="B47" s="493" t="s">
        <v>1178</v>
      </c>
      <c r="C47" s="493"/>
      <c r="D47" s="493"/>
      <c r="E47" s="493"/>
      <c r="F47" s="493"/>
      <c r="G47" s="493"/>
      <c r="H47" s="534">
        <v>724</v>
      </c>
      <c r="I47" s="534">
        <v>3566</v>
      </c>
      <c r="J47" s="642">
        <v>20</v>
      </c>
    </row>
    <row r="48" spans="1:10" ht="11.25" customHeight="1" x14ac:dyDescent="0.25">
      <c r="A48" s="548"/>
      <c r="B48" s="493" t="s">
        <v>144</v>
      </c>
      <c r="C48" s="493" t="s">
        <v>145</v>
      </c>
      <c r="D48" s="493" t="s">
        <v>143</v>
      </c>
      <c r="E48" s="493" t="s">
        <v>556</v>
      </c>
      <c r="F48" s="493" t="s">
        <v>603</v>
      </c>
      <c r="G48" s="493" t="s">
        <v>513</v>
      </c>
      <c r="H48" s="534">
        <v>11</v>
      </c>
      <c r="I48" s="534">
        <v>17</v>
      </c>
      <c r="J48" s="642">
        <v>1</v>
      </c>
    </row>
    <row r="49" spans="1:10" ht="11.25" customHeight="1" x14ac:dyDescent="0.25">
      <c r="A49" s="548"/>
      <c r="B49" s="493" t="s">
        <v>1485</v>
      </c>
      <c r="C49" s="493"/>
      <c r="D49" s="493"/>
      <c r="E49" s="493"/>
      <c r="F49" s="493"/>
      <c r="G49" s="493"/>
      <c r="H49" s="534">
        <v>11</v>
      </c>
      <c r="I49" s="534">
        <v>17</v>
      </c>
      <c r="J49" s="642">
        <v>1</v>
      </c>
    </row>
    <row r="50" spans="1:10" ht="11.25" customHeight="1" x14ac:dyDescent="0.25">
      <c r="A50" s="548"/>
      <c r="B50" s="493" t="s">
        <v>151</v>
      </c>
      <c r="C50" s="493" t="s">
        <v>188</v>
      </c>
      <c r="D50" s="493" t="s">
        <v>187</v>
      </c>
      <c r="E50" s="493" t="s">
        <v>556</v>
      </c>
      <c r="F50" s="493" t="s">
        <v>1096</v>
      </c>
      <c r="G50" s="493" t="s">
        <v>515</v>
      </c>
      <c r="H50" s="534">
        <v>245</v>
      </c>
      <c r="I50" s="534">
        <v>1232</v>
      </c>
      <c r="J50" s="642">
        <v>1</v>
      </c>
    </row>
    <row r="51" spans="1:10" ht="11.25" customHeight="1" x14ac:dyDescent="0.25">
      <c r="A51" s="548"/>
      <c r="B51" s="493"/>
      <c r="C51" s="493" t="s">
        <v>12</v>
      </c>
      <c r="D51" s="493" t="s">
        <v>391</v>
      </c>
      <c r="E51" s="493" t="s">
        <v>12</v>
      </c>
      <c r="F51" s="493" t="s">
        <v>603</v>
      </c>
      <c r="G51" s="493" t="s">
        <v>513</v>
      </c>
      <c r="H51" s="534">
        <v>76</v>
      </c>
      <c r="I51" s="534">
        <v>256</v>
      </c>
      <c r="J51" s="642">
        <v>1</v>
      </c>
    </row>
    <row r="52" spans="1:10" ht="11.25" customHeight="1" x14ac:dyDescent="0.25">
      <c r="A52" s="548"/>
      <c r="B52" s="493"/>
      <c r="C52" s="493" t="s">
        <v>198</v>
      </c>
      <c r="D52" s="493" t="s">
        <v>197</v>
      </c>
      <c r="E52" s="493" t="s">
        <v>556</v>
      </c>
      <c r="F52" s="493" t="s">
        <v>1096</v>
      </c>
      <c r="G52" s="493" t="s">
        <v>515</v>
      </c>
      <c r="H52" s="534">
        <v>545</v>
      </c>
      <c r="I52" s="534">
        <v>2560</v>
      </c>
      <c r="J52" s="642">
        <v>1</v>
      </c>
    </row>
    <row r="53" spans="1:10" ht="11.25" customHeight="1" x14ac:dyDescent="0.25">
      <c r="A53" s="548"/>
      <c r="B53" s="493"/>
      <c r="C53" s="493" t="s">
        <v>891</v>
      </c>
      <c r="D53" s="493" t="s">
        <v>892</v>
      </c>
      <c r="E53" s="493" t="s">
        <v>556</v>
      </c>
      <c r="F53" s="493" t="s">
        <v>462</v>
      </c>
      <c r="G53" s="493" t="s">
        <v>513</v>
      </c>
      <c r="H53" s="534">
        <v>372</v>
      </c>
      <c r="I53" s="534">
        <v>1443</v>
      </c>
      <c r="J53" s="642">
        <v>1</v>
      </c>
    </row>
    <row r="54" spans="1:10" ht="11.25" customHeight="1" x14ac:dyDescent="0.25">
      <c r="A54" s="548"/>
      <c r="B54" s="493"/>
      <c r="C54" s="493" t="s">
        <v>160</v>
      </c>
      <c r="D54" s="493" t="s">
        <v>159</v>
      </c>
      <c r="E54" s="493" t="s">
        <v>556</v>
      </c>
      <c r="F54" s="493" t="s">
        <v>462</v>
      </c>
      <c r="G54" s="493" t="s">
        <v>513</v>
      </c>
      <c r="H54" s="534">
        <v>114</v>
      </c>
      <c r="I54" s="534">
        <v>539</v>
      </c>
      <c r="J54" s="642">
        <v>1</v>
      </c>
    </row>
    <row r="55" spans="1:10" ht="11.25" customHeight="1" x14ac:dyDescent="0.25">
      <c r="A55" s="548"/>
      <c r="B55" s="493"/>
      <c r="C55" s="493" t="s">
        <v>154</v>
      </c>
      <c r="D55" s="493" t="s">
        <v>153</v>
      </c>
      <c r="E55" s="493" t="s">
        <v>556</v>
      </c>
      <c r="F55" s="493" t="s">
        <v>1096</v>
      </c>
      <c r="G55" s="493" t="s">
        <v>513</v>
      </c>
      <c r="H55" s="534">
        <v>458</v>
      </c>
      <c r="I55" s="534">
        <v>2139</v>
      </c>
      <c r="J55" s="642">
        <v>1</v>
      </c>
    </row>
    <row r="56" spans="1:10" ht="11.25" customHeight="1" x14ac:dyDescent="0.25">
      <c r="A56" s="548"/>
      <c r="B56" s="493"/>
      <c r="C56" s="493" t="s">
        <v>156</v>
      </c>
      <c r="D56" s="493" t="s">
        <v>155</v>
      </c>
      <c r="E56" s="493" t="s">
        <v>12</v>
      </c>
      <c r="F56" s="493" t="s">
        <v>603</v>
      </c>
      <c r="G56" s="493" t="s">
        <v>513</v>
      </c>
      <c r="H56" s="534">
        <v>175</v>
      </c>
      <c r="I56" s="534">
        <v>834</v>
      </c>
      <c r="J56" s="642">
        <v>1</v>
      </c>
    </row>
    <row r="57" spans="1:10" ht="11.25" customHeight="1" x14ac:dyDescent="0.25">
      <c r="A57" s="548"/>
      <c r="B57" s="493"/>
      <c r="C57" s="493" t="s">
        <v>152</v>
      </c>
      <c r="D57" s="493" t="s">
        <v>150</v>
      </c>
      <c r="E57" s="493" t="s">
        <v>556</v>
      </c>
      <c r="F57" s="493" t="s">
        <v>462</v>
      </c>
      <c r="G57" s="493" t="s">
        <v>513</v>
      </c>
      <c r="H57" s="534">
        <v>221</v>
      </c>
      <c r="I57" s="534">
        <v>1003</v>
      </c>
      <c r="J57" s="642">
        <v>1</v>
      </c>
    </row>
    <row r="58" spans="1:10" ht="11.25" customHeight="1" x14ac:dyDescent="0.25">
      <c r="A58" s="548"/>
      <c r="B58" s="493"/>
      <c r="C58" s="493" t="s">
        <v>949</v>
      </c>
      <c r="D58" s="493" t="s">
        <v>948</v>
      </c>
      <c r="E58" s="493" t="s">
        <v>556</v>
      </c>
      <c r="F58" s="493" t="s">
        <v>1096</v>
      </c>
      <c r="G58" s="493" t="s">
        <v>513</v>
      </c>
      <c r="H58" s="534">
        <v>123</v>
      </c>
      <c r="I58" s="534">
        <v>582</v>
      </c>
      <c r="J58" s="642">
        <v>1</v>
      </c>
    </row>
    <row r="59" spans="1:10" ht="11.25" customHeight="1" x14ac:dyDescent="0.25">
      <c r="A59" s="548"/>
      <c r="B59" s="493"/>
      <c r="C59" s="493" t="s">
        <v>1041</v>
      </c>
      <c r="D59" s="493" t="s">
        <v>1042</v>
      </c>
      <c r="E59" s="493" t="s">
        <v>556</v>
      </c>
      <c r="F59" s="493" t="s">
        <v>1096</v>
      </c>
      <c r="G59" s="493" t="s">
        <v>515</v>
      </c>
      <c r="H59" s="534">
        <v>219</v>
      </c>
      <c r="I59" s="534">
        <v>891</v>
      </c>
      <c r="J59" s="642">
        <v>1</v>
      </c>
    </row>
    <row r="60" spans="1:10" ht="11.25" customHeight="1" x14ac:dyDescent="0.25">
      <c r="A60" s="548"/>
      <c r="B60" s="493"/>
      <c r="C60" s="493" t="s">
        <v>1068</v>
      </c>
      <c r="D60" s="493" t="s">
        <v>1069</v>
      </c>
      <c r="E60" s="493" t="s">
        <v>556</v>
      </c>
      <c r="F60" s="493" t="s">
        <v>1096</v>
      </c>
      <c r="G60" s="493" t="s">
        <v>513</v>
      </c>
      <c r="H60" s="534">
        <v>123</v>
      </c>
      <c r="I60" s="534">
        <v>555</v>
      </c>
      <c r="J60" s="642">
        <v>1</v>
      </c>
    </row>
    <row r="61" spans="1:10" ht="11.25" customHeight="1" x14ac:dyDescent="0.25">
      <c r="A61" s="548"/>
      <c r="B61" s="493"/>
      <c r="C61" s="493" t="s">
        <v>1102</v>
      </c>
      <c r="D61" s="493" t="s">
        <v>1103</v>
      </c>
      <c r="E61" s="493" t="s">
        <v>556</v>
      </c>
      <c r="F61" s="493" t="s">
        <v>462</v>
      </c>
      <c r="G61" s="493" t="s">
        <v>513</v>
      </c>
      <c r="H61" s="534">
        <v>114</v>
      </c>
      <c r="I61" s="534">
        <v>524</v>
      </c>
      <c r="J61" s="642">
        <v>1</v>
      </c>
    </row>
    <row r="62" spans="1:10" ht="11.25" customHeight="1" x14ac:dyDescent="0.25">
      <c r="A62" s="548"/>
      <c r="B62" s="493" t="s">
        <v>1179</v>
      </c>
      <c r="C62" s="493"/>
      <c r="D62" s="493"/>
      <c r="E62" s="493"/>
      <c r="F62" s="493"/>
      <c r="G62" s="493"/>
      <c r="H62" s="534">
        <v>2785</v>
      </c>
      <c r="I62" s="534">
        <v>12558</v>
      </c>
      <c r="J62" s="642">
        <v>12</v>
      </c>
    </row>
    <row r="63" spans="1:10" ht="11.25" customHeight="1" x14ac:dyDescent="0.25">
      <c r="A63" s="548"/>
      <c r="B63" s="493" t="s">
        <v>173</v>
      </c>
      <c r="C63" s="493" t="s">
        <v>174</v>
      </c>
      <c r="D63" s="493" t="s">
        <v>172</v>
      </c>
      <c r="E63" s="493" t="s">
        <v>556</v>
      </c>
      <c r="F63" s="493" t="s">
        <v>462</v>
      </c>
      <c r="G63" s="493" t="s">
        <v>513</v>
      </c>
      <c r="H63" s="534">
        <v>16</v>
      </c>
      <c r="I63" s="534">
        <v>69</v>
      </c>
      <c r="J63" s="642">
        <v>1</v>
      </c>
    </row>
    <row r="64" spans="1:10" ht="11.25" customHeight="1" x14ac:dyDescent="0.25">
      <c r="A64" s="548"/>
      <c r="B64" s="493"/>
      <c r="C64" s="493" t="s">
        <v>176</v>
      </c>
      <c r="D64" s="493" t="s">
        <v>175</v>
      </c>
      <c r="E64" s="493" t="s">
        <v>556</v>
      </c>
      <c r="F64" s="493" t="s">
        <v>462</v>
      </c>
      <c r="G64" s="493" t="s">
        <v>513</v>
      </c>
      <c r="H64" s="534">
        <v>18</v>
      </c>
      <c r="I64" s="534">
        <v>79</v>
      </c>
      <c r="J64" s="642">
        <v>1</v>
      </c>
    </row>
    <row r="65" spans="1:10" ht="11.25" customHeight="1" x14ac:dyDescent="0.25">
      <c r="A65" s="548"/>
      <c r="B65" s="493"/>
      <c r="C65" s="493" t="s">
        <v>178</v>
      </c>
      <c r="D65" s="493" t="s">
        <v>177</v>
      </c>
      <c r="E65" s="493" t="s">
        <v>556</v>
      </c>
      <c r="F65" s="493" t="s">
        <v>462</v>
      </c>
      <c r="G65" s="493" t="s">
        <v>513</v>
      </c>
      <c r="H65" s="534">
        <v>14</v>
      </c>
      <c r="I65" s="534">
        <v>44</v>
      </c>
      <c r="J65" s="642">
        <v>1</v>
      </c>
    </row>
    <row r="66" spans="1:10" ht="11.25" customHeight="1" x14ac:dyDescent="0.25">
      <c r="A66" s="548"/>
      <c r="B66" s="493"/>
      <c r="C66" s="493" t="s">
        <v>1298</v>
      </c>
      <c r="D66" s="493" t="s">
        <v>1289</v>
      </c>
      <c r="E66" s="493" t="s">
        <v>12</v>
      </c>
      <c r="F66" s="493" t="s">
        <v>603</v>
      </c>
      <c r="G66" s="493" t="s">
        <v>513</v>
      </c>
      <c r="H66" s="534">
        <v>24</v>
      </c>
      <c r="I66" s="534">
        <v>83</v>
      </c>
      <c r="J66" s="642">
        <v>1</v>
      </c>
    </row>
    <row r="67" spans="1:10" ht="11.25" customHeight="1" x14ac:dyDescent="0.25">
      <c r="A67" s="548"/>
      <c r="B67" s="493"/>
      <c r="C67" s="493" t="s">
        <v>1297</v>
      </c>
      <c r="D67" s="493" t="s">
        <v>1290</v>
      </c>
      <c r="E67" s="493" t="s">
        <v>12</v>
      </c>
      <c r="F67" s="493" t="s">
        <v>603</v>
      </c>
      <c r="G67" s="493" t="s">
        <v>513</v>
      </c>
      <c r="H67" s="534">
        <v>39</v>
      </c>
      <c r="I67" s="534">
        <v>163</v>
      </c>
      <c r="J67" s="642">
        <v>1</v>
      </c>
    </row>
    <row r="68" spans="1:10" ht="11.25" customHeight="1" x14ac:dyDescent="0.25">
      <c r="A68" s="548"/>
      <c r="B68" s="493"/>
      <c r="C68" s="493" t="s">
        <v>1288</v>
      </c>
      <c r="D68" s="493" t="s">
        <v>1291</v>
      </c>
      <c r="E68" s="493" t="s">
        <v>556</v>
      </c>
      <c r="F68" s="493" t="s">
        <v>1097</v>
      </c>
      <c r="G68" s="493" t="s">
        <v>513</v>
      </c>
      <c r="H68" s="534">
        <v>9</v>
      </c>
      <c r="I68" s="534">
        <v>39</v>
      </c>
      <c r="J68" s="642">
        <v>1</v>
      </c>
    </row>
    <row r="69" spans="1:10" ht="11.25" customHeight="1" x14ac:dyDescent="0.25">
      <c r="A69" s="548"/>
      <c r="B69" s="493" t="s">
        <v>1486</v>
      </c>
      <c r="C69" s="493"/>
      <c r="D69" s="493"/>
      <c r="E69" s="493"/>
      <c r="F69" s="493"/>
      <c r="G69" s="493"/>
      <c r="H69" s="534">
        <v>120</v>
      </c>
      <c r="I69" s="534">
        <v>477</v>
      </c>
      <c r="J69" s="642">
        <v>6</v>
      </c>
    </row>
    <row r="70" spans="1:10" ht="11.25" customHeight="1" x14ac:dyDescent="0.25">
      <c r="A70" s="548"/>
      <c r="B70" s="493" t="s">
        <v>180</v>
      </c>
      <c r="C70" s="493" t="s">
        <v>287</v>
      </c>
      <c r="D70" s="493" t="s">
        <v>286</v>
      </c>
      <c r="E70" s="493" t="s">
        <v>556</v>
      </c>
      <c r="F70" s="493" t="s">
        <v>462</v>
      </c>
      <c r="G70" s="493" t="s">
        <v>513</v>
      </c>
      <c r="H70" s="534">
        <v>18</v>
      </c>
      <c r="I70" s="534">
        <v>141</v>
      </c>
      <c r="J70" s="642">
        <v>1</v>
      </c>
    </row>
    <row r="71" spans="1:10" ht="11.25" customHeight="1" x14ac:dyDescent="0.25">
      <c r="A71" s="548"/>
      <c r="B71" s="493"/>
      <c r="C71" s="493" t="s">
        <v>181</v>
      </c>
      <c r="D71" s="493" t="s">
        <v>179</v>
      </c>
      <c r="E71" s="493" t="s">
        <v>556</v>
      </c>
      <c r="F71" s="493" t="s">
        <v>1097</v>
      </c>
      <c r="G71" s="493" t="s">
        <v>513</v>
      </c>
      <c r="H71" s="534">
        <v>12</v>
      </c>
      <c r="I71" s="534">
        <v>55</v>
      </c>
      <c r="J71" s="642">
        <v>1</v>
      </c>
    </row>
    <row r="72" spans="1:10" ht="11.25" customHeight="1" x14ac:dyDescent="0.25">
      <c r="A72" s="548"/>
      <c r="B72" s="493"/>
      <c r="C72" s="493" t="s">
        <v>1170</v>
      </c>
      <c r="D72" s="493" t="s">
        <v>1172</v>
      </c>
      <c r="E72" s="493" t="s">
        <v>12</v>
      </c>
      <c r="F72" s="493" t="s">
        <v>603</v>
      </c>
      <c r="G72" s="493" t="s">
        <v>513</v>
      </c>
      <c r="H72" s="534">
        <v>36</v>
      </c>
      <c r="I72" s="534">
        <v>153</v>
      </c>
      <c r="J72" s="642">
        <v>1</v>
      </c>
    </row>
    <row r="73" spans="1:10" ht="11.25" customHeight="1" x14ac:dyDescent="0.25">
      <c r="A73" s="548"/>
      <c r="B73" s="493"/>
      <c r="C73" s="493" t="s">
        <v>1171</v>
      </c>
      <c r="D73" s="493" t="s">
        <v>1173</v>
      </c>
      <c r="E73" s="493" t="s">
        <v>12</v>
      </c>
      <c r="F73" s="493" t="s">
        <v>603</v>
      </c>
      <c r="G73" s="493" t="s">
        <v>513</v>
      </c>
      <c r="H73" s="534">
        <v>16</v>
      </c>
      <c r="I73" s="534">
        <v>67</v>
      </c>
      <c r="J73" s="642">
        <v>1</v>
      </c>
    </row>
    <row r="74" spans="1:10" ht="11.25" customHeight="1" x14ac:dyDescent="0.25">
      <c r="A74" s="548"/>
      <c r="B74" s="493" t="s">
        <v>1180</v>
      </c>
      <c r="C74" s="493"/>
      <c r="D74" s="493"/>
      <c r="E74" s="493"/>
      <c r="F74" s="493"/>
      <c r="G74" s="493"/>
      <c r="H74" s="534">
        <v>82</v>
      </c>
      <c r="I74" s="534">
        <v>416</v>
      </c>
      <c r="J74" s="642">
        <v>4</v>
      </c>
    </row>
    <row r="75" spans="1:10" ht="11.25" customHeight="1" x14ac:dyDescent="0.25">
      <c r="A75" s="548"/>
      <c r="B75" s="493" t="s">
        <v>185</v>
      </c>
      <c r="C75" s="493" t="s">
        <v>192</v>
      </c>
      <c r="D75" s="493" t="s">
        <v>191</v>
      </c>
      <c r="E75" s="493" t="s">
        <v>556</v>
      </c>
      <c r="F75" s="493" t="s">
        <v>1097</v>
      </c>
      <c r="G75" s="493" t="s">
        <v>515</v>
      </c>
      <c r="H75" s="534">
        <v>116</v>
      </c>
      <c r="I75" s="534">
        <v>595</v>
      </c>
      <c r="J75" s="642">
        <v>1</v>
      </c>
    </row>
    <row r="76" spans="1:10" ht="11.25" customHeight="1" x14ac:dyDescent="0.25">
      <c r="A76" s="548"/>
      <c r="B76" s="493"/>
      <c r="C76" s="493" t="s">
        <v>12</v>
      </c>
      <c r="D76" s="493" t="s">
        <v>392</v>
      </c>
      <c r="E76" s="493" t="s">
        <v>12</v>
      </c>
      <c r="F76" s="493" t="s">
        <v>603</v>
      </c>
      <c r="G76" s="493" t="s">
        <v>513</v>
      </c>
      <c r="H76" s="534">
        <v>320</v>
      </c>
      <c r="I76" s="534">
        <v>1125</v>
      </c>
      <c r="J76" s="642">
        <v>1</v>
      </c>
    </row>
    <row r="77" spans="1:10" ht="11.25" customHeight="1" x14ac:dyDescent="0.25">
      <c r="A77" s="548"/>
      <c r="B77" s="493"/>
      <c r="C77" s="493" t="s">
        <v>194</v>
      </c>
      <c r="D77" s="493" t="s">
        <v>193</v>
      </c>
      <c r="E77" s="493" t="s">
        <v>556</v>
      </c>
      <c r="F77" s="493" t="s">
        <v>1097</v>
      </c>
      <c r="G77" s="493" t="s">
        <v>515</v>
      </c>
      <c r="H77" s="534">
        <v>614</v>
      </c>
      <c r="I77" s="534">
        <v>2915</v>
      </c>
      <c r="J77" s="642">
        <v>1</v>
      </c>
    </row>
    <row r="78" spans="1:10" ht="11.25" customHeight="1" x14ac:dyDescent="0.25">
      <c r="A78" s="548"/>
      <c r="B78" s="493"/>
      <c r="C78" s="493" t="s">
        <v>196</v>
      </c>
      <c r="D78" s="493" t="s">
        <v>195</v>
      </c>
      <c r="E78" s="493" t="s">
        <v>556</v>
      </c>
      <c r="F78" s="493" t="s">
        <v>1097</v>
      </c>
      <c r="G78" s="493" t="s">
        <v>515</v>
      </c>
      <c r="H78" s="534">
        <v>1695</v>
      </c>
      <c r="I78" s="534">
        <v>8848</v>
      </c>
      <c r="J78" s="642">
        <v>1</v>
      </c>
    </row>
    <row r="79" spans="1:10" ht="11.25" customHeight="1" x14ac:dyDescent="0.25">
      <c r="A79" s="548"/>
      <c r="B79" s="493"/>
      <c r="C79" s="493" t="s">
        <v>523</v>
      </c>
      <c r="D79" s="493" t="s">
        <v>524</v>
      </c>
      <c r="E79" s="493" t="s">
        <v>12</v>
      </c>
      <c r="F79" s="493" t="s">
        <v>603</v>
      </c>
      <c r="G79" s="493" t="s">
        <v>513</v>
      </c>
      <c r="H79" s="534">
        <v>4</v>
      </c>
      <c r="I79" s="534">
        <v>26</v>
      </c>
      <c r="J79" s="642">
        <v>1</v>
      </c>
    </row>
    <row r="80" spans="1:10" ht="11.25" customHeight="1" x14ac:dyDescent="0.25">
      <c r="A80" s="548"/>
      <c r="B80" s="493"/>
      <c r="C80" s="493" t="s">
        <v>186</v>
      </c>
      <c r="D80" s="493" t="s">
        <v>184</v>
      </c>
      <c r="E80" s="493" t="s">
        <v>556</v>
      </c>
      <c r="F80" s="493" t="s">
        <v>462</v>
      </c>
      <c r="G80" s="493" t="s">
        <v>513</v>
      </c>
      <c r="H80" s="534">
        <v>29</v>
      </c>
      <c r="I80" s="534">
        <v>182</v>
      </c>
      <c r="J80" s="642">
        <v>1</v>
      </c>
    </row>
    <row r="81" spans="1:10" ht="11.25" customHeight="1" x14ac:dyDescent="0.25">
      <c r="A81" s="548"/>
      <c r="B81" s="493"/>
      <c r="C81" s="493" t="s">
        <v>223</v>
      </c>
      <c r="D81" s="493" t="s">
        <v>222</v>
      </c>
      <c r="E81" s="493" t="s">
        <v>556</v>
      </c>
      <c r="F81" s="493" t="s">
        <v>1096</v>
      </c>
      <c r="G81" s="493" t="s">
        <v>513</v>
      </c>
      <c r="H81" s="534">
        <v>124</v>
      </c>
      <c r="I81" s="534">
        <v>544</v>
      </c>
      <c r="J81" s="642">
        <v>1</v>
      </c>
    </row>
    <row r="82" spans="1:10" ht="11.25" customHeight="1" x14ac:dyDescent="0.25">
      <c r="A82" s="548"/>
      <c r="B82" s="493"/>
      <c r="C82" s="493" t="s">
        <v>190</v>
      </c>
      <c r="D82" s="493" t="s">
        <v>189</v>
      </c>
      <c r="E82" s="493" t="s">
        <v>556</v>
      </c>
      <c r="F82" s="493" t="s">
        <v>462</v>
      </c>
      <c r="G82" s="493" t="s">
        <v>513</v>
      </c>
      <c r="H82" s="534">
        <v>188</v>
      </c>
      <c r="I82" s="534">
        <v>993</v>
      </c>
      <c r="J82" s="642">
        <v>1</v>
      </c>
    </row>
    <row r="83" spans="1:10" ht="11.25" customHeight="1" x14ac:dyDescent="0.25">
      <c r="A83" s="548"/>
      <c r="B83" s="493"/>
      <c r="C83" s="493" t="s">
        <v>200</v>
      </c>
      <c r="D83" s="493" t="s">
        <v>199</v>
      </c>
      <c r="E83" s="493" t="s">
        <v>12</v>
      </c>
      <c r="F83" s="493" t="s">
        <v>603</v>
      </c>
      <c r="G83" s="493" t="s">
        <v>513</v>
      </c>
      <c r="H83" s="534">
        <v>2</v>
      </c>
      <c r="I83" s="534">
        <v>9</v>
      </c>
      <c r="J83" s="642">
        <v>1</v>
      </c>
    </row>
    <row r="84" spans="1:10" ht="11.25" customHeight="1" x14ac:dyDescent="0.25">
      <c r="A84" s="548"/>
      <c r="B84" s="493"/>
      <c r="C84" s="493" t="s">
        <v>202</v>
      </c>
      <c r="D84" s="493" t="s">
        <v>201</v>
      </c>
      <c r="E84" s="493" t="s">
        <v>556</v>
      </c>
      <c r="F84" s="493" t="s">
        <v>1096</v>
      </c>
      <c r="G84" s="493" t="s">
        <v>513</v>
      </c>
      <c r="H84" s="534">
        <v>261</v>
      </c>
      <c r="I84" s="534">
        <v>1155</v>
      </c>
      <c r="J84" s="642">
        <v>1</v>
      </c>
    </row>
    <row r="85" spans="1:10" ht="11.25" customHeight="1" x14ac:dyDescent="0.25">
      <c r="A85" s="548"/>
      <c r="B85" s="493"/>
      <c r="C85" s="493" t="s">
        <v>204</v>
      </c>
      <c r="D85" s="493" t="s">
        <v>203</v>
      </c>
      <c r="E85" s="493" t="s">
        <v>12</v>
      </c>
      <c r="F85" s="493" t="s">
        <v>603</v>
      </c>
      <c r="G85" s="493" t="s">
        <v>513</v>
      </c>
      <c r="H85" s="534">
        <v>28</v>
      </c>
      <c r="I85" s="534">
        <v>136</v>
      </c>
      <c r="J85" s="642">
        <v>1</v>
      </c>
    </row>
    <row r="86" spans="1:10" ht="11.25" customHeight="1" x14ac:dyDescent="0.25">
      <c r="A86" s="548"/>
      <c r="B86" s="493"/>
      <c r="C86" s="493" t="s">
        <v>205</v>
      </c>
      <c r="D86" s="493" t="s">
        <v>393</v>
      </c>
      <c r="E86" s="493" t="s">
        <v>12</v>
      </c>
      <c r="F86" s="493" t="s">
        <v>603</v>
      </c>
      <c r="G86" s="493" t="s">
        <v>513</v>
      </c>
      <c r="H86" s="534"/>
      <c r="I86" s="534"/>
      <c r="J86" s="642">
        <v>1</v>
      </c>
    </row>
    <row r="87" spans="1:10" ht="11.25" customHeight="1" x14ac:dyDescent="0.25">
      <c r="A87" s="548"/>
      <c r="B87" s="493"/>
      <c r="C87" s="493" t="s">
        <v>209</v>
      </c>
      <c r="D87" s="493" t="s">
        <v>208</v>
      </c>
      <c r="E87" s="493" t="s">
        <v>556</v>
      </c>
      <c r="F87" s="493" t="s">
        <v>462</v>
      </c>
      <c r="G87" s="493" t="s">
        <v>513</v>
      </c>
      <c r="H87" s="534">
        <v>207</v>
      </c>
      <c r="I87" s="534">
        <v>1863</v>
      </c>
      <c r="J87" s="642">
        <v>1</v>
      </c>
    </row>
    <row r="88" spans="1:10" ht="11.25" customHeight="1" x14ac:dyDescent="0.25">
      <c r="A88" s="548"/>
      <c r="B88" s="493"/>
      <c r="C88" s="493" t="s">
        <v>213</v>
      </c>
      <c r="D88" s="493" t="s">
        <v>212</v>
      </c>
      <c r="E88" s="493" t="s">
        <v>12</v>
      </c>
      <c r="F88" s="493" t="s">
        <v>603</v>
      </c>
      <c r="G88" s="493" t="s">
        <v>513</v>
      </c>
      <c r="H88" s="534">
        <v>13</v>
      </c>
      <c r="I88" s="534">
        <v>53</v>
      </c>
      <c r="J88" s="642">
        <v>1</v>
      </c>
    </row>
    <row r="89" spans="1:10" ht="11.25" customHeight="1" x14ac:dyDescent="0.25">
      <c r="A89" s="548"/>
      <c r="B89" s="493"/>
      <c r="C89" s="493" t="s">
        <v>215</v>
      </c>
      <c r="D89" s="493" t="s">
        <v>214</v>
      </c>
      <c r="E89" s="493" t="s">
        <v>556</v>
      </c>
      <c r="F89" s="493" t="s">
        <v>1096</v>
      </c>
      <c r="G89" s="493" t="s">
        <v>515</v>
      </c>
      <c r="H89" s="534">
        <v>375</v>
      </c>
      <c r="I89" s="534">
        <v>1598</v>
      </c>
      <c r="J89" s="642">
        <v>1</v>
      </c>
    </row>
    <row r="90" spans="1:10" ht="11.25" customHeight="1" x14ac:dyDescent="0.25">
      <c r="A90" s="548"/>
      <c r="B90" s="493"/>
      <c r="C90" s="493" t="s">
        <v>217</v>
      </c>
      <c r="D90" s="493" t="s">
        <v>216</v>
      </c>
      <c r="E90" s="493" t="s">
        <v>556</v>
      </c>
      <c r="F90" s="493" t="s">
        <v>507</v>
      </c>
      <c r="G90" s="493" t="s">
        <v>513</v>
      </c>
      <c r="H90" s="534">
        <v>24</v>
      </c>
      <c r="I90" s="534">
        <v>89</v>
      </c>
      <c r="J90" s="642">
        <v>1</v>
      </c>
    </row>
    <row r="91" spans="1:10" ht="11.25" customHeight="1" x14ac:dyDescent="0.25">
      <c r="A91" s="548"/>
      <c r="B91" s="493"/>
      <c r="C91" s="493" t="s">
        <v>229</v>
      </c>
      <c r="D91" s="493" t="s">
        <v>228</v>
      </c>
      <c r="E91" s="493" t="s">
        <v>556</v>
      </c>
      <c r="F91" s="493" t="s">
        <v>462</v>
      </c>
      <c r="G91" s="493" t="s">
        <v>513</v>
      </c>
      <c r="H91" s="534">
        <v>50</v>
      </c>
      <c r="I91" s="534">
        <v>293</v>
      </c>
      <c r="J91" s="642">
        <v>1</v>
      </c>
    </row>
    <row r="92" spans="1:10" ht="11.25" customHeight="1" x14ac:dyDescent="0.25">
      <c r="A92" s="548"/>
      <c r="B92" s="493"/>
      <c r="C92" s="493" t="s">
        <v>219</v>
      </c>
      <c r="D92" s="493" t="s">
        <v>218</v>
      </c>
      <c r="E92" s="493" t="s">
        <v>556</v>
      </c>
      <c r="F92" s="493" t="s">
        <v>1096</v>
      </c>
      <c r="G92" s="493" t="s">
        <v>515</v>
      </c>
      <c r="H92" s="534">
        <v>677</v>
      </c>
      <c r="I92" s="534">
        <v>3622</v>
      </c>
      <c r="J92" s="642">
        <v>1</v>
      </c>
    </row>
    <row r="93" spans="1:10" ht="11.25" customHeight="1" x14ac:dyDescent="0.25">
      <c r="A93" s="548"/>
      <c r="B93" s="493"/>
      <c r="C93" s="493" t="s">
        <v>221</v>
      </c>
      <c r="D93" s="493" t="s">
        <v>220</v>
      </c>
      <c r="E93" s="493" t="s">
        <v>12</v>
      </c>
      <c r="F93" s="493" t="s">
        <v>603</v>
      </c>
      <c r="G93" s="493" t="s">
        <v>513</v>
      </c>
      <c r="H93" s="534">
        <v>39</v>
      </c>
      <c r="I93" s="534">
        <v>176</v>
      </c>
      <c r="J93" s="642">
        <v>1</v>
      </c>
    </row>
    <row r="94" spans="1:10" ht="11.25" customHeight="1" x14ac:dyDescent="0.25">
      <c r="A94" s="548"/>
      <c r="B94" s="493"/>
      <c r="C94" s="493" t="s">
        <v>225</v>
      </c>
      <c r="D94" s="493" t="s">
        <v>224</v>
      </c>
      <c r="E94" s="493" t="s">
        <v>556</v>
      </c>
      <c r="F94" s="493" t="s">
        <v>462</v>
      </c>
      <c r="G94" s="493" t="s">
        <v>513</v>
      </c>
      <c r="H94" s="534">
        <v>45</v>
      </c>
      <c r="I94" s="534">
        <v>269</v>
      </c>
      <c r="J94" s="642">
        <v>1</v>
      </c>
    </row>
    <row r="95" spans="1:10" ht="11.25" customHeight="1" x14ac:dyDescent="0.25">
      <c r="A95" s="548"/>
      <c r="B95" s="493"/>
      <c r="C95" s="493" t="s">
        <v>227</v>
      </c>
      <c r="D95" s="493" t="s">
        <v>226</v>
      </c>
      <c r="E95" s="493" t="s">
        <v>12</v>
      </c>
      <c r="F95" s="493" t="s">
        <v>603</v>
      </c>
      <c r="G95" s="493" t="s">
        <v>513</v>
      </c>
      <c r="H95" s="534">
        <v>10</v>
      </c>
      <c r="I95" s="534">
        <v>38</v>
      </c>
      <c r="J95" s="642">
        <v>1</v>
      </c>
    </row>
    <row r="96" spans="1:10" ht="11.25" customHeight="1" x14ac:dyDescent="0.25">
      <c r="A96" s="548"/>
      <c r="B96" s="493"/>
      <c r="C96" s="493" t="s">
        <v>1347</v>
      </c>
      <c r="D96" s="493" t="s">
        <v>1348</v>
      </c>
      <c r="E96" s="493" t="s">
        <v>993</v>
      </c>
      <c r="F96" s="493" t="s">
        <v>603</v>
      </c>
      <c r="G96" s="493" t="s">
        <v>513</v>
      </c>
      <c r="H96" s="534"/>
      <c r="I96" s="534">
        <v>49</v>
      </c>
      <c r="J96" s="642">
        <v>1</v>
      </c>
    </row>
    <row r="97" spans="1:10" ht="11.25" customHeight="1" x14ac:dyDescent="0.25">
      <c r="A97" s="548"/>
      <c r="B97" s="493" t="s">
        <v>1181</v>
      </c>
      <c r="C97" s="493"/>
      <c r="D97" s="493"/>
      <c r="E97" s="493"/>
      <c r="F97" s="493"/>
      <c r="G97" s="493"/>
      <c r="H97" s="534">
        <v>4821</v>
      </c>
      <c r="I97" s="534">
        <v>24578</v>
      </c>
      <c r="J97" s="642">
        <v>22</v>
      </c>
    </row>
    <row r="98" spans="1:10" x14ac:dyDescent="0.25">
      <c r="A98" s="548"/>
      <c r="B98" s="493" t="s">
        <v>237</v>
      </c>
      <c r="C98" s="493" t="s">
        <v>243</v>
      </c>
      <c r="D98" s="493" t="s">
        <v>242</v>
      </c>
      <c r="E98" s="493" t="s">
        <v>556</v>
      </c>
      <c r="F98" s="493" t="s">
        <v>462</v>
      </c>
      <c r="G98" s="493" t="s">
        <v>513</v>
      </c>
      <c r="H98" s="534">
        <v>6</v>
      </c>
      <c r="I98" s="534">
        <v>28</v>
      </c>
      <c r="J98" s="642">
        <v>1</v>
      </c>
    </row>
    <row r="99" spans="1:10" ht="11.25" customHeight="1" x14ac:dyDescent="0.25">
      <c r="A99" s="548"/>
      <c r="B99" s="493"/>
      <c r="C99" s="499" t="s">
        <v>245</v>
      </c>
      <c r="D99" s="493" t="s">
        <v>244</v>
      </c>
      <c r="E99" s="493" t="s">
        <v>556</v>
      </c>
      <c r="F99" s="493" t="s">
        <v>462</v>
      </c>
      <c r="G99" s="493" t="s">
        <v>513</v>
      </c>
      <c r="H99" s="534">
        <v>6</v>
      </c>
      <c r="I99" s="534">
        <v>39</v>
      </c>
      <c r="J99" s="642">
        <v>1</v>
      </c>
    </row>
    <row r="100" spans="1:10" ht="11.25" customHeight="1" x14ac:dyDescent="0.25">
      <c r="A100" s="548"/>
      <c r="B100" s="493"/>
      <c r="C100" s="499" t="s">
        <v>247</v>
      </c>
      <c r="D100" s="493" t="s">
        <v>246</v>
      </c>
      <c r="E100" s="493" t="s">
        <v>556</v>
      </c>
      <c r="F100" s="493" t="s">
        <v>462</v>
      </c>
      <c r="G100" s="493" t="s">
        <v>513</v>
      </c>
      <c r="H100" s="534">
        <v>50</v>
      </c>
      <c r="I100" s="534">
        <v>236</v>
      </c>
      <c r="J100" s="642">
        <v>1</v>
      </c>
    </row>
    <row r="101" spans="1:10" x14ac:dyDescent="0.25">
      <c r="A101" s="548"/>
      <c r="B101" s="493"/>
      <c r="C101" s="499" t="s">
        <v>253</v>
      </c>
      <c r="D101" s="493" t="s">
        <v>252</v>
      </c>
      <c r="E101" s="493" t="s">
        <v>556</v>
      </c>
      <c r="F101" s="493" t="s">
        <v>462</v>
      </c>
      <c r="G101" s="493" t="s">
        <v>513</v>
      </c>
      <c r="H101" s="534">
        <v>203</v>
      </c>
      <c r="I101" s="534">
        <v>1072</v>
      </c>
      <c r="J101" s="642">
        <v>1</v>
      </c>
    </row>
    <row r="102" spans="1:10" ht="11.25" customHeight="1" x14ac:dyDescent="0.25">
      <c r="A102" s="548"/>
      <c r="B102" s="493"/>
      <c r="C102" s="499" t="s">
        <v>255</v>
      </c>
      <c r="D102" s="493" t="s">
        <v>254</v>
      </c>
      <c r="E102" s="493" t="s">
        <v>556</v>
      </c>
      <c r="F102" s="493" t="s">
        <v>1097</v>
      </c>
      <c r="G102" s="493" t="s">
        <v>513</v>
      </c>
      <c r="H102" s="534">
        <v>109</v>
      </c>
      <c r="I102" s="534">
        <v>487</v>
      </c>
      <c r="J102" s="642">
        <v>1</v>
      </c>
    </row>
    <row r="103" spans="1:10" ht="11.25" customHeight="1" x14ac:dyDescent="0.25">
      <c r="A103" s="548"/>
      <c r="B103" s="493"/>
      <c r="C103" s="499" t="s">
        <v>257</v>
      </c>
      <c r="D103" s="493" t="s">
        <v>256</v>
      </c>
      <c r="E103" s="493" t="s">
        <v>556</v>
      </c>
      <c r="F103" s="493" t="s">
        <v>462</v>
      </c>
      <c r="G103" s="493" t="s">
        <v>513</v>
      </c>
      <c r="H103" s="534">
        <v>45</v>
      </c>
      <c r="I103" s="534">
        <v>194</v>
      </c>
      <c r="J103" s="642">
        <v>1</v>
      </c>
    </row>
    <row r="104" spans="1:10" ht="11.25" customHeight="1" x14ac:dyDescent="0.25">
      <c r="A104" s="548"/>
      <c r="B104" s="493"/>
      <c r="C104" s="499" t="s">
        <v>240</v>
      </c>
      <c r="D104" s="493" t="s">
        <v>239</v>
      </c>
      <c r="E104" s="493" t="s">
        <v>556</v>
      </c>
      <c r="F104" s="493" t="s">
        <v>462</v>
      </c>
      <c r="G104" s="493" t="s">
        <v>513</v>
      </c>
      <c r="H104" s="534">
        <v>108</v>
      </c>
      <c r="I104" s="534">
        <v>605</v>
      </c>
      <c r="J104" s="642">
        <v>1</v>
      </c>
    </row>
    <row r="105" spans="1:10" ht="11.25" customHeight="1" x14ac:dyDescent="0.25">
      <c r="A105" s="548"/>
      <c r="B105" s="493"/>
      <c r="C105" s="499" t="s">
        <v>285</v>
      </c>
      <c r="D105" s="493" t="s">
        <v>284</v>
      </c>
      <c r="E105" s="493" t="s">
        <v>556</v>
      </c>
      <c r="F105" s="493" t="s">
        <v>462</v>
      </c>
      <c r="G105" s="493" t="s">
        <v>513</v>
      </c>
      <c r="H105" s="534">
        <v>163</v>
      </c>
      <c r="I105" s="534">
        <v>712</v>
      </c>
      <c r="J105" s="642">
        <v>1</v>
      </c>
    </row>
    <row r="106" spans="1:10" ht="11.25" customHeight="1" x14ac:dyDescent="0.25">
      <c r="A106" s="548"/>
      <c r="B106" s="493"/>
      <c r="C106" s="493" t="s">
        <v>259</v>
      </c>
      <c r="D106" s="493" t="s">
        <v>258</v>
      </c>
      <c r="E106" s="493" t="s">
        <v>556</v>
      </c>
      <c r="F106" s="493" t="s">
        <v>462</v>
      </c>
      <c r="G106" s="493" t="s">
        <v>513</v>
      </c>
      <c r="H106" s="534">
        <v>72</v>
      </c>
      <c r="I106" s="534">
        <v>375</v>
      </c>
      <c r="J106" s="642">
        <v>1</v>
      </c>
    </row>
    <row r="107" spans="1:10" ht="11.25" customHeight="1" x14ac:dyDescent="0.25">
      <c r="A107" s="548"/>
      <c r="B107" s="493"/>
      <c r="C107" s="493" t="s">
        <v>261</v>
      </c>
      <c r="D107" s="493" t="s">
        <v>260</v>
      </c>
      <c r="E107" s="493" t="s">
        <v>556</v>
      </c>
      <c r="F107" s="493" t="s">
        <v>462</v>
      </c>
      <c r="G107" s="493" t="s">
        <v>513</v>
      </c>
      <c r="H107" s="534">
        <v>96</v>
      </c>
      <c r="I107" s="534">
        <v>505</v>
      </c>
      <c r="J107" s="642">
        <v>1</v>
      </c>
    </row>
    <row r="108" spans="1:10" ht="11.25" customHeight="1" x14ac:dyDescent="0.25">
      <c r="A108" s="548"/>
      <c r="B108" s="493"/>
      <c r="C108" s="493" t="s">
        <v>263</v>
      </c>
      <c r="D108" s="493" t="s">
        <v>262</v>
      </c>
      <c r="E108" s="493" t="s">
        <v>556</v>
      </c>
      <c r="F108" s="493" t="s">
        <v>507</v>
      </c>
      <c r="G108" s="493" t="s">
        <v>513</v>
      </c>
      <c r="H108" s="534">
        <v>22</v>
      </c>
      <c r="I108" s="534">
        <v>104</v>
      </c>
      <c r="J108" s="642">
        <v>1</v>
      </c>
    </row>
    <row r="109" spans="1:10" ht="11.25" customHeight="1" x14ac:dyDescent="0.25">
      <c r="A109" s="548"/>
      <c r="B109" s="493"/>
      <c r="C109" s="493" t="s">
        <v>265</v>
      </c>
      <c r="D109" s="493" t="s">
        <v>264</v>
      </c>
      <c r="E109" s="493" t="s">
        <v>556</v>
      </c>
      <c r="F109" s="493" t="s">
        <v>507</v>
      </c>
      <c r="G109" s="493" t="s">
        <v>513</v>
      </c>
      <c r="H109" s="534">
        <v>14</v>
      </c>
      <c r="I109" s="534">
        <v>73</v>
      </c>
      <c r="J109" s="642">
        <v>1</v>
      </c>
    </row>
    <row r="110" spans="1:10" ht="11.25" customHeight="1" x14ac:dyDescent="0.25">
      <c r="A110" s="548"/>
      <c r="B110" s="493"/>
      <c r="C110" s="493" t="s">
        <v>271</v>
      </c>
      <c r="D110" s="493" t="s">
        <v>270</v>
      </c>
      <c r="E110" s="493" t="s">
        <v>556</v>
      </c>
      <c r="F110" s="493" t="s">
        <v>1097</v>
      </c>
      <c r="G110" s="493" t="s">
        <v>513</v>
      </c>
      <c r="H110" s="534">
        <v>69</v>
      </c>
      <c r="I110" s="534">
        <v>325</v>
      </c>
      <c r="J110" s="642">
        <v>1</v>
      </c>
    </row>
    <row r="111" spans="1:10" ht="11.25" customHeight="1" x14ac:dyDescent="0.25">
      <c r="A111" s="548"/>
      <c r="B111" s="493"/>
      <c r="C111" s="493" t="s">
        <v>269</v>
      </c>
      <c r="D111" s="493" t="s">
        <v>268</v>
      </c>
      <c r="E111" s="493" t="s">
        <v>556</v>
      </c>
      <c r="F111" s="493" t="s">
        <v>462</v>
      </c>
      <c r="G111" s="493" t="s">
        <v>513</v>
      </c>
      <c r="H111" s="534">
        <v>57</v>
      </c>
      <c r="I111" s="534">
        <v>233</v>
      </c>
      <c r="J111" s="642">
        <v>1</v>
      </c>
    </row>
    <row r="112" spans="1:10" ht="11.25" customHeight="1" x14ac:dyDescent="0.25">
      <c r="A112" s="548"/>
      <c r="B112" s="493"/>
      <c r="C112" s="493" t="s">
        <v>273</v>
      </c>
      <c r="D112" s="493" t="s">
        <v>272</v>
      </c>
      <c r="E112" s="493" t="s">
        <v>556</v>
      </c>
      <c r="F112" s="493" t="s">
        <v>1097</v>
      </c>
      <c r="G112" s="493" t="s">
        <v>513</v>
      </c>
      <c r="H112" s="534">
        <v>45</v>
      </c>
      <c r="I112" s="534">
        <v>262</v>
      </c>
      <c r="J112" s="642">
        <v>1</v>
      </c>
    </row>
    <row r="113" spans="1:10" ht="11.25" customHeight="1" x14ac:dyDescent="0.25">
      <c r="A113" s="548"/>
      <c r="B113" s="493"/>
      <c r="C113" s="493" t="s">
        <v>277</v>
      </c>
      <c r="D113" s="493" t="s">
        <v>276</v>
      </c>
      <c r="E113" s="493" t="s">
        <v>556</v>
      </c>
      <c r="F113" s="493" t="s">
        <v>462</v>
      </c>
      <c r="G113" s="493" t="s">
        <v>513</v>
      </c>
      <c r="H113" s="534">
        <v>95</v>
      </c>
      <c r="I113" s="534">
        <v>385</v>
      </c>
      <c r="J113" s="642">
        <v>1</v>
      </c>
    </row>
    <row r="114" spans="1:10" ht="11.25" customHeight="1" x14ac:dyDescent="0.25">
      <c r="A114" s="548"/>
      <c r="B114" s="493"/>
      <c r="C114" s="493" t="s">
        <v>279</v>
      </c>
      <c r="D114" s="493" t="s">
        <v>278</v>
      </c>
      <c r="E114" s="493" t="s">
        <v>556</v>
      </c>
      <c r="F114" s="493" t="s">
        <v>507</v>
      </c>
      <c r="G114" s="493" t="s">
        <v>513</v>
      </c>
      <c r="H114" s="534">
        <v>28</v>
      </c>
      <c r="I114" s="534">
        <v>132</v>
      </c>
      <c r="J114" s="642">
        <v>1</v>
      </c>
    </row>
    <row r="115" spans="1:10" ht="11.25" customHeight="1" x14ac:dyDescent="0.25">
      <c r="A115" s="548"/>
      <c r="B115" s="493"/>
      <c r="C115" s="493" t="s">
        <v>281</v>
      </c>
      <c r="D115" s="493" t="s">
        <v>280</v>
      </c>
      <c r="E115" s="493" t="s">
        <v>556</v>
      </c>
      <c r="F115" s="493" t="s">
        <v>462</v>
      </c>
      <c r="G115" s="493" t="s">
        <v>513</v>
      </c>
      <c r="H115" s="534">
        <v>90</v>
      </c>
      <c r="I115" s="534">
        <v>487</v>
      </c>
      <c r="J115" s="642">
        <v>1</v>
      </c>
    </row>
    <row r="116" spans="1:10" ht="11.25" customHeight="1" x14ac:dyDescent="0.25">
      <c r="A116" s="548"/>
      <c r="B116" s="493"/>
      <c r="C116" s="493" t="s">
        <v>238</v>
      </c>
      <c r="D116" s="493" t="s">
        <v>236</v>
      </c>
      <c r="E116" s="493" t="s">
        <v>556</v>
      </c>
      <c r="F116" s="493" t="s">
        <v>462</v>
      </c>
      <c r="G116" s="493" t="s">
        <v>513</v>
      </c>
      <c r="H116" s="534">
        <v>70</v>
      </c>
      <c r="I116" s="534">
        <v>369</v>
      </c>
      <c r="J116" s="642">
        <v>1</v>
      </c>
    </row>
    <row r="117" spans="1:10" ht="11.25" customHeight="1" x14ac:dyDescent="0.25">
      <c r="A117" s="548"/>
      <c r="B117" s="493"/>
      <c r="C117" s="493" t="s">
        <v>249</v>
      </c>
      <c r="D117" s="493" t="s">
        <v>248</v>
      </c>
      <c r="E117" s="493" t="s">
        <v>556</v>
      </c>
      <c r="F117" s="493" t="s">
        <v>507</v>
      </c>
      <c r="G117" s="493" t="s">
        <v>513</v>
      </c>
      <c r="H117" s="534">
        <v>12</v>
      </c>
      <c r="I117" s="534">
        <v>57</v>
      </c>
      <c r="J117" s="642">
        <v>1</v>
      </c>
    </row>
    <row r="118" spans="1:10" ht="11.25" customHeight="1" x14ac:dyDescent="0.25">
      <c r="A118" s="548"/>
      <c r="B118" s="493"/>
      <c r="C118" s="493" t="s">
        <v>251</v>
      </c>
      <c r="D118" s="493" t="s">
        <v>250</v>
      </c>
      <c r="E118" s="493" t="s">
        <v>556</v>
      </c>
      <c r="F118" s="493" t="s">
        <v>462</v>
      </c>
      <c r="G118" s="493" t="s">
        <v>513</v>
      </c>
      <c r="H118" s="534">
        <v>32</v>
      </c>
      <c r="I118" s="534">
        <v>146</v>
      </c>
      <c r="J118" s="642">
        <v>1</v>
      </c>
    </row>
    <row r="119" spans="1:10" ht="11.25" customHeight="1" x14ac:dyDescent="0.25">
      <c r="A119" s="548"/>
      <c r="B119" s="493"/>
      <c r="C119" s="493" t="s">
        <v>275</v>
      </c>
      <c r="D119" s="493" t="s">
        <v>274</v>
      </c>
      <c r="E119" s="493" t="s">
        <v>556</v>
      </c>
      <c r="F119" s="493" t="s">
        <v>462</v>
      </c>
      <c r="G119" s="493" t="s">
        <v>513</v>
      </c>
      <c r="H119" s="534">
        <v>44</v>
      </c>
      <c r="I119" s="534">
        <v>212</v>
      </c>
      <c r="J119" s="642">
        <v>1</v>
      </c>
    </row>
    <row r="120" spans="1:10" ht="11.25" customHeight="1" x14ac:dyDescent="0.25">
      <c r="A120" s="548"/>
      <c r="B120" s="493"/>
      <c r="C120" s="493" t="s">
        <v>283</v>
      </c>
      <c r="D120" s="493" t="s">
        <v>282</v>
      </c>
      <c r="E120" s="493" t="s">
        <v>556</v>
      </c>
      <c r="F120" s="493" t="s">
        <v>507</v>
      </c>
      <c r="G120" s="493" t="s">
        <v>513</v>
      </c>
      <c r="H120" s="534">
        <v>7</v>
      </c>
      <c r="I120" s="534">
        <v>37</v>
      </c>
      <c r="J120" s="642">
        <v>1</v>
      </c>
    </row>
    <row r="121" spans="1:10" ht="11.25" customHeight="1" x14ac:dyDescent="0.25">
      <c r="A121" s="548"/>
      <c r="B121" s="493"/>
      <c r="C121" s="493" t="s">
        <v>1258</v>
      </c>
      <c r="D121" s="493" t="s">
        <v>241</v>
      </c>
      <c r="E121" s="493" t="s">
        <v>556</v>
      </c>
      <c r="F121" s="493" t="s">
        <v>507</v>
      </c>
      <c r="G121" s="493" t="s">
        <v>513</v>
      </c>
      <c r="H121" s="534">
        <v>68</v>
      </c>
      <c r="I121" s="534">
        <v>340</v>
      </c>
      <c r="J121" s="642">
        <v>1</v>
      </c>
    </row>
    <row r="122" spans="1:10" ht="11.25" customHeight="1" x14ac:dyDescent="0.25">
      <c r="A122" s="548"/>
      <c r="B122" s="493" t="s">
        <v>1182</v>
      </c>
      <c r="C122" s="493"/>
      <c r="D122" s="493"/>
      <c r="E122" s="493"/>
      <c r="F122" s="493"/>
      <c r="G122" s="493"/>
      <c r="H122" s="534">
        <v>1511</v>
      </c>
      <c r="I122" s="534">
        <v>7415</v>
      </c>
      <c r="J122" s="642">
        <v>24</v>
      </c>
    </row>
    <row r="123" spans="1:10" ht="11.25" customHeight="1" x14ac:dyDescent="0.25">
      <c r="A123" s="548"/>
      <c r="B123" s="493" t="s">
        <v>300</v>
      </c>
      <c r="C123" s="493" t="s">
        <v>301</v>
      </c>
      <c r="D123" s="493" t="s">
        <v>299</v>
      </c>
      <c r="E123" s="493" t="s">
        <v>12</v>
      </c>
      <c r="F123" s="493" t="s">
        <v>603</v>
      </c>
      <c r="G123" s="493" t="s">
        <v>513</v>
      </c>
      <c r="H123" s="534">
        <v>14</v>
      </c>
      <c r="I123" s="534">
        <v>64</v>
      </c>
      <c r="J123" s="642">
        <v>1</v>
      </c>
    </row>
    <row r="124" spans="1:10" ht="11.25" customHeight="1" x14ac:dyDescent="0.25">
      <c r="A124" s="548"/>
      <c r="B124" s="493"/>
      <c r="C124" s="493" t="s">
        <v>1048</v>
      </c>
      <c r="D124" s="493" t="s">
        <v>1050</v>
      </c>
      <c r="E124" s="493" t="s">
        <v>12</v>
      </c>
      <c r="F124" s="493" t="s">
        <v>603</v>
      </c>
      <c r="G124" s="493" t="s">
        <v>513</v>
      </c>
      <c r="H124" s="534">
        <v>10</v>
      </c>
      <c r="I124" s="534">
        <v>56</v>
      </c>
      <c r="J124" s="642">
        <v>1</v>
      </c>
    </row>
    <row r="125" spans="1:10" ht="11.25" customHeight="1" x14ac:dyDescent="0.25">
      <c r="A125" s="548"/>
      <c r="B125" s="493"/>
      <c r="C125" s="493" t="s">
        <v>1279</v>
      </c>
      <c r="D125" s="493" t="s">
        <v>1278</v>
      </c>
      <c r="E125" s="493" t="s">
        <v>556</v>
      </c>
      <c r="F125" s="493" t="s">
        <v>462</v>
      </c>
      <c r="G125" s="493" t="s">
        <v>513</v>
      </c>
      <c r="H125" s="534">
        <v>58</v>
      </c>
      <c r="I125" s="534">
        <v>224</v>
      </c>
      <c r="J125" s="642">
        <v>1</v>
      </c>
    </row>
    <row r="126" spans="1:10" ht="11.25" customHeight="1" x14ac:dyDescent="0.25">
      <c r="A126" s="548"/>
      <c r="B126" s="493" t="s">
        <v>1183</v>
      </c>
      <c r="C126" s="493"/>
      <c r="D126" s="493"/>
      <c r="E126" s="493"/>
      <c r="F126" s="493"/>
      <c r="G126" s="493"/>
      <c r="H126" s="534">
        <v>82</v>
      </c>
      <c r="I126" s="534">
        <v>344</v>
      </c>
      <c r="J126" s="642">
        <v>3</v>
      </c>
    </row>
    <row r="127" spans="1:10" ht="11.25" customHeight="1" x14ac:dyDescent="0.25">
      <c r="A127" s="548"/>
      <c r="B127" s="493" t="s">
        <v>302</v>
      </c>
      <c r="C127" s="493" t="s">
        <v>12</v>
      </c>
      <c r="D127" s="493" t="s">
        <v>394</v>
      </c>
      <c r="E127" s="493" t="s">
        <v>12</v>
      </c>
      <c r="F127" s="493" t="s">
        <v>603</v>
      </c>
      <c r="G127" s="493" t="s">
        <v>513</v>
      </c>
      <c r="H127" s="534">
        <v>9</v>
      </c>
      <c r="I127" s="534">
        <v>30</v>
      </c>
      <c r="J127" s="642">
        <v>1</v>
      </c>
    </row>
    <row r="128" spans="1:10" ht="11.25" customHeight="1" x14ac:dyDescent="0.25">
      <c r="A128" s="548"/>
      <c r="B128" s="493"/>
      <c r="C128" s="493" t="s">
        <v>304</v>
      </c>
      <c r="D128" s="493" t="s">
        <v>303</v>
      </c>
      <c r="E128" s="493" t="s">
        <v>12</v>
      </c>
      <c r="F128" s="493" t="s">
        <v>603</v>
      </c>
      <c r="G128" s="493" t="s">
        <v>515</v>
      </c>
      <c r="H128" s="534">
        <v>375</v>
      </c>
      <c r="I128" s="534">
        <v>1691</v>
      </c>
      <c r="J128" s="642">
        <v>1</v>
      </c>
    </row>
    <row r="129" spans="1:10" ht="11.25" customHeight="1" x14ac:dyDescent="0.25">
      <c r="A129" s="548"/>
      <c r="B129" s="493"/>
      <c r="C129" s="493" t="s">
        <v>306</v>
      </c>
      <c r="D129" s="493" t="s">
        <v>305</v>
      </c>
      <c r="E129" s="493" t="s">
        <v>556</v>
      </c>
      <c r="F129" s="493" t="s">
        <v>462</v>
      </c>
      <c r="G129" s="493" t="s">
        <v>513</v>
      </c>
      <c r="H129" s="534">
        <v>83</v>
      </c>
      <c r="I129" s="534">
        <v>293</v>
      </c>
      <c r="J129" s="642">
        <v>1</v>
      </c>
    </row>
    <row r="130" spans="1:10" ht="11.25" customHeight="1" x14ac:dyDescent="0.25">
      <c r="A130" s="548"/>
      <c r="B130" s="493"/>
      <c r="C130" s="493" t="s">
        <v>308</v>
      </c>
      <c r="D130" s="493" t="s">
        <v>307</v>
      </c>
      <c r="E130" s="493" t="s">
        <v>556</v>
      </c>
      <c r="F130" s="493" t="s">
        <v>1096</v>
      </c>
      <c r="G130" s="493" t="s">
        <v>513</v>
      </c>
      <c r="H130" s="534">
        <v>41</v>
      </c>
      <c r="I130" s="534">
        <v>152</v>
      </c>
      <c r="J130" s="642">
        <v>1</v>
      </c>
    </row>
    <row r="131" spans="1:10" ht="11.25" customHeight="1" x14ac:dyDescent="0.25">
      <c r="A131" s="548"/>
      <c r="B131" s="493" t="s">
        <v>1487</v>
      </c>
      <c r="C131" s="493"/>
      <c r="D131" s="493"/>
      <c r="E131" s="493"/>
      <c r="F131" s="493"/>
      <c r="G131" s="493"/>
      <c r="H131" s="534">
        <v>508</v>
      </c>
      <c r="I131" s="534">
        <v>2166</v>
      </c>
      <c r="J131" s="642">
        <v>4</v>
      </c>
    </row>
    <row r="132" spans="1:10" ht="11.25" customHeight="1" x14ac:dyDescent="0.25">
      <c r="A132" s="548"/>
      <c r="B132" s="493" t="s">
        <v>813</v>
      </c>
      <c r="C132" s="493" t="s">
        <v>813</v>
      </c>
      <c r="D132" s="493" t="s">
        <v>817</v>
      </c>
      <c r="E132" s="493" t="s">
        <v>556</v>
      </c>
      <c r="F132" s="493" t="s">
        <v>603</v>
      </c>
      <c r="G132" s="493" t="s">
        <v>513</v>
      </c>
      <c r="H132" s="534">
        <v>5</v>
      </c>
      <c r="I132" s="534">
        <v>32</v>
      </c>
      <c r="J132" s="642">
        <v>1</v>
      </c>
    </row>
    <row r="133" spans="1:10" ht="11.25" customHeight="1" x14ac:dyDescent="0.25">
      <c r="A133" s="548"/>
      <c r="B133" s="493"/>
      <c r="C133" s="493" t="s">
        <v>1320</v>
      </c>
      <c r="D133" s="493" t="s">
        <v>1321</v>
      </c>
      <c r="E133" s="493" t="s">
        <v>556</v>
      </c>
      <c r="F133" s="493" t="s">
        <v>603</v>
      </c>
      <c r="G133" s="493" t="s">
        <v>513</v>
      </c>
      <c r="H133" s="534">
        <v>161</v>
      </c>
      <c r="I133" s="534">
        <v>711</v>
      </c>
      <c r="J133" s="642">
        <v>1</v>
      </c>
    </row>
    <row r="134" spans="1:10" ht="11.25" customHeight="1" x14ac:dyDescent="0.25">
      <c r="A134" s="548"/>
      <c r="B134" s="493"/>
      <c r="C134" s="493" t="s">
        <v>1323</v>
      </c>
      <c r="D134" s="493" t="s">
        <v>1324</v>
      </c>
      <c r="E134" s="493" t="s">
        <v>556</v>
      </c>
      <c r="F134" s="493" t="s">
        <v>603</v>
      </c>
      <c r="G134" s="493" t="s">
        <v>513</v>
      </c>
      <c r="H134" s="534"/>
      <c r="I134" s="534">
        <v>489</v>
      </c>
      <c r="J134" s="642">
        <v>1</v>
      </c>
    </row>
    <row r="135" spans="1:10" ht="11.25" customHeight="1" x14ac:dyDescent="0.25">
      <c r="A135" s="548"/>
      <c r="B135" s="493" t="s">
        <v>1488</v>
      </c>
      <c r="C135" s="493"/>
      <c r="D135" s="493"/>
      <c r="E135" s="493"/>
      <c r="F135" s="493"/>
      <c r="G135" s="493"/>
      <c r="H135" s="534">
        <v>166</v>
      </c>
      <c r="I135" s="534">
        <v>1232</v>
      </c>
      <c r="J135" s="642">
        <v>3</v>
      </c>
    </row>
    <row r="136" spans="1:10" ht="11.25" customHeight="1" x14ac:dyDescent="0.25">
      <c r="A136" s="548"/>
      <c r="B136" s="493" t="s">
        <v>310</v>
      </c>
      <c r="C136" s="493" t="s">
        <v>334</v>
      </c>
      <c r="D136" s="493" t="s">
        <v>333</v>
      </c>
      <c r="E136" s="493" t="s">
        <v>556</v>
      </c>
      <c r="F136" s="493" t="s">
        <v>1097</v>
      </c>
      <c r="G136" s="493" t="s">
        <v>515</v>
      </c>
      <c r="H136" s="534">
        <v>155</v>
      </c>
      <c r="I136" s="534">
        <v>640</v>
      </c>
      <c r="J136" s="642">
        <v>1</v>
      </c>
    </row>
    <row r="137" spans="1:10" ht="11.25" customHeight="1" x14ac:dyDescent="0.25">
      <c r="A137" s="548"/>
      <c r="B137" s="493"/>
      <c r="C137" s="493" t="s">
        <v>313</v>
      </c>
      <c r="D137" s="493" t="s">
        <v>312</v>
      </c>
      <c r="E137" s="493" t="s">
        <v>556</v>
      </c>
      <c r="F137" s="493" t="s">
        <v>507</v>
      </c>
      <c r="G137" s="493" t="s">
        <v>513</v>
      </c>
      <c r="H137" s="534">
        <v>111</v>
      </c>
      <c r="I137" s="534">
        <v>511</v>
      </c>
      <c r="J137" s="642">
        <v>1</v>
      </c>
    </row>
    <row r="138" spans="1:10" ht="11.25" customHeight="1" x14ac:dyDescent="0.25">
      <c r="A138" s="548"/>
      <c r="B138" s="493"/>
      <c r="C138" s="493" t="s">
        <v>336</v>
      </c>
      <c r="D138" s="493" t="s">
        <v>335</v>
      </c>
      <c r="E138" s="493" t="s">
        <v>556</v>
      </c>
      <c r="F138" s="493" t="s">
        <v>462</v>
      </c>
      <c r="G138" s="493" t="s">
        <v>515</v>
      </c>
      <c r="H138" s="534">
        <v>154</v>
      </c>
      <c r="I138" s="534">
        <v>1153</v>
      </c>
      <c r="J138" s="642">
        <v>1</v>
      </c>
    </row>
    <row r="139" spans="1:10" ht="11.25" customHeight="1" x14ac:dyDescent="0.25">
      <c r="A139" s="548"/>
      <c r="B139" s="493"/>
      <c r="C139" s="493" t="s">
        <v>818</v>
      </c>
      <c r="D139" s="493" t="s">
        <v>819</v>
      </c>
      <c r="E139" s="493" t="s">
        <v>993</v>
      </c>
      <c r="F139" s="493" t="s">
        <v>603</v>
      </c>
      <c r="G139" s="493" t="s">
        <v>515</v>
      </c>
      <c r="H139" s="534"/>
      <c r="I139" s="534">
        <v>1047</v>
      </c>
      <c r="J139" s="642">
        <v>1</v>
      </c>
    </row>
    <row r="140" spans="1:10" ht="11.25" customHeight="1" x14ac:dyDescent="0.25">
      <c r="A140" s="548"/>
      <c r="B140" s="493"/>
      <c r="C140" s="499" t="s">
        <v>320</v>
      </c>
      <c r="D140" s="493" t="s">
        <v>319</v>
      </c>
      <c r="E140" s="493" t="s">
        <v>556</v>
      </c>
      <c r="F140" s="493" t="s">
        <v>462</v>
      </c>
      <c r="G140" s="493" t="s">
        <v>513</v>
      </c>
      <c r="H140" s="534">
        <v>25</v>
      </c>
      <c r="I140" s="534">
        <v>138</v>
      </c>
      <c r="J140" s="642">
        <v>1</v>
      </c>
    </row>
    <row r="141" spans="1:10" ht="11.25" customHeight="1" x14ac:dyDescent="0.25">
      <c r="A141" s="548"/>
      <c r="B141" s="493"/>
      <c r="C141" s="499" t="s">
        <v>322</v>
      </c>
      <c r="D141" s="493" t="s">
        <v>321</v>
      </c>
      <c r="E141" s="493" t="s">
        <v>556</v>
      </c>
      <c r="F141" s="493" t="s">
        <v>1097</v>
      </c>
      <c r="G141" s="493" t="s">
        <v>515</v>
      </c>
      <c r="H141" s="534">
        <v>608</v>
      </c>
      <c r="I141" s="534">
        <v>2636</v>
      </c>
      <c r="J141" s="642">
        <v>1</v>
      </c>
    </row>
    <row r="142" spans="1:10" ht="11.25" customHeight="1" x14ac:dyDescent="0.25">
      <c r="A142" s="548"/>
      <c r="B142" s="493"/>
      <c r="C142" s="499" t="s">
        <v>328</v>
      </c>
      <c r="D142" s="493" t="s">
        <v>327</v>
      </c>
      <c r="E142" s="493" t="s">
        <v>556</v>
      </c>
      <c r="F142" s="493" t="s">
        <v>507</v>
      </c>
      <c r="G142" s="493" t="s">
        <v>513</v>
      </c>
      <c r="H142" s="534">
        <v>135</v>
      </c>
      <c r="I142" s="534">
        <v>729</v>
      </c>
      <c r="J142" s="642">
        <v>1</v>
      </c>
    </row>
    <row r="143" spans="1:10" ht="11.25" customHeight="1" x14ac:dyDescent="0.25">
      <c r="A143" s="548"/>
      <c r="B143" s="493"/>
      <c r="C143" s="499" t="s">
        <v>330</v>
      </c>
      <c r="D143" s="493" t="s">
        <v>329</v>
      </c>
      <c r="E143" s="493" t="s">
        <v>556</v>
      </c>
      <c r="F143" s="493" t="s">
        <v>1097</v>
      </c>
      <c r="G143" s="493" t="s">
        <v>513</v>
      </c>
      <c r="H143" s="534">
        <v>227</v>
      </c>
      <c r="I143" s="534">
        <v>1221</v>
      </c>
      <c r="J143" s="642">
        <v>1</v>
      </c>
    </row>
    <row r="144" spans="1:10" ht="11.25" customHeight="1" x14ac:dyDescent="0.25">
      <c r="A144" s="548"/>
      <c r="B144" s="493"/>
      <c r="C144" s="499" t="s">
        <v>324</v>
      </c>
      <c r="D144" s="493" t="s">
        <v>323</v>
      </c>
      <c r="E144" s="493" t="s">
        <v>556</v>
      </c>
      <c r="F144" s="493" t="s">
        <v>462</v>
      </c>
      <c r="G144" s="493" t="s">
        <v>513</v>
      </c>
      <c r="H144" s="534">
        <v>428</v>
      </c>
      <c r="I144" s="534">
        <v>2219</v>
      </c>
      <c r="J144" s="642">
        <v>1</v>
      </c>
    </row>
    <row r="145" spans="1:10" ht="11.25" customHeight="1" x14ac:dyDescent="0.25">
      <c r="A145" s="548"/>
      <c r="B145" s="493"/>
      <c r="C145" s="499" t="s">
        <v>326</v>
      </c>
      <c r="D145" s="493" t="s">
        <v>325</v>
      </c>
      <c r="E145" s="493" t="s">
        <v>556</v>
      </c>
      <c r="F145" s="493" t="s">
        <v>462</v>
      </c>
      <c r="G145" s="493" t="s">
        <v>513</v>
      </c>
      <c r="H145" s="534">
        <v>48</v>
      </c>
      <c r="I145" s="534">
        <v>199</v>
      </c>
      <c r="J145" s="642">
        <v>1</v>
      </c>
    </row>
    <row r="146" spans="1:10" ht="11.25" customHeight="1" x14ac:dyDescent="0.25">
      <c r="A146" s="548"/>
      <c r="B146" s="493"/>
      <c r="C146" s="499" t="s">
        <v>344</v>
      </c>
      <c r="D146" s="493" t="s">
        <v>343</v>
      </c>
      <c r="E146" s="493" t="s">
        <v>556</v>
      </c>
      <c r="F146" s="493" t="s">
        <v>507</v>
      </c>
      <c r="G146" s="493" t="s">
        <v>513</v>
      </c>
      <c r="H146" s="534">
        <v>18</v>
      </c>
      <c r="I146" s="534">
        <v>82</v>
      </c>
      <c r="J146" s="642">
        <v>1</v>
      </c>
    </row>
    <row r="147" spans="1:10" ht="11.25" customHeight="1" x14ac:dyDescent="0.25">
      <c r="A147" s="548"/>
      <c r="B147" s="493"/>
      <c r="C147" s="499" t="s">
        <v>355</v>
      </c>
      <c r="D147" s="493" t="s">
        <v>354</v>
      </c>
      <c r="E147" s="493" t="s">
        <v>556</v>
      </c>
      <c r="F147" s="493" t="s">
        <v>1097</v>
      </c>
      <c r="G147" s="493" t="s">
        <v>515</v>
      </c>
      <c r="H147" s="534">
        <v>108</v>
      </c>
      <c r="I147" s="534">
        <v>647</v>
      </c>
      <c r="J147" s="642">
        <v>1</v>
      </c>
    </row>
    <row r="148" spans="1:10" ht="11.25" customHeight="1" x14ac:dyDescent="0.25">
      <c r="A148" s="548"/>
      <c r="B148" s="493"/>
      <c r="C148" s="499" t="s">
        <v>318</v>
      </c>
      <c r="D148" s="493" t="s">
        <v>317</v>
      </c>
      <c r="E148" s="493" t="s">
        <v>556</v>
      </c>
      <c r="F148" s="493" t="s">
        <v>507</v>
      </c>
      <c r="G148" s="493" t="s">
        <v>513</v>
      </c>
      <c r="H148" s="534">
        <v>94</v>
      </c>
      <c r="I148" s="534">
        <v>342</v>
      </c>
      <c r="J148" s="642">
        <v>1</v>
      </c>
    </row>
    <row r="149" spans="1:10" ht="11.25" customHeight="1" x14ac:dyDescent="0.25">
      <c r="A149" s="548"/>
      <c r="B149" s="493"/>
      <c r="C149" s="499" t="s">
        <v>342</v>
      </c>
      <c r="D149" s="493" t="s">
        <v>341</v>
      </c>
      <c r="E149" s="493" t="s">
        <v>556</v>
      </c>
      <c r="F149" s="493" t="s">
        <v>462</v>
      </c>
      <c r="G149" s="493" t="s">
        <v>513</v>
      </c>
      <c r="H149" s="534">
        <v>65</v>
      </c>
      <c r="I149" s="534">
        <v>322</v>
      </c>
      <c r="J149" s="642">
        <v>1</v>
      </c>
    </row>
    <row r="150" spans="1:10" ht="11.25" customHeight="1" x14ac:dyDescent="0.25">
      <c r="A150" s="548"/>
      <c r="B150" s="493"/>
      <c r="C150" s="499" t="s">
        <v>338</v>
      </c>
      <c r="D150" s="493" t="s">
        <v>337</v>
      </c>
      <c r="E150" s="493" t="s">
        <v>556</v>
      </c>
      <c r="F150" s="493" t="s">
        <v>507</v>
      </c>
      <c r="G150" s="493" t="s">
        <v>513</v>
      </c>
      <c r="H150" s="534">
        <v>31</v>
      </c>
      <c r="I150" s="534">
        <v>171</v>
      </c>
      <c r="J150" s="642">
        <v>1</v>
      </c>
    </row>
    <row r="151" spans="1:10" ht="11.25" customHeight="1" x14ac:dyDescent="0.25">
      <c r="A151" s="548"/>
      <c r="B151" s="493"/>
      <c r="C151" s="499" t="s">
        <v>351</v>
      </c>
      <c r="D151" s="493" t="s">
        <v>350</v>
      </c>
      <c r="E151" s="493" t="s">
        <v>556</v>
      </c>
      <c r="F151" s="493" t="s">
        <v>507</v>
      </c>
      <c r="G151" s="493" t="s">
        <v>513</v>
      </c>
      <c r="H151" s="534">
        <v>91</v>
      </c>
      <c r="I151" s="534">
        <v>484</v>
      </c>
      <c r="J151" s="642">
        <v>1</v>
      </c>
    </row>
    <row r="152" spans="1:10" ht="11.25" customHeight="1" x14ac:dyDescent="0.25">
      <c r="A152" s="548"/>
      <c r="B152" s="493"/>
      <c r="C152" s="499" t="s">
        <v>347</v>
      </c>
      <c r="D152" s="493" t="s">
        <v>346</v>
      </c>
      <c r="E152" s="493" t="s">
        <v>556</v>
      </c>
      <c r="F152" s="493" t="s">
        <v>462</v>
      </c>
      <c r="G152" s="493" t="s">
        <v>513</v>
      </c>
      <c r="H152" s="534">
        <v>183</v>
      </c>
      <c r="I152" s="534">
        <v>919</v>
      </c>
      <c r="J152" s="642">
        <v>1</v>
      </c>
    </row>
    <row r="153" spans="1:10" ht="11.25" customHeight="1" x14ac:dyDescent="0.25">
      <c r="A153" s="548"/>
      <c r="B153" s="493"/>
      <c r="C153" s="499" t="s">
        <v>349</v>
      </c>
      <c r="D153" s="493" t="s">
        <v>348</v>
      </c>
      <c r="E153" s="493" t="s">
        <v>556</v>
      </c>
      <c r="F153" s="493" t="s">
        <v>507</v>
      </c>
      <c r="G153" s="493" t="s">
        <v>513</v>
      </c>
      <c r="H153" s="534">
        <v>44</v>
      </c>
      <c r="I153" s="534">
        <v>182</v>
      </c>
      <c r="J153" s="642">
        <v>1</v>
      </c>
    </row>
    <row r="154" spans="1:10" ht="11.25" customHeight="1" x14ac:dyDescent="0.25">
      <c r="A154" s="548"/>
      <c r="B154" s="493"/>
      <c r="C154" s="499" t="s">
        <v>316</v>
      </c>
      <c r="D154" s="493" t="s">
        <v>315</v>
      </c>
      <c r="E154" s="493" t="s">
        <v>556</v>
      </c>
      <c r="F154" s="493" t="s">
        <v>507</v>
      </c>
      <c r="G154" s="493" t="s">
        <v>513</v>
      </c>
      <c r="H154" s="534">
        <v>90</v>
      </c>
      <c r="I154" s="534">
        <v>365</v>
      </c>
      <c r="J154" s="642">
        <v>1</v>
      </c>
    </row>
    <row r="155" spans="1:10" ht="11.25" customHeight="1" x14ac:dyDescent="0.25">
      <c r="A155" s="548"/>
      <c r="B155" s="493"/>
      <c r="C155" s="493" t="s">
        <v>353</v>
      </c>
      <c r="D155" s="493" t="s">
        <v>352</v>
      </c>
      <c r="E155" s="493" t="s">
        <v>556</v>
      </c>
      <c r="F155" s="493" t="s">
        <v>1097</v>
      </c>
      <c r="G155" s="493" t="s">
        <v>515</v>
      </c>
      <c r="H155" s="534">
        <v>1348</v>
      </c>
      <c r="I155" s="534">
        <v>6839</v>
      </c>
      <c r="J155" s="642">
        <v>1</v>
      </c>
    </row>
    <row r="156" spans="1:10" ht="11.25" customHeight="1" x14ac:dyDescent="0.25">
      <c r="A156" s="548"/>
      <c r="B156" s="493"/>
      <c r="C156" s="493" t="s">
        <v>1257</v>
      </c>
      <c r="D156" s="493" t="s">
        <v>345</v>
      </c>
      <c r="E156" s="493" t="s">
        <v>556</v>
      </c>
      <c r="F156" s="493" t="s">
        <v>462</v>
      </c>
      <c r="G156" s="493" t="s">
        <v>515</v>
      </c>
      <c r="H156" s="534">
        <v>191</v>
      </c>
      <c r="I156" s="534">
        <v>768</v>
      </c>
      <c r="J156" s="642">
        <v>1</v>
      </c>
    </row>
    <row r="157" spans="1:10" ht="11.25" customHeight="1" x14ac:dyDescent="0.25">
      <c r="A157" s="548"/>
      <c r="B157" s="493"/>
      <c r="C157" s="493" t="s">
        <v>1259</v>
      </c>
      <c r="D157" s="493" t="s">
        <v>356</v>
      </c>
      <c r="E157" s="493" t="s">
        <v>556</v>
      </c>
      <c r="F157" s="493" t="s">
        <v>462</v>
      </c>
      <c r="G157" s="493" t="s">
        <v>515</v>
      </c>
      <c r="H157" s="534">
        <v>620</v>
      </c>
      <c r="I157" s="534">
        <v>2782</v>
      </c>
      <c r="J157" s="642">
        <v>1</v>
      </c>
    </row>
    <row r="158" spans="1:10" ht="11.25" customHeight="1" x14ac:dyDescent="0.25">
      <c r="A158" s="548"/>
      <c r="B158" s="493" t="s">
        <v>1125</v>
      </c>
      <c r="C158" s="493"/>
      <c r="D158" s="493"/>
      <c r="E158" s="493"/>
      <c r="F158" s="493"/>
      <c r="G158" s="493"/>
      <c r="H158" s="534">
        <v>4774</v>
      </c>
      <c r="I158" s="534">
        <v>24396</v>
      </c>
      <c r="J158" s="642">
        <v>22</v>
      </c>
    </row>
    <row r="159" spans="1:10" ht="11.25" customHeight="1" x14ac:dyDescent="0.25">
      <c r="A159" s="548" t="s">
        <v>857</v>
      </c>
      <c r="B159" s="493"/>
      <c r="C159" s="493"/>
      <c r="D159" s="493"/>
      <c r="E159" s="493"/>
      <c r="F159" s="493"/>
      <c r="G159" s="493"/>
      <c r="H159" s="534">
        <v>17633</v>
      </c>
      <c r="I159" s="534">
        <v>87845</v>
      </c>
      <c r="J159" s="642">
        <v>138</v>
      </c>
    </row>
    <row r="160" spans="1:10" ht="11.25" customHeight="1" x14ac:dyDescent="0.25">
      <c r="A160" s="548" t="s">
        <v>555</v>
      </c>
      <c r="B160" s="493" t="s">
        <v>784</v>
      </c>
      <c r="C160" s="493" t="s">
        <v>596</v>
      </c>
      <c r="D160" s="493" t="s">
        <v>844</v>
      </c>
      <c r="E160" s="493" t="s">
        <v>12</v>
      </c>
      <c r="F160" s="493" t="s">
        <v>603</v>
      </c>
      <c r="G160" s="493" t="s">
        <v>515</v>
      </c>
      <c r="H160" s="534">
        <v>67</v>
      </c>
      <c r="I160" s="534">
        <v>392</v>
      </c>
      <c r="J160" s="642">
        <v>1</v>
      </c>
    </row>
    <row r="161" spans="1:10" ht="11.25" customHeight="1" x14ac:dyDescent="0.25">
      <c r="A161" s="548"/>
      <c r="B161" s="493"/>
      <c r="C161" s="493" t="s">
        <v>1295</v>
      </c>
      <c r="D161" s="493" t="s">
        <v>1277</v>
      </c>
      <c r="E161" s="493" t="s">
        <v>556</v>
      </c>
      <c r="F161" s="493" t="s">
        <v>462</v>
      </c>
      <c r="G161" s="493" t="s">
        <v>513</v>
      </c>
      <c r="H161" s="534">
        <v>44</v>
      </c>
      <c r="I161" s="534">
        <v>273</v>
      </c>
      <c r="J161" s="642">
        <v>1</v>
      </c>
    </row>
    <row r="162" spans="1:10" ht="11.25" customHeight="1" x14ac:dyDescent="0.25">
      <c r="A162" s="548"/>
      <c r="B162" s="493" t="s">
        <v>1489</v>
      </c>
      <c r="C162" s="493"/>
      <c r="D162" s="493"/>
      <c r="E162" s="493"/>
      <c r="F162" s="493"/>
      <c r="G162" s="493"/>
      <c r="H162" s="534">
        <v>111</v>
      </c>
      <c r="I162" s="534">
        <v>665</v>
      </c>
      <c r="J162" s="642">
        <v>2</v>
      </c>
    </row>
    <row r="163" spans="1:10" ht="11.25" customHeight="1" x14ac:dyDescent="0.25">
      <c r="A163" s="548"/>
      <c r="B163" s="493" t="s">
        <v>146</v>
      </c>
      <c r="C163" s="493" t="s">
        <v>372</v>
      </c>
      <c r="D163" s="493" t="s">
        <v>382</v>
      </c>
      <c r="E163" s="493" t="s">
        <v>556</v>
      </c>
      <c r="F163" s="493" t="s">
        <v>462</v>
      </c>
      <c r="G163" s="493" t="s">
        <v>513</v>
      </c>
      <c r="H163" s="534">
        <v>87</v>
      </c>
      <c r="I163" s="534">
        <v>488</v>
      </c>
      <c r="J163" s="642">
        <v>1</v>
      </c>
    </row>
    <row r="164" spans="1:10" ht="11.25" customHeight="1" x14ac:dyDescent="0.25">
      <c r="A164" s="548"/>
      <c r="B164" s="493"/>
      <c r="C164" s="493" t="s">
        <v>369</v>
      </c>
      <c r="D164" s="493" t="s">
        <v>383</v>
      </c>
      <c r="E164" s="493" t="s">
        <v>556</v>
      </c>
      <c r="F164" s="493" t="s">
        <v>462</v>
      </c>
      <c r="G164" s="493" t="s">
        <v>513</v>
      </c>
      <c r="H164" s="534">
        <v>64</v>
      </c>
      <c r="I164" s="534">
        <v>305</v>
      </c>
      <c r="J164" s="642">
        <v>1</v>
      </c>
    </row>
    <row r="165" spans="1:10" ht="11.25" customHeight="1" x14ac:dyDescent="0.25">
      <c r="A165" s="548"/>
      <c r="B165" s="493"/>
      <c r="C165" s="493" t="s">
        <v>370</v>
      </c>
      <c r="D165" s="493" t="s">
        <v>384</v>
      </c>
      <c r="E165" s="493" t="s">
        <v>556</v>
      </c>
      <c r="F165" s="493" t="s">
        <v>1282</v>
      </c>
      <c r="G165" s="493" t="s">
        <v>513</v>
      </c>
      <c r="H165" s="534">
        <v>31</v>
      </c>
      <c r="I165" s="534">
        <v>144</v>
      </c>
      <c r="J165" s="642">
        <v>1</v>
      </c>
    </row>
    <row r="166" spans="1:10" ht="11.25" customHeight="1" x14ac:dyDescent="0.25">
      <c r="A166" s="548"/>
      <c r="B166" s="493"/>
      <c r="C166" s="493" t="s">
        <v>368</v>
      </c>
      <c r="D166" s="493" t="s">
        <v>385</v>
      </c>
      <c r="E166" s="493" t="s">
        <v>556</v>
      </c>
      <c r="F166" s="493" t="s">
        <v>462</v>
      </c>
      <c r="G166" s="493" t="s">
        <v>513</v>
      </c>
      <c r="H166" s="534">
        <v>79</v>
      </c>
      <c r="I166" s="534">
        <v>318</v>
      </c>
      <c r="J166" s="642">
        <v>1</v>
      </c>
    </row>
    <row r="167" spans="1:10" ht="11.25" customHeight="1" x14ac:dyDescent="0.25">
      <c r="A167" s="548"/>
      <c r="B167" s="493"/>
      <c r="C167" s="493" t="s">
        <v>371</v>
      </c>
      <c r="D167" s="493" t="s">
        <v>147</v>
      </c>
      <c r="E167" s="493" t="s">
        <v>556</v>
      </c>
      <c r="F167" s="493" t="s">
        <v>462</v>
      </c>
      <c r="G167" s="493" t="s">
        <v>513</v>
      </c>
      <c r="H167" s="534">
        <v>51</v>
      </c>
      <c r="I167" s="534">
        <v>261</v>
      </c>
      <c r="J167" s="642">
        <v>1</v>
      </c>
    </row>
    <row r="168" spans="1:10" ht="11.25" customHeight="1" x14ac:dyDescent="0.25">
      <c r="A168" s="548"/>
      <c r="B168" s="493"/>
      <c r="C168" s="493" t="s">
        <v>149</v>
      </c>
      <c r="D168" s="493" t="s">
        <v>148</v>
      </c>
      <c r="E168" s="493" t="s">
        <v>556</v>
      </c>
      <c r="F168" s="493" t="s">
        <v>462</v>
      </c>
      <c r="G168" s="493" t="s">
        <v>513</v>
      </c>
      <c r="H168" s="534">
        <v>71</v>
      </c>
      <c r="I168" s="534">
        <v>278</v>
      </c>
      <c r="J168" s="642">
        <v>1</v>
      </c>
    </row>
    <row r="169" spans="1:10" ht="11.25" customHeight="1" x14ac:dyDescent="0.25">
      <c r="A169" s="548"/>
      <c r="B169" s="493"/>
      <c r="C169" s="493" t="s">
        <v>373</v>
      </c>
      <c r="D169" s="493" t="s">
        <v>387</v>
      </c>
      <c r="E169" s="493" t="s">
        <v>556</v>
      </c>
      <c r="F169" s="493" t="s">
        <v>462</v>
      </c>
      <c r="G169" s="493" t="s">
        <v>513</v>
      </c>
      <c r="H169" s="534">
        <v>189</v>
      </c>
      <c r="I169" s="534">
        <v>935</v>
      </c>
      <c r="J169" s="642">
        <v>1</v>
      </c>
    </row>
    <row r="170" spans="1:10" ht="11.25" customHeight="1" x14ac:dyDescent="0.25">
      <c r="A170" s="548"/>
      <c r="B170" s="493"/>
      <c r="C170" s="493" t="s">
        <v>1109</v>
      </c>
      <c r="D170" s="493" t="s">
        <v>1108</v>
      </c>
      <c r="E170" s="493" t="s">
        <v>556</v>
      </c>
      <c r="F170" s="493" t="s">
        <v>1282</v>
      </c>
      <c r="G170" s="493" t="s">
        <v>513</v>
      </c>
      <c r="H170" s="534">
        <v>23</v>
      </c>
      <c r="I170" s="534">
        <v>112</v>
      </c>
      <c r="J170" s="642">
        <v>1</v>
      </c>
    </row>
    <row r="171" spans="1:10" ht="11.25" customHeight="1" x14ac:dyDescent="0.25">
      <c r="A171" s="548"/>
      <c r="B171" s="493"/>
      <c r="C171" s="493" t="s">
        <v>1350</v>
      </c>
      <c r="D171" s="493" t="s">
        <v>1351</v>
      </c>
      <c r="E171" s="493" t="s">
        <v>556</v>
      </c>
      <c r="F171" s="493" t="s">
        <v>603</v>
      </c>
      <c r="G171" s="493" t="s">
        <v>513</v>
      </c>
      <c r="H171" s="534">
        <v>105</v>
      </c>
      <c r="I171" s="534">
        <v>568</v>
      </c>
      <c r="J171" s="642">
        <v>1</v>
      </c>
    </row>
    <row r="172" spans="1:10" ht="11.25" customHeight="1" x14ac:dyDescent="0.25">
      <c r="A172" s="548"/>
      <c r="B172" s="493" t="s">
        <v>1184</v>
      </c>
      <c r="C172" s="493"/>
      <c r="D172" s="493"/>
      <c r="E172" s="493"/>
      <c r="F172" s="493"/>
      <c r="G172" s="493"/>
      <c r="H172" s="534">
        <v>700</v>
      </c>
      <c r="I172" s="534">
        <v>3409</v>
      </c>
      <c r="J172" s="642">
        <v>9</v>
      </c>
    </row>
    <row r="173" spans="1:10" ht="11.25" customHeight="1" x14ac:dyDescent="0.25">
      <c r="A173" s="548"/>
      <c r="B173" s="493" t="s">
        <v>166</v>
      </c>
      <c r="C173" s="493" t="s">
        <v>167</v>
      </c>
      <c r="D173" s="493" t="s">
        <v>165</v>
      </c>
      <c r="E173" s="493" t="s">
        <v>556</v>
      </c>
      <c r="F173" s="493" t="s">
        <v>462</v>
      </c>
      <c r="G173" s="493" t="s">
        <v>513</v>
      </c>
      <c r="H173" s="534">
        <v>38</v>
      </c>
      <c r="I173" s="534">
        <v>164</v>
      </c>
      <c r="J173" s="642">
        <v>1</v>
      </c>
    </row>
    <row r="174" spans="1:10" ht="11.25" customHeight="1" x14ac:dyDescent="0.25">
      <c r="A174" s="548"/>
      <c r="B174" s="493"/>
      <c r="C174" s="493" t="s">
        <v>828</v>
      </c>
      <c r="D174" s="493" t="s">
        <v>829</v>
      </c>
      <c r="E174" s="493" t="s">
        <v>556</v>
      </c>
      <c r="F174" s="493" t="s">
        <v>1282</v>
      </c>
      <c r="G174" s="493" t="s">
        <v>513</v>
      </c>
      <c r="H174" s="534">
        <v>31</v>
      </c>
      <c r="I174" s="534">
        <v>183</v>
      </c>
      <c r="J174" s="642">
        <v>1</v>
      </c>
    </row>
    <row r="175" spans="1:10" ht="11.25" customHeight="1" x14ac:dyDescent="0.25">
      <c r="A175" s="548"/>
      <c r="B175" s="493" t="s">
        <v>1490</v>
      </c>
      <c r="C175" s="493"/>
      <c r="D175" s="493"/>
      <c r="E175" s="493"/>
      <c r="F175" s="493"/>
      <c r="G175" s="493"/>
      <c r="H175" s="534">
        <v>69</v>
      </c>
      <c r="I175" s="534">
        <v>347</v>
      </c>
      <c r="J175" s="642">
        <v>2</v>
      </c>
    </row>
    <row r="176" spans="1:10" ht="11.25" customHeight="1" x14ac:dyDescent="0.25">
      <c r="A176" s="548"/>
      <c r="B176" s="493" t="s">
        <v>230</v>
      </c>
      <c r="C176" s="493" t="s">
        <v>169</v>
      </c>
      <c r="D176" s="493" t="s">
        <v>168</v>
      </c>
      <c r="E176" s="493" t="s">
        <v>12</v>
      </c>
      <c r="F176" s="493" t="s">
        <v>603</v>
      </c>
      <c r="G176" s="493" t="s">
        <v>513</v>
      </c>
      <c r="H176" s="534">
        <v>32</v>
      </c>
      <c r="I176" s="534"/>
      <c r="J176" s="642">
        <v>1</v>
      </c>
    </row>
    <row r="177" spans="1:10" ht="11.25" customHeight="1" x14ac:dyDescent="0.25">
      <c r="A177" s="548"/>
      <c r="B177" s="493"/>
      <c r="C177" s="493" t="s">
        <v>231</v>
      </c>
      <c r="D177" s="493" t="s">
        <v>388</v>
      </c>
      <c r="E177" s="493" t="s">
        <v>12</v>
      </c>
      <c r="F177" s="493" t="s">
        <v>603</v>
      </c>
      <c r="G177" s="493" t="s">
        <v>515</v>
      </c>
      <c r="H177" s="534">
        <v>32</v>
      </c>
      <c r="I177" s="534">
        <v>187</v>
      </c>
      <c r="J177" s="642">
        <v>1</v>
      </c>
    </row>
    <row r="178" spans="1:10" ht="11.25" customHeight="1" x14ac:dyDescent="0.25">
      <c r="A178" s="548"/>
      <c r="B178" s="493"/>
      <c r="C178" s="493" t="s">
        <v>233</v>
      </c>
      <c r="D178" s="493" t="s">
        <v>232</v>
      </c>
      <c r="E178" s="493" t="s">
        <v>556</v>
      </c>
      <c r="F178" s="493" t="s">
        <v>462</v>
      </c>
      <c r="G178" s="493" t="s">
        <v>515</v>
      </c>
      <c r="H178" s="534">
        <v>9</v>
      </c>
      <c r="I178" s="534">
        <v>52</v>
      </c>
      <c r="J178" s="642">
        <v>1</v>
      </c>
    </row>
    <row r="179" spans="1:10" ht="11.25" customHeight="1" x14ac:dyDescent="0.25">
      <c r="A179" s="548"/>
      <c r="B179" s="493"/>
      <c r="C179" s="493" t="s">
        <v>235</v>
      </c>
      <c r="D179" s="493" t="s">
        <v>234</v>
      </c>
      <c r="E179" s="493" t="s">
        <v>12</v>
      </c>
      <c r="F179" s="493" t="s">
        <v>603</v>
      </c>
      <c r="G179" s="493" t="s">
        <v>515</v>
      </c>
      <c r="H179" s="534">
        <v>123</v>
      </c>
      <c r="I179" s="534">
        <v>503</v>
      </c>
      <c r="J179" s="642">
        <v>1</v>
      </c>
    </row>
    <row r="180" spans="1:10" ht="11.25" customHeight="1" x14ac:dyDescent="0.25">
      <c r="A180" s="548"/>
      <c r="B180" s="493"/>
      <c r="C180" s="493" t="s">
        <v>171</v>
      </c>
      <c r="D180" s="493" t="s">
        <v>170</v>
      </c>
      <c r="E180" s="493" t="s">
        <v>12</v>
      </c>
      <c r="F180" s="493" t="s">
        <v>603</v>
      </c>
      <c r="G180" s="493" t="s">
        <v>513</v>
      </c>
      <c r="H180" s="534">
        <v>6</v>
      </c>
      <c r="I180" s="534"/>
      <c r="J180" s="642">
        <v>1</v>
      </c>
    </row>
    <row r="181" spans="1:10" ht="11.25" customHeight="1" x14ac:dyDescent="0.25">
      <c r="A181" s="548"/>
      <c r="B181" s="493"/>
      <c r="C181" s="493" t="s">
        <v>1060</v>
      </c>
      <c r="D181" s="493" t="s">
        <v>1061</v>
      </c>
      <c r="E181" s="493" t="s">
        <v>556</v>
      </c>
      <c r="F181" s="493" t="s">
        <v>462</v>
      </c>
      <c r="G181" s="493" t="s">
        <v>513</v>
      </c>
      <c r="H181" s="534">
        <v>55</v>
      </c>
      <c r="I181" s="534">
        <v>237</v>
      </c>
      <c r="J181" s="642">
        <v>1</v>
      </c>
    </row>
    <row r="182" spans="1:10" ht="11.25" customHeight="1" x14ac:dyDescent="0.25">
      <c r="A182" s="548"/>
      <c r="B182" s="493"/>
      <c r="C182" s="493" t="s">
        <v>1070</v>
      </c>
      <c r="D182" s="493" t="s">
        <v>1071</v>
      </c>
      <c r="E182" s="493" t="s">
        <v>556</v>
      </c>
      <c r="F182" s="493" t="s">
        <v>1282</v>
      </c>
      <c r="G182" s="493" t="s">
        <v>513</v>
      </c>
      <c r="H182" s="534">
        <v>26</v>
      </c>
      <c r="I182" s="534">
        <v>111</v>
      </c>
      <c r="J182" s="642">
        <v>1</v>
      </c>
    </row>
    <row r="183" spans="1:10" ht="11.25" customHeight="1" x14ac:dyDescent="0.25">
      <c r="A183" s="548"/>
      <c r="B183" s="493" t="s">
        <v>1185</v>
      </c>
      <c r="C183" s="493"/>
      <c r="D183" s="493"/>
      <c r="E183" s="493"/>
      <c r="F183" s="493"/>
      <c r="G183" s="493"/>
      <c r="H183" s="534">
        <v>283</v>
      </c>
      <c r="I183" s="534">
        <v>1090</v>
      </c>
      <c r="J183" s="642">
        <v>7</v>
      </c>
    </row>
    <row r="184" spans="1:10" ht="11.25" customHeight="1" x14ac:dyDescent="0.25">
      <c r="A184" s="548"/>
      <c r="B184" s="493" t="s">
        <v>289</v>
      </c>
      <c r="C184" s="493" t="s">
        <v>292</v>
      </c>
      <c r="D184" s="493" t="s">
        <v>291</v>
      </c>
      <c r="E184" s="493" t="s">
        <v>556</v>
      </c>
      <c r="F184" s="493" t="s">
        <v>462</v>
      </c>
      <c r="G184" s="493" t="s">
        <v>513</v>
      </c>
      <c r="H184" s="534">
        <v>82</v>
      </c>
      <c r="I184" s="534">
        <v>408</v>
      </c>
      <c r="J184" s="642">
        <v>1</v>
      </c>
    </row>
    <row r="185" spans="1:10" ht="11.25" customHeight="1" x14ac:dyDescent="0.25">
      <c r="A185" s="548"/>
      <c r="B185" s="493"/>
      <c r="C185" s="493" t="s">
        <v>290</v>
      </c>
      <c r="D185" s="493" t="s">
        <v>288</v>
      </c>
      <c r="E185" s="493" t="s">
        <v>556</v>
      </c>
      <c r="F185" s="493" t="s">
        <v>462</v>
      </c>
      <c r="G185" s="493" t="s">
        <v>513</v>
      </c>
      <c r="H185" s="534">
        <v>68</v>
      </c>
      <c r="I185" s="534">
        <v>376</v>
      </c>
      <c r="J185" s="642">
        <v>1</v>
      </c>
    </row>
    <row r="186" spans="1:10" ht="11.25" customHeight="1" x14ac:dyDescent="0.25">
      <c r="A186" s="548"/>
      <c r="B186" s="493"/>
      <c r="C186" s="493" t="s">
        <v>374</v>
      </c>
      <c r="D186" s="493" t="s">
        <v>295</v>
      </c>
      <c r="E186" s="493" t="s">
        <v>556</v>
      </c>
      <c r="F186" s="493" t="s">
        <v>1282</v>
      </c>
      <c r="G186" s="493" t="s">
        <v>513</v>
      </c>
      <c r="H186" s="534">
        <v>48</v>
      </c>
      <c r="I186" s="534">
        <v>218</v>
      </c>
      <c r="J186" s="642">
        <v>1</v>
      </c>
    </row>
    <row r="187" spans="1:10" ht="11.25" customHeight="1" x14ac:dyDescent="0.25">
      <c r="A187" s="548"/>
      <c r="B187" s="493"/>
      <c r="C187" s="493" t="s">
        <v>1062</v>
      </c>
      <c r="D187" s="493" t="s">
        <v>1063</v>
      </c>
      <c r="E187" s="493" t="s">
        <v>556</v>
      </c>
      <c r="F187" s="493" t="s">
        <v>462</v>
      </c>
      <c r="G187" s="493" t="s">
        <v>513</v>
      </c>
      <c r="H187" s="534">
        <v>41</v>
      </c>
      <c r="I187" s="534">
        <v>225</v>
      </c>
      <c r="J187" s="642">
        <v>1</v>
      </c>
    </row>
    <row r="188" spans="1:10" ht="11.25" customHeight="1" x14ac:dyDescent="0.25">
      <c r="A188" s="548"/>
      <c r="B188" s="493"/>
      <c r="C188" s="493" t="s">
        <v>1074</v>
      </c>
      <c r="D188" s="493" t="s">
        <v>1067</v>
      </c>
      <c r="E188" s="493" t="s">
        <v>556</v>
      </c>
      <c r="F188" s="493" t="s">
        <v>462</v>
      </c>
      <c r="G188" s="493" t="s">
        <v>513</v>
      </c>
      <c r="H188" s="534">
        <v>141</v>
      </c>
      <c r="I188" s="534">
        <v>669</v>
      </c>
      <c r="J188" s="642">
        <v>1</v>
      </c>
    </row>
    <row r="189" spans="1:10" ht="11.25" customHeight="1" x14ac:dyDescent="0.25">
      <c r="A189" s="548"/>
      <c r="B189" s="493" t="s">
        <v>1186</v>
      </c>
      <c r="C189" s="493"/>
      <c r="D189" s="493"/>
      <c r="E189" s="493"/>
      <c r="F189" s="493"/>
      <c r="G189" s="493"/>
      <c r="H189" s="534">
        <v>380</v>
      </c>
      <c r="I189" s="534">
        <v>1896</v>
      </c>
      <c r="J189" s="642">
        <v>5</v>
      </c>
    </row>
    <row r="190" spans="1:10" ht="11.25" customHeight="1" x14ac:dyDescent="0.25">
      <c r="A190" s="548"/>
      <c r="B190" s="493" t="s">
        <v>298</v>
      </c>
      <c r="C190" s="493" t="s">
        <v>827</v>
      </c>
      <c r="D190" s="493" t="s">
        <v>297</v>
      </c>
      <c r="E190" s="493" t="s">
        <v>556</v>
      </c>
      <c r="F190" s="493" t="s">
        <v>462</v>
      </c>
      <c r="G190" s="493" t="s">
        <v>513</v>
      </c>
      <c r="H190" s="534">
        <v>10</v>
      </c>
      <c r="I190" s="534">
        <v>41</v>
      </c>
      <c r="J190" s="642">
        <v>1</v>
      </c>
    </row>
    <row r="191" spans="1:10" ht="11.25" customHeight="1" x14ac:dyDescent="0.25">
      <c r="A191" s="548"/>
      <c r="B191" s="493"/>
      <c r="C191" s="493" t="s">
        <v>595</v>
      </c>
      <c r="D191" s="493" t="s">
        <v>830</v>
      </c>
      <c r="E191" s="493" t="s">
        <v>12</v>
      </c>
      <c r="F191" s="493" t="s">
        <v>603</v>
      </c>
      <c r="G191" s="493" t="s">
        <v>513</v>
      </c>
      <c r="H191" s="534">
        <v>118</v>
      </c>
      <c r="I191" s="534">
        <v>520</v>
      </c>
      <c r="J191" s="642">
        <v>1</v>
      </c>
    </row>
    <row r="192" spans="1:10" ht="11.25" customHeight="1" x14ac:dyDescent="0.25">
      <c r="A192" s="548"/>
      <c r="B192" s="493" t="s">
        <v>1491</v>
      </c>
      <c r="C192" s="493"/>
      <c r="D192" s="493"/>
      <c r="E192" s="493"/>
      <c r="F192" s="493"/>
      <c r="G192" s="493"/>
      <c r="H192" s="534">
        <v>128</v>
      </c>
      <c r="I192" s="534">
        <v>561</v>
      </c>
      <c r="J192" s="642">
        <v>2</v>
      </c>
    </row>
    <row r="193" spans="1:10" x14ac:dyDescent="0.25">
      <c r="A193" s="548" t="s">
        <v>1187</v>
      </c>
      <c r="B193" s="493"/>
      <c r="C193" s="493"/>
      <c r="D193" s="493"/>
      <c r="E193" s="493"/>
      <c r="F193" s="493"/>
      <c r="G193" s="493"/>
      <c r="H193" s="534">
        <v>1671</v>
      </c>
      <c r="I193" s="534">
        <v>7968</v>
      </c>
      <c r="J193" s="642">
        <v>27</v>
      </c>
    </row>
    <row r="194" spans="1:10" x14ac:dyDescent="0.25">
      <c r="A194" s="650" t="s">
        <v>416</v>
      </c>
      <c r="B194" s="651"/>
      <c r="C194" s="651"/>
      <c r="D194" s="651"/>
      <c r="E194" s="651"/>
      <c r="F194" s="651"/>
      <c r="G194" s="651"/>
      <c r="H194" s="652">
        <v>19304</v>
      </c>
      <c r="I194" s="652">
        <v>95813</v>
      </c>
      <c r="J194" s="653">
        <v>165</v>
      </c>
    </row>
    <row r="195" spans="1:10" x14ac:dyDescent="0.25">
      <c r="A195"/>
      <c r="B195"/>
      <c r="C195"/>
      <c r="D195"/>
      <c r="E195"/>
      <c r="F195"/>
      <c r="G195"/>
      <c r="H195"/>
      <c r="I195"/>
      <c r="J195"/>
    </row>
    <row r="196" spans="1:10" x14ac:dyDescent="0.25">
      <c r="A196"/>
      <c r="B196"/>
      <c r="C196"/>
      <c r="D196"/>
      <c r="E196"/>
      <c r="F196"/>
      <c r="G196"/>
      <c r="H196"/>
      <c r="I196"/>
      <c r="J196"/>
    </row>
    <row r="197" spans="1:10" x14ac:dyDescent="0.25">
      <c r="A197"/>
      <c r="B197"/>
      <c r="C197"/>
      <c r="D197"/>
      <c r="E197"/>
      <c r="F197"/>
      <c r="G197"/>
      <c r="H197"/>
      <c r="I197"/>
      <c r="J197"/>
    </row>
    <row r="198" spans="1:10" x14ac:dyDescent="0.25">
      <c r="A198"/>
      <c r="B198"/>
      <c r="C198"/>
      <c r="D198"/>
      <c r="E198"/>
      <c r="F198"/>
      <c r="G198"/>
      <c r="H198"/>
      <c r="I198"/>
      <c r="J198"/>
    </row>
    <row r="199" spans="1:10" x14ac:dyDescent="0.25">
      <c r="A199"/>
      <c r="B199"/>
      <c r="C199"/>
      <c r="D199"/>
      <c r="E199"/>
      <c r="F199"/>
      <c r="G199"/>
      <c r="H199"/>
      <c r="I199"/>
      <c r="J199"/>
    </row>
    <row r="200" spans="1:10" x14ac:dyDescent="0.25">
      <c r="A200"/>
      <c r="B200"/>
      <c r="C200"/>
      <c r="D200"/>
      <c r="E200"/>
      <c r="F200"/>
      <c r="G200"/>
      <c r="H200"/>
      <c r="I200"/>
      <c r="J200"/>
    </row>
    <row r="201" spans="1:10" x14ac:dyDescent="0.25">
      <c r="A201"/>
      <c r="B201"/>
      <c r="C201"/>
      <c r="D201"/>
      <c r="E201"/>
      <c r="F201"/>
      <c r="G201"/>
      <c r="H201"/>
      <c r="I201"/>
      <c r="J201"/>
    </row>
    <row r="202" spans="1:10" x14ac:dyDescent="0.25">
      <c r="A202"/>
      <c r="B202"/>
      <c r="C202"/>
      <c r="D202"/>
      <c r="E202"/>
      <c r="F202"/>
      <c r="G202"/>
      <c r="H202"/>
      <c r="I202"/>
      <c r="J202"/>
    </row>
    <row r="203" spans="1:10" x14ac:dyDescent="0.25">
      <c r="A203"/>
      <c r="B203"/>
      <c r="C203"/>
      <c r="D203"/>
      <c r="E203"/>
      <c r="F203"/>
      <c r="G203"/>
      <c r="H203"/>
      <c r="I203"/>
      <c r="J203"/>
    </row>
    <row r="204" spans="1:10" x14ac:dyDescent="0.25">
      <c r="A204"/>
      <c r="B204"/>
      <c r="C204"/>
      <c r="D204"/>
      <c r="E204"/>
      <c r="F204"/>
      <c r="G204"/>
      <c r="H204"/>
      <c r="I204"/>
      <c r="J204"/>
    </row>
    <row r="205" spans="1:10" x14ac:dyDescent="0.25">
      <c r="A205"/>
      <c r="B205"/>
      <c r="C205"/>
      <c r="D205"/>
      <c r="E205"/>
      <c r="F205"/>
      <c r="G205"/>
      <c r="H205"/>
      <c r="I205"/>
      <c r="J205"/>
    </row>
    <row r="206" spans="1:10" x14ac:dyDescent="0.25">
      <c r="A206"/>
      <c r="B206"/>
      <c r="C206"/>
      <c r="D206"/>
      <c r="E206"/>
      <c r="F206"/>
      <c r="G206"/>
      <c r="H206"/>
      <c r="I206"/>
      <c r="J206"/>
    </row>
    <row r="207" spans="1:10" x14ac:dyDescent="0.25">
      <c r="A207"/>
      <c r="B207"/>
      <c r="C207"/>
      <c r="D207"/>
      <c r="E207"/>
      <c r="F207"/>
      <c r="G207"/>
      <c r="H207"/>
      <c r="I207"/>
      <c r="J207"/>
    </row>
    <row r="208" spans="1:10" x14ac:dyDescent="0.25">
      <c r="A208"/>
      <c r="B208"/>
      <c r="C208"/>
      <c r="D208"/>
      <c r="E208"/>
      <c r="F208"/>
      <c r="G208"/>
      <c r="H208"/>
      <c r="I208"/>
      <c r="J208"/>
    </row>
    <row r="209" spans="1:10" x14ac:dyDescent="0.25">
      <c r="A209"/>
      <c r="B209"/>
      <c r="C209"/>
      <c r="D209"/>
      <c r="E209"/>
      <c r="F209"/>
      <c r="G209"/>
      <c r="H209"/>
      <c r="I209"/>
      <c r="J209"/>
    </row>
    <row r="210" spans="1:10" x14ac:dyDescent="0.25">
      <c r="A210"/>
      <c r="B210"/>
      <c r="C210"/>
      <c r="D210"/>
      <c r="E210"/>
      <c r="F210"/>
      <c r="G210"/>
      <c r="H210"/>
      <c r="I210"/>
      <c r="J210"/>
    </row>
    <row r="211" spans="1:10" x14ac:dyDescent="0.25">
      <c r="A211"/>
      <c r="B211"/>
      <c r="C211"/>
      <c r="D211"/>
      <c r="E211"/>
      <c r="F211"/>
      <c r="G211"/>
      <c r="H211"/>
      <c r="I211"/>
      <c r="J211"/>
    </row>
    <row r="212" spans="1:10" x14ac:dyDescent="0.25">
      <c r="A212"/>
      <c r="B212"/>
      <c r="C212"/>
      <c r="D212"/>
      <c r="E212"/>
      <c r="F212"/>
      <c r="G212"/>
      <c r="H212"/>
      <c r="I212"/>
      <c r="J212"/>
    </row>
    <row r="213" spans="1:10" x14ac:dyDescent="0.25">
      <c r="A213"/>
      <c r="B213"/>
      <c r="C213"/>
      <c r="D213"/>
      <c r="E213"/>
      <c r="F213"/>
      <c r="G213"/>
      <c r="H213"/>
      <c r="I213"/>
      <c r="J213"/>
    </row>
    <row r="214" spans="1:10" x14ac:dyDescent="0.25">
      <c r="A214"/>
      <c r="B214"/>
      <c r="C214"/>
      <c r="D214"/>
      <c r="E214"/>
      <c r="F214"/>
      <c r="G214"/>
      <c r="H214"/>
      <c r="I214"/>
      <c r="J214"/>
    </row>
    <row r="215" spans="1:10" x14ac:dyDescent="0.25">
      <c r="A215"/>
      <c r="B215"/>
      <c r="C215"/>
      <c r="D215"/>
      <c r="E215"/>
      <c r="F215"/>
      <c r="G215"/>
      <c r="H215"/>
      <c r="I215"/>
      <c r="J215"/>
    </row>
    <row r="216" spans="1:10" x14ac:dyDescent="0.25">
      <c r="A216"/>
      <c r="B216"/>
      <c r="C216"/>
      <c r="D216"/>
      <c r="E216"/>
      <c r="F216"/>
      <c r="G216"/>
      <c r="H216"/>
      <c r="I216"/>
      <c r="J216"/>
    </row>
    <row r="217" spans="1:10" x14ac:dyDescent="0.25">
      <c r="A217"/>
      <c r="B217"/>
      <c r="C217"/>
      <c r="D217"/>
      <c r="E217"/>
      <c r="F217"/>
      <c r="G217"/>
      <c r="H217"/>
      <c r="I217"/>
      <c r="J217"/>
    </row>
    <row r="218" spans="1:10" x14ac:dyDescent="0.25">
      <c r="A218"/>
      <c r="B218"/>
      <c r="C218"/>
      <c r="D218"/>
      <c r="E218"/>
      <c r="F218"/>
      <c r="G218"/>
      <c r="H218"/>
      <c r="I218"/>
      <c r="J218"/>
    </row>
    <row r="219" spans="1:10" x14ac:dyDescent="0.25">
      <c r="A219"/>
      <c r="B219"/>
      <c r="C219"/>
      <c r="D219"/>
      <c r="E219"/>
      <c r="F219"/>
      <c r="G219"/>
      <c r="H219"/>
      <c r="I219"/>
      <c r="J219"/>
    </row>
    <row r="220" spans="1:10" x14ac:dyDescent="0.25">
      <c r="A220"/>
      <c r="B220"/>
      <c r="C220"/>
      <c r="D220"/>
      <c r="E220"/>
      <c r="F220"/>
      <c r="G220"/>
      <c r="H220"/>
      <c r="I220"/>
      <c r="J220"/>
    </row>
    <row r="221" spans="1:10" x14ac:dyDescent="0.25">
      <c r="A221"/>
      <c r="B221"/>
      <c r="C221"/>
      <c r="D221"/>
      <c r="E221"/>
      <c r="F221"/>
      <c r="G221"/>
      <c r="H221"/>
      <c r="I221"/>
      <c r="J221"/>
    </row>
    <row r="222" spans="1:10" x14ac:dyDescent="0.25">
      <c r="A222"/>
      <c r="B222"/>
      <c r="C222"/>
      <c r="D222"/>
      <c r="E222"/>
      <c r="F222"/>
      <c r="G222"/>
      <c r="H222"/>
      <c r="I222"/>
      <c r="J222"/>
    </row>
    <row r="223" spans="1:10" x14ac:dyDescent="0.25">
      <c r="A223"/>
      <c r="B223"/>
      <c r="C223"/>
      <c r="D223"/>
      <c r="E223"/>
      <c r="F223"/>
      <c r="G223"/>
      <c r="H223"/>
      <c r="I223"/>
      <c r="J223"/>
    </row>
    <row r="224" spans="1:10" x14ac:dyDescent="0.25">
      <c r="A224"/>
      <c r="B224"/>
      <c r="C224"/>
      <c r="D224"/>
      <c r="E224"/>
      <c r="F224"/>
      <c r="G224"/>
      <c r="H224"/>
      <c r="I224"/>
      <c r="J224"/>
    </row>
    <row r="225" spans="1:10" x14ac:dyDescent="0.25">
      <c r="A225"/>
      <c r="B225"/>
      <c r="C225"/>
      <c r="D225"/>
      <c r="E225"/>
      <c r="F225"/>
      <c r="G225"/>
      <c r="H225"/>
      <c r="I225"/>
      <c r="J225"/>
    </row>
    <row r="226" spans="1:10" x14ac:dyDescent="0.25">
      <c r="A226"/>
      <c r="B226"/>
      <c r="C226"/>
      <c r="D226"/>
      <c r="E226"/>
      <c r="F226"/>
      <c r="G226"/>
      <c r="H226"/>
      <c r="I226"/>
      <c r="J226"/>
    </row>
    <row r="227" spans="1:10" x14ac:dyDescent="0.25">
      <c r="A227"/>
      <c r="B227"/>
      <c r="C227"/>
      <c r="D227"/>
      <c r="E227"/>
      <c r="F227"/>
      <c r="G227"/>
      <c r="H227"/>
      <c r="I227"/>
      <c r="J227"/>
    </row>
    <row r="228" spans="1:10" x14ac:dyDescent="0.25">
      <c r="A228"/>
      <c r="B228"/>
      <c r="C228"/>
      <c r="D228"/>
      <c r="E228"/>
      <c r="F228"/>
      <c r="G228"/>
      <c r="H228"/>
      <c r="I228"/>
      <c r="J228"/>
    </row>
    <row r="229" spans="1:10" x14ac:dyDescent="0.25">
      <c r="A229"/>
      <c r="B229"/>
      <c r="C229"/>
      <c r="D229"/>
      <c r="E229"/>
      <c r="F229"/>
      <c r="G229"/>
      <c r="H229"/>
      <c r="I229"/>
      <c r="J229"/>
    </row>
    <row r="230" spans="1:10" x14ac:dyDescent="0.25">
      <c r="A230"/>
      <c r="B230"/>
      <c r="C230"/>
      <c r="D230"/>
      <c r="E230"/>
      <c r="F230"/>
      <c r="G230"/>
      <c r="H230"/>
      <c r="I230"/>
      <c r="J230"/>
    </row>
    <row r="231" spans="1:10" x14ac:dyDescent="0.25">
      <c r="A231"/>
      <c r="B231"/>
      <c r="C231"/>
      <c r="D231"/>
      <c r="E231"/>
      <c r="F231"/>
      <c r="G231"/>
      <c r="H231"/>
      <c r="I231"/>
      <c r="J231"/>
    </row>
    <row r="232" spans="1:10" x14ac:dyDescent="0.25">
      <c r="A232"/>
      <c r="B232"/>
      <c r="C232"/>
      <c r="D232"/>
      <c r="E232"/>
      <c r="F232"/>
      <c r="G232"/>
      <c r="H232"/>
      <c r="I232"/>
      <c r="J232"/>
    </row>
    <row r="233" spans="1:10" x14ac:dyDescent="0.25">
      <c r="A233"/>
      <c r="B233"/>
      <c r="C233"/>
      <c r="D233"/>
      <c r="E233"/>
      <c r="F233"/>
      <c r="G233"/>
      <c r="H233"/>
      <c r="I233"/>
      <c r="J233"/>
    </row>
    <row r="234" spans="1:10" x14ac:dyDescent="0.25">
      <c r="A234"/>
      <c r="B234"/>
      <c r="C234"/>
      <c r="D234"/>
      <c r="E234"/>
      <c r="F234"/>
      <c r="G234"/>
      <c r="H234"/>
      <c r="I234"/>
      <c r="J234"/>
    </row>
    <row r="235" spans="1:10" x14ac:dyDescent="0.25">
      <c r="A235"/>
      <c r="B235"/>
      <c r="C235"/>
      <c r="D235"/>
      <c r="E235"/>
      <c r="F235"/>
      <c r="G235"/>
      <c r="H235"/>
      <c r="I235"/>
      <c r="J235"/>
    </row>
    <row r="236" spans="1:10" x14ac:dyDescent="0.25">
      <c r="A236"/>
      <c r="B236"/>
      <c r="C236"/>
      <c r="D236"/>
      <c r="E236"/>
      <c r="F236"/>
      <c r="G236"/>
      <c r="H236"/>
      <c r="I236"/>
      <c r="J236"/>
    </row>
    <row r="237" spans="1:10" x14ac:dyDescent="0.25">
      <c r="A237"/>
      <c r="B237"/>
      <c r="C237"/>
      <c r="D237"/>
      <c r="E237"/>
      <c r="F237"/>
      <c r="G237"/>
      <c r="H237"/>
      <c r="I237"/>
      <c r="J237"/>
    </row>
    <row r="238" spans="1:10" x14ac:dyDescent="0.25">
      <c r="A238"/>
      <c r="B238"/>
      <c r="C238"/>
      <c r="D238"/>
      <c r="E238"/>
      <c r="F238"/>
      <c r="G238"/>
      <c r="H238"/>
      <c r="I238"/>
      <c r="J238"/>
    </row>
    <row r="239" spans="1:10" x14ac:dyDescent="0.25">
      <c r="A239"/>
      <c r="B239"/>
      <c r="C239"/>
      <c r="D239"/>
      <c r="E239"/>
      <c r="F239"/>
      <c r="G239"/>
      <c r="H239"/>
      <c r="I239"/>
      <c r="J239"/>
    </row>
    <row r="240" spans="1:10" x14ac:dyDescent="0.25">
      <c r="A240"/>
      <c r="B240"/>
      <c r="C240"/>
      <c r="D240"/>
      <c r="E240"/>
      <c r="F240"/>
      <c r="G240"/>
      <c r="H240"/>
      <c r="I240"/>
      <c r="J240"/>
    </row>
    <row r="241" spans="1:10" x14ac:dyDescent="0.25">
      <c r="A241"/>
      <c r="B241"/>
      <c r="C241"/>
      <c r="D241"/>
      <c r="E241"/>
      <c r="F241"/>
      <c r="G241"/>
      <c r="H241"/>
      <c r="I241"/>
      <c r="J241"/>
    </row>
    <row r="242" spans="1:10" x14ac:dyDescent="0.25">
      <c r="A242"/>
      <c r="B242"/>
      <c r="C242"/>
      <c r="D242"/>
      <c r="E242"/>
      <c r="F242"/>
      <c r="G242"/>
      <c r="H242"/>
      <c r="I242"/>
      <c r="J242"/>
    </row>
    <row r="243" spans="1:10" x14ac:dyDescent="0.25">
      <c r="A243"/>
      <c r="B243"/>
      <c r="C243"/>
      <c r="D243"/>
      <c r="E243"/>
      <c r="F243"/>
      <c r="G243"/>
      <c r="H243"/>
      <c r="I243"/>
      <c r="J243"/>
    </row>
    <row r="244" spans="1:10" x14ac:dyDescent="0.25">
      <c r="A244"/>
      <c r="B244"/>
      <c r="C244"/>
      <c r="D244"/>
      <c r="E244"/>
      <c r="F244"/>
      <c r="G244"/>
      <c r="H244"/>
      <c r="I244"/>
      <c r="J244"/>
    </row>
    <row r="245" spans="1:10" x14ac:dyDescent="0.25">
      <c r="A245"/>
      <c r="B245"/>
      <c r="C245"/>
      <c r="D245"/>
      <c r="E245"/>
      <c r="F245"/>
      <c r="G245"/>
      <c r="H245"/>
      <c r="I245"/>
      <c r="J245"/>
    </row>
    <row r="246" spans="1:10" x14ac:dyDescent="0.25">
      <c r="A246"/>
      <c r="B246"/>
      <c r="C246"/>
      <c r="D246"/>
      <c r="E246"/>
      <c r="F246"/>
      <c r="G246"/>
      <c r="H246"/>
      <c r="I246"/>
      <c r="J246"/>
    </row>
    <row r="247" spans="1:10" x14ac:dyDescent="0.25">
      <c r="A247"/>
      <c r="B247"/>
      <c r="C247"/>
      <c r="D247"/>
      <c r="E247"/>
      <c r="F247"/>
      <c r="G247"/>
      <c r="H247"/>
      <c r="I247"/>
      <c r="J247"/>
    </row>
    <row r="248" spans="1:10" x14ac:dyDescent="0.25">
      <c r="A248"/>
      <c r="B248"/>
      <c r="C248"/>
      <c r="D248"/>
      <c r="E248"/>
      <c r="F248"/>
      <c r="G248"/>
      <c r="H248"/>
      <c r="I248"/>
      <c r="J248"/>
    </row>
    <row r="249" spans="1:10" x14ac:dyDescent="0.25">
      <c r="A249"/>
      <c r="B249"/>
      <c r="C249"/>
      <c r="D249"/>
      <c r="E249"/>
      <c r="F249"/>
      <c r="G249"/>
      <c r="H249"/>
      <c r="I249"/>
      <c r="J249"/>
    </row>
    <row r="250" spans="1:10" x14ac:dyDescent="0.25">
      <c r="A250"/>
      <c r="B250"/>
      <c r="C250"/>
      <c r="D250"/>
      <c r="E250"/>
      <c r="F250"/>
      <c r="G250"/>
      <c r="H250"/>
      <c r="I250"/>
      <c r="J250"/>
    </row>
    <row r="251" spans="1:10" x14ac:dyDescent="0.25">
      <c r="A251"/>
      <c r="B251"/>
      <c r="C251"/>
      <c r="D251"/>
      <c r="E251"/>
      <c r="F251"/>
      <c r="G251"/>
      <c r="H251"/>
      <c r="I251"/>
      <c r="J251"/>
    </row>
    <row r="252" spans="1:10" x14ac:dyDescent="0.25">
      <c r="A252"/>
      <c r="B252"/>
      <c r="C252"/>
      <c r="D252"/>
      <c r="E252"/>
      <c r="F252"/>
      <c r="G252"/>
      <c r="H252"/>
      <c r="I252"/>
      <c r="J252"/>
    </row>
    <row r="253" spans="1:10" x14ac:dyDescent="0.25">
      <c r="A253"/>
      <c r="B253"/>
      <c r="C253"/>
      <c r="D253"/>
      <c r="E253"/>
      <c r="F253"/>
      <c r="G253"/>
      <c r="H253"/>
      <c r="I253"/>
      <c r="J253"/>
    </row>
    <row r="254" spans="1:10" x14ac:dyDescent="0.25">
      <c r="A254"/>
      <c r="B254"/>
      <c r="C254"/>
      <c r="D254"/>
      <c r="E254"/>
      <c r="F254"/>
      <c r="G254"/>
      <c r="H254"/>
      <c r="I254"/>
      <c r="J254"/>
    </row>
    <row r="255" spans="1:10" x14ac:dyDescent="0.25">
      <c r="A255"/>
      <c r="B255"/>
      <c r="C255"/>
      <c r="D255"/>
      <c r="E255"/>
      <c r="F255"/>
      <c r="G255"/>
      <c r="H255"/>
      <c r="I255"/>
      <c r="J255"/>
    </row>
    <row r="256" spans="1:10" x14ac:dyDescent="0.25">
      <c r="A256"/>
      <c r="B256"/>
      <c r="C256"/>
      <c r="D256"/>
      <c r="E256"/>
      <c r="F256"/>
      <c r="G256"/>
      <c r="H256"/>
      <c r="I256"/>
      <c r="J256"/>
    </row>
    <row r="257" spans="1:10" x14ac:dyDescent="0.25">
      <c r="A257"/>
      <c r="B257"/>
      <c r="C257"/>
      <c r="D257"/>
      <c r="E257"/>
      <c r="F257"/>
      <c r="G257"/>
      <c r="H257"/>
      <c r="I257"/>
      <c r="J257"/>
    </row>
    <row r="258" spans="1:10" x14ac:dyDescent="0.25">
      <c r="A258"/>
      <c r="B258"/>
      <c r="C258"/>
      <c r="D258"/>
      <c r="E258"/>
      <c r="F258"/>
      <c r="G258"/>
      <c r="H258"/>
      <c r="I258"/>
      <c r="J258"/>
    </row>
    <row r="259" spans="1:10" x14ac:dyDescent="0.25">
      <c r="A259"/>
      <c r="B259"/>
      <c r="C259"/>
      <c r="D259"/>
      <c r="E259"/>
      <c r="F259"/>
      <c r="G259"/>
      <c r="H259"/>
      <c r="I259"/>
      <c r="J259"/>
    </row>
    <row r="260" spans="1:10" x14ac:dyDescent="0.25">
      <c r="A260"/>
      <c r="B260"/>
      <c r="C260"/>
      <c r="D260"/>
      <c r="E260"/>
      <c r="F260"/>
      <c r="G260"/>
      <c r="H260"/>
      <c r="I260"/>
      <c r="J260"/>
    </row>
    <row r="261" spans="1:10" x14ac:dyDescent="0.25">
      <c r="A261"/>
      <c r="B261"/>
      <c r="C261"/>
      <c r="D261"/>
      <c r="E261"/>
      <c r="F261"/>
      <c r="G261"/>
      <c r="H261"/>
      <c r="I261"/>
      <c r="J261"/>
    </row>
    <row r="262" spans="1:10" x14ac:dyDescent="0.25">
      <c r="A262"/>
      <c r="B262"/>
      <c r="C262"/>
      <c r="D262"/>
      <c r="E262"/>
      <c r="F262"/>
      <c r="G262"/>
      <c r="H262"/>
      <c r="I262"/>
      <c r="J262"/>
    </row>
    <row r="263" spans="1:10" x14ac:dyDescent="0.25">
      <c r="A263"/>
      <c r="B263"/>
      <c r="C263"/>
      <c r="D263"/>
      <c r="E263"/>
      <c r="F263"/>
      <c r="G263"/>
      <c r="H263"/>
      <c r="I263"/>
      <c r="J263"/>
    </row>
    <row r="264" spans="1:10" x14ac:dyDescent="0.25">
      <c r="A264"/>
      <c r="B264"/>
      <c r="C264"/>
      <c r="D264"/>
      <c r="E264"/>
      <c r="F264"/>
      <c r="G264"/>
      <c r="H264"/>
      <c r="I264"/>
      <c r="J264"/>
    </row>
    <row r="265" spans="1:10" x14ac:dyDescent="0.25">
      <c r="A265"/>
      <c r="B265"/>
      <c r="C265"/>
      <c r="D265"/>
      <c r="E265"/>
      <c r="F265"/>
      <c r="G265"/>
      <c r="H265"/>
      <c r="I265"/>
      <c r="J265"/>
    </row>
    <row r="266" spans="1:10" x14ac:dyDescent="0.25">
      <c r="A266"/>
      <c r="B266"/>
      <c r="C266"/>
      <c r="D266"/>
      <c r="E266"/>
      <c r="F266"/>
      <c r="G266"/>
      <c r="H266"/>
      <c r="I266"/>
      <c r="J266"/>
    </row>
    <row r="267" spans="1:10" x14ac:dyDescent="0.25">
      <c r="A267"/>
      <c r="B267"/>
      <c r="C267"/>
      <c r="D267"/>
      <c r="E267"/>
      <c r="F267"/>
      <c r="G267"/>
      <c r="H267"/>
      <c r="I267"/>
      <c r="J267"/>
    </row>
    <row r="268" spans="1:10" x14ac:dyDescent="0.25">
      <c r="A268"/>
      <c r="B268"/>
      <c r="C268"/>
      <c r="D268"/>
      <c r="E268"/>
      <c r="F268"/>
      <c r="G268"/>
      <c r="H268"/>
      <c r="I268"/>
      <c r="J268"/>
    </row>
    <row r="269" spans="1:10" x14ac:dyDescent="0.25">
      <c r="A269"/>
      <c r="B269"/>
      <c r="C269"/>
      <c r="D269"/>
      <c r="E269"/>
      <c r="F269"/>
      <c r="G269"/>
      <c r="H269"/>
      <c r="I269"/>
      <c r="J269"/>
    </row>
    <row r="270" spans="1:10" x14ac:dyDescent="0.25">
      <c r="A270"/>
      <c r="B270"/>
      <c r="C270"/>
      <c r="D270"/>
      <c r="E270"/>
      <c r="F270"/>
      <c r="G270"/>
      <c r="H270"/>
      <c r="I270"/>
      <c r="J270"/>
    </row>
    <row r="271" spans="1:10" x14ac:dyDescent="0.25">
      <c r="G271" s="129"/>
      <c r="H271" s="129"/>
    </row>
    <row r="272" spans="1:10" x14ac:dyDescent="0.25">
      <c r="G272" s="129"/>
      <c r="H272" s="129"/>
    </row>
    <row r="273" spans="7:8" x14ac:dyDescent="0.25">
      <c r="G273" s="129"/>
      <c r="H273" s="129"/>
    </row>
    <row r="274" spans="7:8" x14ac:dyDescent="0.25">
      <c r="G274" s="129"/>
      <c r="H274" s="129"/>
    </row>
    <row r="275" spans="7:8" x14ac:dyDescent="0.25">
      <c r="G275" s="129"/>
      <c r="H275" s="129"/>
    </row>
    <row r="276" spans="7:8" x14ac:dyDescent="0.25">
      <c r="G276" s="129"/>
      <c r="H276" s="129"/>
    </row>
    <row r="277" spans="7:8" x14ac:dyDescent="0.25">
      <c r="G277" s="129"/>
      <c r="H277" s="129"/>
    </row>
    <row r="278" spans="7:8" x14ac:dyDescent="0.25">
      <c r="G278" s="129"/>
      <c r="H278" s="129"/>
    </row>
    <row r="279" spans="7:8" x14ac:dyDescent="0.25">
      <c r="G279" s="129"/>
      <c r="H279" s="129"/>
    </row>
    <row r="280" spans="7:8" x14ac:dyDescent="0.25">
      <c r="G280" s="129"/>
      <c r="H280" s="129"/>
    </row>
    <row r="281" spans="7:8" x14ac:dyDescent="0.25">
      <c r="G281" s="129"/>
      <c r="H281" s="129"/>
    </row>
    <row r="282" spans="7:8" x14ac:dyDescent="0.25">
      <c r="G282" s="129"/>
      <c r="H282" s="129"/>
    </row>
    <row r="283" spans="7:8" x14ac:dyDescent="0.25">
      <c r="G283" s="129"/>
      <c r="H283" s="129"/>
    </row>
    <row r="284" spans="7:8" x14ac:dyDescent="0.25">
      <c r="G284" s="129"/>
      <c r="H284" s="129"/>
    </row>
    <row r="285" spans="7:8" x14ac:dyDescent="0.25">
      <c r="G285" s="129"/>
      <c r="H285" s="129"/>
    </row>
    <row r="286" spans="7:8" x14ac:dyDescent="0.25">
      <c r="G286" s="129"/>
      <c r="H286" s="129"/>
    </row>
    <row r="287" spans="7:8" x14ac:dyDescent="0.25">
      <c r="G287" s="129"/>
      <c r="H287" s="129"/>
    </row>
    <row r="288" spans="7:8" x14ac:dyDescent="0.25">
      <c r="G288" s="129"/>
      <c r="H288" s="129"/>
    </row>
    <row r="289" spans="7:8" x14ac:dyDescent="0.25">
      <c r="G289" s="129"/>
      <c r="H289" s="129"/>
    </row>
    <row r="290" spans="7:8" x14ac:dyDescent="0.25">
      <c r="G290" s="129"/>
      <c r="H290" s="129"/>
    </row>
    <row r="291" spans="7:8" x14ac:dyDescent="0.25">
      <c r="G291" s="129"/>
      <c r="H291" s="129"/>
    </row>
    <row r="292" spans="7:8" x14ac:dyDescent="0.25">
      <c r="G292" s="129"/>
      <c r="H292" s="129"/>
    </row>
    <row r="293" spans="7:8" x14ac:dyDescent="0.25">
      <c r="G293" s="129"/>
      <c r="H293" s="129"/>
    </row>
    <row r="294" spans="7:8" x14ac:dyDescent="0.25">
      <c r="G294" s="129"/>
      <c r="H294" s="129"/>
    </row>
    <row r="295" spans="7:8" x14ac:dyDescent="0.25">
      <c r="G295" s="129"/>
      <c r="H295" s="129"/>
    </row>
    <row r="296" spans="7:8" x14ac:dyDescent="0.25">
      <c r="G296" s="129"/>
      <c r="H296" s="129"/>
    </row>
    <row r="297" spans="7:8" x14ac:dyDescent="0.25">
      <c r="G297" s="129"/>
      <c r="H297" s="129"/>
    </row>
    <row r="298" spans="7:8" x14ac:dyDescent="0.25">
      <c r="G298" s="129"/>
      <c r="H298" s="129"/>
    </row>
    <row r="299" spans="7:8" x14ac:dyDescent="0.25">
      <c r="G299" s="129"/>
      <c r="H299" s="129"/>
    </row>
    <row r="300" spans="7:8" x14ac:dyDescent="0.25">
      <c r="G300" s="129"/>
      <c r="H300" s="129"/>
    </row>
    <row r="301" spans="7:8" x14ac:dyDescent="0.25">
      <c r="G301" s="129"/>
      <c r="H301" s="129"/>
    </row>
    <row r="302" spans="7:8" x14ac:dyDescent="0.25">
      <c r="G302" s="129"/>
      <c r="H302" s="129"/>
    </row>
    <row r="303" spans="7:8" x14ac:dyDescent="0.25">
      <c r="G303" s="129"/>
      <c r="H303" s="129"/>
    </row>
    <row r="304" spans="7:8" x14ac:dyDescent="0.25">
      <c r="G304" s="129"/>
      <c r="H304" s="129"/>
    </row>
    <row r="305" spans="7:8" x14ac:dyDescent="0.25">
      <c r="G305" s="129"/>
      <c r="H305" s="129"/>
    </row>
    <row r="306" spans="7:8" x14ac:dyDescent="0.25">
      <c r="G306" s="129"/>
      <c r="H306" s="129"/>
    </row>
    <row r="307" spans="7:8" x14ac:dyDescent="0.25">
      <c r="G307" s="129"/>
      <c r="H307" s="129"/>
    </row>
    <row r="308" spans="7:8" x14ac:dyDescent="0.25">
      <c r="G308" s="129"/>
      <c r="H308" s="129"/>
    </row>
    <row r="309" spans="7:8" x14ac:dyDescent="0.25">
      <c r="G309" s="129"/>
      <c r="H309" s="129"/>
    </row>
    <row r="310" spans="7:8" x14ac:dyDescent="0.25">
      <c r="G310" s="129"/>
      <c r="H310" s="129"/>
    </row>
    <row r="311" spans="7:8" x14ac:dyDescent="0.25">
      <c r="G311" s="129"/>
      <c r="H311" s="129"/>
    </row>
    <row r="312" spans="7:8" x14ac:dyDescent="0.25">
      <c r="G312" s="129"/>
      <c r="H312" s="129"/>
    </row>
    <row r="313" spans="7:8" x14ac:dyDescent="0.25">
      <c r="G313" s="129"/>
      <c r="H313" s="129"/>
    </row>
    <row r="314" spans="7:8" x14ac:dyDescent="0.25">
      <c r="G314" s="129"/>
      <c r="H314" s="129"/>
    </row>
    <row r="315" spans="7:8" x14ac:dyDescent="0.25">
      <c r="G315" s="129"/>
      <c r="H315" s="129"/>
    </row>
    <row r="316" spans="7:8" x14ac:dyDescent="0.25">
      <c r="G316" s="129"/>
      <c r="H316" s="129"/>
    </row>
    <row r="317" spans="7:8" x14ac:dyDescent="0.25">
      <c r="G317" s="129"/>
      <c r="H317" s="129"/>
    </row>
    <row r="318" spans="7:8" x14ac:dyDescent="0.25">
      <c r="G318" s="129"/>
      <c r="H318" s="129"/>
    </row>
    <row r="319" spans="7:8" x14ac:dyDescent="0.25">
      <c r="G319" s="129"/>
      <c r="H319" s="129"/>
    </row>
    <row r="320" spans="7:8" x14ac:dyDescent="0.25">
      <c r="G320" s="129"/>
      <c r="H320" s="129"/>
    </row>
    <row r="321" spans="7:8" x14ac:dyDescent="0.25">
      <c r="G321" s="129"/>
      <c r="H321" s="129"/>
    </row>
    <row r="322" spans="7:8" x14ac:dyDescent="0.25">
      <c r="G322" s="129"/>
      <c r="H322" s="129"/>
    </row>
    <row r="323" spans="7:8" x14ac:dyDescent="0.25">
      <c r="G323" s="129"/>
      <c r="H323" s="129"/>
    </row>
    <row r="324" spans="7:8" x14ac:dyDescent="0.25">
      <c r="G324" s="129"/>
      <c r="H324" s="129"/>
    </row>
    <row r="325" spans="7:8" x14ac:dyDescent="0.25">
      <c r="G325" s="129"/>
      <c r="H325" s="129"/>
    </row>
    <row r="326" spans="7:8" x14ac:dyDescent="0.25">
      <c r="G326" s="129"/>
      <c r="H326" s="129"/>
    </row>
    <row r="327" spans="7:8" x14ac:dyDescent="0.25">
      <c r="G327" s="129"/>
      <c r="H327" s="129"/>
    </row>
    <row r="328" spans="7:8" x14ac:dyDescent="0.25">
      <c r="G328" s="129"/>
      <c r="H328" s="129"/>
    </row>
    <row r="329" spans="7:8" x14ac:dyDescent="0.25">
      <c r="G329" s="129"/>
      <c r="H329" s="129"/>
    </row>
    <row r="330" spans="7:8" x14ac:dyDescent="0.25">
      <c r="G330" s="129"/>
      <c r="H330" s="129"/>
    </row>
    <row r="331" spans="7:8" x14ac:dyDescent="0.25">
      <c r="G331" s="129"/>
      <c r="H331" s="129"/>
    </row>
    <row r="332" spans="7:8" x14ac:dyDescent="0.25">
      <c r="G332" s="129"/>
      <c r="H332" s="129"/>
    </row>
    <row r="333" spans="7:8" x14ac:dyDescent="0.25">
      <c r="G333" s="129"/>
      <c r="H333" s="129"/>
    </row>
    <row r="334" spans="7:8" x14ac:dyDescent="0.25">
      <c r="G334" s="129"/>
      <c r="H334" s="129"/>
    </row>
    <row r="335" spans="7:8" x14ac:dyDescent="0.25">
      <c r="G335" s="129"/>
      <c r="H335" s="129"/>
    </row>
    <row r="336" spans="7:8" x14ac:dyDescent="0.25">
      <c r="G336" s="129"/>
      <c r="H336" s="129"/>
    </row>
    <row r="337" spans="7:8" x14ac:dyDescent="0.25">
      <c r="G337" s="129"/>
      <c r="H337" s="129"/>
    </row>
    <row r="338" spans="7:8" x14ac:dyDescent="0.25">
      <c r="G338" s="129"/>
      <c r="H338" s="129"/>
    </row>
    <row r="339" spans="7:8" x14ac:dyDescent="0.25">
      <c r="G339" s="129"/>
      <c r="H339" s="129"/>
    </row>
    <row r="340" spans="7:8" x14ac:dyDescent="0.25">
      <c r="G340" s="129"/>
      <c r="H340" s="129"/>
    </row>
    <row r="341" spans="7:8" x14ac:dyDescent="0.25">
      <c r="G341" s="129"/>
      <c r="H341" s="129"/>
    </row>
    <row r="342" spans="7:8" x14ac:dyDescent="0.25">
      <c r="G342" s="129"/>
      <c r="H342" s="129"/>
    </row>
    <row r="343" spans="7:8" x14ac:dyDescent="0.25">
      <c r="G343" s="129"/>
      <c r="H343" s="129"/>
    </row>
    <row r="344" spans="7:8" x14ac:dyDescent="0.25">
      <c r="G344" s="129"/>
      <c r="H344" s="129"/>
    </row>
    <row r="345" spans="7:8" x14ac:dyDescent="0.25">
      <c r="G345" s="129"/>
      <c r="H345" s="129"/>
    </row>
    <row r="346" spans="7:8" x14ac:dyDescent="0.25">
      <c r="G346" s="129"/>
      <c r="H346" s="129"/>
    </row>
    <row r="347" spans="7:8" x14ac:dyDescent="0.25">
      <c r="G347" s="129"/>
      <c r="H347" s="129"/>
    </row>
    <row r="348" spans="7:8" x14ac:dyDescent="0.25">
      <c r="G348" s="129"/>
      <c r="H348" s="129"/>
    </row>
    <row r="349" spans="7:8" x14ac:dyDescent="0.25">
      <c r="G349" s="129"/>
      <c r="H349" s="129"/>
    </row>
    <row r="350" spans="7:8" x14ac:dyDescent="0.25">
      <c r="G350" s="129"/>
      <c r="H350" s="129"/>
    </row>
    <row r="351" spans="7:8" x14ac:dyDescent="0.25">
      <c r="G351" s="129"/>
      <c r="H351" s="129"/>
    </row>
    <row r="352" spans="7:8" x14ac:dyDescent="0.25">
      <c r="G352" s="129"/>
      <c r="H352" s="129"/>
    </row>
    <row r="353" spans="7:8" x14ac:dyDescent="0.25">
      <c r="G353" s="129"/>
      <c r="H353" s="129"/>
    </row>
    <row r="354" spans="7:8" x14ac:dyDescent="0.25">
      <c r="G354" s="129"/>
      <c r="H354" s="129"/>
    </row>
    <row r="355" spans="7:8" x14ac:dyDescent="0.25">
      <c r="G355" s="129"/>
      <c r="H355" s="129"/>
    </row>
    <row r="356" spans="7:8" x14ac:dyDescent="0.25">
      <c r="G356" s="129"/>
      <c r="H356" s="129"/>
    </row>
    <row r="357" spans="7:8" x14ac:dyDescent="0.25">
      <c r="G357" s="129"/>
      <c r="H357" s="129"/>
    </row>
    <row r="358" spans="7:8" x14ac:dyDescent="0.25">
      <c r="G358" s="129"/>
      <c r="H358" s="129"/>
    </row>
  </sheetData>
  <mergeCells count="1">
    <mergeCell ref="A3:B3"/>
  </mergeCells>
  <printOptions horizontalCentered="1"/>
  <pageMargins left="0.25" right="0.25" top="0.25" bottom="0.25" header="0.3" footer="0.3"/>
  <pageSetup paperSize="9" scale="90"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BC330"/>
  <sheetViews>
    <sheetView showZeros="0" tabSelected="1" zoomScale="90" zoomScaleNormal="90" zoomScaleSheetLayoutView="100" workbookViewId="0">
      <selection activeCell="E16" sqref="E16"/>
    </sheetView>
  </sheetViews>
  <sheetFormatPr defaultColWidth="9.140625" defaultRowHeight="15" x14ac:dyDescent="0.25"/>
  <cols>
    <col min="1" max="1" width="1.85546875" style="129" customWidth="1"/>
    <col min="2" max="2" width="1.7109375" style="129" customWidth="1"/>
    <col min="3" max="3" width="31.7109375" style="33" customWidth="1"/>
    <col min="4" max="6" width="9.7109375" style="33" customWidth="1"/>
    <col min="7" max="7" width="0.85546875" style="112" customWidth="1"/>
    <col min="8" max="8" width="7.28515625" style="33" customWidth="1"/>
    <col min="9" max="9" width="7.7109375" style="33" customWidth="1"/>
    <col min="10" max="10" width="7.85546875" style="33" customWidth="1"/>
    <col min="11" max="13" width="7.7109375" style="33" customWidth="1"/>
    <col min="14" max="17" width="9.7109375" style="33" customWidth="1"/>
    <col min="18" max="18" width="9" style="33" customWidth="1"/>
    <col min="19" max="19" width="0.7109375" style="33" customWidth="1"/>
    <col min="20" max="21" width="7.140625" style="33" customWidth="1"/>
    <col min="22" max="22" width="2.85546875" style="33" customWidth="1"/>
    <col min="23" max="23" width="7.140625" style="33" customWidth="1"/>
    <col min="24" max="24" width="16.7109375" style="70" customWidth="1"/>
    <col min="25" max="27" width="7.140625" style="70" customWidth="1"/>
    <col min="28" max="28" width="13" style="70" customWidth="1"/>
    <col min="29" max="29" width="12" style="70" customWidth="1"/>
    <col min="30" max="30" width="14.140625" style="70" customWidth="1"/>
    <col min="31" max="35" width="7.140625" style="70" customWidth="1"/>
    <col min="36" max="36" width="0.7109375" style="70" customWidth="1"/>
    <col min="37" max="37" width="21.5703125" style="70" customWidth="1"/>
    <col min="38" max="47" width="9.140625" style="70"/>
    <col min="48" max="16384" width="9.140625" style="33"/>
  </cols>
  <sheetData>
    <row r="1" spans="2:55" s="129" customFormat="1" ht="15.75" thickBot="1" x14ac:dyDescent="0.3"/>
    <row r="2" spans="2:55" s="129" customFormat="1" ht="6" customHeight="1" x14ac:dyDescent="0.25">
      <c r="B2" s="259"/>
      <c r="C2" s="260"/>
      <c r="D2" s="260"/>
      <c r="E2" s="260"/>
      <c r="F2" s="260"/>
      <c r="G2" s="260"/>
      <c r="H2" s="260"/>
      <c r="I2" s="260"/>
      <c r="J2" s="260"/>
      <c r="K2" s="260"/>
      <c r="L2" s="260"/>
      <c r="M2" s="260"/>
      <c r="N2" s="260"/>
      <c r="O2" s="260"/>
      <c r="P2" s="260"/>
      <c r="Q2" s="260"/>
      <c r="R2" s="260"/>
      <c r="S2" s="260"/>
      <c r="T2" s="260"/>
      <c r="U2" s="261"/>
    </row>
    <row r="3" spans="2:55" s="1" customFormat="1" ht="36" x14ac:dyDescent="0.25">
      <c r="B3" s="262"/>
      <c r="C3" s="850"/>
      <c r="D3" s="850"/>
      <c r="E3" s="850"/>
      <c r="F3" s="850"/>
      <c r="G3" s="850"/>
      <c r="H3" s="850"/>
      <c r="I3" s="850"/>
      <c r="J3" s="850"/>
      <c r="K3" s="850"/>
      <c r="L3" s="850"/>
      <c r="M3" s="850"/>
      <c r="N3" s="850"/>
      <c r="O3" s="850"/>
      <c r="P3" s="850"/>
      <c r="Q3" s="850"/>
      <c r="R3" s="850"/>
      <c r="S3" s="216"/>
      <c r="T3" s="216"/>
      <c r="U3" s="263"/>
      <c r="BB3" s="59"/>
      <c r="BC3" s="59"/>
    </row>
    <row r="4" spans="2:55" s="1" customFormat="1" ht="33" customHeight="1" x14ac:dyDescent="0.25">
      <c r="B4" s="262"/>
      <c r="C4" s="849" t="s">
        <v>588</v>
      </c>
      <c r="D4" s="849"/>
      <c r="E4" s="849"/>
      <c r="F4" s="849"/>
      <c r="G4" s="849"/>
      <c r="H4" s="849"/>
      <c r="I4" s="849"/>
      <c r="J4" s="849"/>
      <c r="K4" s="849"/>
      <c r="L4" s="252"/>
      <c r="M4" s="252"/>
      <c r="N4" s="252"/>
      <c r="O4" s="252"/>
      <c r="P4" s="252"/>
      <c r="Q4" s="252"/>
      <c r="R4" s="252"/>
      <c r="S4" s="216"/>
      <c r="T4" s="216"/>
      <c r="U4" s="263"/>
      <c r="X4" s="70"/>
      <c r="Y4" s="70"/>
      <c r="Z4" s="70"/>
      <c r="AA4" s="70"/>
      <c r="AB4" s="70"/>
      <c r="AC4" s="70"/>
      <c r="AD4" s="70"/>
      <c r="AE4" s="70"/>
      <c r="AF4" s="70"/>
      <c r="AG4" s="70"/>
      <c r="AH4" s="70"/>
      <c r="AI4" s="70"/>
      <c r="AJ4" s="70"/>
      <c r="AK4" s="70"/>
      <c r="AL4" s="70"/>
      <c r="AM4" s="70"/>
      <c r="AN4" s="70"/>
      <c r="AO4" s="70"/>
      <c r="AP4" s="70"/>
      <c r="AQ4" s="70"/>
      <c r="AR4" s="70"/>
      <c r="BB4" s="59"/>
      <c r="BC4" s="59"/>
    </row>
    <row r="5" spans="2:55" s="18" customFormat="1" ht="18" customHeight="1" x14ac:dyDescent="0.25">
      <c r="B5" s="264"/>
      <c r="C5" s="846">
        <f>Report_Date</f>
        <v>42370</v>
      </c>
      <c r="D5" s="846"/>
      <c r="E5" s="846"/>
      <c r="F5" s="846"/>
      <c r="G5" s="846"/>
      <c r="H5" s="846"/>
      <c r="I5" s="846"/>
      <c r="J5" s="846"/>
      <c r="K5" s="846"/>
      <c r="L5" s="256"/>
      <c r="M5" s="256"/>
      <c r="N5" s="256"/>
      <c r="O5" s="256"/>
      <c r="P5" s="256"/>
      <c r="Q5" s="256"/>
      <c r="R5" s="256"/>
      <c r="S5" s="257"/>
      <c r="T5" s="257"/>
      <c r="U5" s="265"/>
      <c r="Y5" s="70"/>
      <c r="Z5" s="70"/>
      <c r="AA5" s="70"/>
      <c r="AB5" s="70"/>
      <c r="AC5" s="70"/>
      <c r="AD5" s="70"/>
      <c r="AE5" s="70"/>
      <c r="AF5" s="70"/>
      <c r="AG5" s="70"/>
      <c r="AH5" s="70"/>
      <c r="AI5" s="70"/>
      <c r="AJ5" s="70"/>
      <c r="AK5" s="70"/>
      <c r="AL5" s="70"/>
      <c r="AM5" s="70"/>
      <c r="AN5" s="70"/>
      <c r="AO5" s="70"/>
      <c r="AP5" s="70"/>
      <c r="AQ5" s="70"/>
      <c r="AR5" s="70"/>
      <c r="BB5" s="60"/>
      <c r="BC5" s="60"/>
    </row>
    <row r="6" spans="2:55" ht="36" x14ac:dyDescent="0.25">
      <c r="B6" s="273"/>
      <c r="C6" s="251"/>
      <c r="D6" s="251"/>
      <c r="E6" s="251"/>
      <c r="F6" s="251"/>
      <c r="G6" s="251"/>
      <c r="H6" s="251"/>
      <c r="I6" s="251"/>
      <c r="J6" s="251"/>
      <c r="K6" s="251"/>
      <c r="L6" s="251"/>
      <c r="M6" s="251"/>
      <c r="N6" s="251"/>
      <c r="O6" s="39"/>
      <c r="P6" s="39"/>
      <c r="Q6" s="39"/>
      <c r="R6" s="39"/>
      <c r="S6" s="39"/>
      <c r="T6" s="39"/>
      <c r="U6" s="270"/>
      <c r="V6" s="86"/>
      <c r="W6" s="86"/>
      <c r="X6" s="86"/>
      <c r="Y6" s="86"/>
      <c r="Z6" s="86"/>
      <c r="AA6" s="86"/>
      <c r="AB6" s="86"/>
      <c r="AC6" s="86"/>
      <c r="AD6" s="86"/>
      <c r="AE6" s="86"/>
      <c r="AF6" s="86"/>
      <c r="AG6" s="86"/>
      <c r="AH6" s="86"/>
      <c r="AK6" s="20" t="s">
        <v>0</v>
      </c>
      <c r="AL6" s="26" t="s">
        <v>1015</v>
      </c>
      <c r="AM6" s="26" t="s">
        <v>1016</v>
      </c>
      <c r="AN6" s="26" t="s">
        <v>591</v>
      </c>
      <c r="AO6" s="26" t="s">
        <v>590</v>
      </c>
      <c r="AU6" s="33"/>
    </row>
    <row r="7" spans="2:55" x14ac:dyDescent="0.25">
      <c r="B7" s="273"/>
      <c r="C7" s="251"/>
      <c r="D7" s="251"/>
      <c r="E7" s="251"/>
      <c r="F7" s="251"/>
      <c r="G7" s="251"/>
      <c r="H7" s="251"/>
      <c r="I7" s="251"/>
      <c r="J7" s="251"/>
      <c r="K7" s="251"/>
      <c r="L7" s="251"/>
      <c r="M7" s="251"/>
      <c r="N7" s="251"/>
      <c r="O7" s="39"/>
      <c r="P7" s="39"/>
      <c r="Q7" s="39"/>
      <c r="R7" s="39"/>
      <c r="S7" s="39"/>
      <c r="T7" s="39"/>
      <c r="U7" s="271"/>
      <c r="AK7" s="20" t="s">
        <v>5</v>
      </c>
      <c r="AL7" s="34">
        <f>SUMIFS(CampList[Total],CampList[Township],$AK7,CampList[Status],"open",CampList[Total],"&lt;=100",CampList[Affected Population],"IDP")</f>
        <v>202</v>
      </c>
      <c r="AM7" s="34">
        <f>SUMIFS(CampList[Total],CampList[Township],$AK7,CampList[Status],"open",CampList[Total],"&gt;100",CampList[Total],"&lt;=1000",CampList[Affected Population],"IDP")</f>
        <v>2853</v>
      </c>
      <c r="AN7" s="34">
        <f>SUMIFS(CampList[Total],CampList[Township],$AK7,CampList[Status],"open",CampList[Total],"&gt;1000",CampList[Total],"&lt;=5000",CampList[Affected Population],"IDP")</f>
        <v>5055</v>
      </c>
      <c r="AO7" s="34">
        <f>SUMIFS(CampList[Total],CampList[Township],$AK7,CampList[Status],"open",CampList[Total],"&gt;5000",CampList[Total],"&lt;=100000",CampList[Affected Population],"IDP")</f>
        <v>0</v>
      </c>
      <c r="AU7" s="33"/>
    </row>
    <row r="8" spans="2:55" ht="9.75" customHeight="1" x14ac:dyDescent="0.25">
      <c r="B8" s="273"/>
      <c r="C8" s="251"/>
      <c r="D8" s="251"/>
      <c r="E8" s="251"/>
      <c r="F8" s="251"/>
      <c r="G8" s="251"/>
      <c r="H8" s="251"/>
      <c r="I8" s="251"/>
      <c r="J8" s="251"/>
      <c r="K8" s="251"/>
      <c r="L8" s="251"/>
      <c r="M8" s="251"/>
      <c r="N8" s="251"/>
      <c r="O8" s="39"/>
      <c r="P8" s="39"/>
      <c r="Q8" s="39"/>
      <c r="R8" s="39"/>
      <c r="S8" s="39"/>
      <c r="T8" s="39"/>
      <c r="U8" s="271"/>
      <c r="AK8" s="20" t="s">
        <v>27</v>
      </c>
      <c r="AL8" s="34">
        <f>SUMIFS(CampList[Total],CampList[Township],$AK8,CampList[Status],"open",CampList[Total],"&lt;=100",CampList[Affected Population],"IDP")</f>
        <v>0</v>
      </c>
      <c r="AM8" s="34">
        <f>SUMIFS(CampList[Total],CampList[Township],$AK8,CampList[Status],"open",CampList[Total],"&gt;100",CampList[Total],"&lt;=1000",CampList[Affected Population],"IDP")</f>
        <v>2570</v>
      </c>
      <c r="AN8" s="34">
        <f>SUMIFS(CampList[Total],CampList[Township],$AK8,CampList[Status],"open",CampList[Total],"&gt;1000",CampList[Total],"&lt;=5000",CampList[Affected Population],"IDP")</f>
        <v>0</v>
      </c>
      <c r="AO8" s="34">
        <f>SUMIFS(CampList[Total],CampList[Township],$AK8,CampList[Status],"open",CampList[Total],"&gt;5000",CampList[Total],"&lt;=100000",CampList[Affected Population],"IDP")</f>
        <v>0</v>
      </c>
      <c r="AP8" s="18"/>
      <c r="AU8" s="33"/>
    </row>
    <row r="9" spans="2:55" ht="12.75" customHeight="1" x14ac:dyDescent="0.25">
      <c r="B9" s="273"/>
      <c r="C9" s="251"/>
      <c r="D9" s="251"/>
      <c r="E9" s="251"/>
      <c r="F9" s="251"/>
      <c r="G9" s="251"/>
      <c r="H9" s="251"/>
      <c r="I9" s="251"/>
      <c r="J9" s="251"/>
      <c r="K9" s="251"/>
      <c r="L9" s="251"/>
      <c r="M9" s="251"/>
      <c r="N9" s="251"/>
      <c r="O9" s="39"/>
      <c r="P9" s="39"/>
      <c r="Q9" s="39"/>
      <c r="R9" s="39"/>
      <c r="S9" s="39"/>
      <c r="T9" s="39"/>
      <c r="U9" s="271"/>
      <c r="AK9" s="20" t="s">
        <v>529</v>
      </c>
      <c r="AL9" s="34">
        <f>SUMIFS(CampList[Total],CampList[Township],$AK9,CampList[Status],"open",CampList[Total],"&lt;=100",CampList[Affected Population],"IDP")</f>
        <v>563</v>
      </c>
      <c r="AM9" s="34">
        <f>SUMIFS(CampList[Total],CampList[Township],$AK9,CampList[Status],"open",CampList[Total],"&gt;100",CampList[Total],"&lt;=1000",CampList[Affected Population],"IDP")</f>
        <v>3003</v>
      </c>
      <c r="AN9" s="34">
        <f>SUMIFS(CampList[Total],CampList[Township],$AK9,CampList[Status],"open",CampList[Total],"&gt;1000",CampList[Total],"&lt;=5000",CampList[Affected Population],"IDP")</f>
        <v>0</v>
      </c>
      <c r="AO9" s="34">
        <f>SUMIFS(CampList[Total],CampList[Township],$AK9,CampList[Status],"open",CampList[Total],"&gt;5000",CampList[Total],"&lt;=100000",CampList[Affected Population],"IDP")</f>
        <v>0</v>
      </c>
      <c r="AP9" s="18"/>
      <c r="AU9" s="33"/>
    </row>
    <row r="10" spans="2:55" x14ac:dyDescent="0.25">
      <c r="B10" s="273"/>
      <c r="C10" s="251"/>
      <c r="D10" s="251"/>
      <c r="E10" s="251"/>
      <c r="F10" s="251"/>
      <c r="G10" s="251"/>
      <c r="H10" s="251"/>
      <c r="I10" s="251"/>
      <c r="J10" s="251"/>
      <c r="K10" s="251"/>
      <c r="L10" s="251"/>
      <c r="M10" s="251"/>
      <c r="N10" s="251"/>
      <c r="O10" s="39"/>
      <c r="P10" s="39"/>
      <c r="Q10" s="39"/>
      <c r="R10" s="39"/>
      <c r="S10" s="39"/>
      <c r="T10" s="39"/>
      <c r="U10" s="271"/>
      <c r="AK10" s="20" t="s">
        <v>784</v>
      </c>
      <c r="AL10" s="34">
        <f>SUMIFS(CampList[Total],CampList[Township],$AK10,CampList[Status],"open",CampList[Total],"&lt;=100",CampList[Affected Population],"IDP")</f>
        <v>0</v>
      </c>
      <c r="AM10" s="34">
        <f>SUMIFS(CampList[Total],CampList[Township],$AK10,CampList[Status],"open",CampList[Total],"&gt;100",CampList[Total],"&lt;=1000",CampList[Affected Population],"IDP")</f>
        <v>665</v>
      </c>
      <c r="AN10" s="34">
        <f>SUMIFS(CampList[Total],CampList[Township],$AK10,CampList[Status],"open",CampList[Total],"&gt;1000",CampList[Total],"&lt;=5000",CampList[Affected Population],"IDP")</f>
        <v>0</v>
      </c>
      <c r="AO10" s="34">
        <f>SUMIFS(CampList[Total],CampList[Township],$AK10,CampList[Status],"open",CampList[Total],"&gt;5000",CampList[Total],"&lt;=100000",CampList[Affected Population],"IDP")</f>
        <v>0</v>
      </c>
      <c r="AP10" s="18"/>
      <c r="AU10" s="33"/>
    </row>
    <row r="11" spans="2:55" x14ac:dyDescent="0.25">
      <c r="B11" s="273"/>
      <c r="C11" s="121" t="s">
        <v>0</v>
      </c>
      <c r="D11" s="121" t="s">
        <v>573</v>
      </c>
      <c r="E11" s="121" t="s">
        <v>578</v>
      </c>
      <c r="F11" s="122" t="s">
        <v>1255</v>
      </c>
      <c r="G11" s="119"/>
      <c r="H11" s="39"/>
      <c r="I11" s="39"/>
      <c r="J11" s="39"/>
      <c r="K11" s="39"/>
      <c r="L11" s="39"/>
      <c r="M11" s="39"/>
      <c r="N11" s="39"/>
      <c r="O11" s="39"/>
      <c r="P11" s="39"/>
      <c r="Q11" s="39"/>
      <c r="R11" s="39"/>
      <c r="S11" s="248"/>
      <c r="T11" s="39"/>
      <c r="U11" s="271"/>
      <c r="AK11" s="123" t="s">
        <v>363</v>
      </c>
      <c r="AL11" s="34">
        <f>SUMIFS(CampList[Total],CampList[Township],$AK11,CampList[Status],"open",CampList[Total],"&lt;=100",CampList[Affected Population],"IDP")</f>
        <v>0</v>
      </c>
      <c r="AM11" s="34">
        <f>SUMIFS(CampList[Total],CampList[Township],$AK11,CampList[Status],"open",CampList[Total],"&gt;100",CampList[Total],"&lt;=1000",CampList[Affected Population],"IDP")</f>
        <v>0</v>
      </c>
      <c r="AN11" s="34">
        <f>SUMIFS(CampList[Total],CampList[Township],$AK11,CampList[Status],"open",CampList[Total],"&gt;1000",CampList[Total],"&lt;=5000",CampList[Affected Population],"IDP")</f>
        <v>0</v>
      </c>
      <c r="AO11" s="34">
        <f>SUMIFS(CampList[Total],CampList[Township],$AK11,CampList[Status],"open",CampList[Total],"&gt;5000",CampList[Total],"&lt;=100000",CampList[Affected Population],"IDP")</f>
        <v>0</v>
      </c>
      <c r="AP11" s="18"/>
      <c r="AU11" s="33"/>
    </row>
    <row r="12" spans="2:55" ht="15.75" customHeight="1" x14ac:dyDescent="0.25">
      <c r="B12" s="273"/>
      <c r="C12" s="123" t="s">
        <v>5</v>
      </c>
      <c r="D12" s="124">
        <f>SUMIFS(CampList[HH],CampList[Township],$C12,CampList[Status],"open",CampList[Affected Population],"IDP")</f>
        <v>1548</v>
      </c>
      <c r="E12" s="124">
        <f>SUMIFS(CampList[Total],CampList[Township],$C12,CampList[Status],"open",CampList[Affected Population],"IDP")</f>
        <v>8110</v>
      </c>
      <c r="F12" s="120">
        <f>COUNTIFS(CampList[Township],$C12,CampList[Status],"open",CampList[Affected Population],"IDP")</f>
        <v>11</v>
      </c>
      <c r="G12" s="114"/>
      <c r="H12" s="39"/>
      <c r="I12" s="249"/>
      <c r="J12" s="39"/>
      <c r="K12" s="39"/>
      <c r="L12" s="39"/>
      <c r="M12" s="39"/>
      <c r="N12" s="39"/>
      <c r="O12" s="39"/>
      <c r="P12" s="39"/>
      <c r="Q12" s="39"/>
      <c r="R12" s="39"/>
      <c r="S12" s="248"/>
      <c r="T12" s="39"/>
      <c r="U12" s="271"/>
      <c r="X12" s="82"/>
      <c r="AK12" s="20" t="s">
        <v>144</v>
      </c>
      <c r="AL12" s="34">
        <f>SUMIFS(CampList[Total],CampList[Township],$AK12,CampList[Status],"open",CampList[Total],"&lt;=100",CampList[Affected Population],"IDP")</f>
        <v>17</v>
      </c>
      <c r="AM12" s="34">
        <f>SUMIFS(CampList[Total],CampList[Township],$AK12,CampList[Status],"open",CampList[Total],"&gt;100",CampList[Total],"&lt;=1000",CampList[Affected Population],"IDP")</f>
        <v>0</v>
      </c>
      <c r="AN12" s="34">
        <f>SUMIFS(CampList[Total],CampList[Township],$AK12,CampList[Status],"open",CampList[Total],"&gt;1000",CampList[Total],"&lt;=5000",CampList[Affected Population],"IDP")</f>
        <v>0</v>
      </c>
      <c r="AO12" s="34">
        <f>SUMIFS(CampList[Total],CampList[Township],$AK12,CampList[Status],"open",CampList[Total],"&gt;5000",CampList[Total],"&lt;=100000",CampList[Affected Population],"IDP")</f>
        <v>0</v>
      </c>
      <c r="AP12" s="18"/>
      <c r="AU12" s="33"/>
    </row>
    <row r="13" spans="2:55" x14ac:dyDescent="0.25">
      <c r="B13" s="273"/>
      <c r="C13" s="123" t="s">
        <v>27</v>
      </c>
      <c r="D13" s="124">
        <f>SUMIFS(CampList[HH],CampList[Township],$C13,CampList[Status],"open",CampList[Affected Population],"IDP")</f>
        <v>501</v>
      </c>
      <c r="E13" s="124">
        <f>SUMIFS(CampList[Total],CampList[Township],$C13,CampList[Status],"open",CampList[Affected Population],"IDP")</f>
        <v>2570</v>
      </c>
      <c r="F13" s="120">
        <f>COUNTIFS(CampList[Township],$C13,CampList[Status],"open",CampList[Affected Population],"IDP")</f>
        <v>6</v>
      </c>
      <c r="G13" s="114"/>
      <c r="H13" s="250"/>
      <c r="I13" s="249"/>
      <c r="J13" s="39"/>
      <c r="K13" s="39"/>
      <c r="L13" s="39"/>
      <c r="M13" s="39"/>
      <c r="N13" s="39"/>
      <c r="O13" s="39"/>
      <c r="P13" s="39"/>
      <c r="Q13" s="39"/>
      <c r="R13" s="39"/>
      <c r="S13" s="39"/>
      <c r="T13" s="39"/>
      <c r="U13" s="271"/>
      <c r="X13" s="82"/>
      <c r="AK13" s="20" t="s">
        <v>146</v>
      </c>
      <c r="AL13" s="34">
        <f>SUMIFS(CampList[Total],CampList[Township],$AK13,CampList[Status],"open",CampList[Total],"&lt;=100",CampList[Affected Population],"IDP")</f>
        <v>0</v>
      </c>
      <c r="AM13" s="34">
        <f>SUMIFS(CampList[Total],CampList[Township],$AK13,CampList[Status],"open",CampList[Total],"&gt;100",CampList[Total],"&lt;=1000",CampList[Affected Population],"IDP")</f>
        <v>3409</v>
      </c>
      <c r="AN13" s="34">
        <f>SUMIFS(CampList[Total],CampList[Township],$AK13,CampList[Status],"open",CampList[Total],"&gt;1000",CampList[Total],"&lt;=5000",CampList[Affected Population],"IDP")</f>
        <v>0</v>
      </c>
      <c r="AO13" s="34">
        <f>SUMIFS(CampList[Total],CampList[Township],$AK13,CampList[Status],"open",CampList[Total],"&gt;5000",CampList[Total],"&lt;=100000",CampList[Affected Population],"IDP")</f>
        <v>0</v>
      </c>
      <c r="AP13" s="18"/>
      <c r="AU13" s="33"/>
    </row>
    <row r="14" spans="2:55" x14ac:dyDescent="0.25">
      <c r="B14" s="273"/>
      <c r="C14" s="123" t="s">
        <v>529</v>
      </c>
      <c r="D14" s="124">
        <f>SUMIFS(CampList[HH],CampList[Township],$C14,CampList[Status],"open",CampList[Affected Population],"IDP")</f>
        <v>724</v>
      </c>
      <c r="E14" s="124">
        <f>SUMIFS(CampList[Total],CampList[Township],$C14,CampList[Status],"open",CampList[Affected Population],"IDP")</f>
        <v>3566</v>
      </c>
      <c r="F14" s="120">
        <f>COUNTIFS(CampList[Township],$C14,CampList[Status],"open",CampList[Affected Population],"IDP")</f>
        <v>20</v>
      </c>
      <c r="G14" s="114"/>
      <c r="H14" s="250"/>
      <c r="I14" s="249"/>
      <c r="J14" s="39"/>
      <c r="K14" s="39"/>
      <c r="L14" s="39"/>
      <c r="M14" s="39"/>
      <c r="N14" s="39"/>
      <c r="O14" s="39"/>
      <c r="P14" s="39"/>
      <c r="Q14" s="39"/>
      <c r="R14" s="39"/>
      <c r="S14" s="39"/>
      <c r="T14" s="39"/>
      <c r="U14" s="271"/>
      <c r="X14" s="82"/>
      <c r="AK14" s="20" t="s">
        <v>899</v>
      </c>
      <c r="AL14" s="34">
        <f>SUMIFS(CampList[Total],CampList[Township],$AK14,CampList[Status],"open",CampList[Total],"&lt;=100",CampList[Affected Population],"IDP")</f>
        <v>0</v>
      </c>
      <c r="AM14" s="34">
        <f>SUMIFS(CampList[Total],CampList[Township],$AK14,CampList[Status],"open",CampList[Total],"&gt;100",CampList[Total],"&lt;=1000",CampList[Affected Population],"IDP")</f>
        <v>0</v>
      </c>
      <c r="AN14" s="34">
        <f>SUMIFS(CampList[Total],CampList[Township],$AK14,CampList[Status],"open",CampList[Total],"&gt;1000",CampList[Total],"&lt;=5000",CampList[Affected Population],"IDP")</f>
        <v>0</v>
      </c>
      <c r="AO14" s="34">
        <f>SUMIFS(CampList[Total],CampList[Township],$AK14,CampList[Status],"open",CampList[Total],"&gt;5000",CampList[Total],"&lt;=100000",CampList[Affected Population],"IDP")</f>
        <v>0</v>
      </c>
      <c r="AP14" s="18"/>
      <c r="AU14" s="33"/>
    </row>
    <row r="15" spans="2:55" x14ac:dyDescent="0.25">
      <c r="B15" s="273"/>
      <c r="C15" s="123" t="s">
        <v>784</v>
      </c>
      <c r="D15" s="124">
        <f>SUMIFS(CampList[HH],CampList[Township],$C15,CampList[Status],"open",CampList[Affected Population],"IDP")</f>
        <v>111</v>
      </c>
      <c r="E15" s="124">
        <f>SUMIFS(CampList[Total],CampList[Township],$C15,CampList[Status],"open",CampList[Affected Population],"IDP")</f>
        <v>665</v>
      </c>
      <c r="F15" s="120">
        <f>COUNTIFS(CampList[Township],$C15,CampList[Status],"open",CampList[Affected Population],"IDP")</f>
        <v>2</v>
      </c>
      <c r="G15" s="114"/>
      <c r="H15" s="250"/>
      <c r="I15" s="39"/>
      <c r="J15" s="39"/>
      <c r="K15" s="39"/>
      <c r="L15" s="39"/>
      <c r="M15" s="39"/>
      <c r="N15" s="39"/>
      <c r="O15" s="39"/>
      <c r="P15" s="39"/>
      <c r="Q15" s="39"/>
      <c r="R15" s="39"/>
      <c r="S15" s="39"/>
      <c r="T15" s="39"/>
      <c r="U15" s="271"/>
      <c r="X15" s="82"/>
      <c r="AK15" s="20" t="s">
        <v>151</v>
      </c>
      <c r="AL15" s="34">
        <f>SUMIFS(CampList[Total],CampList[Township],$AK15,CampList[Status],"open",CampList[Total],"&lt;=100",CampList[Affected Population],"IDP")</f>
        <v>0</v>
      </c>
      <c r="AM15" s="34">
        <f>SUMIFS(CampList[Total],CampList[Township],$AK15,CampList[Status],"open",CampList[Total],"&gt;100",CampList[Total],"&lt;=1000",CampList[Affected Population],"IDP")</f>
        <v>4181</v>
      </c>
      <c r="AN15" s="34">
        <f>SUMIFS(CampList[Total],CampList[Township],$AK15,CampList[Status],"open",CampList[Total],"&gt;1000",CampList[Total],"&lt;=5000",CampList[Affected Population],"IDP")</f>
        <v>8377</v>
      </c>
      <c r="AO15" s="34">
        <f>SUMIFS(CampList[Total],CampList[Township],$AK15,CampList[Status],"open",CampList[Total],"&gt;5000",CampList[Total],"&lt;=100000",CampList[Affected Population],"IDP")</f>
        <v>0</v>
      </c>
      <c r="AP15" s="18"/>
      <c r="AU15" s="33"/>
    </row>
    <row r="16" spans="2:55" x14ac:dyDescent="0.25">
      <c r="B16" s="273"/>
      <c r="C16" s="123" t="s">
        <v>363</v>
      </c>
      <c r="D16" s="124">
        <f>SUMIFS(CampList[HH],CampList[Township],$C16,CampList[Status],"open",CampList[Affected Population],"IDP")</f>
        <v>0</v>
      </c>
      <c r="E16" s="124">
        <f>SUMIFS(CampList[Total],CampList[Township],$C16,CampList[Status],"open",CampList[Affected Population],"IDP")</f>
        <v>0</v>
      </c>
      <c r="F16" s="120">
        <f>COUNTIFS(CampList[Township],$C16,CampList[Status],"open",CampList[Affected Population],"IDP")</f>
        <v>0</v>
      </c>
      <c r="G16" s="114"/>
      <c r="H16" s="250"/>
      <c r="I16" s="39"/>
      <c r="J16" s="39"/>
      <c r="K16" s="39"/>
      <c r="L16" s="39"/>
      <c r="M16" s="39"/>
      <c r="N16" s="39"/>
      <c r="O16" s="39"/>
      <c r="P16" s="39"/>
      <c r="Q16" s="39"/>
      <c r="R16" s="39"/>
      <c r="S16" s="39"/>
      <c r="T16" s="39"/>
      <c r="U16" s="271"/>
      <c r="V16" s="33">
        <f>X22</f>
        <v>0</v>
      </c>
      <c r="AK16" s="20" t="s">
        <v>166</v>
      </c>
      <c r="AL16" s="34">
        <f>SUMIFS(CampList[Total],CampList[Township],$AK16,CampList[Status],"open",CampList[Total],"&lt;=100",CampList[Affected Population],"IDP")</f>
        <v>0</v>
      </c>
      <c r="AM16" s="34">
        <f>SUMIFS(CampList[Total],CampList[Township],$AK16,CampList[Status],"open",CampList[Total],"&gt;100",CampList[Total],"&lt;=1000",CampList[Affected Population],"IDP")</f>
        <v>347</v>
      </c>
      <c r="AN16" s="34">
        <f>SUMIFS(CampList[Total],CampList[Township],$AK16,CampList[Status],"open",CampList[Total],"&gt;1000",CampList[Total],"&lt;=5000",CampList[Affected Population],"IDP")</f>
        <v>0</v>
      </c>
      <c r="AO16" s="34">
        <f>SUMIFS(CampList[Total],CampList[Township],$AK16,CampList[Status],"open",CampList[Total],"&gt;5000",CampList[Total],"&lt;=100000",CampList[Affected Population],"IDP")</f>
        <v>0</v>
      </c>
      <c r="AP16" s="18"/>
      <c r="AU16" s="33"/>
    </row>
    <row r="17" spans="1:47" x14ac:dyDescent="0.25">
      <c r="B17" s="273"/>
      <c r="C17" s="123" t="s">
        <v>144</v>
      </c>
      <c r="D17" s="124">
        <f>SUMIFS(CampList[HH],CampList[Township],$C17,CampList[Status],"open",CampList[Affected Population],"IDP")</f>
        <v>11</v>
      </c>
      <c r="E17" s="124">
        <f>SUMIFS(CampList[Total],CampList[Township],$C17,CampList[Status],"open",CampList[Affected Population],"IDP")</f>
        <v>17</v>
      </c>
      <c r="F17" s="120">
        <f>COUNTIFS(CampList[Township],$C17,CampList[Status],"open",CampList[Affected Population],"IDP")</f>
        <v>1</v>
      </c>
      <c r="G17" s="114"/>
      <c r="H17" s="250"/>
      <c r="I17" s="39"/>
      <c r="J17" s="39"/>
      <c r="K17" s="39"/>
      <c r="L17" s="39"/>
      <c r="M17" s="39"/>
      <c r="N17" s="39"/>
      <c r="O17" s="39"/>
      <c r="P17" s="39"/>
      <c r="Q17" s="39"/>
      <c r="R17" s="39"/>
      <c r="S17" s="39"/>
      <c r="T17" s="39"/>
      <c r="U17" s="271"/>
      <c r="W17" s="213"/>
      <c r="AB17"/>
      <c r="AK17" s="20" t="s">
        <v>173</v>
      </c>
      <c r="AL17" s="34">
        <f>SUMIFS(CampList[Total],CampList[Township],$AK17,CampList[Status],"open",CampList[Total],"&lt;=100",CampList[Affected Population],"IDP")</f>
        <v>314</v>
      </c>
      <c r="AM17" s="34">
        <f>SUMIFS(CampList[Total],CampList[Township],$AK17,CampList[Status],"open",CampList[Total],"&gt;100",CampList[Total],"&lt;=1000",CampList[Affected Population],"IDP")</f>
        <v>163</v>
      </c>
      <c r="AN17" s="34">
        <f>SUMIFS(CampList[Total],CampList[Township],$AK17,CampList[Status],"open",CampList[Total],"&gt;1000",CampList[Total],"&lt;=5000",CampList[Affected Population],"IDP")</f>
        <v>0</v>
      </c>
      <c r="AO17" s="34">
        <f>SUMIFS(CampList[Total],CampList[Township],$AK17,CampList[Status],"open",CampList[Total],"&gt;5000",CampList[Total],"&lt;=100000",CampList[Affected Population],"IDP")</f>
        <v>0</v>
      </c>
      <c r="AP17" s="18"/>
      <c r="AU17" s="33"/>
    </row>
    <row r="18" spans="1:47" x14ac:dyDescent="0.25">
      <c r="B18" s="273"/>
      <c r="C18" s="123" t="s">
        <v>146</v>
      </c>
      <c r="D18" s="124">
        <f>SUMIFS(CampList[HH],CampList[Township],$C18,CampList[Status],"open",CampList[Affected Population],"IDP")</f>
        <v>700</v>
      </c>
      <c r="E18" s="124">
        <f>SUMIFS(CampList[Total],CampList[Township],$C18,CampList[Status],"open",CampList[Affected Population],"IDP")</f>
        <v>3409</v>
      </c>
      <c r="F18" s="120">
        <f>COUNTIFS(CampList[Township],$C18,CampList[Status],"open",CampList[Affected Population],"IDP")</f>
        <v>9</v>
      </c>
      <c r="G18" s="114"/>
      <c r="H18" s="250"/>
      <c r="I18" s="39"/>
      <c r="J18" s="39"/>
      <c r="K18" s="39"/>
      <c r="L18" s="39"/>
      <c r="M18" s="39"/>
      <c r="N18" s="39"/>
      <c r="O18" s="39"/>
      <c r="P18" s="39"/>
      <c r="Q18" s="39"/>
      <c r="R18" s="39"/>
      <c r="S18" s="39"/>
      <c r="T18" s="39"/>
      <c r="U18" s="271"/>
      <c r="AB18"/>
      <c r="AK18" s="20" t="s">
        <v>180</v>
      </c>
      <c r="AL18" s="34">
        <f>SUMIFS(CampList[Total],CampList[Township],$AK18,CampList[Status],"open",CampList[Total],"&lt;=100",CampList[Affected Population],"IDP")</f>
        <v>122</v>
      </c>
      <c r="AM18" s="34">
        <f>SUMIFS(CampList[Total],CampList[Township],$AK18,CampList[Status],"open",CampList[Total],"&gt;100",CampList[Total],"&lt;=1000",CampList[Affected Population],"IDP")</f>
        <v>294</v>
      </c>
      <c r="AN18" s="34">
        <f>SUMIFS(CampList[Total],CampList[Township],$AK18,CampList[Status],"open",CampList[Total],"&gt;1000",CampList[Total],"&lt;=5000",CampList[Affected Population],"IDP")</f>
        <v>0</v>
      </c>
      <c r="AO18" s="34">
        <f>SUMIFS(CampList[Total],CampList[Township],$AK18,CampList[Status],"open",CampList[Total],"&gt;5000",CampList[Total],"&lt;=100000",CampList[Affected Population],"IDP")</f>
        <v>0</v>
      </c>
      <c r="AP18" s="18"/>
      <c r="AU18" s="33"/>
    </row>
    <row r="19" spans="1:47" x14ac:dyDescent="0.25">
      <c r="B19" s="273"/>
      <c r="C19" s="123" t="s">
        <v>899</v>
      </c>
      <c r="D19" s="124">
        <f>SUMIFS(CampList[HH],CampList[Township],$C19,CampList[Status],"open",CampList[Affected Population],"IDP")</f>
        <v>0</v>
      </c>
      <c r="E19" s="124">
        <f>SUMIFS(CampList[Total],CampList[Township],$C19,CampList[Status],"open",CampList[Affected Population],"IDP")</f>
        <v>0</v>
      </c>
      <c r="F19" s="120">
        <f>COUNTIFS(CampList[Township],$C19,CampList[Status],"open",CampList[Affected Population],"IDP")</f>
        <v>0</v>
      </c>
      <c r="G19" s="114"/>
      <c r="H19" s="250"/>
      <c r="I19" s="39"/>
      <c r="J19" s="39"/>
      <c r="K19" s="39"/>
      <c r="L19" s="39"/>
      <c r="M19" s="39"/>
      <c r="N19" s="39"/>
      <c r="O19" s="39"/>
      <c r="P19" s="39"/>
      <c r="Q19" s="39"/>
      <c r="R19" s="39"/>
      <c r="S19" s="39"/>
      <c r="T19" s="39"/>
      <c r="U19" s="271"/>
      <c r="AB19"/>
      <c r="AK19" s="20" t="s">
        <v>185</v>
      </c>
      <c r="AL19" s="34">
        <f>SUMIFS(CampList[Total],CampList[Township],$AK19,CampList[Status],"open",CampList[Total],"&lt;=100",CampList[Affected Population],"IDP")</f>
        <v>264</v>
      </c>
      <c r="AM19" s="34">
        <f>SUMIFS(CampList[Total],CampList[Township],$AK19,CampList[Status],"open",CampList[Total],"&gt;100",CampList[Total],"&lt;=1000",CampList[Affected Population],"IDP")</f>
        <v>3188</v>
      </c>
      <c r="AN19" s="34">
        <f>SUMIFS(CampList[Total],CampList[Township],$AK19,CampList[Status],"open",CampList[Total],"&gt;1000",CampList[Total],"&lt;=5000",CampList[Affected Population],"IDP")</f>
        <v>12278</v>
      </c>
      <c r="AO19" s="34">
        <f>SUMIFS(CampList[Total],CampList[Township],$AK19,CampList[Status],"open",CampList[Total],"&gt;5000",CampList[Total],"&lt;=100000",CampList[Affected Population],"IDP")</f>
        <v>8848</v>
      </c>
      <c r="AP19" s="18"/>
      <c r="AU19" s="33"/>
    </row>
    <row r="20" spans="1:47" x14ac:dyDescent="0.25">
      <c r="B20" s="273"/>
      <c r="C20" s="123" t="s">
        <v>151</v>
      </c>
      <c r="D20" s="124">
        <f>SUMIFS(CampList[HH],CampList[Township],$C20,CampList[Status],"open",CampList[Affected Population],"IDP")</f>
        <v>2785</v>
      </c>
      <c r="E20" s="124">
        <f>SUMIFS(CampList[Total],CampList[Township],$C20,CampList[Status],"open",CampList[Affected Population],"IDP")</f>
        <v>12558</v>
      </c>
      <c r="F20" s="120">
        <f>COUNTIFS(CampList[Township],$C20,CampList[Status],"open",CampList[Affected Population],"IDP")</f>
        <v>12</v>
      </c>
      <c r="G20" s="114"/>
      <c r="H20" s="250"/>
      <c r="I20" s="39"/>
      <c r="J20" s="39"/>
      <c r="K20" s="39"/>
      <c r="L20" s="39"/>
      <c r="M20" s="39"/>
      <c r="N20" s="39"/>
      <c r="O20" s="39"/>
      <c r="P20" s="39"/>
      <c r="Q20" s="39"/>
      <c r="R20" s="39"/>
      <c r="S20" s="39"/>
      <c r="T20" s="39"/>
      <c r="U20" s="271"/>
      <c r="AB20"/>
      <c r="AK20" s="20" t="s">
        <v>230</v>
      </c>
      <c r="AL20" s="34">
        <f>SUMIFS(CampList[Total],CampList[Township],$AK20,CampList[Status],"open",CampList[Total],"&lt;=100",CampList[Affected Population],"IDP")</f>
        <v>52</v>
      </c>
      <c r="AM20" s="34">
        <f>SUMIFS(CampList[Total],CampList[Township],$AK20,CampList[Status],"open",CampList[Total],"&gt;100",CampList[Total],"&lt;=1000",CampList[Affected Population],"IDP")</f>
        <v>1038</v>
      </c>
      <c r="AN20" s="34">
        <f>SUMIFS(CampList[Total],CampList[Township],$AK20,CampList[Status],"open",CampList[Total],"&gt;1000",CampList[Total],"&lt;=5000",CampList[Affected Population],"IDP")</f>
        <v>0</v>
      </c>
      <c r="AO20" s="34">
        <f>SUMIFS(CampList[Total],CampList[Township],$AK20,CampList[Status],"open",CampList[Total],"&gt;5000",CampList[Total],"&lt;=100000",CampList[Affected Population],"IDP")</f>
        <v>0</v>
      </c>
      <c r="AP20" s="18"/>
      <c r="AU20" s="33"/>
    </row>
    <row r="21" spans="1:47" x14ac:dyDescent="0.25">
      <c r="B21" s="273"/>
      <c r="C21" s="123" t="s">
        <v>166</v>
      </c>
      <c r="D21" s="124">
        <f>SUMIFS(CampList[HH],CampList[Township],$C21,CampList[Status],"open",CampList[Affected Population],"IDP")</f>
        <v>69</v>
      </c>
      <c r="E21" s="124">
        <f>SUMIFS(CampList[Total],CampList[Township],$C21,CampList[Status],"open",CampList[Affected Population],"IDP")</f>
        <v>347</v>
      </c>
      <c r="F21" s="120">
        <f>COUNTIFS(CampList[Township],$C21,CampList[Status],"open",CampList[Affected Population],"IDP")</f>
        <v>2</v>
      </c>
      <c r="G21" s="114"/>
      <c r="H21" s="39"/>
      <c r="I21" s="39"/>
      <c r="J21" s="39"/>
      <c r="K21" s="39"/>
      <c r="L21" s="39"/>
      <c r="M21" s="39"/>
      <c r="N21" s="39"/>
      <c r="O21" s="39"/>
      <c r="P21" s="39"/>
      <c r="Q21" s="39"/>
      <c r="R21" s="39"/>
      <c r="S21" s="39"/>
      <c r="T21" s="39"/>
      <c r="U21" s="271"/>
      <c r="AB21"/>
      <c r="AK21" s="20" t="s">
        <v>237</v>
      </c>
      <c r="AL21" s="34">
        <f>SUMIFS(CampList[Total],CampList[Township],$AK21,CampList[Status],"open",CampList[Total],"&lt;=100",CampList[Affected Population],"IDP")</f>
        <v>234</v>
      </c>
      <c r="AM21" s="34">
        <f>SUMIFS(CampList[Total],CampList[Township],$AK21,CampList[Status],"open",CampList[Total],"&gt;100",CampList[Total],"&lt;=1000",CampList[Affected Population],"IDP")</f>
        <v>6109</v>
      </c>
      <c r="AN21" s="34">
        <f>SUMIFS(CampList[Total],CampList[Township],$AK21,CampList[Status],"open",CampList[Total],"&gt;1000",CampList[Total],"&lt;=5000",CampList[Affected Population],"IDP")</f>
        <v>1072</v>
      </c>
      <c r="AO21" s="34">
        <f>SUMIFS(CampList[Total],CampList[Township],$AK21,CampList[Status],"open",CampList[Total],"&gt;5000",CampList[Total],"&lt;=100000",CampList[Affected Population],"IDP")</f>
        <v>0</v>
      </c>
      <c r="AP21" s="18"/>
      <c r="AU21" s="33"/>
    </row>
    <row r="22" spans="1:47" x14ac:dyDescent="0.25">
      <c r="B22" s="273"/>
      <c r="C22" s="123" t="s">
        <v>173</v>
      </c>
      <c r="D22" s="124">
        <f>SUMIFS(CampList[HH],CampList[Township],$C22,CampList[Status],"open",CampList[Affected Population],"IDP")</f>
        <v>120</v>
      </c>
      <c r="E22" s="124">
        <f>SUMIFS(CampList[Total],CampList[Township],$C22,CampList[Status],"open",CampList[Affected Population],"IDP")</f>
        <v>477</v>
      </c>
      <c r="F22" s="120">
        <f>COUNTIFS(CampList[Township],$C22,CampList[Status],"open",CampList[Affected Population],"IDP")</f>
        <v>6</v>
      </c>
      <c r="G22" s="114"/>
      <c r="H22" s="39"/>
      <c r="I22" s="39"/>
      <c r="J22" s="39"/>
      <c r="K22" s="39"/>
      <c r="L22" s="39"/>
      <c r="M22" s="39"/>
      <c r="N22" s="39"/>
      <c r="O22" s="39"/>
      <c r="P22" s="39"/>
      <c r="Q22" s="39"/>
      <c r="R22" s="39"/>
      <c r="S22" s="39"/>
      <c r="T22" s="39"/>
      <c r="U22" s="271"/>
      <c r="AB22"/>
      <c r="AK22" s="20" t="s">
        <v>289</v>
      </c>
      <c r="AL22" s="34">
        <f>SUMIFS(CampList[Total],CampList[Township],$AK22,CampList[Status],"open",CampList[Total],"&lt;=100",CampList[Affected Population],"IDP")</f>
        <v>0</v>
      </c>
      <c r="AM22" s="34">
        <f>SUMIFS(CampList[Total],CampList[Township],$AK22,CampList[Status],"open",CampList[Total],"&gt;100",CampList[Total],"&lt;=1000",CampList[Affected Population],"IDP")</f>
        <v>1896</v>
      </c>
      <c r="AN22" s="34">
        <f>SUMIFS(CampList[Total],CampList[Township],$AK22,CampList[Status],"open",CampList[Total],"&gt;1000",CampList[Total],"&lt;=5000",CampList[Affected Population],"IDP")</f>
        <v>0</v>
      </c>
      <c r="AO22" s="34">
        <f>SUMIFS(CampList[Total],CampList[Township],$AK22,CampList[Status],"open",CampList[Total],"&gt;5000",CampList[Total],"&lt;=100000",CampList[Affected Population],"IDP")</f>
        <v>0</v>
      </c>
      <c r="AP22" s="18"/>
      <c r="AU22" s="33"/>
    </row>
    <row r="23" spans="1:47" x14ac:dyDescent="0.25">
      <c r="B23" s="273"/>
      <c r="C23" s="123" t="s">
        <v>180</v>
      </c>
      <c r="D23" s="124">
        <f>SUMIFS(CampList[HH],CampList[Township],$C23,CampList[Status],"open",CampList[Affected Population],"IDP")</f>
        <v>82</v>
      </c>
      <c r="E23" s="124">
        <f>SUMIFS(CampList[Total],CampList[Township],$C23,CampList[Status],"open",CampList[Affected Population],"IDP")</f>
        <v>416</v>
      </c>
      <c r="F23" s="120">
        <f>COUNTIFS(CampList[Township],$C23,CampList[Status],"open",CampList[Affected Population],"IDP")</f>
        <v>4</v>
      </c>
      <c r="G23" s="114"/>
      <c r="H23" s="39"/>
      <c r="I23" s="39"/>
      <c r="J23" s="39"/>
      <c r="K23" s="39"/>
      <c r="L23" s="39"/>
      <c r="M23" s="39"/>
      <c r="N23" s="39"/>
      <c r="O23" s="39"/>
      <c r="P23" s="39"/>
      <c r="Q23" s="39"/>
      <c r="R23" s="39"/>
      <c r="S23" s="39"/>
      <c r="T23" s="39"/>
      <c r="U23" s="271"/>
      <c r="AB23"/>
      <c r="AK23" s="20" t="s">
        <v>298</v>
      </c>
      <c r="AL23" s="34">
        <f>SUMIFS(CampList[Total],CampList[Township],$AK23,CampList[Status],"open",CampList[Total],"&lt;=100",CampList[Affected Population],"IDP")</f>
        <v>41</v>
      </c>
      <c r="AM23" s="34">
        <f>SUMIFS(CampList[Total],CampList[Township],$AK23,CampList[Status],"open",CampList[Total],"&gt;100",CampList[Total],"&lt;=1000",CampList[Affected Population],"IDP")</f>
        <v>520</v>
      </c>
      <c r="AN23" s="34">
        <f>SUMIFS(CampList[Total],CampList[Township],$AK23,CampList[Status],"open",CampList[Total],"&gt;1000",CampList[Total],"&lt;=5000",CampList[Affected Population],"IDP")</f>
        <v>0</v>
      </c>
      <c r="AO23" s="34">
        <f>SUMIFS(CampList[Total],CampList[Township],$AK23,CampList[Status],"open",CampList[Total],"&gt;5000",CampList[Total],"&lt;=100000",CampList[Affected Population],"IDP")</f>
        <v>0</v>
      </c>
      <c r="AP23" s="18"/>
      <c r="AU23" s="33"/>
    </row>
    <row r="24" spans="1:47" x14ac:dyDescent="0.25">
      <c r="B24" s="273"/>
      <c r="C24" s="123" t="s">
        <v>185</v>
      </c>
      <c r="D24" s="124">
        <f>SUMIFS(CampList[HH],CampList[Township],$C24,CampList[Status],"open",CampList[Affected Population],"IDP")</f>
        <v>4821</v>
      </c>
      <c r="E24" s="124">
        <f>SUMIFS(CampList[Total],CampList[Township],$C24,CampList[Status],"open",CampList[Affected Population],"IDP")</f>
        <v>24578</v>
      </c>
      <c r="F24" s="120">
        <f>COUNTIFS(CampList[Township],$C24,CampList[Status],"open",CampList[Affected Population],"IDP")</f>
        <v>22</v>
      </c>
      <c r="G24" s="114"/>
      <c r="H24" s="39"/>
      <c r="I24" s="39"/>
      <c r="J24" s="39"/>
      <c r="K24" s="39"/>
      <c r="L24" s="39"/>
      <c r="M24" s="39"/>
      <c r="N24" s="39"/>
      <c r="O24" s="39"/>
      <c r="P24" s="39"/>
      <c r="Q24" s="39"/>
      <c r="R24" s="39"/>
      <c r="S24" s="39"/>
      <c r="T24" s="39"/>
      <c r="U24" s="271"/>
      <c r="AB24"/>
      <c r="AK24" s="20" t="s">
        <v>300</v>
      </c>
      <c r="AL24" s="34">
        <f>SUMIFS(CampList[Total],CampList[Township],$AK24,CampList[Status],"open",CampList[Total],"&lt;=100",CampList[Affected Population],"IDP")</f>
        <v>120</v>
      </c>
      <c r="AM24" s="34">
        <f>SUMIFS(CampList[Total],CampList[Township],$AK24,CampList[Status],"open",CampList[Total],"&gt;100",CampList[Total],"&lt;=1000",CampList[Affected Population],"IDP")</f>
        <v>224</v>
      </c>
      <c r="AN24" s="34">
        <f>SUMIFS(CampList[Total],CampList[Township],$AK24,CampList[Status],"open",CampList[Total],"&gt;1000",CampList[Total],"&lt;=5000",CampList[Affected Population],"IDP")</f>
        <v>0</v>
      </c>
      <c r="AO24" s="34">
        <f>SUMIFS(CampList[Total],CampList[Township],$AK24,CampList[Status],"open",CampList[Total],"&gt;5000",CampList[Total],"&lt;=100000",CampList[Affected Population],"IDP")</f>
        <v>0</v>
      </c>
      <c r="AP24" s="18"/>
      <c r="AQ24" s="82"/>
      <c r="AR24" s="82"/>
      <c r="AU24" s="33"/>
    </row>
    <row r="25" spans="1:47" x14ac:dyDescent="0.25">
      <c r="B25" s="273"/>
      <c r="C25" s="123" t="s">
        <v>230</v>
      </c>
      <c r="D25" s="124">
        <f>SUMIFS(CampList[HH],CampList[Township],$C25,CampList[Status],"open",CampList[Affected Population],"IDP")</f>
        <v>283</v>
      </c>
      <c r="E25" s="124">
        <f>SUMIFS(CampList[Total],CampList[Township],$C25,CampList[Status],"open",CampList[Affected Population],"IDP")</f>
        <v>1090</v>
      </c>
      <c r="F25" s="120">
        <f>COUNTIFS(CampList[Township],$C25,CampList[Status],"open",CampList[Affected Population],"IDP")</f>
        <v>7</v>
      </c>
      <c r="G25" s="114"/>
      <c r="H25" s="39"/>
      <c r="I25" s="39"/>
      <c r="J25" s="39"/>
      <c r="K25" s="39"/>
      <c r="L25" s="39"/>
      <c r="M25" s="39"/>
      <c r="N25" s="39"/>
      <c r="O25" s="39"/>
      <c r="P25" s="39"/>
      <c r="Q25" s="39"/>
      <c r="R25" s="39"/>
      <c r="S25" s="39"/>
      <c r="T25" s="39"/>
      <c r="U25" s="271"/>
      <c r="AB25"/>
      <c r="AK25" s="20" t="s">
        <v>302</v>
      </c>
      <c r="AL25" s="34">
        <f>SUMIFS(CampList[Total],CampList[Township],$AK25,CampList[Status],"open",CampList[Total],"&lt;=100",CampList[Affected Population],"IDP")</f>
        <v>30</v>
      </c>
      <c r="AM25" s="34">
        <f>SUMIFS(CampList[Total],CampList[Township],$AK25,CampList[Status],"open",CampList[Total],"&gt;100",CampList[Total],"&lt;=1000",CampList[Affected Population],"IDP")</f>
        <v>445</v>
      </c>
      <c r="AN25" s="34">
        <f>SUMIFS(CampList[Total],CampList[Township],$AK25,CampList[Status],"open",CampList[Total],"&gt;1000",CampList[Total],"&lt;=5000",CampList[Affected Population],"IDP")</f>
        <v>1691</v>
      </c>
      <c r="AO25" s="34">
        <f>SUMIFS(CampList[Total],CampList[Township],$AK25,CampList[Status],"open",CampList[Total],"&gt;5000",CampList[Total],"&lt;=100000",CampList[Affected Population],"IDP")</f>
        <v>0</v>
      </c>
      <c r="AP25" s="18"/>
      <c r="AQ25" s="82"/>
      <c r="AR25" s="82"/>
      <c r="AU25" s="33"/>
    </row>
    <row r="26" spans="1:47" x14ac:dyDescent="0.25">
      <c r="B26" s="273"/>
      <c r="C26" s="123" t="s">
        <v>237</v>
      </c>
      <c r="D26" s="124">
        <f>SUMIFS(CampList[HH],CampList[Township],$C26,CampList[Status],"open",CampList[Affected Population],"IDP")</f>
        <v>1511</v>
      </c>
      <c r="E26" s="124">
        <f>SUMIFS(CampList[Total],CampList[Township],$C26,CampList[Status],"open",CampList[Affected Population],"IDP")</f>
        <v>7415</v>
      </c>
      <c r="F26" s="120">
        <f>COUNTIFS(CampList[Township],$C26,CampList[Status],"open",CampList[Affected Population],"IDP")</f>
        <v>24</v>
      </c>
      <c r="G26" s="114"/>
      <c r="H26" s="851"/>
      <c r="I26" s="852"/>
      <c r="J26" s="852"/>
      <c r="K26" s="852"/>
      <c r="L26" s="852"/>
      <c r="M26" s="853"/>
      <c r="N26" s="39"/>
      <c r="O26" s="39"/>
      <c r="P26" s="39"/>
      <c r="Q26" s="39"/>
      <c r="R26" s="39"/>
      <c r="S26" s="39"/>
      <c r="T26" s="39"/>
      <c r="U26" s="271"/>
      <c r="Y26"/>
      <c r="Z26"/>
      <c r="AB26"/>
      <c r="AK26" s="20" t="s">
        <v>813</v>
      </c>
      <c r="AL26" s="34">
        <f>SUMIFS(CampList[Total],CampList[Township],$AK26,CampList[Status],"open",CampList[Total],"&lt;=100",CampList[Affected Population],"IDP")</f>
        <v>32</v>
      </c>
      <c r="AM26" s="34">
        <f>SUMIFS(CampList[Total],CampList[Township],$AK26,CampList[Status],"open",CampList[Total],"&gt;100",CampList[Total],"&lt;=1000",CampList[Affected Population],"IDP")</f>
        <v>1200</v>
      </c>
      <c r="AN26" s="34">
        <f>SUMIFS(CampList[Total],CampList[Township],$AK26,CampList[Status],"open",CampList[Total],"&gt;1000",CampList[Total],"&lt;=5000",CampList[Affected Population],"IDP")</f>
        <v>0</v>
      </c>
      <c r="AO26" s="34">
        <f>SUMIFS(CampList[Total],CampList[Township],$AK26,CampList[Status],"open",CampList[Total],"&gt;5000",CampList[Total],"&lt;=100000",CampList[Affected Population],"IDP")</f>
        <v>0</v>
      </c>
      <c r="AP26" s="21">
        <f>AO28+AL28+AM28+AN28</f>
        <v>95813</v>
      </c>
    </row>
    <row r="27" spans="1:47" x14ac:dyDescent="0.25">
      <c r="B27" s="273"/>
      <c r="C27" s="123" t="s">
        <v>289</v>
      </c>
      <c r="D27" s="124">
        <f>SUMIFS(CampList[HH],CampList[Township],$C27,CampList[Status],"open",CampList[Affected Population],"IDP")</f>
        <v>380</v>
      </c>
      <c r="E27" s="124">
        <f>SUMIFS(CampList[Total],CampList[Township],$C27,CampList[Status],"open",CampList[Affected Population],"IDP")</f>
        <v>1896</v>
      </c>
      <c r="F27" s="120">
        <f>COUNTIFS(CampList[Township],$C27,CampList[Status],"open",CampList[Affected Population],"IDP")</f>
        <v>5</v>
      </c>
      <c r="G27" s="114"/>
      <c r="H27" s="83"/>
      <c r="I27" s="115" t="s">
        <v>1015</v>
      </c>
      <c r="J27" s="116" t="s">
        <v>1016</v>
      </c>
      <c r="K27" s="117" t="s">
        <v>591</v>
      </c>
      <c r="L27" s="118" t="s">
        <v>590</v>
      </c>
      <c r="M27" s="127" t="s">
        <v>599</v>
      </c>
      <c r="N27" s="251"/>
      <c r="O27" s="1"/>
      <c r="P27" s="1"/>
      <c r="Q27" s="1"/>
      <c r="R27" s="1"/>
      <c r="S27" s="1"/>
      <c r="T27" s="1"/>
      <c r="U27" s="271"/>
      <c r="Y27"/>
      <c r="Z27"/>
      <c r="AB27"/>
      <c r="AK27" s="20" t="s">
        <v>310</v>
      </c>
      <c r="AL27" s="34">
        <f>SUMIFS(CampList[Total],CampList[Township],$AK27,CampList[Status],"open",CampList[Total],"&lt;=100",CampList[Affected Population],"IDP")</f>
        <v>82</v>
      </c>
      <c r="AM27" s="34">
        <f>SUMIFS(CampList[Total],CampList[Township],$AK27,CampList[Status],"open",CampList[Total],"&gt;100",CampList[Total],"&lt;=1000",CampList[Affected Population],"IDP")</f>
        <v>6417</v>
      </c>
      <c r="AN27" s="34">
        <f>SUMIFS(CampList[Total],CampList[Township],$AK27,CampList[Status],"open",CampList[Total],"&gt;1000",CampList[Total],"&lt;=5000",CampList[Affected Population],"IDP")</f>
        <v>11058</v>
      </c>
      <c r="AO27" s="34">
        <f>SUMIFS(CampList[Total],CampList[Township],$AK27,CampList[Status],"open",CampList[Total],"&gt;5000",CampList[Total],"&lt;=100000",CampList[Affected Population],"IDP")</f>
        <v>6839</v>
      </c>
      <c r="AP27" s="24"/>
    </row>
    <row r="28" spans="1:47" x14ac:dyDescent="0.25">
      <c r="B28" s="273"/>
      <c r="C28" s="123" t="s">
        <v>298</v>
      </c>
      <c r="D28" s="124">
        <f>SUMIFS(CampList[HH],CampList[Township],$C28,CampList[Status],"open",CampList[Affected Population],"IDP")</f>
        <v>128</v>
      </c>
      <c r="E28" s="124">
        <f>SUMIFS(CampList[Total],CampList[Township],$C28,CampList[Status],"open",CampList[Affected Population],"IDP")</f>
        <v>561</v>
      </c>
      <c r="F28" s="120">
        <f>COUNTIFS(CampList[Township],$C28,CampList[Status],"open",CampList[Affected Population],"IDP")</f>
        <v>2</v>
      </c>
      <c r="G28" s="114"/>
      <c r="H28" s="83" t="s">
        <v>1010</v>
      </c>
      <c r="I28" s="84">
        <f>AL57</f>
        <v>39</v>
      </c>
      <c r="J28" s="84">
        <f t="shared" ref="J28:M28" si="0">AM57</f>
        <v>99</v>
      </c>
      <c r="K28" s="84">
        <f t="shared" si="0"/>
        <v>21</v>
      </c>
      <c r="L28" s="84">
        <f t="shared" si="0"/>
        <v>2</v>
      </c>
      <c r="M28" s="84">
        <f t="shared" si="0"/>
        <v>4</v>
      </c>
      <c r="N28" s="251"/>
      <c r="O28" s="1"/>
      <c r="P28" s="1"/>
      <c r="Q28" s="1"/>
      <c r="R28" s="1"/>
      <c r="S28" s="1"/>
      <c r="T28" s="1"/>
      <c r="U28" s="271"/>
      <c r="X28"/>
      <c r="Y28"/>
      <c r="Z28"/>
      <c r="AB28"/>
      <c r="AK28" s="26" t="s">
        <v>3</v>
      </c>
      <c r="AL28" s="53">
        <f>SUM(AL7:AL27)</f>
        <v>2073</v>
      </c>
      <c r="AM28" s="53">
        <f>SUM(AM7:AM27)</f>
        <v>38522</v>
      </c>
      <c r="AN28" s="53">
        <f>SUM(AN7:AN27)</f>
        <v>39531</v>
      </c>
      <c r="AO28" s="53">
        <f>SUM(AO7:AO27)</f>
        <v>15687</v>
      </c>
      <c r="AP28" s="19"/>
      <c r="AQ28" s="24"/>
    </row>
    <row r="29" spans="1:47" x14ac:dyDescent="0.25">
      <c r="B29" s="273"/>
      <c r="C29" s="123" t="s">
        <v>300</v>
      </c>
      <c r="D29" s="124">
        <f>SUMIFS(CampList[HH],CampList[Township],$C29,CampList[Status],"open",CampList[Affected Population],"IDP")</f>
        <v>82</v>
      </c>
      <c r="E29" s="124">
        <f>SUMIFS(CampList[Total],CampList[Township],$C29,CampList[Status],"open",CampList[Affected Population],"IDP")</f>
        <v>344</v>
      </c>
      <c r="F29" s="120">
        <f>COUNTIFS(CampList[Township],$C29,CampList[Status],"open",CampList[Affected Population],"IDP")</f>
        <v>3</v>
      </c>
      <c r="G29" s="114"/>
      <c r="H29" s="83" t="s">
        <v>443</v>
      </c>
      <c r="I29" s="84">
        <f>AL28</f>
        <v>2073</v>
      </c>
      <c r="J29" s="84">
        <f>AM28</f>
        <v>38522</v>
      </c>
      <c r="K29" s="84">
        <f>AN28</f>
        <v>39531</v>
      </c>
      <c r="L29" s="84">
        <f>AO28</f>
        <v>15687</v>
      </c>
      <c r="M29" s="84">
        <f>AP28</f>
        <v>0</v>
      </c>
      <c r="N29" s="251"/>
      <c r="O29" s="1"/>
      <c r="P29" s="1"/>
      <c r="Q29" s="1"/>
      <c r="R29" s="1"/>
      <c r="S29" s="1"/>
      <c r="T29" s="1"/>
      <c r="U29" s="271"/>
      <c r="X29"/>
      <c r="Y29"/>
      <c r="Z29"/>
      <c r="AB29"/>
      <c r="AK29" s="20" t="s">
        <v>445</v>
      </c>
      <c r="AL29" s="27">
        <f>AL28/$AP$26</f>
        <v>2.1635894920313526E-2</v>
      </c>
      <c r="AM29" s="27">
        <f>AM28/$AP$26</f>
        <v>0.40205400102282574</v>
      </c>
      <c r="AN29" s="27">
        <f>AN28/$AP$26</f>
        <v>0.41258493106363436</v>
      </c>
      <c r="AO29" s="27">
        <f>AO28/$AP$26</f>
        <v>0.16372517299322639</v>
      </c>
      <c r="AP29" s="23"/>
      <c r="AQ29" s="24"/>
    </row>
    <row r="30" spans="1:47" x14ac:dyDescent="0.25">
      <c r="B30" s="273"/>
      <c r="C30" s="123" t="s">
        <v>302</v>
      </c>
      <c r="D30" s="124">
        <f>SUMIFS(CampList[HH],CampList[Township],$C30,CampList[Status],"open",CampList[Affected Population],"IDP")</f>
        <v>508</v>
      </c>
      <c r="E30" s="124">
        <f>SUMIFS(CampList[Total],CampList[Township],$C30,CampList[Status],"open",CampList[Affected Population],"IDP")</f>
        <v>2166</v>
      </c>
      <c r="F30" s="120">
        <f>COUNTIFS(CampList[Township],$C30,CampList[Status],"open",CampList[Affected Population],"IDP")</f>
        <v>4</v>
      </c>
      <c r="G30" s="114"/>
      <c r="H30" s="238"/>
      <c r="I30" s="39"/>
      <c r="J30" s="39"/>
      <c r="K30" s="39"/>
      <c r="L30" s="39"/>
      <c r="M30" s="39"/>
      <c r="N30" s="251"/>
      <c r="O30" s="39"/>
      <c r="P30" s="39"/>
      <c r="Q30" s="39"/>
      <c r="R30" s="39"/>
      <c r="S30" s="39"/>
      <c r="T30" s="39"/>
      <c r="U30" s="271"/>
      <c r="X30"/>
      <c r="Y30"/>
      <c r="Z30"/>
      <c r="AB30"/>
      <c r="AO30" s="33"/>
      <c r="AP30" s="23"/>
      <c r="AQ30" s="24"/>
    </row>
    <row r="31" spans="1:47" ht="15" customHeight="1" thickBot="1" x14ac:dyDescent="0.3">
      <c r="B31" s="273"/>
      <c r="C31" s="123" t="s">
        <v>813</v>
      </c>
      <c r="D31" s="124">
        <f>SUMIFS(CampList[HH],CampList[Township],$C31,CampList[Status],"open",CampList[Affected Population],"IDP")</f>
        <v>166</v>
      </c>
      <c r="E31" s="124">
        <f>SUMIFS(CampList[Total],CampList[Township],$C31,CampList[Status],"open",CampList[Affected Population],"IDP")</f>
        <v>1232</v>
      </c>
      <c r="F31" s="120">
        <f>COUNTIFS(CampList[Township],$C31,CampList[Status],"open",CampList[Affected Population],"IDP")</f>
        <v>3</v>
      </c>
      <c r="G31" s="114"/>
      <c r="H31" s="266"/>
      <c r="I31" s="266"/>
      <c r="J31" s="266"/>
      <c r="K31" s="39"/>
      <c r="L31" s="39"/>
      <c r="M31" s="39"/>
      <c r="N31" s="39"/>
      <c r="O31" s="39"/>
      <c r="P31" s="39"/>
      <c r="Q31" s="39"/>
      <c r="R31" s="39"/>
      <c r="S31" s="39"/>
      <c r="T31" s="39"/>
      <c r="U31" s="271"/>
      <c r="X31"/>
      <c r="Y31"/>
      <c r="Z31"/>
      <c r="AB31"/>
      <c r="AK31" s="33"/>
      <c r="AL31" s="33"/>
      <c r="AM31" s="33"/>
      <c r="AN31" s="33"/>
      <c r="AO31" s="33"/>
      <c r="AP31" s="23"/>
      <c r="AQ31" s="24"/>
    </row>
    <row r="32" spans="1:47" s="82" customFormat="1" x14ac:dyDescent="0.25">
      <c r="A32" s="129"/>
      <c r="B32" s="273"/>
      <c r="C32" s="123" t="s">
        <v>310</v>
      </c>
      <c r="D32" s="124">
        <f>SUMIFS(CampList[HH],CampList[Township],$C32,CampList[Status],"open",CampList[Affected Population],"IDP")</f>
        <v>4774</v>
      </c>
      <c r="E32" s="124">
        <f>SUMIFS(CampList[Total],CampList[Township],$C32,CampList[Status],"open",CampList[Affected Population],"IDP")</f>
        <v>24396</v>
      </c>
      <c r="F32" s="120">
        <f>COUNTIFS(CampList[Township],$C32,CampList[Status],"open",CampList[Affected Population],"IDP")</f>
        <v>22</v>
      </c>
      <c r="G32" s="114"/>
      <c r="H32" s="239"/>
      <c r="I32" s="240" t="s">
        <v>1191</v>
      </c>
      <c r="J32" s="241" t="s">
        <v>1231</v>
      </c>
      <c r="K32" s="39"/>
      <c r="L32" s="39"/>
      <c r="M32" s="39"/>
      <c r="N32" s="39"/>
      <c r="O32" s="39"/>
      <c r="P32" s="39"/>
      <c r="Q32" s="39"/>
      <c r="R32" s="39"/>
      <c r="S32" s="39"/>
      <c r="T32" s="39"/>
      <c r="U32" s="271"/>
      <c r="X32"/>
      <c r="Y32"/>
      <c r="Z32"/>
      <c r="AB32"/>
      <c r="AK32" s="33"/>
      <c r="AL32" s="33"/>
      <c r="AM32" s="33"/>
      <c r="AN32" s="33"/>
      <c r="AO32" s="33"/>
      <c r="AP32" s="23"/>
      <c r="AQ32" s="24"/>
      <c r="AR32" s="129"/>
      <c r="AS32" s="129"/>
      <c r="AT32" s="129"/>
      <c r="AU32" s="129"/>
    </row>
    <row r="33" spans="1:47" x14ac:dyDescent="0.25">
      <c r="B33" s="273"/>
      <c r="C33" s="125" t="s">
        <v>3</v>
      </c>
      <c r="D33" s="126">
        <f>SUM(D11:D32)</f>
        <v>19304</v>
      </c>
      <c r="E33" s="126">
        <f>SUM(E11:E32)</f>
        <v>95813</v>
      </c>
      <c r="F33" s="81">
        <f>SUM(F11:F32)</f>
        <v>165</v>
      </c>
      <c r="G33" s="114"/>
      <c r="H33" s="242" t="s">
        <v>1225</v>
      </c>
      <c r="I33" s="243">
        <f ca="1">SUMIFS(CampList[Total],CampList[Status],"open",CampList[Affected Population],"IDP",CampList[Distance_Cat],1)</f>
        <v>39726</v>
      </c>
      <c r="J33" s="244">
        <f ca="1">COUNTIFS(CampList[Status],"open",CampList[Affected Population],"IDP",CampList[Distance_Cat],1)</f>
        <v>91</v>
      </c>
      <c r="K33" s="39"/>
      <c r="L33" s="39"/>
      <c r="M33" s="39"/>
      <c r="N33" s="39"/>
      <c r="O33" s="39"/>
      <c r="P33" s="39"/>
      <c r="Q33" s="39"/>
      <c r="R33" s="39"/>
      <c r="S33" s="39"/>
      <c r="T33" s="39"/>
      <c r="U33" s="271"/>
      <c r="Z33"/>
      <c r="AB33"/>
      <c r="AK33" s="33"/>
      <c r="AL33" s="33"/>
      <c r="AM33" s="33"/>
      <c r="AN33" s="33"/>
      <c r="AO33" s="33"/>
      <c r="AP33" s="26"/>
      <c r="AQ33" s="24"/>
      <c r="AR33" s="129"/>
      <c r="AS33" s="129"/>
      <c r="AT33" s="129"/>
      <c r="AU33" s="129"/>
    </row>
    <row r="34" spans="1:47" x14ac:dyDescent="0.25">
      <c r="B34" s="273"/>
      <c r="C34" s="251"/>
      <c r="D34" s="251"/>
      <c r="E34" s="251"/>
      <c r="F34" s="251"/>
      <c r="G34" s="1"/>
      <c r="H34" s="242" t="s">
        <v>1226</v>
      </c>
      <c r="I34" s="243">
        <f ca="1">SUMIFS(CampList[Total],CampList[Status],"open",CampList[Affected Population],"IDP",CampList[Distance_Cat],2)</f>
        <v>23007</v>
      </c>
      <c r="J34" s="244">
        <f ca="1">COUNTIFS(CampList[Status],"open",CampList[Affected Population],"IDP",CampList[Distance_Cat],2)</f>
        <v>22</v>
      </c>
      <c r="K34" s="39"/>
      <c r="L34" s="39"/>
      <c r="M34" s="39"/>
      <c r="N34" s="39"/>
      <c r="O34" s="39"/>
      <c r="P34" s="39"/>
      <c r="Q34" s="39"/>
      <c r="R34" s="39"/>
      <c r="S34" s="39"/>
      <c r="T34" s="39"/>
      <c r="U34" s="271"/>
      <c r="Z34"/>
      <c r="AB34"/>
      <c r="AJ34" s="33"/>
      <c r="AK34" s="33"/>
      <c r="AL34" s="12" t="s">
        <v>444</v>
      </c>
      <c r="AM34" s="12"/>
      <c r="AN34" s="12"/>
      <c r="AO34" s="33"/>
      <c r="AP34" s="26" t="s">
        <v>599</v>
      </c>
      <c r="AQ34" s="24">
        <f>SUM(AM34:AP34)</f>
        <v>0</v>
      </c>
      <c r="AR34" s="129"/>
      <c r="AS34" s="129"/>
      <c r="AT34" s="129"/>
      <c r="AU34" s="129"/>
    </row>
    <row r="35" spans="1:47" x14ac:dyDescent="0.25">
      <c r="B35" s="273"/>
      <c r="C35" s="251"/>
      <c r="D35" s="251"/>
      <c r="E35" s="251"/>
      <c r="F35" s="251"/>
      <c r="G35" s="1"/>
      <c r="H35" s="242" t="s">
        <v>1227</v>
      </c>
      <c r="I35" s="243">
        <f ca="1">SUMIFS(CampList[Total],CampList[Status],"open",CampList[Affected Population],"IDP",CampList[Distance_Cat],3)</f>
        <v>8117</v>
      </c>
      <c r="J35" s="244">
        <f ca="1">COUNTIFS(CampList[Status],"open",CampList[Affected Population],"IDP",CampList[Distance_Cat],3)</f>
        <v>13</v>
      </c>
      <c r="K35" s="39"/>
      <c r="L35" s="39"/>
      <c r="M35" s="39"/>
      <c r="N35" s="39"/>
      <c r="O35" s="39"/>
      <c r="P35" s="39"/>
      <c r="Q35" s="39"/>
      <c r="R35" s="39"/>
      <c r="S35" s="39"/>
      <c r="T35" s="39"/>
      <c r="U35" s="271"/>
      <c r="Z35"/>
      <c r="AB35"/>
      <c r="AJ35" s="33"/>
      <c r="AK35" s="20" t="s">
        <v>0</v>
      </c>
      <c r="AL35" s="70" t="s">
        <v>1015</v>
      </c>
      <c r="AM35" s="26" t="s">
        <v>1016</v>
      </c>
      <c r="AN35" s="26" t="s">
        <v>589</v>
      </c>
      <c r="AO35" s="26" t="s">
        <v>590</v>
      </c>
      <c r="AP35" s="26" t="s">
        <v>599</v>
      </c>
      <c r="AQ35" s="24">
        <f>SUM(AL35:AP35)</f>
        <v>0</v>
      </c>
      <c r="AR35" s="129"/>
      <c r="AS35" s="129"/>
      <c r="AT35" s="129"/>
      <c r="AU35" s="129"/>
    </row>
    <row r="36" spans="1:47" s="82" customFormat="1" x14ac:dyDescent="0.25">
      <c r="A36" s="129"/>
      <c r="B36" s="273"/>
      <c r="C36" s="83"/>
      <c r="D36" s="83" t="s">
        <v>513</v>
      </c>
      <c r="E36" s="83" t="s">
        <v>515</v>
      </c>
      <c r="F36" s="83" t="s">
        <v>3</v>
      </c>
      <c r="G36" s="1"/>
      <c r="H36" s="242" t="s">
        <v>1228</v>
      </c>
      <c r="I36" s="243">
        <f ca="1">SUMIFS(CampList[Total],CampList[Status],"open",CampList[Affected Population],"IDP",CampList[Distance_Cat],4)</f>
        <v>9267</v>
      </c>
      <c r="J36" s="244">
        <f ca="1">COUNTIFS(CampList[Status],"open",CampList[Affected Population],"IDP",CampList[Distance_Cat],4)</f>
        <v>13</v>
      </c>
      <c r="K36" s="39"/>
      <c r="L36" s="39"/>
      <c r="M36" s="39"/>
      <c r="N36" s="39"/>
      <c r="O36" s="39"/>
      <c r="P36" s="39"/>
      <c r="Q36" s="39"/>
      <c r="R36" s="39"/>
      <c r="S36" s="39"/>
      <c r="T36" s="39"/>
      <c r="U36" s="271"/>
      <c r="Z36"/>
      <c r="AB36"/>
      <c r="AK36" s="20" t="s">
        <v>5</v>
      </c>
      <c r="AL36" s="34">
        <f>COUNTIFS(CampList[Township],$AK36,CampList[Status],"open",CampList[Total],"&lt;=100",CampList[Affected Population],"IDP")</f>
        <v>3</v>
      </c>
      <c r="AM36" s="34">
        <f>COUNTIFS(CampList[Township],$AK36,CampList[Status],"open",CampList[Total],"&gt;100",CampList[Total],"&lt;=1000",CampList[Affected Population],"IDP")</f>
        <v>6</v>
      </c>
      <c r="AN36" s="34">
        <f>COUNTIFS(CampList[Township],$AK36,CampList[Status],"open",CampList[Total],"&gt;1000",CampList[Total],"&lt;=5000",CampList[Affected Population],"IDP")</f>
        <v>2</v>
      </c>
      <c r="AO36" s="34">
        <f>COUNTIFS(CampList[Township],$AK36,CampList[Status],"open",CampList[Total],"&gt;5000",CampList[Total],"&lt;=100000",CampList[Affected Population],"IDP")</f>
        <v>0</v>
      </c>
      <c r="AP36" s="26">
        <f>COUNTIFS(CampList[Township],$AK37,CampList[Status],"open",CampList[Total],"",CampList[Affected Population],"IDP")</f>
        <v>1</v>
      </c>
      <c r="AQ36" s="215">
        <f>SUM(AL36:AP36)</f>
        <v>12</v>
      </c>
      <c r="AR36" s="129"/>
      <c r="AS36" s="129"/>
      <c r="AT36" s="129"/>
      <c r="AU36" s="129"/>
    </row>
    <row r="37" spans="1:47" x14ac:dyDescent="0.25">
      <c r="B37" s="273"/>
      <c r="C37" s="83" t="s">
        <v>556</v>
      </c>
      <c r="D37" s="113">
        <f t="shared" ref="D37:E39" si="1">GETPIVOTDATA("Total",Stat01,"Accessibility",D$36,"Type of Accomodation",$C37)</f>
        <v>48468</v>
      </c>
      <c r="E37" s="113">
        <f t="shared" si="1"/>
        <v>38698</v>
      </c>
      <c r="F37" s="113">
        <f>SUM(D37:E37)</f>
        <v>87166</v>
      </c>
      <c r="G37" s="1"/>
      <c r="H37" s="242" t="s">
        <v>1229</v>
      </c>
      <c r="I37" s="243">
        <f ca="1">SUMIFS(CampList[Total],CampList[Status],"open",CampList[Affected Population],"IDP",CampList[Distance_Cat],5)</f>
        <v>4376</v>
      </c>
      <c r="J37" s="244">
        <f ca="1">COUNTIFS(CampList[Status],"open",CampList[Affected Population],"IDP",CampList[Distance_Cat],5)</f>
        <v>7</v>
      </c>
      <c r="K37" s="39"/>
      <c r="L37" s="39"/>
      <c r="M37" s="39"/>
      <c r="N37" s="39"/>
      <c r="O37" s="39"/>
      <c r="P37" s="39"/>
      <c r="Q37" s="39"/>
      <c r="R37" s="39"/>
      <c r="S37" s="39"/>
      <c r="T37" s="39"/>
      <c r="U37" s="271"/>
      <c r="Z37"/>
      <c r="AB37"/>
      <c r="AJ37" s="33"/>
      <c r="AK37" s="20" t="s">
        <v>27</v>
      </c>
      <c r="AL37" s="34">
        <f>COUNTIFS(CampList[Township],$AK37,CampList[Status],"open",CampList[Total],"&lt;=100",CampList[Affected Population],"IDP")</f>
        <v>0</v>
      </c>
      <c r="AM37" s="34">
        <f>COUNTIFS(CampList[Township],$AK37,CampList[Status],"open",CampList[Total],"&gt;100",CampList[Total],"&lt;=1000",CampList[Affected Population],"IDP")</f>
        <v>5</v>
      </c>
      <c r="AN37" s="34">
        <f>COUNTIFS(CampList[Township],$AK37,CampList[Status],"open",CampList[Total],"&gt;1000",CampList[Total],"&lt;=5000",CampList[Affected Population],"IDP")</f>
        <v>0</v>
      </c>
      <c r="AO37" s="34">
        <f>COUNTIFS(CampList[Township],$AK37,CampList[Status],"open",CampList[Total],"&gt;5000",CampList[Total],"&lt;=100000",CampList[Affected Population],"IDP")</f>
        <v>0</v>
      </c>
      <c r="AP37" s="26">
        <f>COUNTIFS(CampList[Township],$AK38,CampList[Status],"open",CampList[Total],"",CampList[Affected Population],"IDP")</f>
        <v>0</v>
      </c>
      <c r="AQ37" s="215">
        <f t="shared" ref="AQ37:AQ56" si="2">SUM(AL37:AP37)</f>
        <v>5</v>
      </c>
      <c r="AR37" s="129"/>
      <c r="AS37" s="129"/>
      <c r="AT37" s="129"/>
      <c r="AU37" s="129"/>
    </row>
    <row r="38" spans="1:47" s="129" customFormat="1" x14ac:dyDescent="0.25">
      <c r="B38" s="273"/>
      <c r="C38" s="83" t="s">
        <v>12</v>
      </c>
      <c r="D38" s="113">
        <f t="shared" si="1"/>
        <v>4778</v>
      </c>
      <c r="E38" s="113">
        <f t="shared" si="1"/>
        <v>2773</v>
      </c>
      <c r="F38" s="113">
        <f>SUM(D38:E38)</f>
        <v>7551</v>
      </c>
      <c r="G38" s="1"/>
      <c r="H38" s="242" t="s">
        <v>1230</v>
      </c>
      <c r="I38" s="243">
        <f ca="1">SUMIFS(CampList[Total],CampList[Status],"open",CampList[Affected Population],"IDP",CampList[Distance_Cat],6)</f>
        <v>2653</v>
      </c>
      <c r="J38" s="244">
        <f ca="1">COUNTIFS(CampList[Status],"open",CampList[Affected Population],"IDP",CampList[Distance_Cat],6)</f>
        <v>2</v>
      </c>
      <c r="K38" s="39"/>
      <c r="L38" s="39"/>
      <c r="M38" s="39"/>
      <c r="N38" s="39"/>
      <c r="O38" s="39"/>
      <c r="P38" s="39"/>
      <c r="Q38" s="39"/>
      <c r="R38" s="39"/>
      <c r="S38" s="39"/>
      <c r="T38" s="39"/>
      <c r="U38" s="271"/>
      <c r="Z38"/>
      <c r="AB38"/>
      <c r="AK38" s="20" t="s">
        <v>529</v>
      </c>
      <c r="AL38" s="34">
        <f>COUNTIFS(CampList[Township],$AK38,CampList[Status],"open",CampList[Total],"&lt;=100",CampList[Affected Population],"IDP")</f>
        <v>10</v>
      </c>
      <c r="AM38" s="34">
        <f>COUNTIFS(CampList[Township],$AK38,CampList[Status],"open",CampList[Total],"&gt;100",CampList[Total],"&lt;=1000",CampList[Affected Population],"IDP")</f>
        <v>10</v>
      </c>
      <c r="AN38" s="34">
        <f>COUNTIFS(CampList[Township],$AK38,CampList[Status],"open",CampList[Total],"&gt;1000",CampList[Total],"&lt;=5000",CampList[Affected Population],"IDP")</f>
        <v>0</v>
      </c>
      <c r="AO38" s="34">
        <f>COUNTIFS(CampList[Township],$AK38,CampList[Status],"open",CampList[Total],"&gt;5000",CampList[Total],"&lt;=100000",CampList[Affected Population],"IDP")</f>
        <v>0</v>
      </c>
      <c r="AP38" s="26">
        <f>COUNTIFS(CampList[Township],$AK39,CampList[Status],"open",CampList[Total],"",CampList[Affected Population],"IDP")</f>
        <v>0</v>
      </c>
      <c r="AQ38" s="215">
        <f t="shared" si="2"/>
        <v>20</v>
      </c>
    </row>
    <row r="39" spans="1:47" s="82" customFormat="1" x14ac:dyDescent="0.25">
      <c r="A39" s="129"/>
      <c r="B39" s="273"/>
      <c r="C39" s="83" t="s">
        <v>993</v>
      </c>
      <c r="D39" s="113">
        <f t="shared" si="1"/>
        <v>49</v>
      </c>
      <c r="E39" s="113">
        <f t="shared" si="1"/>
        <v>1047</v>
      </c>
      <c r="F39" s="113">
        <f>SUM(D39:E39)</f>
        <v>1096</v>
      </c>
      <c r="G39" s="1"/>
      <c r="H39" s="242" t="s">
        <v>1254</v>
      </c>
      <c r="I39" s="243">
        <f ca="1">SUMIFS(CampList[Total],CampList[Status],"open",CampList[Affected Population],"IDP",CampList[Distance_Cat],"&gt;6")</f>
        <v>3174</v>
      </c>
      <c r="J39" s="244">
        <f ca="1">COUNTIFS(CampList[Status],"open",CampList[Affected Population],"IDP",CampList[Distance_Cat],"&gt;6")</f>
        <v>2</v>
      </c>
      <c r="K39" s="39"/>
      <c r="L39" s="39"/>
      <c r="M39" s="39"/>
      <c r="N39" s="39"/>
      <c r="O39" s="39"/>
      <c r="P39" s="39"/>
      <c r="Q39" s="39"/>
      <c r="R39" s="39"/>
      <c r="S39" s="39"/>
      <c r="T39" s="39"/>
      <c r="U39" s="271"/>
      <c r="Z39"/>
      <c r="AB39"/>
      <c r="AK39" s="20" t="s">
        <v>784</v>
      </c>
      <c r="AL39" s="34">
        <f>COUNTIFS(CampList[Township],$AK39,CampList[Status],"open",CampList[Total],"&lt;=100",CampList[Affected Population],"IDP")</f>
        <v>0</v>
      </c>
      <c r="AM39" s="34">
        <f>COUNTIFS(CampList[Township],$AK39,CampList[Status],"open",CampList[Total],"&gt;100",CampList[Total],"&lt;=1000",CampList[Affected Population],"IDP")</f>
        <v>2</v>
      </c>
      <c r="AN39" s="34">
        <f>COUNTIFS(CampList[Township],$AK39,CampList[Status],"open",CampList[Total],"&gt;1000",CampList[Total],"&lt;=5000",CampList[Affected Population],"IDP")</f>
        <v>0</v>
      </c>
      <c r="AO39" s="34">
        <f>COUNTIFS(CampList[Township],$AK39,CampList[Status],"open",CampList[Total],"&gt;5000",CampList[Total],"&lt;=100000",CampList[Affected Population],"IDP")</f>
        <v>0</v>
      </c>
      <c r="AP39" s="26">
        <f>COUNTIFS(CampList[Township],$AK40,CampList[Status],"open",CampList[Total],"",CampList[Affected Population],"IDP")</f>
        <v>0</v>
      </c>
      <c r="AQ39" s="215">
        <f t="shared" si="2"/>
        <v>2</v>
      </c>
      <c r="AR39" s="129"/>
      <c r="AS39" s="129"/>
      <c r="AT39" s="129"/>
      <c r="AU39" s="129"/>
    </row>
    <row r="40" spans="1:47" s="129" customFormat="1" ht="15.75" customHeight="1" thickBot="1" x14ac:dyDescent="0.3">
      <c r="B40" s="273"/>
      <c r="C40" s="83" t="s">
        <v>3</v>
      </c>
      <c r="D40" s="113">
        <f t="shared" ref="D40:E40" si="3">SUM(D37:D39)</f>
        <v>53295</v>
      </c>
      <c r="E40" s="113">
        <f t="shared" si="3"/>
        <v>42518</v>
      </c>
      <c r="F40" s="113">
        <f>SUM(F37:F39)</f>
        <v>95813</v>
      </c>
      <c r="G40" s="1"/>
      <c r="H40" s="245" t="s">
        <v>3</v>
      </c>
      <c r="I40" s="246">
        <f ca="1">SUM(I33:I39)</f>
        <v>90320</v>
      </c>
      <c r="J40" s="247">
        <f ca="1">SUM(J33:J39)</f>
        <v>150</v>
      </c>
      <c r="K40" s="39"/>
      <c r="L40" s="39"/>
      <c r="M40" s="39"/>
      <c r="N40" s="39"/>
      <c r="O40" s="39"/>
      <c r="P40" s="39"/>
      <c r="Q40" s="39"/>
      <c r="R40" s="39"/>
      <c r="S40" s="39"/>
      <c r="T40" s="39"/>
      <c r="U40" s="271"/>
      <c r="AK40" s="20" t="s">
        <v>363</v>
      </c>
      <c r="AL40" s="34">
        <f>COUNTIFS(CampList[Township],$AK40,CampList[Status],"open",CampList[Total],"&lt;=100",CampList[Affected Population],"IDP")</f>
        <v>0</v>
      </c>
      <c r="AM40" s="34">
        <f>COUNTIFS(CampList[Township],$AK40,CampList[Status],"open",CampList[Total],"&gt;100",CampList[Total],"&lt;=1000",CampList[Affected Population],"IDP")</f>
        <v>0</v>
      </c>
      <c r="AN40" s="34">
        <f>COUNTIFS(CampList[Township],$AK40,CampList[Status],"open",CampList[Total],"&gt;1000",CampList[Total],"&lt;=5000",CampList[Affected Population],"IDP")</f>
        <v>0</v>
      </c>
      <c r="AO40" s="34">
        <f>COUNTIFS(CampList[Township],$AK40,CampList[Status],"open",CampList[Total],"&gt;5000",CampList[Total],"&lt;=100000",CampList[Affected Population],"IDP")</f>
        <v>0</v>
      </c>
      <c r="AP40" s="26">
        <f>COUNTIFS(CampList[Township],$AK41,CampList[Status],"open",CampList[Total],"",CampList[Affected Population],"IDP")</f>
        <v>0</v>
      </c>
      <c r="AQ40" s="215">
        <f t="shared" si="2"/>
        <v>0</v>
      </c>
    </row>
    <row r="41" spans="1:47" x14ac:dyDescent="0.25">
      <c r="B41" s="273"/>
      <c r="C41" s="1"/>
      <c r="D41" s="1"/>
      <c r="E41" s="1"/>
      <c r="F41" s="1"/>
      <c r="G41" s="1"/>
      <c r="H41" s="39"/>
      <c r="I41" s="39"/>
      <c r="J41" s="39"/>
      <c r="K41" s="39"/>
      <c r="L41" s="39"/>
      <c r="M41" s="39"/>
      <c r="N41" s="39"/>
      <c r="O41" s="39"/>
      <c r="P41" s="39"/>
      <c r="Q41" s="39"/>
      <c r="R41" s="39"/>
      <c r="S41" s="39"/>
      <c r="T41" s="39"/>
      <c r="U41" s="271"/>
      <c r="Z41"/>
      <c r="AB41"/>
      <c r="AK41" s="20" t="s">
        <v>144</v>
      </c>
      <c r="AL41" s="34">
        <f>COUNTIFS(CampList[Township],$AK41,CampList[Status],"open",CampList[Total],"&lt;=100",CampList[Affected Population],"IDP")</f>
        <v>1</v>
      </c>
      <c r="AM41" s="34">
        <f>COUNTIFS(CampList[Township],$AK41,CampList[Status],"open",CampList[Total],"&gt;100",CampList[Total],"&lt;=1000",CampList[Affected Population],"IDP")</f>
        <v>0</v>
      </c>
      <c r="AN41" s="34">
        <f>COUNTIFS(CampList[Township],$AK41,CampList[Status],"open",CampList[Total],"&gt;1000",CampList[Total],"&lt;=5000",CampList[Affected Population],"IDP")</f>
        <v>0</v>
      </c>
      <c r="AO41" s="34">
        <f>COUNTIFS(CampList[Township],$AK41,CampList[Status],"open",CampList[Total],"&gt;5000",CampList[Total],"&lt;=100000",CampList[Affected Population],"IDP")</f>
        <v>0</v>
      </c>
      <c r="AP41" s="26">
        <f>COUNTIFS(CampList[Township],$AK42,CampList[Status],"open",CampList[Total],"",CampList[Affected Population],"IDP")</f>
        <v>0</v>
      </c>
      <c r="AQ41" s="215">
        <f t="shared" si="2"/>
        <v>1</v>
      </c>
      <c r="AR41" s="129"/>
      <c r="AS41" s="129"/>
      <c r="AT41" s="129"/>
      <c r="AU41" s="129"/>
    </row>
    <row r="42" spans="1:47" x14ac:dyDescent="0.25">
      <c r="B42" s="273"/>
      <c r="C42" s="1"/>
      <c r="D42" s="1"/>
      <c r="E42" s="1"/>
      <c r="F42" s="1"/>
      <c r="G42" s="1"/>
      <c r="H42" s="39"/>
      <c r="I42" s="39"/>
      <c r="J42" s="39"/>
      <c r="K42" s="39"/>
      <c r="L42" s="39"/>
      <c r="M42" s="39"/>
      <c r="N42" s="39"/>
      <c r="O42" s="39"/>
      <c r="P42" s="39"/>
      <c r="Q42" s="39"/>
      <c r="R42" s="39"/>
      <c r="S42" s="39"/>
      <c r="T42" s="39"/>
      <c r="U42" s="271"/>
      <c r="X42"/>
      <c r="Y42"/>
      <c r="Z42"/>
      <c r="AB42"/>
      <c r="AK42" s="20" t="s">
        <v>146</v>
      </c>
      <c r="AL42" s="34">
        <f>COUNTIFS(CampList[Township],$AK42,CampList[Status],"open",CampList[Total],"&lt;=100",CampList[Affected Population],"IDP")</f>
        <v>0</v>
      </c>
      <c r="AM42" s="34">
        <f>COUNTIFS(CampList[Township],$AK42,CampList[Status],"open",CampList[Total],"&gt;100",CampList[Total],"&lt;=1000",CampList[Affected Population],"IDP")</f>
        <v>9</v>
      </c>
      <c r="AN42" s="34">
        <f>COUNTIFS(CampList[Township],$AK42,CampList[Status],"open",CampList[Total],"&gt;1000",CampList[Total],"&lt;=5000",CampList[Affected Population],"IDP")</f>
        <v>0</v>
      </c>
      <c r="AO42" s="34">
        <f>COUNTIFS(CampList[Township],$AK42,CampList[Status],"open",CampList[Total],"&gt;5000",CampList[Total],"&lt;=100000",CampList[Affected Population],"IDP")</f>
        <v>0</v>
      </c>
      <c r="AP42" s="26">
        <f>COUNTIFS(CampList[Township],$AK43,CampList[Status],"open",CampList[Total],"",CampList[Affected Population],"IDP")</f>
        <v>0</v>
      </c>
      <c r="AQ42" s="215">
        <f t="shared" si="2"/>
        <v>9</v>
      </c>
      <c r="AR42" s="129"/>
      <c r="AS42" s="129"/>
      <c r="AT42" s="129"/>
      <c r="AU42" s="129"/>
    </row>
    <row r="43" spans="1:47" ht="19.5" customHeight="1" thickBot="1" x14ac:dyDescent="0.3">
      <c r="B43" s="274"/>
      <c r="C43" s="275"/>
      <c r="D43" s="275"/>
      <c r="E43" s="275"/>
      <c r="F43" s="275"/>
      <c r="G43" s="275"/>
      <c r="H43" s="275"/>
      <c r="I43" s="275"/>
      <c r="J43" s="275"/>
      <c r="K43" s="275"/>
      <c r="L43" s="275"/>
      <c r="M43" s="275"/>
      <c r="N43" s="275"/>
      <c r="O43" s="275"/>
      <c r="P43" s="275"/>
      <c r="Q43" s="275"/>
      <c r="R43" s="275"/>
      <c r="S43" s="269"/>
      <c r="T43" s="269"/>
      <c r="U43" s="272"/>
      <c r="X43"/>
      <c r="Y43"/>
      <c r="Z43"/>
      <c r="AB43"/>
      <c r="AK43" s="20" t="s">
        <v>899</v>
      </c>
      <c r="AL43" s="34">
        <f>COUNTIFS(CampList[Township],$AK43,CampList[Status],"open",CampList[Total],"&lt;=100",CampList[Affected Population],"IDP")</f>
        <v>0</v>
      </c>
      <c r="AM43" s="34">
        <f>COUNTIFS(CampList[Township],$AK43,CampList[Status],"open",CampList[Total],"&gt;100",CampList[Total],"&lt;=1000",CampList[Affected Population],"IDP")</f>
        <v>0</v>
      </c>
      <c r="AN43" s="34">
        <f>COUNTIFS(CampList[Township],$AK43,CampList[Status],"open",CampList[Total],"&gt;1000",CampList[Total],"&lt;=5000",CampList[Affected Population],"IDP")</f>
        <v>0</v>
      </c>
      <c r="AO43" s="34">
        <f>COUNTIFS(CampList[Township],$AK43,CampList[Status],"open",CampList[Total],"&gt;5000",CampList[Total],"&lt;=100000",CampList[Affected Population],"IDP")</f>
        <v>0</v>
      </c>
      <c r="AP43" s="26">
        <f>COUNTIFS(CampList[Township],$AK44,CampList[Status],"open",CampList[Total],"",CampList[Affected Population],"IDP")</f>
        <v>0</v>
      </c>
      <c r="AQ43" s="215">
        <f t="shared" si="2"/>
        <v>0</v>
      </c>
      <c r="AR43" s="129"/>
      <c r="AS43" s="129"/>
      <c r="AT43" s="129"/>
      <c r="AU43" s="129"/>
    </row>
    <row r="44" spans="1:47" x14ac:dyDescent="0.25">
      <c r="X44"/>
      <c r="Y44"/>
      <c r="Z44"/>
      <c r="AB44"/>
      <c r="AK44" s="20" t="s">
        <v>151</v>
      </c>
      <c r="AL44" s="34">
        <f>COUNTIFS(CampList[Township],$AK44,CampList[Status],"open",CampList[Total],"&lt;=100",CampList[Affected Population],"IDP")</f>
        <v>0</v>
      </c>
      <c r="AM44" s="34">
        <f>COUNTIFS(CampList[Township],$AK44,CampList[Status],"open",CampList[Total],"&gt;100",CampList[Total],"&lt;=1000",CampList[Affected Population],"IDP")</f>
        <v>7</v>
      </c>
      <c r="AN44" s="34">
        <f>COUNTIFS(CampList[Township],$AK44,CampList[Status],"open",CampList[Total],"&gt;1000",CampList[Total],"&lt;=5000",CampList[Affected Population],"IDP")</f>
        <v>5</v>
      </c>
      <c r="AO44" s="34">
        <f>COUNTIFS(CampList[Township],$AK44,CampList[Status],"open",CampList[Total],"&gt;5000",CampList[Total],"&lt;=100000",CampList[Affected Population],"IDP")</f>
        <v>0</v>
      </c>
      <c r="AP44" s="26">
        <f>COUNTIFS(CampList[Township],$AK45,CampList[Status],"open",CampList[Total],"",CampList[Affected Population],"IDP")</f>
        <v>0</v>
      </c>
      <c r="AQ44" s="215">
        <f t="shared" si="2"/>
        <v>12</v>
      </c>
      <c r="AR44" s="129"/>
      <c r="AS44" s="129"/>
      <c r="AT44" s="129"/>
      <c r="AU44" s="129"/>
    </row>
    <row r="45" spans="1:47" x14ac:dyDescent="0.25">
      <c r="AB45"/>
      <c r="AK45" s="20" t="s">
        <v>166</v>
      </c>
      <c r="AL45" s="34">
        <f>COUNTIFS(CampList[Township],$AK45,CampList[Status],"open",CampList[Total],"&lt;=100",CampList[Affected Population],"IDP")</f>
        <v>0</v>
      </c>
      <c r="AM45" s="34">
        <f>COUNTIFS(CampList[Township],$AK45,CampList[Status],"open",CampList[Total],"&gt;100",CampList[Total],"&lt;=1000",CampList[Affected Population],"IDP")</f>
        <v>2</v>
      </c>
      <c r="AN45" s="34">
        <f>COUNTIFS(CampList[Township],$AK45,CampList[Status],"open",CampList[Total],"&gt;1000",CampList[Total],"&lt;=5000",CampList[Affected Population],"IDP")</f>
        <v>0</v>
      </c>
      <c r="AO45" s="34">
        <f>COUNTIFS(CampList[Township],$AK45,CampList[Status],"open",CampList[Total],"&gt;5000",CampList[Total],"&lt;=100000",CampList[Affected Population],"IDP")</f>
        <v>0</v>
      </c>
      <c r="AP45" s="26">
        <f>COUNTIFS(CampList[Township],$AK46,CampList[Status],"open",CampList[Total],"",CampList[Affected Population],"IDP")</f>
        <v>0</v>
      </c>
      <c r="AQ45" s="215">
        <f t="shared" si="2"/>
        <v>2</v>
      </c>
      <c r="AR45" s="129"/>
      <c r="AS45" s="129"/>
      <c r="AT45" s="129"/>
      <c r="AU45" s="129"/>
    </row>
    <row r="46" spans="1:47" x14ac:dyDescent="0.25">
      <c r="AB46"/>
      <c r="AK46" s="20" t="s">
        <v>173</v>
      </c>
      <c r="AL46" s="34">
        <f>COUNTIFS(CampList[Township],$AK46,CampList[Status],"open",CampList[Total],"&lt;=100",CampList[Affected Population],"IDP")</f>
        <v>5</v>
      </c>
      <c r="AM46" s="34">
        <f>COUNTIFS(CampList[Township],$AK46,CampList[Status],"open",CampList[Total],"&gt;100",CampList[Total],"&lt;=1000",CampList[Affected Population],"IDP")</f>
        <v>1</v>
      </c>
      <c r="AN46" s="34">
        <f>COUNTIFS(CampList[Township],$AK46,CampList[Status],"open",CampList[Total],"&gt;1000",CampList[Total],"&lt;=5000",CampList[Affected Population],"IDP")</f>
        <v>0</v>
      </c>
      <c r="AO46" s="34">
        <f>COUNTIFS(CampList[Township],$AK46,CampList[Status],"open",CampList[Total],"&gt;5000",CampList[Total],"&lt;=100000",CampList[Affected Population],"IDP")</f>
        <v>0</v>
      </c>
      <c r="AP46" s="26">
        <f>COUNTIFS(CampList[Township],$AK47,CampList[Status],"open",CampList[Total],"",CampList[Affected Population],"IDP")</f>
        <v>0</v>
      </c>
      <c r="AQ46" s="215">
        <f t="shared" si="2"/>
        <v>6</v>
      </c>
      <c r="AR46" s="129"/>
      <c r="AS46" s="129"/>
      <c r="AT46" s="129"/>
      <c r="AU46" s="129"/>
    </row>
    <row r="47" spans="1:47" x14ac:dyDescent="0.25">
      <c r="AB47"/>
      <c r="AK47" s="20" t="s">
        <v>180</v>
      </c>
      <c r="AL47" s="34">
        <f>COUNTIFS(CampList[Township],$AK47,CampList[Status],"open",CampList[Total],"&lt;=100",CampList[Affected Population],"IDP")</f>
        <v>2</v>
      </c>
      <c r="AM47" s="34">
        <f>COUNTIFS(CampList[Township],$AK47,CampList[Status],"open",CampList[Total],"&gt;100",CampList[Total],"&lt;=1000",CampList[Affected Population],"IDP")</f>
        <v>2</v>
      </c>
      <c r="AN47" s="34">
        <f>COUNTIFS(CampList[Township],$AK47,CampList[Status],"open",CampList[Total],"&gt;1000",CampList[Total],"&lt;=5000",CampList[Affected Population],"IDP")</f>
        <v>0</v>
      </c>
      <c r="AO47" s="34">
        <f>COUNTIFS(CampList[Township],$AK47,CampList[Status],"open",CampList[Total],"&gt;5000",CampList[Total],"&lt;=100000",CampList[Affected Population],"IDP")</f>
        <v>0</v>
      </c>
      <c r="AP47" s="26">
        <f>COUNTIFS(CampList[Township],$AK48,CampList[Status],"open",CampList[Total],"",CampList[Affected Population],"IDP")</f>
        <v>1</v>
      </c>
      <c r="AQ47" s="215">
        <f t="shared" si="2"/>
        <v>5</v>
      </c>
      <c r="AR47" s="129"/>
      <c r="AS47" s="129"/>
      <c r="AT47" s="129"/>
      <c r="AU47" s="129"/>
    </row>
    <row r="48" spans="1:47" x14ac:dyDescent="0.25">
      <c r="AB48"/>
      <c r="AK48" s="20" t="s">
        <v>185</v>
      </c>
      <c r="AL48" s="34">
        <f>COUNTIFS(CampList[Township],$AK48,CampList[Status],"open",CampList[Total],"&lt;=100",CampList[Affected Population],"IDP")</f>
        <v>6</v>
      </c>
      <c r="AM48" s="34">
        <f>COUNTIFS(CampList[Township],$AK48,CampList[Status],"open",CampList[Total],"&gt;100",CampList[Total],"&lt;=1000",CampList[Affected Population],"IDP")</f>
        <v>8</v>
      </c>
      <c r="AN48" s="34">
        <f>COUNTIFS(CampList[Township],$AK48,CampList[Status],"open",CampList[Total],"&gt;1000",CampList[Total],"&lt;=5000",CampList[Affected Population],"IDP")</f>
        <v>6</v>
      </c>
      <c r="AO48" s="34">
        <f>COUNTIFS(CampList[Township],$AK48,CampList[Status],"open",CampList[Total],"&gt;5000",CampList[Total],"&lt;=100000",CampList[Affected Population],"IDP")</f>
        <v>1</v>
      </c>
      <c r="AP48" s="26">
        <f>COUNTIFS(CampList[Township],$AK49,CampList[Status],"open",CampList[Total],"",CampList[Affected Population],"IDP")</f>
        <v>2</v>
      </c>
      <c r="AQ48" s="215">
        <f t="shared" si="2"/>
        <v>23</v>
      </c>
      <c r="AR48" s="129"/>
      <c r="AS48" s="129"/>
      <c r="AT48" s="129"/>
      <c r="AU48" s="129"/>
    </row>
    <row r="49" spans="9:47" x14ac:dyDescent="0.25">
      <c r="AB49"/>
      <c r="AK49" s="20" t="s">
        <v>230</v>
      </c>
      <c r="AL49" s="34">
        <f>COUNTIFS(CampList[Township],$AK49,CampList[Status],"open",CampList[Total],"&lt;=100",CampList[Affected Population],"IDP")</f>
        <v>1</v>
      </c>
      <c r="AM49" s="34">
        <f>COUNTIFS(CampList[Township],$AK49,CampList[Status],"open",CampList[Total],"&gt;100",CampList[Total],"&lt;=1000",CampList[Affected Population],"IDP")</f>
        <v>4</v>
      </c>
      <c r="AN49" s="34">
        <f>COUNTIFS(CampList[Township],$AK49,CampList[Status],"open",CampList[Total],"&gt;1000",CampList[Total],"&lt;=5000",CampList[Affected Population],"IDP")</f>
        <v>0</v>
      </c>
      <c r="AO49" s="34">
        <f>COUNTIFS(CampList[Township],$AK49,CampList[Status],"open",CampList[Total],"&gt;5000",CampList[Total],"&lt;=100000",CampList[Affected Population],"IDP")</f>
        <v>0</v>
      </c>
      <c r="AP49" s="26">
        <f>COUNTIFS(CampList[Township],$AK50,CampList[Status],"open",CampList[Total],"",CampList[Affected Population],"IDP")</f>
        <v>0</v>
      </c>
      <c r="AQ49" s="215">
        <f t="shared" si="2"/>
        <v>5</v>
      </c>
      <c r="AR49" s="129"/>
      <c r="AS49" s="129"/>
      <c r="AT49" s="129"/>
      <c r="AU49" s="129"/>
    </row>
    <row r="50" spans="9:47" x14ac:dyDescent="0.25">
      <c r="AB50"/>
      <c r="AK50" s="20" t="s">
        <v>237</v>
      </c>
      <c r="AL50" s="34">
        <f>COUNTIFS(CampList[Township],$AK50,CampList[Status],"open",CampList[Total],"&lt;=100",CampList[Affected Population],"IDP")</f>
        <v>5</v>
      </c>
      <c r="AM50" s="34">
        <f>COUNTIFS(CampList[Township],$AK50,CampList[Status],"open",CampList[Total],"&gt;100",CampList[Total],"&lt;=1000",CampList[Affected Population],"IDP")</f>
        <v>18</v>
      </c>
      <c r="AN50" s="34">
        <f>COUNTIFS(CampList[Township],$AK50,CampList[Status],"open",CampList[Total],"&gt;1000",CampList[Total],"&lt;=5000",CampList[Affected Population],"IDP")</f>
        <v>1</v>
      </c>
      <c r="AO50" s="34">
        <f>COUNTIFS(CampList[Township],$AK50,CampList[Status],"open",CampList[Total],"&gt;5000",CampList[Total],"&lt;=100000",CampList[Affected Population],"IDP")</f>
        <v>0</v>
      </c>
      <c r="AP50" s="26">
        <f>COUNTIFS(CampList[Township],$AK51,CampList[Status],"open",CampList[Total],"",CampList[Affected Population],"IDP")</f>
        <v>0</v>
      </c>
      <c r="AQ50" s="215">
        <f t="shared" si="2"/>
        <v>24</v>
      </c>
      <c r="AR50" s="129"/>
      <c r="AS50" s="129"/>
      <c r="AT50" s="129"/>
      <c r="AU50" s="129"/>
    </row>
    <row r="51" spans="9:47" x14ac:dyDescent="0.25">
      <c r="AB51"/>
      <c r="AK51" s="20" t="s">
        <v>289</v>
      </c>
      <c r="AL51" s="34">
        <f>COUNTIFS(CampList[Township],$AK51,CampList[Status],"open",CampList[Total],"&lt;=100",CampList[Affected Population],"IDP")</f>
        <v>0</v>
      </c>
      <c r="AM51" s="34">
        <f>COUNTIFS(CampList[Township],$AK51,CampList[Status],"open",CampList[Total],"&gt;100",CampList[Total],"&lt;=1000",CampList[Affected Population],"IDP")</f>
        <v>5</v>
      </c>
      <c r="AN51" s="34">
        <f>COUNTIFS(CampList[Township],$AK51,CampList[Status],"open",CampList[Total],"&gt;1000",CampList[Total],"&lt;=5000",CampList[Affected Population],"IDP")</f>
        <v>0</v>
      </c>
      <c r="AO51" s="34">
        <f>COUNTIFS(CampList[Township],$AK51,CampList[Status],"open",CampList[Total],"&gt;5000",CampList[Total],"&lt;=100000",CampList[Affected Population],"IDP")</f>
        <v>0</v>
      </c>
      <c r="AP51" s="26">
        <f>COUNTIFS(CampList[Township],$AK52,CampList[Status],"open",CampList[Total],"",CampList[Affected Population],"IDP")</f>
        <v>0</v>
      </c>
      <c r="AQ51" s="215">
        <f t="shared" si="2"/>
        <v>5</v>
      </c>
      <c r="AR51" s="129"/>
      <c r="AS51" s="129"/>
      <c r="AT51" s="129"/>
      <c r="AU51" s="129"/>
    </row>
    <row r="52" spans="9:47" x14ac:dyDescent="0.25">
      <c r="AB52"/>
      <c r="AK52" s="20" t="s">
        <v>298</v>
      </c>
      <c r="AL52" s="34">
        <f>COUNTIFS(CampList[Township],$AK52,CampList[Status],"open",CampList[Total],"&lt;=100",CampList[Affected Population],"IDP")</f>
        <v>1</v>
      </c>
      <c r="AM52" s="34">
        <f>COUNTIFS(CampList[Township],$AK52,CampList[Status],"open",CampList[Total],"&gt;100",CampList[Total],"&lt;=1000",CampList[Affected Population],"IDP")</f>
        <v>1</v>
      </c>
      <c r="AN52" s="34">
        <f>COUNTIFS(CampList[Township],$AK52,CampList[Status],"open",CampList[Total],"&gt;1000",CampList[Total],"&lt;=5000",CampList[Affected Population],"IDP")</f>
        <v>0</v>
      </c>
      <c r="AO52" s="34">
        <f>COUNTIFS(CampList[Township],$AK52,CampList[Status],"open",CampList[Total],"&gt;5000",CampList[Total],"&lt;=100000",CampList[Affected Population],"IDP")</f>
        <v>0</v>
      </c>
      <c r="AP52" s="26">
        <f>COUNTIFS(CampList[Township],$AK53,CampList[Status],"open",CampList[Total],"",CampList[Affected Population],"IDP")</f>
        <v>0</v>
      </c>
      <c r="AQ52" s="215">
        <f t="shared" si="2"/>
        <v>2</v>
      </c>
      <c r="AR52" s="129"/>
      <c r="AS52" s="129"/>
      <c r="AT52" s="129"/>
      <c r="AU52" s="129"/>
    </row>
    <row r="53" spans="9:47" x14ac:dyDescent="0.25">
      <c r="I53" s="129"/>
      <c r="J53" s="129"/>
      <c r="K53" s="129"/>
      <c r="AB53"/>
      <c r="AK53" s="20" t="s">
        <v>300</v>
      </c>
      <c r="AL53" s="34">
        <f>COUNTIFS(CampList[Township],$AK53,CampList[Status],"open",CampList[Total],"&lt;=100",CampList[Affected Population],"IDP")</f>
        <v>2</v>
      </c>
      <c r="AM53" s="34">
        <f>COUNTIFS(CampList[Township],$AK53,CampList[Status],"open",CampList[Total],"&gt;100",CampList[Total],"&lt;=1000",CampList[Affected Population],"IDP")</f>
        <v>1</v>
      </c>
      <c r="AN53" s="34">
        <f>COUNTIFS(CampList[Township],$AK53,CampList[Status],"open",CampList[Total],"&gt;1000",CampList[Total],"&lt;=5000",CampList[Affected Population],"IDP")</f>
        <v>0</v>
      </c>
      <c r="AO53" s="34">
        <f>COUNTIFS(CampList[Township],$AK53,CampList[Status],"open",CampList[Total],"&gt;5000",CampList[Total],"&lt;=100000",CampList[Affected Population],"IDP")</f>
        <v>0</v>
      </c>
      <c r="AP53" s="26">
        <f>COUNTIFS(CampList[Township],$AK54,CampList[Status],"open",CampList[Total],"",CampList[Affected Population],"IDP")</f>
        <v>0</v>
      </c>
      <c r="AQ53" s="215">
        <f t="shared" si="2"/>
        <v>3</v>
      </c>
      <c r="AR53" s="129"/>
      <c r="AS53" s="129"/>
      <c r="AT53" s="129"/>
      <c r="AU53" s="129"/>
    </row>
    <row r="54" spans="9:47" x14ac:dyDescent="0.25">
      <c r="I54" s="129"/>
      <c r="J54" s="129"/>
      <c r="K54" s="129"/>
      <c r="AB54"/>
      <c r="AK54" s="20" t="s">
        <v>302</v>
      </c>
      <c r="AL54" s="34">
        <f>COUNTIFS(CampList[Township],$AK54,CampList[Status],"open",CampList[Total],"&lt;=100",CampList[Affected Population],"IDP")</f>
        <v>1</v>
      </c>
      <c r="AM54" s="34">
        <f>COUNTIFS(CampList[Township],$AK54,CampList[Status],"open",CampList[Total],"&gt;100",CampList[Total],"&lt;=1000",CampList[Affected Population],"IDP")</f>
        <v>2</v>
      </c>
      <c r="AN54" s="34">
        <f>COUNTIFS(CampList[Township],$AK54,CampList[Status],"open",CampList[Total],"&gt;1000",CampList[Total],"&lt;=5000",CampList[Affected Population],"IDP")</f>
        <v>1</v>
      </c>
      <c r="AO54" s="34">
        <f>COUNTIFS(CampList[Township],$AK54,CampList[Status],"open",CampList[Total],"&gt;5000",CampList[Total],"&lt;=100000",CampList[Affected Population],"IDP")</f>
        <v>0</v>
      </c>
      <c r="AP54" s="26">
        <f>COUNTIFS(CampList[Township],$AK55,CampList[Status],"open",CampList[Total],"",CampList[Affected Population],"IDP")</f>
        <v>0</v>
      </c>
      <c r="AQ54" s="215">
        <f t="shared" si="2"/>
        <v>4</v>
      </c>
      <c r="AR54" s="129"/>
      <c r="AS54" s="129"/>
      <c r="AT54" s="129"/>
      <c r="AU54" s="129"/>
    </row>
    <row r="55" spans="9:47" x14ac:dyDescent="0.25">
      <c r="I55" s="129"/>
      <c r="J55" s="129"/>
      <c r="K55" s="129"/>
      <c r="AB55"/>
      <c r="AK55" s="20" t="s">
        <v>813</v>
      </c>
      <c r="AL55" s="34">
        <f>COUNTIFS(CampList[Township],$AK55,CampList[Status],"open",CampList[Total],"&lt;=100",CampList[Affected Population],"IDP")</f>
        <v>1</v>
      </c>
      <c r="AM55" s="34">
        <f>COUNTIFS(CampList[Township],$AK55,CampList[Status],"open",CampList[Total],"&gt;100",CampList[Total],"&lt;=1000",CampList[Affected Population],"IDP")</f>
        <v>2</v>
      </c>
      <c r="AN55" s="34">
        <f>COUNTIFS(CampList[Township],$AK55,CampList[Status],"open",CampList[Total],"&gt;1000",CampList[Total],"&lt;=5000",CampList[Affected Population],"IDP")</f>
        <v>0</v>
      </c>
      <c r="AO55" s="34">
        <f>COUNTIFS(CampList[Township],$AK55,CampList[Status],"open",CampList[Total],"&gt;5000",CampList[Total],"&lt;=100000",CampList[Affected Population],"IDP")</f>
        <v>0</v>
      </c>
      <c r="AP55" s="26">
        <f>COUNTIFS(CampList[Township],$AK56,CampList[Status],"open",CampList[Total],"",CampList[Affected Population],"IDP")</f>
        <v>0</v>
      </c>
      <c r="AQ55" s="215">
        <f t="shared" si="2"/>
        <v>3</v>
      </c>
      <c r="AR55" s="129"/>
      <c r="AS55" s="129"/>
      <c r="AT55" s="129"/>
      <c r="AU55" s="129"/>
    </row>
    <row r="56" spans="9:47" x14ac:dyDescent="0.25">
      <c r="I56" s="129"/>
      <c r="J56" s="129"/>
      <c r="K56" s="129"/>
      <c r="AB56"/>
      <c r="AK56" s="20" t="s">
        <v>310</v>
      </c>
      <c r="AL56" s="34">
        <f>COUNTIFS(CampList[Township],$AK56,CampList[Status],"open",CampList[Total],"&lt;=100",CampList[Affected Population],"IDP")</f>
        <v>1</v>
      </c>
      <c r="AM56" s="34">
        <f>COUNTIFS(CampList[Township],$AK56,CampList[Status],"open",CampList[Total],"&gt;100",CampList[Total],"&lt;=1000",CampList[Affected Population],"IDP")</f>
        <v>14</v>
      </c>
      <c r="AN56" s="34">
        <f>COUNTIFS(CampList[Township],$AK56,CampList[Status],"open",CampList[Total],"&gt;1000",CampList[Total],"&lt;=5000",CampList[Affected Population],"IDP")</f>
        <v>6</v>
      </c>
      <c r="AO56" s="34">
        <f>COUNTIFS(CampList[Township],$AK56,CampList[Status],"open",CampList[Total],"&gt;5000",CampList[Total],"&lt;=100000",CampList[Affected Population],"IDP")</f>
        <v>1</v>
      </c>
      <c r="AP56" s="26">
        <f>COUNTIFS(CampList[Township],$AK57,CampList[Status],"open",CampList[Total],"",CampList[Affected Population],"IDP")</f>
        <v>0</v>
      </c>
      <c r="AQ56" s="215">
        <f t="shared" si="2"/>
        <v>22</v>
      </c>
      <c r="AR56" s="129"/>
      <c r="AS56" s="129"/>
      <c r="AT56" s="129"/>
      <c r="AU56" s="129"/>
    </row>
    <row r="57" spans="9:47" x14ac:dyDescent="0.25">
      <c r="I57" s="129"/>
      <c r="J57" s="129"/>
      <c r="K57" s="129"/>
      <c r="AB57"/>
      <c r="AK57" s="26" t="s">
        <v>3</v>
      </c>
      <c r="AL57" s="53">
        <f>SUM(AL36:AL56)</f>
        <v>39</v>
      </c>
      <c r="AM57" s="53">
        <f t="shared" ref="AM57:AQ57" si="4">SUM(AM36:AM56)</f>
        <v>99</v>
      </c>
      <c r="AN57" s="53">
        <f t="shared" si="4"/>
        <v>21</v>
      </c>
      <c r="AO57" s="53">
        <f t="shared" si="4"/>
        <v>2</v>
      </c>
      <c r="AP57" s="53">
        <f t="shared" si="4"/>
        <v>4</v>
      </c>
      <c r="AQ57" s="53">
        <f t="shared" si="4"/>
        <v>165</v>
      </c>
      <c r="AR57" s="129"/>
      <c r="AS57" s="129"/>
      <c r="AT57" s="129"/>
      <c r="AU57" s="129"/>
    </row>
    <row r="58" spans="9:47" x14ac:dyDescent="0.25">
      <c r="I58" s="129"/>
      <c r="J58" s="129"/>
      <c r="K58" s="129"/>
      <c r="AB58"/>
      <c r="AK58" s="33"/>
      <c r="AL58" s="33"/>
      <c r="AM58" s="33"/>
      <c r="AN58" s="33"/>
      <c r="AO58" s="33"/>
      <c r="AR58" s="129"/>
      <c r="AS58" s="129"/>
      <c r="AT58" s="129"/>
      <c r="AU58" s="129"/>
    </row>
    <row r="59" spans="9:47" x14ac:dyDescent="0.25">
      <c r="I59" s="129"/>
      <c r="J59" s="129"/>
      <c r="K59" s="129"/>
      <c r="AB59"/>
      <c r="AQ59" s="33"/>
      <c r="AR59" s="129"/>
      <c r="AS59" s="129"/>
      <c r="AT59" s="129"/>
      <c r="AU59" s="129"/>
    </row>
    <row r="60" spans="9:47" x14ac:dyDescent="0.25">
      <c r="I60" s="129"/>
      <c r="J60" s="129"/>
      <c r="K60" s="129"/>
      <c r="AB60"/>
      <c r="AQ60" s="33"/>
      <c r="AR60" s="129"/>
      <c r="AS60" s="129"/>
      <c r="AT60" s="129"/>
      <c r="AU60" s="129"/>
    </row>
    <row r="61" spans="9:47" x14ac:dyDescent="0.25">
      <c r="I61" s="129"/>
      <c r="J61" s="129"/>
      <c r="K61" s="129"/>
      <c r="AB61"/>
      <c r="AQ61" s="33"/>
      <c r="AR61" s="129"/>
      <c r="AS61" s="129"/>
      <c r="AT61" s="129"/>
      <c r="AU61" s="129"/>
    </row>
    <row r="62" spans="9:47" x14ac:dyDescent="0.25">
      <c r="I62" s="129"/>
      <c r="J62" s="129"/>
      <c r="K62" s="129"/>
      <c r="AB62"/>
      <c r="AQ62" s="33"/>
      <c r="AR62" s="129"/>
      <c r="AS62" s="129"/>
      <c r="AT62" s="129"/>
      <c r="AU62" s="129"/>
    </row>
    <row r="63" spans="9:47" x14ac:dyDescent="0.25">
      <c r="I63" s="129"/>
      <c r="J63" s="129"/>
      <c r="K63" s="129"/>
      <c r="AB63"/>
      <c r="AQ63" s="33"/>
      <c r="AR63" s="129"/>
      <c r="AS63" s="129"/>
      <c r="AT63" s="129"/>
      <c r="AU63" s="129"/>
    </row>
    <row r="64" spans="9:47" x14ac:dyDescent="0.25">
      <c r="I64" s="129"/>
      <c r="J64" s="129"/>
      <c r="K64" s="129"/>
      <c r="AB64"/>
      <c r="AQ64" s="33"/>
      <c r="AR64" s="129"/>
      <c r="AS64" s="129"/>
      <c r="AT64" s="129"/>
      <c r="AU64" s="129"/>
    </row>
    <row r="65" spans="9:47" x14ac:dyDescent="0.25">
      <c r="I65" s="129"/>
      <c r="J65" s="129"/>
      <c r="K65" s="129"/>
      <c r="AB65"/>
      <c r="AQ65" s="33"/>
      <c r="AR65" s="129"/>
      <c r="AS65" s="129"/>
      <c r="AT65" s="129"/>
      <c r="AU65" s="129"/>
    </row>
    <row r="66" spans="9:47" x14ac:dyDescent="0.25">
      <c r="I66" s="129"/>
      <c r="J66" s="129"/>
      <c r="K66" s="129"/>
      <c r="AB66"/>
      <c r="AQ66" s="33"/>
      <c r="AR66" s="129"/>
      <c r="AS66" s="129"/>
      <c r="AT66" s="129"/>
      <c r="AU66" s="129"/>
    </row>
    <row r="67" spans="9:47" x14ac:dyDescent="0.25">
      <c r="AB67"/>
    </row>
    <row r="68" spans="9:47" x14ac:dyDescent="0.25">
      <c r="AB68"/>
    </row>
    <row r="69" spans="9:47" x14ac:dyDescent="0.25">
      <c r="AB69"/>
    </row>
    <row r="70" spans="9:47" x14ac:dyDescent="0.25">
      <c r="AB70"/>
    </row>
    <row r="71" spans="9:47" x14ac:dyDescent="0.25">
      <c r="AB71"/>
    </row>
    <row r="72" spans="9:47" x14ac:dyDescent="0.25">
      <c r="AB72"/>
    </row>
    <row r="73" spans="9:47" x14ac:dyDescent="0.25">
      <c r="AB73"/>
    </row>
    <row r="74" spans="9:47" x14ac:dyDescent="0.25">
      <c r="AB74"/>
    </row>
    <row r="75" spans="9:47" x14ac:dyDescent="0.25">
      <c r="AB75"/>
    </row>
    <row r="76" spans="9:47" x14ac:dyDescent="0.25">
      <c r="AB76"/>
    </row>
    <row r="77" spans="9:47" x14ac:dyDescent="0.25">
      <c r="AB77"/>
    </row>
    <row r="78" spans="9:47" x14ac:dyDescent="0.25">
      <c r="AB78"/>
    </row>
    <row r="79" spans="9:47" x14ac:dyDescent="0.25">
      <c r="AB79"/>
    </row>
    <row r="80" spans="9:47" x14ac:dyDescent="0.25">
      <c r="AB80"/>
    </row>
    <row r="81" spans="27:29" x14ac:dyDescent="0.25">
      <c r="AB81"/>
    </row>
    <row r="82" spans="27:29" x14ac:dyDescent="0.25">
      <c r="AB82"/>
    </row>
    <row r="83" spans="27:29" x14ac:dyDescent="0.25">
      <c r="AB83"/>
    </row>
    <row r="84" spans="27:29" x14ac:dyDescent="0.25">
      <c r="AB84"/>
    </row>
    <row r="85" spans="27:29" x14ac:dyDescent="0.25">
      <c r="AB85"/>
    </row>
    <row r="86" spans="27:29" x14ac:dyDescent="0.25">
      <c r="AB86"/>
    </row>
    <row r="87" spans="27:29" x14ac:dyDescent="0.25">
      <c r="AA87" s="17"/>
      <c r="AB87"/>
      <c r="AC87" s="17"/>
    </row>
    <row r="88" spans="27:29" x14ac:dyDescent="0.25">
      <c r="AA88" s="17"/>
      <c r="AB88"/>
    </row>
    <row r="89" spans="27:29" x14ac:dyDescent="0.25">
      <c r="AA89" s="17"/>
      <c r="AB89"/>
    </row>
    <row r="90" spans="27:29" x14ac:dyDescent="0.25">
      <c r="AB90"/>
    </row>
    <row r="91" spans="27:29" x14ac:dyDescent="0.25">
      <c r="AB91"/>
    </row>
    <row r="92" spans="27:29" x14ac:dyDescent="0.25">
      <c r="AB92"/>
    </row>
    <row r="93" spans="27:29" x14ac:dyDescent="0.25">
      <c r="AB93"/>
    </row>
    <row r="94" spans="27:29" x14ac:dyDescent="0.25">
      <c r="AB94"/>
    </row>
    <row r="95" spans="27:29" x14ac:dyDescent="0.25">
      <c r="AB95"/>
    </row>
    <row r="96" spans="27:29" x14ac:dyDescent="0.25">
      <c r="AB96"/>
    </row>
    <row r="97" spans="28:28" x14ac:dyDescent="0.25">
      <c r="AB97"/>
    </row>
    <row r="98" spans="28:28" x14ac:dyDescent="0.25">
      <c r="AB98"/>
    </row>
    <row r="99" spans="28:28" x14ac:dyDescent="0.25">
      <c r="AB99"/>
    </row>
    <row r="100" spans="28:28" x14ac:dyDescent="0.25">
      <c r="AB100"/>
    </row>
    <row r="101" spans="28:28" x14ac:dyDescent="0.25">
      <c r="AB101"/>
    </row>
    <row r="102" spans="28:28" x14ac:dyDescent="0.25">
      <c r="AB102"/>
    </row>
    <row r="103" spans="28:28" x14ac:dyDescent="0.25">
      <c r="AB103"/>
    </row>
    <row r="104" spans="28:28" x14ac:dyDescent="0.25">
      <c r="AB104"/>
    </row>
    <row r="105" spans="28:28" x14ac:dyDescent="0.25">
      <c r="AB105"/>
    </row>
    <row r="106" spans="28:28" x14ac:dyDescent="0.25">
      <c r="AB106"/>
    </row>
    <row r="107" spans="28:28" x14ac:dyDescent="0.25">
      <c r="AB107"/>
    </row>
    <row r="108" spans="28:28" x14ac:dyDescent="0.25">
      <c r="AB108"/>
    </row>
    <row r="109" spans="28:28" x14ac:dyDescent="0.25">
      <c r="AB109"/>
    </row>
    <row r="110" spans="28:28" x14ac:dyDescent="0.25">
      <c r="AB110"/>
    </row>
    <row r="111" spans="28:28" x14ac:dyDescent="0.25">
      <c r="AB111"/>
    </row>
    <row r="112" spans="28:28" x14ac:dyDescent="0.25">
      <c r="AB112"/>
    </row>
    <row r="113" spans="28:28" x14ac:dyDescent="0.25">
      <c r="AB113"/>
    </row>
    <row r="114" spans="28:28" x14ac:dyDescent="0.25">
      <c r="AB114"/>
    </row>
    <row r="115" spans="28:28" x14ac:dyDescent="0.25">
      <c r="AB115"/>
    </row>
    <row r="116" spans="28:28" x14ac:dyDescent="0.25">
      <c r="AB116"/>
    </row>
    <row r="117" spans="28:28" x14ac:dyDescent="0.25">
      <c r="AB117"/>
    </row>
    <row r="118" spans="28:28" x14ac:dyDescent="0.25">
      <c r="AB118"/>
    </row>
    <row r="119" spans="28:28" x14ac:dyDescent="0.25">
      <c r="AB119"/>
    </row>
    <row r="120" spans="28:28" x14ac:dyDescent="0.25">
      <c r="AB120"/>
    </row>
    <row r="121" spans="28:28" x14ac:dyDescent="0.25">
      <c r="AB121"/>
    </row>
    <row r="122" spans="28:28" x14ac:dyDescent="0.25">
      <c r="AB122"/>
    </row>
    <row r="123" spans="28:28" x14ac:dyDescent="0.25">
      <c r="AB123"/>
    </row>
    <row r="124" spans="28:28" x14ac:dyDescent="0.25">
      <c r="AB124"/>
    </row>
    <row r="125" spans="28:28" x14ac:dyDescent="0.25">
      <c r="AB125"/>
    </row>
    <row r="126" spans="28:28" x14ac:dyDescent="0.25">
      <c r="AB126"/>
    </row>
    <row r="127" spans="28:28" x14ac:dyDescent="0.25">
      <c r="AB127"/>
    </row>
    <row r="128" spans="28:28" x14ac:dyDescent="0.25">
      <c r="AB128"/>
    </row>
    <row r="129" spans="28:28" x14ac:dyDescent="0.25">
      <c r="AB129"/>
    </row>
    <row r="130" spans="28:28" x14ac:dyDescent="0.25">
      <c r="AB130"/>
    </row>
    <row r="131" spans="28:28" x14ac:dyDescent="0.25">
      <c r="AB131"/>
    </row>
    <row r="132" spans="28:28" x14ac:dyDescent="0.25">
      <c r="AB132"/>
    </row>
    <row r="133" spans="28:28" x14ac:dyDescent="0.25">
      <c r="AB133"/>
    </row>
    <row r="134" spans="28:28" x14ac:dyDescent="0.25">
      <c r="AB134"/>
    </row>
    <row r="135" spans="28:28" x14ac:dyDescent="0.25">
      <c r="AB135"/>
    </row>
    <row r="136" spans="28:28" x14ac:dyDescent="0.25">
      <c r="AB136"/>
    </row>
    <row r="137" spans="28:28" x14ac:dyDescent="0.25">
      <c r="AB137"/>
    </row>
    <row r="138" spans="28:28" x14ac:dyDescent="0.25">
      <c r="AB138"/>
    </row>
    <row r="139" spans="28:28" x14ac:dyDescent="0.25">
      <c r="AB139"/>
    </row>
    <row r="140" spans="28:28" x14ac:dyDescent="0.25">
      <c r="AB140"/>
    </row>
    <row r="141" spans="28:28" x14ac:dyDescent="0.25">
      <c r="AB141"/>
    </row>
    <row r="142" spans="28:28" x14ac:dyDescent="0.25">
      <c r="AB142"/>
    </row>
    <row r="143" spans="28:28" x14ac:dyDescent="0.25">
      <c r="AB143"/>
    </row>
    <row r="144" spans="28:28" x14ac:dyDescent="0.25">
      <c r="AB144"/>
    </row>
    <row r="145" spans="28:28" x14ac:dyDescent="0.25">
      <c r="AB145"/>
    </row>
    <row r="146" spans="28:28" x14ac:dyDescent="0.25">
      <c r="AB146"/>
    </row>
    <row r="147" spans="28:28" x14ac:dyDescent="0.25">
      <c r="AB147"/>
    </row>
    <row r="148" spans="28:28" x14ac:dyDescent="0.25">
      <c r="AB148"/>
    </row>
    <row r="149" spans="28:28" x14ac:dyDescent="0.25">
      <c r="AB149"/>
    </row>
    <row r="150" spans="28:28" x14ac:dyDescent="0.25">
      <c r="AB150"/>
    </row>
    <row r="151" spans="28:28" x14ac:dyDescent="0.25">
      <c r="AB151"/>
    </row>
    <row r="152" spans="28:28" x14ac:dyDescent="0.25">
      <c r="AB152"/>
    </row>
    <row r="153" spans="28:28" x14ac:dyDescent="0.25">
      <c r="AB153"/>
    </row>
    <row r="154" spans="28:28" x14ac:dyDescent="0.25">
      <c r="AB154"/>
    </row>
    <row r="155" spans="28:28" x14ac:dyDescent="0.25">
      <c r="AB155"/>
    </row>
    <row r="156" spans="28:28" x14ac:dyDescent="0.25">
      <c r="AB156"/>
    </row>
    <row r="157" spans="28:28" x14ac:dyDescent="0.25">
      <c r="AB157"/>
    </row>
    <row r="158" spans="28:28" x14ac:dyDescent="0.25">
      <c r="AB158"/>
    </row>
    <row r="159" spans="28:28" x14ac:dyDescent="0.25">
      <c r="AB159"/>
    </row>
    <row r="160" spans="28:28" x14ac:dyDescent="0.25">
      <c r="AB160"/>
    </row>
    <row r="161" spans="28:28" x14ac:dyDescent="0.25">
      <c r="AB161"/>
    </row>
    <row r="162" spans="28:28" x14ac:dyDescent="0.25">
      <c r="AB162"/>
    </row>
    <row r="163" spans="28:28" x14ac:dyDescent="0.25">
      <c r="AB163"/>
    </row>
    <row r="164" spans="28:28" x14ac:dyDescent="0.25">
      <c r="AB164"/>
    </row>
    <row r="165" spans="28:28" x14ac:dyDescent="0.25">
      <c r="AB165"/>
    </row>
    <row r="166" spans="28:28" x14ac:dyDescent="0.25">
      <c r="AB166"/>
    </row>
    <row r="167" spans="28:28" x14ac:dyDescent="0.25">
      <c r="AB167"/>
    </row>
    <row r="168" spans="28:28" x14ac:dyDescent="0.25">
      <c r="AB168"/>
    </row>
    <row r="169" spans="28:28" x14ac:dyDescent="0.25">
      <c r="AB169"/>
    </row>
    <row r="170" spans="28:28" x14ac:dyDescent="0.25">
      <c r="AB170"/>
    </row>
    <row r="171" spans="28:28" x14ac:dyDescent="0.25">
      <c r="AB171"/>
    </row>
    <row r="172" spans="28:28" x14ac:dyDescent="0.25">
      <c r="AB172"/>
    </row>
    <row r="173" spans="28:28" x14ac:dyDescent="0.25">
      <c r="AB173"/>
    </row>
    <row r="174" spans="28:28" x14ac:dyDescent="0.25">
      <c r="AB174"/>
    </row>
    <row r="175" spans="28:28" x14ac:dyDescent="0.25">
      <c r="AB175"/>
    </row>
    <row r="176" spans="28:28" x14ac:dyDescent="0.25">
      <c r="AB176"/>
    </row>
    <row r="177" spans="28:28" x14ac:dyDescent="0.25">
      <c r="AB177"/>
    </row>
    <row r="178" spans="28:28" x14ac:dyDescent="0.25">
      <c r="AB178"/>
    </row>
    <row r="179" spans="28:28" x14ac:dyDescent="0.25">
      <c r="AB179"/>
    </row>
    <row r="180" spans="28:28" x14ac:dyDescent="0.25">
      <c r="AB180"/>
    </row>
    <row r="181" spans="28:28" x14ac:dyDescent="0.25">
      <c r="AB181"/>
    </row>
    <row r="182" spans="28:28" x14ac:dyDescent="0.25">
      <c r="AB182"/>
    </row>
    <row r="183" spans="28:28" x14ac:dyDescent="0.25">
      <c r="AB183"/>
    </row>
    <row r="184" spans="28:28" x14ac:dyDescent="0.25">
      <c r="AB184"/>
    </row>
    <row r="185" spans="28:28" x14ac:dyDescent="0.25">
      <c r="AB185"/>
    </row>
    <row r="186" spans="28:28" x14ac:dyDescent="0.25">
      <c r="AB186"/>
    </row>
    <row r="187" spans="28:28" x14ac:dyDescent="0.25">
      <c r="AB187"/>
    </row>
    <row r="188" spans="28:28" x14ac:dyDescent="0.25">
      <c r="AB188"/>
    </row>
    <row r="189" spans="28:28" x14ac:dyDescent="0.25">
      <c r="AB189"/>
    </row>
    <row r="190" spans="28:28" x14ac:dyDescent="0.25">
      <c r="AB190"/>
    </row>
    <row r="191" spans="28:28" x14ac:dyDescent="0.25">
      <c r="AB191"/>
    </row>
    <row r="192" spans="28:28" x14ac:dyDescent="0.25">
      <c r="AB192"/>
    </row>
    <row r="193" spans="28:28" x14ac:dyDescent="0.25">
      <c r="AB193"/>
    </row>
    <row r="194" spans="28:28" x14ac:dyDescent="0.25">
      <c r="AB194"/>
    </row>
    <row r="195" spans="28:28" x14ac:dyDescent="0.25">
      <c r="AB195"/>
    </row>
    <row r="196" spans="28:28" x14ac:dyDescent="0.25">
      <c r="AB196"/>
    </row>
    <row r="197" spans="28:28" x14ac:dyDescent="0.25">
      <c r="AB197"/>
    </row>
    <row r="198" spans="28:28" x14ac:dyDescent="0.25">
      <c r="AB198"/>
    </row>
    <row r="199" spans="28:28" x14ac:dyDescent="0.25">
      <c r="AB199"/>
    </row>
    <row r="200" spans="28:28" x14ac:dyDescent="0.25">
      <c r="AB200"/>
    </row>
    <row r="201" spans="28:28" x14ac:dyDescent="0.25">
      <c r="AB201"/>
    </row>
    <row r="202" spans="28:28" x14ac:dyDescent="0.25">
      <c r="AB202"/>
    </row>
    <row r="203" spans="28:28" x14ac:dyDescent="0.25">
      <c r="AB203"/>
    </row>
    <row r="204" spans="28:28" x14ac:dyDescent="0.25">
      <c r="AB204"/>
    </row>
    <row r="205" spans="28:28" x14ac:dyDescent="0.25">
      <c r="AB205"/>
    </row>
    <row r="206" spans="28:28" x14ac:dyDescent="0.25">
      <c r="AB206"/>
    </row>
    <row r="207" spans="28:28" x14ac:dyDescent="0.25">
      <c r="AB207"/>
    </row>
    <row r="208" spans="28:28" x14ac:dyDescent="0.25">
      <c r="AB208"/>
    </row>
    <row r="209" spans="28:28" x14ac:dyDescent="0.25">
      <c r="AB209"/>
    </row>
    <row r="210" spans="28:28" x14ac:dyDescent="0.25">
      <c r="AB210"/>
    </row>
    <row r="211" spans="28:28" x14ac:dyDescent="0.25">
      <c r="AB211"/>
    </row>
    <row r="212" spans="28:28" x14ac:dyDescent="0.25">
      <c r="AB212"/>
    </row>
    <row r="213" spans="28:28" x14ac:dyDescent="0.25">
      <c r="AB213"/>
    </row>
    <row r="214" spans="28:28" x14ac:dyDescent="0.25">
      <c r="AB214"/>
    </row>
    <row r="215" spans="28:28" x14ac:dyDescent="0.25">
      <c r="AB215"/>
    </row>
    <row r="216" spans="28:28" x14ac:dyDescent="0.25">
      <c r="AB216"/>
    </row>
    <row r="217" spans="28:28" x14ac:dyDescent="0.25">
      <c r="AB217"/>
    </row>
    <row r="218" spans="28:28" x14ac:dyDescent="0.25">
      <c r="AB218"/>
    </row>
    <row r="219" spans="28:28" x14ac:dyDescent="0.25">
      <c r="AB219"/>
    </row>
    <row r="220" spans="28:28" x14ac:dyDescent="0.25">
      <c r="AB220"/>
    </row>
    <row r="221" spans="28:28" x14ac:dyDescent="0.25">
      <c r="AB221"/>
    </row>
    <row r="222" spans="28:28" x14ac:dyDescent="0.25">
      <c r="AB222"/>
    </row>
    <row r="223" spans="28:28" x14ac:dyDescent="0.25">
      <c r="AB223"/>
    </row>
    <row r="224" spans="28:28" x14ac:dyDescent="0.25">
      <c r="AB224"/>
    </row>
    <row r="225" spans="28:28" x14ac:dyDescent="0.25">
      <c r="AB225"/>
    </row>
    <row r="226" spans="28:28" x14ac:dyDescent="0.25">
      <c r="AB226"/>
    </row>
    <row r="227" spans="28:28" x14ac:dyDescent="0.25">
      <c r="AB227"/>
    </row>
    <row r="228" spans="28:28" x14ac:dyDescent="0.25">
      <c r="AB228"/>
    </row>
    <row r="229" spans="28:28" x14ac:dyDescent="0.25">
      <c r="AB229"/>
    </row>
    <row r="230" spans="28:28" x14ac:dyDescent="0.25">
      <c r="AB230"/>
    </row>
    <row r="231" spans="28:28" x14ac:dyDescent="0.25">
      <c r="AB231"/>
    </row>
    <row r="232" spans="28:28" x14ac:dyDescent="0.25">
      <c r="AB232"/>
    </row>
    <row r="233" spans="28:28" x14ac:dyDescent="0.25">
      <c r="AB233"/>
    </row>
    <row r="234" spans="28:28" x14ac:dyDescent="0.25">
      <c r="AB234"/>
    </row>
    <row r="235" spans="28:28" x14ac:dyDescent="0.25">
      <c r="AB235"/>
    </row>
    <row r="236" spans="28:28" x14ac:dyDescent="0.25">
      <c r="AB236"/>
    </row>
    <row r="237" spans="28:28" x14ac:dyDescent="0.25">
      <c r="AB237"/>
    </row>
    <row r="238" spans="28:28" x14ac:dyDescent="0.25">
      <c r="AB238"/>
    </row>
    <row r="239" spans="28:28" x14ac:dyDescent="0.25">
      <c r="AB239"/>
    </row>
    <row r="240" spans="28:28" x14ac:dyDescent="0.25">
      <c r="AB240"/>
    </row>
    <row r="241" spans="28:28" x14ac:dyDescent="0.25">
      <c r="AB241"/>
    </row>
    <row r="242" spans="28:28" x14ac:dyDescent="0.25">
      <c r="AB242"/>
    </row>
    <row r="243" spans="28:28" x14ac:dyDescent="0.25">
      <c r="AB243"/>
    </row>
    <row r="244" spans="28:28" x14ac:dyDescent="0.25">
      <c r="AB244"/>
    </row>
    <row r="245" spans="28:28" x14ac:dyDescent="0.25">
      <c r="AB245"/>
    </row>
    <row r="246" spans="28:28" x14ac:dyDescent="0.25">
      <c r="AB246"/>
    </row>
    <row r="247" spans="28:28" x14ac:dyDescent="0.25">
      <c r="AB247"/>
    </row>
    <row r="248" spans="28:28" x14ac:dyDescent="0.25">
      <c r="AB248"/>
    </row>
    <row r="249" spans="28:28" x14ac:dyDescent="0.25">
      <c r="AB249"/>
    </row>
    <row r="250" spans="28:28" x14ac:dyDescent="0.25">
      <c r="AB250"/>
    </row>
    <row r="251" spans="28:28" x14ac:dyDescent="0.25">
      <c r="AB251"/>
    </row>
    <row r="252" spans="28:28" x14ac:dyDescent="0.25">
      <c r="AB252"/>
    </row>
    <row r="253" spans="28:28" x14ac:dyDescent="0.25">
      <c r="AB253"/>
    </row>
    <row r="254" spans="28:28" x14ac:dyDescent="0.25">
      <c r="AB254"/>
    </row>
    <row r="255" spans="28:28" x14ac:dyDescent="0.25">
      <c r="AB255"/>
    </row>
    <row r="256" spans="28:28" x14ac:dyDescent="0.25">
      <c r="AB256"/>
    </row>
    <row r="257" spans="28:28" x14ac:dyDescent="0.25">
      <c r="AB257"/>
    </row>
    <row r="258" spans="28:28" x14ac:dyDescent="0.25">
      <c r="AB258"/>
    </row>
    <row r="259" spans="28:28" x14ac:dyDescent="0.25">
      <c r="AB259"/>
    </row>
    <row r="260" spans="28:28" x14ac:dyDescent="0.25">
      <c r="AB260"/>
    </row>
    <row r="261" spans="28:28" x14ac:dyDescent="0.25">
      <c r="AB261"/>
    </row>
    <row r="262" spans="28:28" x14ac:dyDescent="0.25">
      <c r="AB262"/>
    </row>
    <row r="263" spans="28:28" x14ac:dyDescent="0.25">
      <c r="AB263"/>
    </row>
    <row r="264" spans="28:28" x14ac:dyDescent="0.25">
      <c r="AB264"/>
    </row>
    <row r="265" spans="28:28" x14ac:dyDescent="0.25">
      <c r="AB265"/>
    </row>
    <row r="266" spans="28:28" x14ac:dyDescent="0.25">
      <c r="AB266"/>
    </row>
    <row r="267" spans="28:28" x14ac:dyDescent="0.25">
      <c r="AB267"/>
    </row>
    <row r="268" spans="28:28" x14ac:dyDescent="0.25">
      <c r="AB268"/>
    </row>
    <row r="269" spans="28:28" x14ac:dyDescent="0.25">
      <c r="AB269"/>
    </row>
    <row r="270" spans="28:28" x14ac:dyDescent="0.25">
      <c r="AB270"/>
    </row>
    <row r="271" spans="28:28" x14ac:dyDescent="0.25">
      <c r="AB271"/>
    </row>
    <row r="272" spans="28:28" x14ac:dyDescent="0.25">
      <c r="AB272"/>
    </row>
    <row r="273" spans="28:28" x14ac:dyDescent="0.25">
      <c r="AB273"/>
    </row>
    <row r="274" spans="28:28" x14ac:dyDescent="0.25">
      <c r="AB274"/>
    </row>
    <row r="275" spans="28:28" x14ac:dyDescent="0.25">
      <c r="AB275"/>
    </row>
    <row r="276" spans="28:28" x14ac:dyDescent="0.25">
      <c r="AB276"/>
    </row>
    <row r="277" spans="28:28" x14ac:dyDescent="0.25">
      <c r="AB277"/>
    </row>
    <row r="278" spans="28:28" x14ac:dyDescent="0.25">
      <c r="AB278"/>
    </row>
    <row r="279" spans="28:28" x14ac:dyDescent="0.25">
      <c r="AB279"/>
    </row>
    <row r="280" spans="28:28" x14ac:dyDescent="0.25">
      <c r="AB280"/>
    </row>
    <row r="281" spans="28:28" x14ac:dyDescent="0.25">
      <c r="AB281"/>
    </row>
    <row r="282" spans="28:28" x14ac:dyDescent="0.25">
      <c r="AB282"/>
    </row>
    <row r="283" spans="28:28" x14ac:dyDescent="0.25">
      <c r="AB283"/>
    </row>
    <row r="284" spans="28:28" x14ac:dyDescent="0.25">
      <c r="AB284"/>
    </row>
    <row r="285" spans="28:28" x14ac:dyDescent="0.25">
      <c r="AB285"/>
    </row>
    <row r="286" spans="28:28" x14ac:dyDescent="0.25">
      <c r="AB286"/>
    </row>
    <row r="287" spans="28:28" x14ac:dyDescent="0.25">
      <c r="AB287"/>
    </row>
    <row r="288" spans="28:28" x14ac:dyDescent="0.25">
      <c r="AB288"/>
    </row>
    <row r="289" spans="28:28" x14ac:dyDescent="0.25">
      <c r="AB289"/>
    </row>
    <row r="290" spans="28:28" x14ac:dyDescent="0.25">
      <c r="AB290"/>
    </row>
    <row r="291" spans="28:28" x14ac:dyDescent="0.25">
      <c r="AB291"/>
    </row>
    <row r="292" spans="28:28" x14ac:dyDescent="0.25">
      <c r="AB292"/>
    </row>
    <row r="293" spans="28:28" x14ac:dyDescent="0.25">
      <c r="AB293"/>
    </row>
    <row r="294" spans="28:28" x14ac:dyDescent="0.25">
      <c r="AB294"/>
    </row>
    <row r="295" spans="28:28" x14ac:dyDescent="0.25">
      <c r="AB295"/>
    </row>
    <row r="296" spans="28:28" x14ac:dyDescent="0.25">
      <c r="AB296"/>
    </row>
    <row r="297" spans="28:28" x14ac:dyDescent="0.25">
      <c r="AB297"/>
    </row>
    <row r="298" spans="28:28" x14ac:dyDescent="0.25">
      <c r="AB298"/>
    </row>
    <row r="299" spans="28:28" x14ac:dyDescent="0.25">
      <c r="AB299"/>
    </row>
    <row r="300" spans="28:28" x14ac:dyDescent="0.25">
      <c r="AB300"/>
    </row>
    <row r="301" spans="28:28" x14ac:dyDescent="0.25">
      <c r="AB301"/>
    </row>
    <row r="302" spans="28:28" x14ac:dyDescent="0.25">
      <c r="AB302"/>
    </row>
    <row r="303" spans="28:28" x14ac:dyDescent="0.25">
      <c r="AB303"/>
    </row>
    <row r="304" spans="28:28" x14ac:dyDescent="0.25">
      <c r="AB304"/>
    </row>
    <row r="305" spans="28:28" x14ac:dyDescent="0.25">
      <c r="AB305"/>
    </row>
    <row r="306" spans="28:28" x14ac:dyDescent="0.25">
      <c r="AB306"/>
    </row>
    <row r="307" spans="28:28" x14ac:dyDescent="0.25">
      <c r="AB307"/>
    </row>
    <row r="308" spans="28:28" x14ac:dyDescent="0.25">
      <c r="AB308"/>
    </row>
    <row r="309" spans="28:28" x14ac:dyDescent="0.25">
      <c r="AB309"/>
    </row>
    <row r="310" spans="28:28" x14ac:dyDescent="0.25">
      <c r="AB310"/>
    </row>
    <row r="311" spans="28:28" x14ac:dyDescent="0.25">
      <c r="AB311"/>
    </row>
    <row r="312" spans="28:28" x14ac:dyDescent="0.25">
      <c r="AB312"/>
    </row>
    <row r="313" spans="28:28" x14ac:dyDescent="0.25">
      <c r="AB313"/>
    </row>
    <row r="314" spans="28:28" x14ac:dyDescent="0.25">
      <c r="AB314"/>
    </row>
    <row r="315" spans="28:28" x14ac:dyDescent="0.25">
      <c r="AB315"/>
    </row>
    <row r="316" spans="28:28" x14ac:dyDescent="0.25">
      <c r="AB316"/>
    </row>
    <row r="317" spans="28:28" x14ac:dyDescent="0.25">
      <c r="AB317"/>
    </row>
    <row r="318" spans="28:28" x14ac:dyDescent="0.25">
      <c r="AB318"/>
    </row>
    <row r="319" spans="28:28" x14ac:dyDescent="0.25">
      <c r="AB319"/>
    </row>
    <row r="320" spans="28:28" x14ac:dyDescent="0.25">
      <c r="AB320"/>
    </row>
    <row r="321" spans="28:28" x14ac:dyDescent="0.25">
      <c r="AB321"/>
    </row>
    <row r="322" spans="28:28" x14ac:dyDescent="0.25">
      <c r="AB322"/>
    </row>
    <row r="323" spans="28:28" x14ac:dyDescent="0.25">
      <c r="AB323"/>
    </row>
    <row r="324" spans="28:28" x14ac:dyDescent="0.25">
      <c r="AB324"/>
    </row>
    <row r="325" spans="28:28" x14ac:dyDescent="0.25">
      <c r="AB325"/>
    </row>
    <row r="326" spans="28:28" x14ac:dyDescent="0.25">
      <c r="AB326"/>
    </row>
    <row r="327" spans="28:28" x14ac:dyDescent="0.25">
      <c r="AB327"/>
    </row>
    <row r="328" spans="28:28" x14ac:dyDescent="0.25">
      <c r="AB328"/>
    </row>
    <row r="329" spans="28:28" x14ac:dyDescent="0.25">
      <c r="AB329"/>
    </row>
    <row r="330" spans="28:28" x14ac:dyDescent="0.25">
      <c r="AB330"/>
    </row>
  </sheetData>
  <sortState ref="AK34:AQ54">
    <sortCondition ref="AK34"/>
  </sortState>
  <mergeCells count="4">
    <mergeCell ref="C4:K4"/>
    <mergeCell ref="C5:K5"/>
    <mergeCell ref="C3:R3"/>
    <mergeCell ref="H26:M26"/>
  </mergeCells>
  <conditionalFormatting sqref="I29:M29">
    <cfRule type="dataBar" priority="9">
      <dataBar>
        <cfvo type="num" val="0"/>
        <cfvo type="num" val="$AP$26"/>
        <color rgb="FF638EC6"/>
      </dataBar>
      <extLst>
        <ext xmlns:x14="http://schemas.microsoft.com/office/spreadsheetml/2009/9/main" uri="{B025F937-C7B1-47D3-B67F-A62EFF666E3E}">
          <x14:id>{4729CA1C-9856-465B-A252-5D74BE4F6C00}</x14:id>
        </ext>
      </extLst>
    </cfRule>
    <cfRule type="dataBar" priority="10">
      <dataBar>
        <cfvo type="num" val="0"/>
        <cfvo type="num" val="$AP$26"/>
        <color rgb="FFFF555A"/>
      </dataBar>
      <extLst>
        <ext xmlns:x14="http://schemas.microsoft.com/office/spreadsheetml/2009/9/main" uri="{B025F937-C7B1-47D3-B67F-A62EFF666E3E}">
          <x14:id>{5DCED515-272B-4C05-BE24-8A126174C663}</x14:id>
        </ext>
      </extLst>
    </cfRule>
    <cfRule type="dataBar" priority="24">
      <dataBar>
        <cfvo type="min"/>
        <cfvo type="max"/>
        <color rgb="FFFF555A"/>
      </dataBar>
      <extLst>
        <ext xmlns:x14="http://schemas.microsoft.com/office/spreadsheetml/2009/9/main" uri="{B025F937-C7B1-47D3-B67F-A62EFF666E3E}">
          <x14:id>{83FF87DB-4AF0-4757-A50F-701789E158D8}</x14:id>
        </ext>
      </extLst>
    </cfRule>
  </conditionalFormatting>
  <conditionalFormatting sqref="I28:M28">
    <cfRule type="dataBar" priority="28">
      <dataBar>
        <cfvo type="min"/>
        <cfvo type="max"/>
        <color rgb="FF638EC6"/>
      </dataBar>
      <extLst>
        <ext xmlns:x14="http://schemas.microsoft.com/office/spreadsheetml/2009/9/main" uri="{B025F937-C7B1-47D3-B67F-A62EFF666E3E}">
          <x14:id>{74459D76-3CDD-4603-8F85-808736BAF087}</x14:id>
        </ext>
      </extLst>
    </cfRule>
  </conditionalFormatting>
  <conditionalFormatting sqref="I29:M29">
    <cfRule type="dataBar" priority="30">
      <dataBar>
        <cfvo type="min"/>
        <cfvo type="max"/>
        <color rgb="FF638EC6"/>
      </dataBar>
      <extLst>
        <ext xmlns:x14="http://schemas.microsoft.com/office/spreadsheetml/2009/9/main" uri="{B025F937-C7B1-47D3-B67F-A62EFF666E3E}">
          <x14:id>{077C6988-A8CC-4404-8A74-478FD55721B5}</x14:id>
        </ext>
      </extLst>
    </cfRule>
  </conditionalFormatting>
  <conditionalFormatting sqref="G12:G32">
    <cfRule type="dataBar" priority="36">
      <dataBar>
        <cfvo type="min"/>
        <cfvo type="max"/>
        <color rgb="FFFFB628"/>
      </dataBar>
      <extLst>
        <ext xmlns:x14="http://schemas.microsoft.com/office/spreadsheetml/2009/9/main" uri="{B025F937-C7B1-47D3-B67F-A62EFF666E3E}">
          <x14:id>{8F4E58BC-54BC-42B3-A2EF-4E04EA63C653}</x14:id>
        </ext>
      </extLst>
    </cfRule>
  </conditionalFormatting>
  <conditionalFormatting sqref="D37:F40">
    <cfRule type="dataBar" priority="8">
      <dataBar>
        <cfvo type="min"/>
        <cfvo type="max"/>
        <color rgb="FF63C384"/>
      </dataBar>
      <extLst>
        <ext xmlns:x14="http://schemas.microsoft.com/office/spreadsheetml/2009/9/main" uri="{B025F937-C7B1-47D3-B67F-A62EFF666E3E}">
          <x14:id>{898ED28B-BD84-48E1-B5FF-CD5004CB27E3}</x14:id>
        </ext>
      </extLst>
    </cfRule>
  </conditionalFormatting>
  <conditionalFormatting sqref="D37:F40">
    <cfRule type="dataBar" priority="7">
      <dataBar>
        <cfvo type="min"/>
        <cfvo type="max"/>
        <color rgb="FFD6007B"/>
      </dataBar>
      <extLst>
        <ext xmlns:x14="http://schemas.microsoft.com/office/spreadsheetml/2009/9/main" uri="{B025F937-C7B1-47D3-B67F-A62EFF666E3E}">
          <x14:id>{80C87FD2-BD07-4BB5-9C0D-A1D2BF363644}</x14:id>
        </ext>
      </extLst>
    </cfRule>
  </conditionalFormatting>
  <conditionalFormatting sqref="F12:F33">
    <cfRule type="dataBar" priority="1">
      <dataBar>
        <cfvo type="min"/>
        <cfvo type="max"/>
        <color rgb="FFFFB628"/>
      </dataBar>
      <extLst>
        <ext xmlns:x14="http://schemas.microsoft.com/office/spreadsheetml/2009/9/main" uri="{B025F937-C7B1-47D3-B67F-A62EFF666E3E}">
          <x14:id>{0054ED97-6B39-47EE-970F-3D7220F91D2F}</x14:id>
        </ext>
      </extLst>
    </cfRule>
  </conditionalFormatting>
  <conditionalFormatting sqref="E12:E33">
    <cfRule type="dataBar" priority="2">
      <dataBar>
        <cfvo type="min"/>
        <cfvo type="max"/>
        <color rgb="FF638EC6"/>
      </dataBar>
      <extLst>
        <ext xmlns:x14="http://schemas.microsoft.com/office/spreadsheetml/2009/9/main" uri="{B025F937-C7B1-47D3-B67F-A62EFF666E3E}">
          <x14:id>{3D310D00-BC55-40BE-9DF6-D90CF1C54F11}</x14:id>
        </ext>
      </extLst>
    </cfRule>
  </conditionalFormatting>
  <conditionalFormatting sqref="D12:D33">
    <cfRule type="dataBar" priority="3">
      <dataBar>
        <cfvo type="min"/>
        <cfvo type="max"/>
        <color rgb="FF63C384"/>
      </dataBar>
      <extLst>
        <ext xmlns:x14="http://schemas.microsoft.com/office/spreadsheetml/2009/9/main" uri="{B025F937-C7B1-47D3-B67F-A62EFF666E3E}">
          <x14:id>{3C54CAF3-E8DB-4E86-98B4-12A79F65AD85}</x14:id>
        </ext>
      </extLst>
    </cfRule>
  </conditionalFormatting>
  <conditionalFormatting sqref="I28:M28">
    <cfRule type="dataBar" priority="48">
      <dataBar>
        <cfvo type="num" val="0"/>
        <cfvo type="num" val="#REF!"/>
        <color rgb="FF638EC6"/>
      </dataBar>
      <extLst>
        <ext xmlns:x14="http://schemas.microsoft.com/office/spreadsheetml/2009/9/main" uri="{B025F937-C7B1-47D3-B67F-A62EFF666E3E}">
          <x14:id>{02A8E9F0-FDBA-452A-AB6A-F2E5CA3F88D3}</x14:id>
        </ext>
      </extLst>
    </cfRule>
    <cfRule type="dataBar" priority="49">
      <dataBar>
        <cfvo type="min"/>
        <cfvo type="max"/>
        <color rgb="FF008AEF"/>
      </dataBar>
      <extLst>
        <ext xmlns:x14="http://schemas.microsoft.com/office/spreadsheetml/2009/9/main" uri="{B025F937-C7B1-47D3-B67F-A62EFF666E3E}">
          <x14:id>{48264DF9-DDE3-4B92-9921-17F85D71C4D9}</x14:id>
        </ext>
      </extLst>
    </cfRule>
  </conditionalFormatting>
  <printOptions horizontalCentered="1"/>
  <pageMargins left="0.15" right="0.15" top="0.15" bottom="0.15" header="0.3" footer="0.3"/>
  <pageSetup paperSize="9" scale="79" orientation="landscape" r:id="rId1"/>
  <drawing r:id="rId2"/>
  <extLst>
    <ext xmlns:x14="http://schemas.microsoft.com/office/spreadsheetml/2009/9/main" uri="{78C0D931-6437-407d-A8EE-F0AAD7539E65}">
      <x14:conditionalFormattings>
        <x14:conditionalFormatting xmlns:xm="http://schemas.microsoft.com/office/excel/2006/main">
          <x14:cfRule type="dataBar" id="{4729CA1C-9856-465B-A252-5D74BE4F6C00}">
            <x14:dataBar minLength="0" maxLength="100" gradient="0">
              <x14:cfvo type="num">
                <xm:f>0</xm:f>
              </x14:cfvo>
              <x14:cfvo type="num">
                <xm:f>$AP$26</xm:f>
              </x14:cfvo>
              <x14:negativeFillColor rgb="FFFF0000"/>
              <x14:axisColor rgb="FF000000"/>
            </x14:dataBar>
          </x14:cfRule>
          <x14:cfRule type="dataBar" id="{5DCED515-272B-4C05-BE24-8A126174C663}">
            <x14:dataBar minLength="0" maxLength="100" border="1" negativeBarBorderColorSameAsPositive="0">
              <x14:cfvo type="num">
                <xm:f>0</xm:f>
              </x14:cfvo>
              <x14:cfvo type="num">
                <xm:f>$AP$26</xm:f>
              </x14:cfvo>
              <x14:borderColor rgb="FFFF555A"/>
              <x14:negativeFillColor rgb="FFFF0000"/>
              <x14:negativeBorderColor rgb="FFFF0000"/>
              <x14:axisColor rgb="FF000000"/>
            </x14:dataBar>
          </x14:cfRule>
          <x14:cfRule type="dataBar" id="{83FF87DB-4AF0-4757-A50F-701789E158D8}">
            <x14:dataBar minLength="0" maxLength="100" gradient="0">
              <x14:cfvo type="autoMin"/>
              <x14:cfvo type="autoMax"/>
              <x14:negativeFillColor rgb="FFFF0000"/>
              <x14:axisColor rgb="FF000000"/>
            </x14:dataBar>
          </x14:cfRule>
          <xm:sqref>I29:M29</xm:sqref>
        </x14:conditionalFormatting>
        <x14:conditionalFormatting xmlns:xm="http://schemas.microsoft.com/office/excel/2006/main">
          <x14:cfRule type="dataBar" id="{74459D76-3CDD-4603-8F85-808736BAF087}">
            <x14:dataBar minLength="0" maxLength="100" border="1" negativeBarBorderColorSameAsPositive="0">
              <x14:cfvo type="autoMin"/>
              <x14:cfvo type="autoMax"/>
              <x14:borderColor rgb="FF638EC6"/>
              <x14:negativeFillColor rgb="FFFF0000"/>
              <x14:negativeBorderColor rgb="FFFF0000"/>
              <x14:axisColor rgb="FF000000"/>
            </x14:dataBar>
          </x14:cfRule>
          <xm:sqref>I28:M28</xm:sqref>
        </x14:conditionalFormatting>
        <x14:conditionalFormatting xmlns:xm="http://schemas.microsoft.com/office/excel/2006/main">
          <x14:cfRule type="dataBar" id="{077C6988-A8CC-4404-8A74-478FD55721B5}">
            <x14:dataBar minLength="0" maxLength="100" border="1" negativeBarBorderColorSameAsPositive="0">
              <x14:cfvo type="autoMin"/>
              <x14:cfvo type="autoMax"/>
              <x14:borderColor rgb="FF638EC6"/>
              <x14:negativeFillColor rgb="FFFF0000"/>
              <x14:negativeBorderColor rgb="FFFF0000"/>
              <x14:axisColor rgb="FF000000"/>
            </x14:dataBar>
          </x14:cfRule>
          <xm:sqref>I29:M29</xm:sqref>
        </x14:conditionalFormatting>
        <x14:conditionalFormatting xmlns:xm="http://schemas.microsoft.com/office/excel/2006/main">
          <x14:cfRule type="dataBar" id="{8F4E58BC-54BC-42B3-A2EF-4E04EA63C653}">
            <x14:dataBar minLength="0" maxLength="100" border="1" negativeBarBorderColorSameAsPositive="0">
              <x14:cfvo type="autoMin"/>
              <x14:cfvo type="autoMax"/>
              <x14:borderColor rgb="FFFFB628"/>
              <x14:negativeFillColor rgb="FFFF0000"/>
              <x14:negativeBorderColor rgb="FFFF0000"/>
              <x14:axisColor rgb="FF000000"/>
            </x14:dataBar>
          </x14:cfRule>
          <xm:sqref>G12:G32</xm:sqref>
        </x14:conditionalFormatting>
        <x14:conditionalFormatting xmlns:xm="http://schemas.microsoft.com/office/excel/2006/main">
          <x14:cfRule type="dataBar" id="{898ED28B-BD84-48E1-B5FF-CD5004CB27E3}">
            <x14:dataBar minLength="0" maxLength="100" border="1" negativeBarBorderColorSameAsPositive="0">
              <x14:cfvo type="autoMin"/>
              <x14:cfvo type="autoMax"/>
              <x14:borderColor rgb="FF63C384"/>
              <x14:negativeFillColor rgb="FFFF0000"/>
              <x14:negativeBorderColor rgb="FFFF0000"/>
              <x14:axisColor rgb="FF000000"/>
            </x14:dataBar>
          </x14:cfRule>
          <xm:sqref>D37:F40</xm:sqref>
        </x14:conditionalFormatting>
        <x14:conditionalFormatting xmlns:xm="http://schemas.microsoft.com/office/excel/2006/main">
          <x14:cfRule type="dataBar" id="{80C87FD2-BD07-4BB5-9C0D-A1D2BF363644}">
            <x14:dataBar minLength="0" maxLength="100" border="1" negativeBarBorderColorSameAsPositive="0">
              <x14:cfvo type="autoMin"/>
              <x14:cfvo type="autoMax"/>
              <x14:borderColor rgb="FFD6007B"/>
              <x14:negativeFillColor rgb="FFFF0000"/>
              <x14:negativeBorderColor rgb="FFFF0000"/>
              <x14:axisColor rgb="FF000000"/>
            </x14:dataBar>
          </x14:cfRule>
          <xm:sqref>D37:F40</xm:sqref>
        </x14:conditionalFormatting>
        <x14:conditionalFormatting xmlns:xm="http://schemas.microsoft.com/office/excel/2006/main">
          <x14:cfRule type="dataBar" id="{0054ED97-6B39-47EE-970F-3D7220F91D2F}">
            <x14:dataBar minLength="0" maxLength="100" border="1" negativeBarBorderColorSameAsPositive="0">
              <x14:cfvo type="autoMin"/>
              <x14:cfvo type="autoMax"/>
              <x14:borderColor rgb="FFFFB628"/>
              <x14:negativeFillColor rgb="FFFF0000"/>
              <x14:negativeBorderColor rgb="FFFF0000"/>
              <x14:axisColor rgb="FF000000"/>
            </x14:dataBar>
          </x14:cfRule>
          <xm:sqref>F12:F33</xm:sqref>
        </x14:conditionalFormatting>
        <x14:conditionalFormatting xmlns:xm="http://schemas.microsoft.com/office/excel/2006/main">
          <x14:cfRule type="dataBar" id="{3D310D00-BC55-40BE-9DF6-D90CF1C54F11}">
            <x14:dataBar minLength="0" maxLength="100" border="1" negativeBarBorderColorSameAsPositive="0">
              <x14:cfvo type="autoMin"/>
              <x14:cfvo type="autoMax"/>
              <x14:borderColor rgb="FF638EC6"/>
              <x14:negativeFillColor rgb="FFFF0000"/>
              <x14:negativeBorderColor rgb="FFFF0000"/>
              <x14:axisColor rgb="FF000000"/>
            </x14:dataBar>
          </x14:cfRule>
          <xm:sqref>E12:E33</xm:sqref>
        </x14:conditionalFormatting>
        <x14:conditionalFormatting xmlns:xm="http://schemas.microsoft.com/office/excel/2006/main">
          <x14:cfRule type="dataBar" id="{3C54CAF3-E8DB-4E86-98B4-12A79F65AD85}">
            <x14:dataBar minLength="0" maxLength="100" border="1" negativeBarBorderColorSameAsPositive="0">
              <x14:cfvo type="autoMin"/>
              <x14:cfvo type="autoMax"/>
              <x14:borderColor rgb="FF63C384"/>
              <x14:negativeFillColor rgb="FFFF0000"/>
              <x14:negativeBorderColor rgb="FFFF0000"/>
              <x14:axisColor rgb="FF000000"/>
            </x14:dataBar>
          </x14:cfRule>
          <xm:sqref>D12:D33</xm:sqref>
        </x14:conditionalFormatting>
        <x14:conditionalFormatting xmlns:xm="http://schemas.microsoft.com/office/excel/2006/main">
          <x14:cfRule type="dataBar" id="{02A8E9F0-FDBA-452A-AB6A-F2E5CA3F88D3}">
            <x14:dataBar minLength="0" maxLength="100">
              <x14:cfvo type="num">
                <xm:f>0</xm:f>
              </x14:cfvo>
              <x14:cfvo type="num">
                <xm:f>#REF!</xm:f>
              </x14:cfvo>
              <x14:negativeFillColor rgb="FFFF0000"/>
              <x14:axisColor rgb="FF000000"/>
            </x14:dataBar>
          </x14:cfRule>
          <x14:cfRule type="dataBar" id="{48264DF9-DDE3-4B92-9921-17F85D71C4D9}">
            <x14:dataBar minLength="0" maxLength="100" gradient="0">
              <x14:cfvo type="autoMin"/>
              <x14:cfvo type="autoMax"/>
              <x14:negativeFillColor rgb="FFFF0000"/>
              <x14:axisColor rgb="FF000000"/>
            </x14:dataBar>
          </x14:cfRule>
          <xm:sqref>I28:M28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H142"/>
  <sheetViews>
    <sheetView workbookViewId="0">
      <selection activeCell="D3" sqref="D3"/>
    </sheetView>
  </sheetViews>
  <sheetFormatPr defaultRowHeight="15" x14ac:dyDescent="0.25"/>
  <cols>
    <col min="1" max="1" width="47.28515625" customWidth="1"/>
    <col min="2" max="2" width="16.140625" bestFit="1" customWidth="1"/>
    <col min="3" max="4" width="12" bestFit="1" customWidth="1"/>
    <col min="5" max="5" width="14.140625" bestFit="1" customWidth="1"/>
    <col min="6" max="6" width="20.85546875" bestFit="1" customWidth="1"/>
    <col min="7" max="7" width="10.7109375" bestFit="1" customWidth="1"/>
    <col min="8" max="8" width="9.85546875" bestFit="1" customWidth="1"/>
    <col min="9" max="9" width="9.28515625" bestFit="1" customWidth="1"/>
  </cols>
  <sheetData>
    <row r="1" spans="1:8" x14ac:dyDescent="0.25">
      <c r="A1" s="500" t="s">
        <v>500</v>
      </c>
      <c r="B1" s="492" t="s">
        <v>502</v>
      </c>
    </row>
    <row r="3" spans="1:8" x14ac:dyDescent="0.25">
      <c r="A3" s="500" t="s">
        <v>556</v>
      </c>
      <c r="B3" s="500" t="s">
        <v>1112</v>
      </c>
      <c r="C3" s="500" t="s">
        <v>1</v>
      </c>
      <c r="D3" s="500" t="s">
        <v>499</v>
      </c>
      <c r="E3" s="500" t="s">
        <v>1113</v>
      </c>
      <c r="F3" s="500" t="s">
        <v>1114</v>
      </c>
      <c r="G3" s="492" t="s">
        <v>1115</v>
      </c>
      <c r="H3" s="492" t="s">
        <v>867</v>
      </c>
    </row>
    <row r="4" spans="1:8" x14ac:dyDescent="0.25">
      <c r="A4" s="492" t="s">
        <v>62</v>
      </c>
      <c r="B4" s="492" t="s">
        <v>61</v>
      </c>
      <c r="C4" s="492">
        <v>96.355270000000004</v>
      </c>
      <c r="D4" s="492" t="s">
        <v>513</v>
      </c>
      <c r="E4" s="492" t="s">
        <v>556</v>
      </c>
      <c r="F4" s="492" t="s">
        <v>462</v>
      </c>
      <c r="G4" s="494">
        <v>76</v>
      </c>
      <c r="H4" s="494">
        <v>344</v>
      </c>
    </row>
    <row r="5" spans="1:8" x14ac:dyDescent="0.25">
      <c r="A5" s="492" t="s">
        <v>120</v>
      </c>
      <c r="B5" s="492" t="s">
        <v>119</v>
      </c>
      <c r="C5" s="492">
        <v>96.353070000000002</v>
      </c>
      <c r="D5" s="492" t="s">
        <v>513</v>
      </c>
      <c r="E5" s="492" t="s">
        <v>556</v>
      </c>
      <c r="F5" s="492" t="s">
        <v>1097</v>
      </c>
      <c r="G5" s="494">
        <v>75</v>
      </c>
      <c r="H5" s="494">
        <v>404</v>
      </c>
    </row>
    <row r="6" spans="1:8" x14ac:dyDescent="0.25">
      <c r="A6" s="492" t="s">
        <v>6</v>
      </c>
      <c r="B6" s="492" t="s">
        <v>4</v>
      </c>
      <c r="C6" s="492">
        <v>97.238829999999993</v>
      </c>
      <c r="D6" s="492" t="s">
        <v>513</v>
      </c>
      <c r="E6" s="492" t="s">
        <v>556</v>
      </c>
      <c r="F6" s="492" t="s">
        <v>1096</v>
      </c>
      <c r="G6" s="494">
        <v>274</v>
      </c>
      <c r="H6" s="494">
        <v>1349</v>
      </c>
    </row>
    <row r="7" spans="1:8" x14ac:dyDescent="0.25">
      <c r="A7" s="492" t="s">
        <v>41</v>
      </c>
      <c r="B7" s="492" t="s">
        <v>40</v>
      </c>
      <c r="C7" s="492">
        <v>96.345569999999995</v>
      </c>
      <c r="D7" s="492" t="s">
        <v>513</v>
      </c>
      <c r="E7" s="492" t="s">
        <v>556</v>
      </c>
      <c r="F7" s="492" t="s">
        <v>507</v>
      </c>
      <c r="G7" s="494">
        <v>67</v>
      </c>
      <c r="H7" s="494">
        <v>350</v>
      </c>
    </row>
    <row r="8" spans="1:8" x14ac:dyDescent="0.25">
      <c r="A8" s="492" t="s">
        <v>43</v>
      </c>
      <c r="B8" s="492" t="s">
        <v>42</v>
      </c>
      <c r="C8" s="492">
        <v>96.317350000000005</v>
      </c>
      <c r="D8" s="492" t="s">
        <v>513</v>
      </c>
      <c r="E8" s="492" t="s">
        <v>556</v>
      </c>
      <c r="F8" s="492" t="s">
        <v>507</v>
      </c>
      <c r="G8" s="494">
        <v>14</v>
      </c>
      <c r="H8" s="494">
        <v>83</v>
      </c>
    </row>
    <row r="9" spans="1:8" x14ac:dyDescent="0.25">
      <c r="A9" s="492" t="s">
        <v>514</v>
      </c>
      <c r="B9" s="492" t="s">
        <v>377</v>
      </c>
      <c r="C9" s="492">
        <v>97.252650000000003</v>
      </c>
      <c r="D9" s="492" t="s">
        <v>513</v>
      </c>
      <c r="E9" s="492" t="s">
        <v>556</v>
      </c>
      <c r="F9" s="492" t="s">
        <v>462</v>
      </c>
      <c r="G9" s="494">
        <v>12</v>
      </c>
      <c r="H9" s="494">
        <v>52</v>
      </c>
    </row>
    <row r="10" spans="1:8" x14ac:dyDescent="0.25">
      <c r="A10" s="492" t="s">
        <v>52</v>
      </c>
      <c r="B10" s="492" t="s">
        <v>51</v>
      </c>
      <c r="C10" s="492">
        <v>96.346469999999997</v>
      </c>
      <c r="D10" s="492" t="s">
        <v>513</v>
      </c>
      <c r="E10" s="492" t="s">
        <v>556</v>
      </c>
      <c r="F10" s="492" t="s">
        <v>462</v>
      </c>
      <c r="G10" s="494">
        <v>35</v>
      </c>
      <c r="H10" s="494">
        <v>214</v>
      </c>
    </row>
    <row r="11" spans="1:8" x14ac:dyDescent="0.25">
      <c r="A11" s="492" t="s">
        <v>334</v>
      </c>
      <c r="B11" s="492" t="s">
        <v>333</v>
      </c>
      <c r="C11" s="492">
        <v>97.915833000000006</v>
      </c>
      <c r="D11" s="492" t="s">
        <v>515</v>
      </c>
      <c r="E11" s="492" t="s">
        <v>556</v>
      </c>
      <c r="F11" s="492" t="s">
        <v>1097</v>
      </c>
      <c r="G11" s="494">
        <v>155</v>
      </c>
      <c r="H11" s="494">
        <v>640</v>
      </c>
    </row>
    <row r="12" spans="1:8" x14ac:dyDescent="0.25">
      <c r="A12" s="492" t="s">
        <v>188</v>
      </c>
      <c r="B12" s="492" t="s">
        <v>187</v>
      </c>
      <c r="C12" s="492">
        <v>97.609832999999995</v>
      </c>
      <c r="D12" s="492" t="s">
        <v>515</v>
      </c>
      <c r="E12" s="492" t="s">
        <v>556</v>
      </c>
      <c r="F12" s="492" t="s">
        <v>1096</v>
      </c>
      <c r="G12" s="494">
        <v>245</v>
      </c>
      <c r="H12" s="494">
        <v>1232</v>
      </c>
    </row>
    <row r="13" spans="1:8" x14ac:dyDescent="0.25">
      <c r="A13" s="492" t="s">
        <v>1041</v>
      </c>
      <c r="B13" s="492" t="s">
        <v>1042</v>
      </c>
      <c r="C13" s="492">
        <v>97.608249999999998</v>
      </c>
      <c r="D13" s="492" t="s">
        <v>515</v>
      </c>
      <c r="E13" s="492" t="s">
        <v>556</v>
      </c>
      <c r="F13" s="492" t="s">
        <v>1096</v>
      </c>
      <c r="G13" s="494">
        <v>219</v>
      </c>
      <c r="H13" s="494">
        <v>891</v>
      </c>
    </row>
    <row r="14" spans="1:8" x14ac:dyDescent="0.25">
      <c r="A14" s="492" t="s">
        <v>72</v>
      </c>
      <c r="B14" s="492" t="s">
        <v>71</v>
      </c>
      <c r="C14" s="492">
        <v>96.283377000000002</v>
      </c>
      <c r="D14" s="492" t="s">
        <v>513</v>
      </c>
      <c r="E14" s="492" t="s">
        <v>556</v>
      </c>
      <c r="F14" s="492" t="s">
        <v>507</v>
      </c>
      <c r="G14" s="494">
        <v>6</v>
      </c>
      <c r="H14" s="494">
        <v>30</v>
      </c>
    </row>
    <row r="15" spans="1:8" x14ac:dyDescent="0.25">
      <c r="A15" s="492" t="s">
        <v>28</v>
      </c>
      <c r="B15" s="492" t="s">
        <v>30</v>
      </c>
      <c r="C15" s="492">
        <v>98.131550000000004</v>
      </c>
      <c r="D15" s="492" t="s">
        <v>513</v>
      </c>
      <c r="E15" s="492" t="s">
        <v>556</v>
      </c>
      <c r="F15" s="492" t="s">
        <v>507</v>
      </c>
      <c r="G15" s="494">
        <v>108</v>
      </c>
      <c r="H15" s="494">
        <v>518</v>
      </c>
    </row>
    <row r="16" spans="1:8" x14ac:dyDescent="0.25">
      <c r="A16" s="492" t="s">
        <v>76</v>
      </c>
      <c r="B16" s="492" t="s">
        <v>75</v>
      </c>
      <c r="C16" s="492">
        <v>96.35257</v>
      </c>
      <c r="D16" s="492" t="s">
        <v>513</v>
      </c>
      <c r="E16" s="492" t="s">
        <v>556</v>
      </c>
      <c r="F16" s="492" t="s">
        <v>507</v>
      </c>
      <c r="G16" s="494">
        <v>65</v>
      </c>
      <c r="H16" s="494">
        <v>347</v>
      </c>
    </row>
    <row r="17" spans="1:8" x14ac:dyDescent="0.25">
      <c r="A17" s="492" t="s">
        <v>243</v>
      </c>
      <c r="B17" s="492" t="s">
        <v>242</v>
      </c>
      <c r="C17" s="492">
        <v>97.384729629629604</v>
      </c>
      <c r="D17" s="492" t="s">
        <v>513</v>
      </c>
      <c r="E17" s="492" t="s">
        <v>556</v>
      </c>
      <c r="F17" s="492" t="s">
        <v>462</v>
      </c>
      <c r="G17" s="494">
        <v>6</v>
      </c>
      <c r="H17" s="494">
        <v>28</v>
      </c>
    </row>
    <row r="18" spans="1:8" x14ac:dyDescent="0.25">
      <c r="A18" s="492" t="s">
        <v>245</v>
      </c>
      <c r="B18" s="492" t="s">
        <v>244</v>
      </c>
      <c r="C18" s="492">
        <v>97.382997575757599</v>
      </c>
      <c r="D18" s="492" t="s">
        <v>513</v>
      </c>
      <c r="E18" s="492" t="s">
        <v>556</v>
      </c>
      <c r="F18" s="492" t="s">
        <v>462</v>
      </c>
      <c r="G18" s="494">
        <v>6</v>
      </c>
      <c r="H18" s="494">
        <v>39</v>
      </c>
    </row>
    <row r="19" spans="1:8" x14ac:dyDescent="0.25">
      <c r="A19" s="492" t="s">
        <v>247</v>
      </c>
      <c r="B19" s="492" t="s">
        <v>246</v>
      </c>
      <c r="C19" s="492">
        <v>97.381325000000004</v>
      </c>
      <c r="D19" s="492" t="s">
        <v>513</v>
      </c>
      <c r="E19" s="492" t="s">
        <v>556</v>
      </c>
      <c r="F19" s="492" t="s">
        <v>462</v>
      </c>
      <c r="G19" s="494">
        <v>50</v>
      </c>
      <c r="H19" s="494">
        <v>236</v>
      </c>
    </row>
    <row r="20" spans="1:8" x14ac:dyDescent="0.25">
      <c r="A20" s="492" t="s">
        <v>192</v>
      </c>
      <c r="B20" s="492" t="s">
        <v>191</v>
      </c>
      <c r="C20" s="492">
        <v>97.537099999999995</v>
      </c>
      <c r="D20" s="492" t="s">
        <v>515</v>
      </c>
      <c r="E20" s="492" t="s">
        <v>556</v>
      </c>
      <c r="F20" s="492" t="s">
        <v>1097</v>
      </c>
      <c r="G20" s="494">
        <v>116</v>
      </c>
      <c r="H20" s="494">
        <v>595</v>
      </c>
    </row>
    <row r="21" spans="1:8" x14ac:dyDescent="0.25">
      <c r="A21" s="492" t="s">
        <v>313</v>
      </c>
      <c r="B21" s="492" t="s">
        <v>312</v>
      </c>
      <c r="C21" s="492">
        <v>97.404195925926004</v>
      </c>
      <c r="D21" s="492" t="s">
        <v>513</v>
      </c>
      <c r="E21" s="492" t="s">
        <v>556</v>
      </c>
      <c r="F21" s="492" t="s">
        <v>507</v>
      </c>
      <c r="G21" s="494">
        <v>111</v>
      </c>
      <c r="H21" s="494">
        <v>511</v>
      </c>
    </row>
    <row r="22" spans="1:8" x14ac:dyDescent="0.25">
      <c r="A22" s="492" t="s">
        <v>336</v>
      </c>
      <c r="B22" s="492" t="s">
        <v>335</v>
      </c>
      <c r="C22" s="492">
        <v>97.807182999999995</v>
      </c>
      <c r="D22" s="492" t="s">
        <v>515</v>
      </c>
      <c r="E22" s="492" t="s">
        <v>556</v>
      </c>
      <c r="F22" s="492" t="s">
        <v>462</v>
      </c>
      <c r="G22" s="494">
        <v>154</v>
      </c>
      <c r="H22" s="494">
        <v>1153</v>
      </c>
    </row>
    <row r="23" spans="1:8" x14ac:dyDescent="0.25">
      <c r="A23" s="492" t="s">
        <v>88</v>
      </c>
      <c r="B23" s="492" t="s">
        <v>87</v>
      </c>
      <c r="C23" s="492">
        <v>96.705960000000005</v>
      </c>
      <c r="D23" s="492" t="s">
        <v>513</v>
      </c>
      <c r="E23" s="492" t="s">
        <v>556</v>
      </c>
      <c r="F23" s="492" t="s">
        <v>462</v>
      </c>
      <c r="G23" s="494">
        <v>12</v>
      </c>
      <c r="H23" s="494">
        <v>52</v>
      </c>
    </row>
    <row r="24" spans="1:8" x14ac:dyDescent="0.25">
      <c r="A24" s="492" t="s">
        <v>44</v>
      </c>
      <c r="B24" s="492" t="s">
        <v>45</v>
      </c>
      <c r="C24" s="492">
        <v>96.316564</v>
      </c>
      <c r="D24" s="492" t="s">
        <v>513</v>
      </c>
      <c r="E24" s="492" t="s">
        <v>556</v>
      </c>
      <c r="F24" s="492" t="s">
        <v>507</v>
      </c>
      <c r="G24" s="494">
        <v>13</v>
      </c>
      <c r="H24" s="494">
        <v>75</v>
      </c>
    </row>
    <row r="25" spans="1:8" x14ac:dyDescent="0.25">
      <c r="A25" s="492" t="s">
        <v>1072</v>
      </c>
      <c r="B25" s="492" t="s">
        <v>1073</v>
      </c>
      <c r="C25" s="492">
        <v>96.312790000000007</v>
      </c>
      <c r="D25" s="492" t="s">
        <v>513</v>
      </c>
      <c r="E25" s="492" t="s">
        <v>556</v>
      </c>
      <c r="F25" s="492" t="s">
        <v>462</v>
      </c>
      <c r="G25" s="494">
        <v>116</v>
      </c>
      <c r="H25" s="494">
        <v>530</v>
      </c>
    </row>
    <row r="26" spans="1:8" x14ac:dyDescent="0.25">
      <c r="A26" s="492" t="s">
        <v>364</v>
      </c>
      <c r="B26" s="492" t="s">
        <v>29</v>
      </c>
      <c r="C26" s="492">
        <v>98.475719999999995</v>
      </c>
      <c r="D26" s="492" t="s">
        <v>515</v>
      </c>
      <c r="E26" s="492" t="s">
        <v>556</v>
      </c>
      <c r="F26" s="492" t="s">
        <v>462</v>
      </c>
      <c r="G26" s="494">
        <v>154</v>
      </c>
      <c r="H26" s="494">
        <v>920</v>
      </c>
    </row>
    <row r="27" spans="1:8" x14ac:dyDescent="0.25">
      <c r="A27" s="492" t="s">
        <v>194</v>
      </c>
      <c r="B27" s="492" t="s">
        <v>193</v>
      </c>
      <c r="C27" s="492">
        <v>97.573126000000002</v>
      </c>
      <c r="D27" s="492" t="s">
        <v>515</v>
      </c>
      <c r="E27" s="492" t="s">
        <v>556</v>
      </c>
      <c r="F27" s="492" t="s">
        <v>1097</v>
      </c>
      <c r="G27" s="494">
        <v>614</v>
      </c>
      <c r="H27" s="494">
        <v>2915</v>
      </c>
    </row>
    <row r="28" spans="1:8" x14ac:dyDescent="0.25">
      <c r="A28" s="492" t="s">
        <v>14</v>
      </c>
      <c r="B28" s="492" t="s">
        <v>13</v>
      </c>
      <c r="C28" s="492">
        <v>97.236919999999998</v>
      </c>
      <c r="D28" s="492" t="s">
        <v>513</v>
      </c>
      <c r="E28" s="492" t="s">
        <v>556</v>
      </c>
      <c r="F28" s="492" t="s">
        <v>462</v>
      </c>
      <c r="G28" s="494">
        <v>43</v>
      </c>
      <c r="H28" s="494">
        <v>237</v>
      </c>
    </row>
    <row r="29" spans="1:8" x14ac:dyDescent="0.25">
      <c r="A29" s="492" t="s">
        <v>818</v>
      </c>
      <c r="B29" s="492" t="s">
        <v>819</v>
      </c>
      <c r="C29" s="492">
        <v>97.541793999999996</v>
      </c>
      <c r="D29" s="492" t="s">
        <v>515</v>
      </c>
      <c r="E29" s="492" t="s">
        <v>993</v>
      </c>
      <c r="F29" s="492" t="s">
        <v>865</v>
      </c>
      <c r="G29" s="494"/>
      <c r="H29" s="494">
        <v>1047</v>
      </c>
    </row>
    <row r="30" spans="1:8" x14ac:dyDescent="0.25">
      <c r="A30" s="492" t="s">
        <v>253</v>
      </c>
      <c r="B30" s="492" t="s">
        <v>252</v>
      </c>
      <c r="C30" s="492">
        <v>97.373361000000003</v>
      </c>
      <c r="D30" s="492" t="s">
        <v>513</v>
      </c>
      <c r="E30" s="492" t="s">
        <v>556</v>
      </c>
      <c r="F30" s="492" t="s">
        <v>462</v>
      </c>
      <c r="G30" s="494">
        <v>203</v>
      </c>
      <c r="H30" s="494">
        <v>1072</v>
      </c>
    </row>
    <row r="31" spans="1:8" x14ac:dyDescent="0.25">
      <c r="A31" s="492" t="s">
        <v>255</v>
      </c>
      <c r="B31" s="492" t="s">
        <v>254</v>
      </c>
      <c r="C31" s="492">
        <v>97.379594999999995</v>
      </c>
      <c r="D31" s="492" t="s">
        <v>513</v>
      </c>
      <c r="E31" s="492" t="s">
        <v>556</v>
      </c>
      <c r="F31" s="492" t="s">
        <v>1097</v>
      </c>
      <c r="G31" s="494">
        <v>109</v>
      </c>
      <c r="H31" s="494">
        <v>487</v>
      </c>
    </row>
    <row r="32" spans="1:8" x14ac:dyDescent="0.25">
      <c r="A32" s="492" t="s">
        <v>196</v>
      </c>
      <c r="B32" s="492" t="s">
        <v>195</v>
      </c>
      <c r="C32" s="492">
        <v>97.568331999999998</v>
      </c>
      <c r="D32" s="492" t="s">
        <v>515</v>
      </c>
      <c r="E32" s="492" t="s">
        <v>556</v>
      </c>
      <c r="F32" s="492" t="s">
        <v>1097</v>
      </c>
      <c r="G32" s="494">
        <v>1695</v>
      </c>
      <c r="H32" s="494">
        <v>8848</v>
      </c>
    </row>
    <row r="33" spans="1:8" x14ac:dyDescent="0.25">
      <c r="A33" s="492" t="s">
        <v>372</v>
      </c>
      <c r="B33" s="492" t="s">
        <v>382</v>
      </c>
      <c r="C33" s="492">
        <v>97.848529999999997</v>
      </c>
      <c r="D33" s="492" t="s">
        <v>513</v>
      </c>
      <c r="E33" s="492" t="s">
        <v>556</v>
      </c>
      <c r="F33" s="492" t="s">
        <v>462</v>
      </c>
      <c r="G33" s="494">
        <v>87</v>
      </c>
      <c r="H33" s="494">
        <v>488</v>
      </c>
    </row>
    <row r="34" spans="1:8" x14ac:dyDescent="0.25">
      <c r="A34" s="492" t="s">
        <v>369</v>
      </c>
      <c r="B34" s="492" t="s">
        <v>383</v>
      </c>
      <c r="C34" s="492">
        <v>97.926813999999993</v>
      </c>
      <c r="D34" s="492" t="s">
        <v>513</v>
      </c>
      <c r="E34" s="492" t="s">
        <v>556</v>
      </c>
      <c r="F34" s="492" t="s">
        <v>462</v>
      </c>
      <c r="G34" s="494">
        <v>64</v>
      </c>
      <c r="H34" s="494">
        <v>305</v>
      </c>
    </row>
    <row r="35" spans="1:8" x14ac:dyDescent="0.25">
      <c r="A35" s="492" t="s">
        <v>370</v>
      </c>
      <c r="B35" s="492" t="s">
        <v>384</v>
      </c>
      <c r="C35" s="492">
        <v>97.947360000000003</v>
      </c>
      <c r="D35" s="492" t="s">
        <v>513</v>
      </c>
      <c r="E35" s="492" t="s">
        <v>556</v>
      </c>
      <c r="F35" s="492" t="s">
        <v>1282</v>
      </c>
      <c r="G35" s="494">
        <v>31</v>
      </c>
      <c r="H35" s="494">
        <v>144</v>
      </c>
    </row>
    <row r="36" spans="1:8" x14ac:dyDescent="0.25">
      <c r="A36" s="492" t="s">
        <v>257</v>
      </c>
      <c r="B36" s="492" t="s">
        <v>256</v>
      </c>
      <c r="C36" s="492">
        <v>97.405202777777802</v>
      </c>
      <c r="D36" s="492" t="s">
        <v>513</v>
      </c>
      <c r="E36" s="492" t="s">
        <v>556</v>
      </c>
      <c r="F36" s="492" t="s">
        <v>462</v>
      </c>
      <c r="G36" s="494">
        <v>45</v>
      </c>
      <c r="H36" s="494">
        <v>194</v>
      </c>
    </row>
    <row r="37" spans="1:8" x14ac:dyDescent="0.25">
      <c r="A37" s="492" t="s">
        <v>174</v>
      </c>
      <c r="B37" s="492" t="s">
        <v>172</v>
      </c>
      <c r="C37" s="492">
        <v>96.922619999999995</v>
      </c>
      <c r="D37" s="492" t="s">
        <v>513</v>
      </c>
      <c r="E37" s="492" t="s">
        <v>556</v>
      </c>
      <c r="F37" s="492" t="s">
        <v>462</v>
      </c>
      <c r="G37" s="494">
        <v>16</v>
      </c>
      <c r="H37" s="494">
        <v>69</v>
      </c>
    </row>
    <row r="38" spans="1:8" x14ac:dyDescent="0.25">
      <c r="A38" s="492" t="s">
        <v>145</v>
      </c>
      <c r="B38" s="492" t="s">
        <v>143</v>
      </c>
      <c r="C38" s="492">
        <v>98.144502500000002</v>
      </c>
      <c r="D38" s="492" t="s">
        <v>513</v>
      </c>
      <c r="E38" s="492" t="s">
        <v>556</v>
      </c>
      <c r="F38" s="492" t="s">
        <v>865</v>
      </c>
      <c r="G38" s="494">
        <v>11</v>
      </c>
      <c r="H38" s="494">
        <v>17</v>
      </c>
    </row>
    <row r="39" spans="1:8" x14ac:dyDescent="0.25">
      <c r="A39" s="492" t="s">
        <v>198</v>
      </c>
      <c r="B39" s="492" t="s">
        <v>197</v>
      </c>
      <c r="C39" s="492">
        <v>97.625617000000005</v>
      </c>
      <c r="D39" s="492" t="s">
        <v>515</v>
      </c>
      <c r="E39" s="492" t="s">
        <v>556</v>
      </c>
      <c r="F39" s="492" t="s">
        <v>1096</v>
      </c>
      <c r="G39" s="494">
        <v>545</v>
      </c>
      <c r="H39" s="494">
        <v>2560</v>
      </c>
    </row>
    <row r="40" spans="1:8" x14ac:dyDescent="0.25">
      <c r="A40" s="492" t="s">
        <v>240</v>
      </c>
      <c r="B40" s="492" t="s">
        <v>239</v>
      </c>
      <c r="C40" s="492">
        <v>97.409035000000003</v>
      </c>
      <c r="D40" s="492" t="s">
        <v>513</v>
      </c>
      <c r="E40" s="492" t="s">
        <v>556</v>
      </c>
      <c r="F40" s="492" t="s">
        <v>462</v>
      </c>
      <c r="G40" s="494">
        <v>108</v>
      </c>
      <c r="H40" s="494">
        <v>605</v>
      </c>
    </row>
    <row r="41" spans="1:8" x14ac:dyDescent="0.25">
      <c r="A41" s="492" t="s">
        <v>285</v>
      </c>
      <c r="B41" s="492" t="s">
        <v>284</v>
      </c>
      <c r="C41" s="492">
        <v>97.403402307692303</v>
      </c>
      <c r="D41" s="492" t="s">
        <v>513</v>
      </c>
      <c r="E41" s="492" t="s">
        <v>556</v>
      </c>
      <c r="F41" s="492" t="s">
        <v>462</v>
      </c>
      <c r="G41" s="494">
        <v>163</v>
      </c>
      <c r="H41" s="494">
        <v>712</v>
      </c>
    </row>
    <row r="42" spans="1:8" x14ac:dyDescent="0.25">
      <c r="A42" s="492" t="s">
        <v>365</v>
      </c>
      <c r="B42" s="492" t="s">
        <v>378</v>
      </c>
      <c r="C42" s="492">
        <v>98.129990000000006</v>
      </c>
      <c r="D42" s="492" t="s">
        <v>513</v>
      </c>
      <c r="E42" s="492" t="s">
        <v>556</v>
      </c>
      <c r="F42" s="492" t="s">
        <v>507</v>
      </c>
      <c r="G42" s="494">
        <v>144</v>
      </c>
      <c r="H42" s="494">
        <v>645</v>
      </c>
    </row>
    <row r="43" spans="1:8" x14ac:dyDescent="0.25">
      <c r="A43" s="492" t="s">
        <v>90</v>
      </c>
      <c r="B43" s="492" t="s">
        <v>89</v>
      </c>
      <c r="C43" s="492">
        <v>96.269199999999998</v>
      </c>
      <c r="D43" s="492" t="s">
        <v>513</v>
      </c>
      <c r="E43" s="492" t="s">
        <v>556</v>
      </c>
      <c r="F43" s="492" t="s">
        <v>507</v>
      </c>
      <c r="G43" s="494">
        <v>25</v>
      </c>
      <c r="H43" s="494">
        <v>133</v>
      </c>
    </row>
    <row r="44" spans="1:8" x14ac:dyDescent="0.25">
      <c r="A44" s="492" t="s">
        <v>92</v>
      </c>
      <c r="B44" s="492" t="s">
        <v>91</v>
      </c>
      <c r="C44" s="492">
        <v>96.316400000000002</v>
      </c>
      <c r="D44" s="492" t="s">
        <v>513</v>
      </c>
      <c r="E44" s="492" t="s">
        <v>556</v>
      </c>
      <c r="F44" s="492" t="s">
        <v>507</v>
      </c>
      <c r="G44" s="494">
        <v>15</v>
      </c>
      <c r="H44" s="494">
        <v>74</v>
      </c>
    </row>
    <row r="45" spans="1:8" x14ac:dyDescent="0.25">
      <c r="A45" s="492" t="s">
        <v>18</v>
      </c>
      <c r="B45" s="492" t="s">
        <v>17</v>
      </c>
      <c r="C45" s="492">
        <v>97.240183461538507</v>
      </c>
      <c r="D45" s="492" t="s">
        <v>513</v>
      </c>
      <c r="E45" s="492" t="s">
        <v>556</v>
      </c>
      <c r="F45" s="492" t="s">
        <v>507</v>
      </c>
      <c r="G45" s="494">
        <v>116</v>
      </c>
      <c r="H45" s="494">
        <v>659</v>
      </c>
    </row>
    <row r="46" spans="1:8" x14ac:dyDescent="0.25">
      <c r="A46" s="492" t="s">
        <v>186</v>
      </c>
      <c r="B46" s="492" t="s">
        <v>184</v>
      </c>
      <c r="C46" s="492">
        <v>97.718582999999995</v>
      </c>
      <c r="D46" s="492" t="s">
        <v>513</v>
      </c>
      <c r="E46" s="492" t="s">
        <v>556</v>
      </c>
      <c r="F46" s="492" t="s">
        <v>462</v>
      </c>
      <c r="G46" s="494">
        <v>29</v>
      </c>
      <c r="H46" s="494">
        <v>182</v>
      </c>
    </row>
    <row r="47" spans="1:8" x14ac:dyDescent="0.25">
      <c r="A47" s="492" t="s">
        <v>223</v>
      </c>
      <c r="B47" s="492" t="s">
        <v>222</v>
      </c>
      <c r="C47" s="492">
        <v>97.724566999999993</v>
      </c>
      <c r="D47" s="492" t="s">
        <v>513</v>
      </c>
      <c r="E47" s="492" t="s">
        <v>556</v>
      </c>
      <c r="F47" s="492" t="s">
        <v>1096</v>
      </c>
      <c r="G47" s="494">
        <v>124</v>
      </c>
      <c r="H47" s="494">
        <v>544</v>
      </c>
    </row>
    <row r="48" spans="1:8" x14ac:dyDescent="0.25">
      <c r="A48" s="492" t="s">
        <v>190</v>
      </c>
      <c r="B48" s="492" t="s">
        <v>189</v>
      </c>
      <c r="C48" s="492">
        <v>97.717133000000004</v>
      </c>
      <c r="D48" s="492" t="s">
        <v>513</v>
      </c>
      <c r="E48" s="492" t="s">
        <v>556</v>
      </c>
      <c r="F48" s="492" t="s">
        <v>462</v>
      </c>
      <c r="G48" s="494">
        <v>188</v>
      </c>
      <c r="H48" s="494">
        <v>993</v>
      </c>
    </row>
    <row r="49" spans="1:8" x14ac:dyDescent="0.25">
      <c r="A49" s="492" t="s">
        <v>320</v>
      </c>
      <c r="B49" s="492" t="s">
        <v>319</v>
      </c>
      <c r="C49" s="492">
        <v>97.451965000000001</v>
      </c>
      <c r="D49" s="492" t="s">
        <v>513</v>
      </c>
      <c r="E49" s="492" t="s">
        <v>556</v>
      </c>
      <c r="F49" s="492" t="s">
        <v>462</v>
      </c>
      <c r="G49" s="494">
        <v>25</v>
      </c>
      <c r="H49" s="494">
        <v>138</v>
      </c>
    </row>
    <row r="50" spans="1:8" x14ac:dyDescent="0.25">
      <c r="A50" s="492" t="s">
        <v>322</v>
      </c>
      <c r="B50" s="492" t="s">
        <v>321</v>
      </c>
      <c r="C50" s="492">
        <v>97.715230000000005</v>
      </c>
      <c r="D50" s="492" t="s">
        <v>515</v>
      </c>
      <c r="E50" s="492" t="s">
        <v>556</v>
      </c>
      <c r="F50" s="492" t="s">
        <v>1097</v>
      </c>
      <c r="G50" s="494">
        <v>608</v>
      </c>
      <c r="H50" s="494">
        <v>2636</v>
      </c>
    </row>
    <row r="51" spans="1:8" x14ac:dyDescent="0.25">
      <c r="A51" s="492" t="s">
        <v>328</v>
      </c>
      <c r="B51" s="492" t="s">
        <v>327</v>
      </c>
      <c r="C51" s="492">
        <v>97.433419259259296</v>
      </c>
      <c r="D51" s="492" t="s">
        <v>513</v>
      </c>
      <c r="E51" s="492" t="s">
        <v>556</v>
      </c>
      <c r="F51" s="492" t="s">
        <v>507</v>
      </c>
      <c r="G51" s="494">
        <v>135</v>
      </c>
      <c r="H51" s="494">
        <v>729</v>
      </c>
    </row>
    <row r="52" spans="1:8" x14ac:dyDescent="0.25">
      <c r="A52" s="492" t="s">
        <v>330</v>
      </c>
      <c r="B52" s="492" t="s">
        <v>329</v>
      </c>
      <c r="C52" s="492">
        <v>97.437782499999997</v>
      </c>
      <c r="D52" s="492" t="s">
        <v>513</v>
      </c>
      <c r="E52" s="492" t="s">
        <v>556</v>
      </c>
      <c r="F52" s="492" t="s">
        <v>1097</v>
      </c>
      <c r="G52" s="494">
        <v>227</v>
      </c>
      <c r="H52" s="494">
        <v>1221</v>
      </c>
    </row>
    <row r="53" spans="1:8" x14ac:dyDescent="0.25">
      <c r="A53" s="492" t="s">
        <v>324</v>
      </c>
      <c r="B53" s="492" t="s">
        <v>323</v>
      </c>
      <c r="C53" s="492">
        <v>97.434855869565197</v>
      </c>
      <c r="D53" s="492" t="s">
        <v>513</v>
      </c>
      <c r="E53" s="492" t="s">
        <v>556</v>
      </c>
      <c r="F53" s="492" t="s">
        <v>462</v>
      </c>
      <c r="G53" s="494">
        <v>428</v>
      </c>
      <c r="H53" s="494">
        <v>2219</v>
      </c>
    </row>
    <row r="54" spans="1:8" x14ac:dyDescent="0.25">
      <c r="A54" s="492" t="s">
        <v>326</v>
      </c>
      <c r="B54" s="492" t="s">
        <v>325</v>
      </c>
      <c r="C54" s="492">
        <v>97.426536944444507</v>
      </c>
      <c r="D54" s="492" t="s">
        <v>513</v>
      </c>
      <c r="E54" s="492" t="s">
        <v>556</v>
      </c>
      <c r="F54" s="492" t="s">
        <v>462</v>
      </c>
      <c r="G54" s="494">
        <v>48</v>
      </c>
      <c r="H54" s="494">
        <v>199</v>
      </c>
    </row>
    <row r="55" spans="1:8" x14ac:dyDescent="0.25">
      <c r="A55" s="492" t="s">
        <v>891</v>
      </c>
      <c r="B55" s="492" t="s">
        <v>892</v>
      </c>
      <c r="C55" s="492">
        <v>97.225881000000001</v>
      </c>
      <c r="D55" s="492" t="s">
        <v>513</v>
      </c>
      <c r="E55" s="492" t="s">
        <v>556</v>
      </c>
      <c r="F55" s="492" t="s">
        <v>462</v>
      </c>
      <c r="G55" s="494">
        <v>372</v>
      </c>
      <c r="H55" s="494">
        <v>1443</v>
      </c>
    </row>
    <row r="56" spans="1:8" x14ac:dyDescent="0.25">
      <c r="A56" s="492" t="s">
        <v>949</v>
      </c>
      <c r="B56" s="492" t="s">
        <v>948</v>
      </c>
      <c r="C56" s="492">
        <v>97.227057000000002</v>
      </c>
      <c r="D56" s="492" t="s">
        <v>513</v>
      </c>
      <c r="E56" s="492" t="s">
        <v>556</v>
      </c>
      <c r="F56" s="492" t="s">
        <v>1096</v>
      </c>
      <c r="G56" s="494">
        <v>123</v>
      </c>
      <c r="H56" s="494">
        <v>582</v>
      </c>
    </row>
    <row r="57" spans="1:8" x14ac:dyDescent="0.25">
      <c r="A57" s="492" t="s">
        <v>259</v>
      </c>
      <c r="B57" s="492" t="s">
        <v>258</v>
      </c>
      <c r="C57" s="492">
        <v>97.4113064583333</v>
      </c>
      <c r="D57" s="492" t="s">
        <v>513</v>
      </c>
      <c r="E57" s="492" t="s">
        <v>556</v>
      </c>
      <c r="F57" s="492" t="s">
        <v>462</v>
      </c>
      <c r="G57" s="494">
        <v>72</v>
      </c>
      <c r="H57" s="494">
        <v>375</v>
      </c>
    </row>
    <row r="58" spans="1:8" x14ac:dyDescent="0.25">
      <c r="A58" s="492" t="s">
        <v>202</v>
      </c>
      <c r="B58" s="492" t="s">
        <v>201</v>
      </c>
      <c r="C58" s="492">
        <v>97.325019999999995</v>
      </c>
      <c r="D58" s="492" t="s">
        <v>513</v>
      </c>
      <c r="E58" s="492" t="s">
        <v>556</v>
      </c>
      <c r="F58" s="492" t="s">
        <v>1096</v>
      </c>
      <c r="G58" s="494">
        <v>261</v>
      </c>
      <c r="H58" s="494">
        <v>1155</v>
      </c>
    </row>
    <row r="59" spans="1:8" x14ac:dyDescent="0.25">
      <c r="A59" s="492" t="s">
        <v>261</v>
      </c>
      <c r="B59" s="492" t="s">
        <v>260</v>
      </c>
      <c r="C59" s="492">
        <v>97.418694000000002</v>
      </c>
      <c r="D59" s="492" t="s">
        <v>513</v>
      </c>
      <c r="E59" s="492" t="s">
        <v>556</v>
      </c>
      <c r="F59" s="492" t="s">
        <v>462</v>
      </c>
      <c r="G59" s="494">
        <v>96</v>
      </c>
      <c r="H59" s="494">
        <v>505</v>
      </c>
    </row>
    <row r="60" spans="1:8" x14ac:dyDescent="0.25">
      <c r="A60" s="492" t="s">
        <v>160</v>
      </c>
      <c r="B60" s="492" t="s">
        <v>159</v>
      </c>
      <c r="C60" s="492">
        <v>97.589979999999997</v>
      </c>
      <c r="D60" s="492" t="s">
        <v>513</v>
      </c>
      <c r="E60" s="492" t="s">
        <v>556</v>
      </c>
      <c r="F60" s="492" t="s">
        <v>462</v>
      </c>
      <c r="G60" s="494">
        <v>114</v>
      </c>
      <c r="H60" s="494">
        <v>539</v>
      </c>
    </row>
    <row r="61" spans="1:8" x14ac:dyDescent="0.25">
      <c r="A61" s="492" t="s">
        <v>1102</v>
      </c>
      <c r="B61" s="492" t="s">
        <v>1103</v>
      </c>
      <c r="C61" s="492">
        <v>97.590767</v>
      </c>
      <c r="D61" s="492" t="s">
        <v>513</v>
      </c>
      <c r="E61" s="492" t="s">
        <v>556</v>
      </c>
      <c r="F61" s="492" t="s">
        <v>462</v>
      </c>
      <c r="G61" s="494">
        <v>114</v>
      </c>
      <c r="H61" s="494">
        <v>524</v>
      </c>
    </row>
    <row r="62" spans="1:8" x14ac:dyDescent="0.25">
      <c r="A62" s="492" t="s">
        <v>154</v>
      </c>
      <c r="B62" s="492" t="s">
        <v>153</v>
      </c>
      <c r="C62" s="492">
        <v>97.578490000000002</v>
      </c>
      <c r="D62" s="492" t="s">
        <v>513</v>
      </c>
      <c r="E62" s="492" t="s">
        <v>556</v>
      </c>
      <c r="F62" s="492" t="s">
        <v>1096</v>
      </c>
      <c r="G62" s="494">
        <v>458</v>
      </c>
      <c r="H62" s="494">
        <v>2139</v>
      </c>
    </row>
    <row r="63" spans="1:8" x14ac:dyDescent="0.25">
      <c r="A63" s="492" t="s">
        <v>1068</v>
      </c>
      <c r="B63" s="492" t="s">
        <v>1069</v>
      </c>
      <c r="C63" s="492">
        <v>97.578367</v>
      </c>
      <c r="D63" s="492" t="s">
        <v>513</v>
      </c>
      <c r="E63" s="492" t="s">
        <v>556</v>
      </c>
      <c r="F63" s="492" t="s">
        <v>1096</v>
      </c>
      <c r="G63" s="494">
        <v>123</v>
      </c>
      <c r="H63" s="494">
        <v>555</v>
      </c>
    </row>
    <row r="64" spans="1:8" x14ac:dyDescent="0.25">
      <c r="A64" s="492" t="s">
        <v>167</v>
      </c>
      <c r="B64" s="492" t="s">
        <v>165</v>
      </c>
      <c r="C64" s="492">
        <v>97.124403000000001</v>
      </c>
      <c r="D64" s="492" t="s">
        <v>513</v>
      </c>
      <c r="E64" s="492" t="s">
        <v>556</v>
      </c>
      <c r="F64" s="492" t="s">
        <v>462</v>
      </c>
      <c r="G64" s="494">
        <v>38</v>
      </c>
      <c r="H64" s="494">
        <v>164</v>
      </c>
    </row>
    <row r="65" spans="1:8" x14ac:dyDescent="0.25">
      <c r="A65" s="492" t="s">
        <v>828</v>
      </c>
      <c r="B65" s="492" t="s">
        <v>829</v>
      </c>
      <c r="C65" s="492">
        <v>97.116680000000002</v>
      </c>
      <c r="D65" s="492" t="s">
        <v>513</v>
      </c>
      <c r="E65" s="492" t="s">
        <v>556</v>
      </c>
      <c r="F65" s="492" t="s">
        <v>1282</v>
      </c>
      <c r="G65" s="494">
        <v>31</v>
      </c>
      <c r="H65" s="494">
        <v>183</v>
      </c>
    </row>
    <row r="66" spans="1:8" x14ac:dyDescent="0.25">
      <c r="A66" s="492" t="s">
        <v>176</v>
      </c>
      <c r="B66" s="492" t="s">
        <v>175</v>
      </c>
      <c r="C66" s="492">
        <v>96.942279999999997</v>
      </c>
      <c r="D66" s="492" t="s">
        <v>513</v>
      </c>
      <c r="E66" s="492" t="s">
        <v>556</v>
      </c>
      <c r="F66" s="492" t="s">
        <v>462</v>
      </c>
      <c r="G66" s="494">
        <v>18</v>
      </c>
      <c r="H66" s="494">
        <v>79</v>
      </c>
    </row>
    <row r="67" spans="1:8" x14ac:dyDescent="0.25">
      <c r="A67" s="492" t="s">
        <v>152</v>
      </c>
      <c r="B67" s="492" t="s">
        <v>150</v>
      </c>
      <c r="C67" s="492">
        <v>97.291820000000001</v>
      </c>
      <c r="D67" s="492" t="s">
        <v>513</v>
      </c>
      <c r="E67" s="492" t="s">
        <v>556</v>
      </c>
      <c r="F67" s="492" t="s">
        <v>462</v>
      </c>
      <c r="G67" s="494">
        <v>221</v>
      </c>
      <c r="H67" s="494">
        <v>1003</v>
      </c>
    </row>
    <row r="68" spans="1:8" x14ac:dyDescent="0.25">
      <c r="A68" s="492" t="s">
        <v>263</v>
      </c>
      <c r="B68" s="492" t="s">
        <v>262</v>
      </c>
      <c r="C68" s="492">
        <v>97.2843958974359</v>
      </c>
      <c r="D68" s="492" t="s">
        <v>513</v>
      </c>
      <c r="E68" s="492" t="s">
        <v>556</v>
      </c>
      <c r="F68" s="492" t="s">
        <v>507</v>
      </c>
      <c r="G68" s="494">
        <v>22</v>
      </c>
      <c r="H68" s="494">
        <v>104</v>
      </c>
    </row>
    <row r="69" spans="1:8" x14ac:dyDescent="0.25">
      <c r="A69" s="492" t="s">
        <v>265</v>
      </c>
      <c r="B69" s="492" t="s">
        <v>264</v>
      </c>
      <c r="C69" s="492">
        <v>97.290952037037002</v>
      </c>
      <c r="D69" s="492" t="s">
        <v>513</v>
      </c>
      <c r="E69" s="492" t="s">
        <v>556</v>
      </c>
      <c r="F69" s="492" t="s">
        <v>507</v>
      </c>
      <c r="G69" s="494">
        <v>14</v>
      </c>
      <c r="H69" s="494">
        <v>73</v>
      </c>
    </row>
    <row r="70" spans="1:8" x14ac:dyDescent="0.25">
      <c r="A70" s="492" t="s">
        <v>100</v>
      </c>
      <c r="B70" s="492" t="s">
        <v>99</v>
      </c>
      <c r="C70" s="492">
        <v>96.319829999999996</v>
      </c>
      <c r="D70" s="492" t="s">
        <v>513</v>
      </c>
      <c r="E70" s="492" t="s">
        <v>556</v>
      </c>
      <c r="F70" s="492" t="s">
        <v>507</v>
      </c>
      <c r="G70" s="494">
        <v>5</v>
      </c>
      <c r="H70" s="494">
        <v>26</v>
      </c>
    </row>
    <row r="71" spans="1:8" x14ac:dyDescent="0.25">
      <c r="A71" s="492" t="s">
        <v>368</v>
      </c>
      <c r="B71" s="492" t="s">
        <v>385</v>
      </c>
      <c r="C71" s="492">
        <v>97.793019999999999</v>
      </c>
      <c r="D71" s="492" t="s">
        <v>513</v>
      </c>
      <c r="E71" s="492" t="s">
        <v>556</v>
      </c>
      <c r="F71" s="492" t="s">
        <v>462</v>
      </c>
      <c r="G71" s="494">
        <v>79</v>
      </c>
      <c r="H71" s="494">
        <v>318</v>
      </c>
    </row>
    <row r="72" spans="1:8" x14ac:dyDescent="0.25">
      <c r="A72" s="492" t="s">
        <v>209</v>
      </c>
      <c r="B72" s="492" t="s">
        <v>208</v>
      </c>
      <c r="C72" s="492">
        <v>97.344359999999995</v>
      </c>
      <c r="D72" s="492" t="s">
        <v>513</v>
      </c>
      <c r="E72" s="492" t="s">
        <v>556</v>
      </c>
      <c r="F72" s="492" t="s">
        <v>462</v>
      </c>
      <c r="G72" s="494">
        <v>207</v>
      </c>
      <c r="H72" s="494">
        <v>1863</v>
      </c>
    </row>
    <row r="73" spans="1:8" x14ac:dyDescent="0.25">
      <c r="A73" s="492" t="s">
        <v>233</v>
      </c>
      <c r="B73" s="492" t="s">
        <v>232</v>
      </c>
      <c r="C73" s="492">
        <v>98.320651999999995</v>
      </c>
      <c r="D73" s="492" t="s">
        <v>515</v>
      </c>
      <c r="E73" s="492" t="s">
        <v>556</v>
      </c>
      <c r="F73" s="492" t="s">
        <v>462</v>
      </c>
      <c r="G73" s="494">
        <v>9</v>
      </c>
      <c r="H73" s="494">
        <v>52</v>
      </c>
    </row>
    <row r="74" spans="1:8" x14ac:dyDescent="0.25">
      <c r="A74" s="492" t="s">
        <v>371</v>
      </c>
      <c r="B74" s="492" t="s">
        <v>147</v>
      </c>
      <c r="C74" s="492">
        <v>98.220614999999995</v>
      </c>
      <c r="D74" s="492" t="s">
        <v>513</v>
      </c>
      <c r="E74" s="492" t="s">
        <v>556</v>
      </c>
      <c r="F74" s="492" t="s">
        <v>462</v>
      </c>
      <c r="G74" s="494">
        <v>51</v>
      </c>
      <c r="H74" s="494">
        <v>261</v>
      </c>
    </row>
    <row r="75" spans="1:8" x14ac:dyDescent="0.25">
      <c r="A75" s="492" t="s">
        <v>1109</v>
      </c>
      <c r="B75" s="492" t="s">
        <v>1108</v>
      </c>
      <c r="C75" s="492" t="s">
        <v>865</v>
      </c>
      <c r="D75" s="492" t="s">
        <v>513</v>
      </c>
      <c r="E75" s="492" t="s">
        <v>556</v>
      </c>
      <c r="F75" s="492" t="s">
        <v>1282</v>
      </c>
      <c r="G75" s="494">
        <v>23</v>
      </c>
      <c r="H75" s="494">
        <v>112</v>
      </c>
    </row>
    <row r="76" spans="1:8" x14ac:dyDescent="0.25">
      <c r="A76" s="492" t="s">
        <v>1060</v>
      </c>
      <c r="B76" s="492" t="s">
        <v>1061</v>
      </c>
      <c r="C76" s="492">
        <v>97.909400000000005</v>
      </c>
      <c r="D76" s="492" t="s">
        <v>513</v>
      </c>
      <c r="E76" s="492" t="s">
        <v>556</v>
      </c>
      <c r="F76" s="492" t="s">
        <v>462</v>
      </c>
      <c r="G76" s="494">
        <v>55</v>
      </c>
      <c r="H76" s="494">
        <v>237</v>
      </c>
    </row>
    <row r="77" spans="1:8" x14ac:dyDescent="0.25">
      <c r="A77" s="492" t="s">
        <v>1070</v>
      </c>
      <c r="B77" s="492" t="s">
        <v>1071</v>
      </c>
      <c r="C77" s="492">
        <v>97.911647000000002</v>
      </c>
      <c r="D77" s="492" t="s">
        <v>513</v>
      </c>
      <c r="E77" s="492" t="s">
        <v>556</v>
      </c>
      <c r="F77" s="492" t="s">
        <v>1282</v>
      </c>
      <c r="G77" s="494">
        <v>26</v>
      </c>
      <c r="H77" s="494">
        <v>111</v>
      </c>
    </row>
    <row r="78" spans="1:8" x14ac:dyDescent="0.25">
      <c r="A78" s="492" t="s">
        <v>8</v>
      </c>
      <c r="B78" s="492" t="s">
        <v>7</v>
      </c>
      <c r="C78" s="492">
        <v>97.234200000000001</v>
      </c>
      <c r="D78" s="492" t="s">
        <v>513</v>
      </c>
      <c r="E78" s="492" t="s">
        <v>556</v>
      </c>
      <c r="F78" s="492" t="s">
        <v>507</v>
      </c>
      <c r="G78" s="494">
        <v>23</v>
      </c>
      <c r="H78" s="494">
        <v>86</v>
      </c>
    </row>
    <row r="79" spans="1:8" x14ac:dyDescent="0.25">
      <c r="A79" s="492" t="s">
        <v>292</v>
      </c>
      <c r="B79" s="492" t="s">
        <v>291</v>
      </c>
      <c r="C79" s="492">
        <v>97.681970000000007</v>
      </c>
      <c r="D79" s="492" t="s">
        <v>513</v>
      </c>
      <c r="E79" s="492" t="s">
        <v>556</v>
      </c>
      <c r="F79" s="492" t="s">
        <v>462</v>
      </c>
      <c r="G79" s="494">
        <v>82</v>
      </c>
      <c r="H79" s="494">
        <v>408</v>
      </c>
    </row>
    <row r="80" spans="1:8" x14ac:dyDescent="0.25">
      <c r="A80" s="492" t="s">
        <v>290</v>
      </c>
      <c r="B80" s="492" t="s">
        <v>288</v>
      </c>
      <c r="C80" s="492">
        <v>97.669557999999995</v>
      </c>
      <c r="D80" s="492" t="s">
        <v>513</v>
      </c>
      <c r="E80" s="492" t="s">
        <v>556</v>
      </c>
      <c r="F80" s="492" t="s">
        <v>462</v>
      </c>
      <c r="G80" s="494">
        <v>68</v>
      </c>
      <c r="H80" s="494">
        <v>376</v>
      </c>
    </row>
    <row r="81" spans="1:8" x14ac:dyDescent="0.25">
      <c r="A81" s="492" t="s">
        <v>1062</v>
      </c>
      <c r="B81" s="492" t="s">
        <v>1063</v>
      </c>
      <c r="C81" s="492">
        <v>97.700940000000003</v>
      </c>
      <c r="D81" s="492" t="s">
        <v>513</v>
      </c>
      <c r="E81" s="492" t="s">
        <v>556</v>
      </c>
      <c r="F81" s="492" t="s">
        <v>462</v>
      </c>
      <c r="G81" s="494">
        <v>41</v>
      </c>
      <c r="H81" s="494">
        <v>225</v>
      </c>
    </row>
    <row r="82" spans="1:8" x14ac:dyDescent="0.25">
      <c r="A82" s="492" t="s">
        <v>374</v>
      </c>
      <c r="B82" s="492" t="s">
        <v>295</v>
      </c>
      <c r="C82" s="492">
        <v>97.670360000000002</v>
      </c>
      <c r="D82" s="492" t="s">
        <v>513</v>
      </c>
      <c r="E82" s="492" t="s">
        <v>556</v>
      </c>
      <c r="F82" s="492" t="s">
        <v>1282</v>
      </c>
      <c r="G82" s="494">
        <v>48</v>
      </c>
      <c r="H82" s="494">
        <v>218</v>
      </c>
    </row>
    <row r="83" spans="1:8" x14ac:dyDescent="0.25">
      <c r="A83" s="492" t="s">
        <v>149</v>
      </c>
      <c r="B83" s="492" t="s">
        <v>148</v>
      </c>
      <c r="C83" s="492">
        <v>97.818979999999996</v>
      </c>
      <c r="D83" s="492" t="s">
        <v>513</v>
      </c>
      <c r="E83" s="492" t="s">
        <v>556</v>
      </c>
      <c r="F83" s="492" t="s">
        <v>462</v>
      </c>
      <c r="G83" s="494">
        <v>71</v>
      </c>
      <c r="H83" s="494">
        <v>278</v>
      </c>
    </row>
    <row r="84" spans="1:8" x14ac:dyDescent="0.25">
      <c r="A84" s="492" t="s">
        <v>613</v>
      </c>
      <c r="B84" s="492" t="s">
        <v>46</v>
      </c>
      <c r="C84" s="492">
        <v>96.339590000000001</v>
      </c>
      <c r="D84" s="492" t="s">
        <v>513</v>
      </c>
      <c r="E84" s="492" t="s">
        <v>556</v>
      </c>
      <c r="F84" s="492" t="s">
        <v>507</v>
      </c>
      <c r="G84" s="494">
        <v>17</v>
      </c>
      <c r="H84" s="494">
        <v>64</v>
      </c>
    </row>
    <row r="85" spans="1:8" x14ac:dyDescent="0.25">
      <c r="A85" s="492" t="s">
        <v>827</v>
      </c>
      <c r="B85" s="492" t="s">
        <v>297</v>
      </c>
      <c r="C85" s="492">
        <v>97.404089999999997</v>
      </c>
      <c r="D85" s="492" t="s">
        <v>513</v>
      </c>
      <c r="E85" s="492" t="s">
        <v>556</v>
      </c>
      <c r="F85" s="492" t="s">
        <v>462</v>
      </c>
      <c r="G85" s="494">
        <v>10</v>
      </c>
      <c r="H85" s="494">
        <v>41</v>
      </c>
    </row>
    <row r="86" spans="1:8" x14ac:dyDescent="0.25">
      <c r="A86" s="492" t="s">
        <v>1074</v>
      </c>
      <c r="B86" s="492" t="s">
        <v>1067</v>
      </c>
      <c r="C86" s="492">
        <v>97.709879999999998</v>
      </c>
      <c r="D86" s="492" t="s">
        <v>513</v>
      </c>
      <c r="E86" s="492" t="s">
        <v>556</v>
      </c>
      <c r="F86" s="492" t="s">
        <v>462</v>
      </c>
      <c r="G86" s="494">
        <v>141</v>
      </c>
      <c r="H86" s="494">
        <v>669</v>
      </c>
    </row>
    <row r="87" spans="1:8" x14ac:dyDescent="0.25">
      <c r="A87" s="492" t="s">
        <v>271</v>
      </c>
      <c r="B87" s="492" t="s">
        <v>270</v>
      </c>
      <c r="C87" s="492">
        <v>97.359320179999997</v>
      </c>
      <c r="D87" s="492" t="s">
        <v>513</v>
      </c>
      <c r="E87" s="492" t="s">
        <v>556</v>
      </c>
      <c r="F87" s="492" t="s">
        <v>1097</v>
      </c>
      <c r="G87" s="494">
        <v>69</v>
      </c>
      <c r="H87" s="494">
        <v>325</v>
      </c>
    </row>
    <row r="88" spans="1:8" x14ac:dyDescent="0.25">
      <c r="A88" s="492" t="s">
        <v>20</v>
      </c>
      <c r="B88" s="492" t="s">
        <v>19</v>
      </c>
      <c r="C88" s="492">
        <v>97.315860000000001</v>
      </c>
      <c r="D88" s="492" t="s">
        <v>513</v>
      </c>
      <c r="E88" s="492" t="s">
        <v>556</v>
      </c>
      <c r="F88" s="492" t="s">
        <v>1096</v>
      </c>
      <c r="G88" s="494">
        <v>20</v>
      </c>
      <c r="H88" s="494">
        <v>103</v>
      </c>
    </row>
    <row r="89" spans="1:8" x14ac:dyDescent="0.25">
      <c r="A89" s="492" t="s">
        <v>108</v>
      </c>
      <c r="B89" s="492" t="s">
        <v>107</v>
      </c>
      <c r="C89" s="492">
        <v>96.341352999999998</v>
      </c>
      <c r="D89" s="492" t="s">
        <v>513</v>
      </c>
      <c r="E89" s="492" t="s">
        <v>556</v>
      </c>
      <c r="F89" s="492" t="s">
        <v>1097</v>
      </c>
      <c r="G89" s="494">
        <v>54</v>
      </c>
      <c r="H89" s="494">
        <v>254</v>
      </c>
    </row>
    <row r="90" spans="1:8" x14ac:dyDescent="0.25">
      <c r="A90" s="492" t="s">
        <v>178</v>
      </c>
      <c r="B90" s="492" t="s">
        <v>177</v>
      </c>
      <c r="C90" s="492">
        <v>96.948740000000001</v>
      </c>
      <c r="D90" s="492" t="s">
        <v>513</v>
      </c>
      <c r="E90" s="492" t="s">
        <v>556</v>
      </c>
      <c r="F90" s="492" t="s">
        <v>462</v>
      </c>
      <c r="G90" s="494">
        <v>14</v>
      </c>
      <c r="H90" s="494">
        <v>44</v>
      </c>
    </row>
    <row r="91" spans="1:8" x14ac:dyDescent="0.25">
      <c r="A91" s="492" t="s">
        <v>344</v>
      </c>
      <c r="B91" s="492" t="s">
        <v>343</v>
      </c>
      <c r="C91" s="492">
        <v>97.345039</v>
      </c>
      <c r="D91" s="492" t="s">
        <v>513</v>
      </c>
      <c r="E91" s="492" t="s">
        <v>556</v>
      </c>
      <c r="F91" s="492" t="s">
        <v>507</v>
      </c>
      <c r="G91" s="494">
        <v>18</v>
      </c>
      <c r="H91" s="494">
        <v>82</v>
      </c>
    </row>
    <row r="92" spans="1:8" x14ac:dyDescent="0.25">
      <c r="A92" s="492" t="s">
        <v>287</v>
      </c>
      <c r="B92" s="492" t="s">
        <v>286</v>
      </c>
      <c r="C92" s="492">
        <v>96.364949999999993</v>
      </c>
      <c r="D92" s="492" t="s">
        <v>513</v>
      </c>
      <c r="E92" s="492" t="s">
        <v>556</v>
      </c>
      <c r="F92" s="492" t="s">
        <v>462</v>
      </c>
      <c r="G92" s="494">
        <v>18</v>
      </c>
      <c r="H92" s="494">
        <v>141</v>
      </c>
    </row>
    <row r="93" spans="1:8" x14ac:dyDescent="0.25">
      <c r="A93" s="492" t="s">
        <v>215</v>
      </c>
      <c r="B93" s="492" t="s">
        <v>214</v>
      </c>
      <c r="C93" s="492">
        <v>97.669366999999994</v>
      </c>
      <c r="D93" s="492" t="s">
        <v>515</v>
      </c>
      <c r="E93" s="492" t="s">
        <v>556</v>
      </c>
      <c r="F93" s="492" t="s">
        <v>1096</v>
      </c>
      <c r="G93" s="494">
        <v>375</v>
      </c>
      <c r="H93" s="494">
        <v>1598</v>
      </c>
    </row>
    <row r="94" spans="1:8" x14ac:dyDescent="0.25">
      <c r="A94" s="492" t="s">
        <v>217</v>
      </c>
      <c r="B94" s="492" t="s">
        <v>216</v>
      </c>
      <c r="C94" s="492">
        <v>97.347740000000002</v>
      </c>
      <c r="D94" s="492" t="s">
        <v>513</v>
      </c>
      <c r="E94" s="492" t="s">
        <v>556</v>
      </c>
      <c r="F94" s="492" t="s">
        <v>507</v>
      </c>
      <c r="G94" s="494">
        <v>24</v>
      </c>
      <c r="H94" s="494">
        <v>89</v>
      </c>
    </row>
    <row r="95" spans="1:8" x14ac:dyDescent="0.25">
      <c r="A95" s="492" t="s">
        <v>269</v>
      </c>
      <c r="B95" s="492" t="s">
        <v>268</v>
      </c>
      <c r="C95" s="492">
        <v>97.394547000000003</v>
      </c>
      <c r="D95" s="492" t="s">
        <v>513</v>
      </c>
      <c r="E95" s="492" t="s">
        <v>556</v>
      </c>
      <c r="F95" s="492" t="s">
        <v>462</v>
      </c>
      <c r="G95" s="494">
        <v>57</v>
      </c>
      <c r="H95" s="494">
        <v>233</v>
      </c>
    </row>
    <row r="96" spans="1:8" x14ac:dyDescent="0.25">
      <c r="A96" s="492" t="s">
        <v>229</v>
      </c>
      <c r="B96" s="492" t="s">
        <v>228</v>
      </c>
      <c r="C96" s="492">
        <v>97.724483000000006</v>
      </c>
      <c r="D96" s="492" t="s">
        <v>513</v>
      </c>
      <c r="E96" s="492" t="s">
        <v>556</v>
      </c>
      <c r="F96" s="492" t="s">
        <v>462</v>
      </c>
      <c r="G96" s="494">
        <v>50</v>
      </c>
      <c r="H96" s="494">
        <v>293</v>
      </c>
    </row>
    <row r="97" spans="1:8" x14ac:dyDescent="0.25">
      <c r="A97" s="492" t="s">
        <v>273</v>
      </c>
      <c r="B97" s="492" t="s">
        <v>272</v>
      </c>
      <c r="C97" s="492">
        <v>97.4345</v>
      </c>
      <c r="D97" s="492" t="s">
        <v>513</v>
      </c>
      <c r="E97" s="492" t="s">
        <v>556</v>
      </c>
      <c r="F97" s="492" t="s">
        <v>1097</v>
      </c>
      <c r="G97" s="494">
        <v>45</v>
      </c>
      <c r="H97" s="494">
        <v>262</v>
      </c>
    </row>
    <row r="98" spans="1:8" x14ac:dyDescent="0.25">
      <c r="A98" s="492" t="s">
        <v>219</v>
      </c>
      <c r="B98" s="492" t="s">
        <v>218</v>
      </c>
      <c r="C98" s="492">
        <v>97.752667000000002</v>
      </c>
      <c r="D98" s="492" t="s">
        <v>515</v>
      </c>
      <c r="E98" s="492" t="s">
        <v>556</v>
      </c>
      <c r="F98" s="492" t="s">
        <v>1096</v>
      </c>
      <c r="G98" s="494">
        <v>677</v>
      </c>
      <c r="H98" s="494">
        <v>3622</v>
      </c>
    </row>
    <row r="99" spans="1:8" x14ac:dyDescent="0.25">
      <c r="A99" s="492" t="s">
        <v>870</v>
      </c>
      <c r="B99" s="492" t="s">
        <v>869</v>
      </c>
      <c r="C99" s="492">
        <v>98.377780000000001</v>
      </c>
      <c r="D99" s="492" t="s">
        <v>513</v>
      </c>
      <c r="E99" s="492" t="s">
        <v>556</v>
      </c>
      <c r="F99" s="492" t="s">
        <v>1097</v>
      </c>
      <c r="G99" s="494">
        <v>65</v>
      </c>
      <c r="H99" s="494">
        <v>306</v>
      </c>
    </row>
    <row r="100" spans="1:8" x14ac:dyDescent="0.25">
      <c r="A100" s="492" t="s">
        <v>366</v>
      </c>
      <c r="B100" s="492" t="s">
        <v>376</v>
      </c>
      <c r="C100" s="492">
        <v>97.252650000000003</v>
      </c>
      <c r="D100" s="492" t="s">
        <v>513</v>
      </c>
      <c r="E100" s="492" t="s">
        <v>556</v>
      </c>
      <c r="F100" s="492" t="s">
        <v>462</v>
      </c>
      <c r="G100" s="494">
        <v>157</v>
      </c>
      <c r="H100" s="494">
        <v>761</v>
      </c>
    </row>
    <row r="101" spans="1:8" x14ac:dyDescent="0.25">
      <c r="A101" s="492" t="s">
        <v>355</v>
      </c>
      <c r="B101" s="492" t="s">
        <v>354</v>
      </c>
      <c r="C101" s="492">
        <v>97.990555999999998</v>
      </c>
      <c r="D101" s="492" t="s">
        <v>515</v>
      </c>
      <c r="E101" s="492" t="s">
        <v>556</v>
      </c>
      <c r="F101" s="492" t="s">
        <v>1097</v>
      </c>
      <c r="G101" s="494">
        <v>108</v>
      </c>
      <c r="H101" s="494">
        <v>647</v>
      </c>
    </row>
    <row r="102" spans="1:8" x14ac:dyDescent="0.25">
      <c r="A102" s="492" t="s">
        <v>318</v>
      </c>
      <c r="B102" s="492" t="s">
        <v>317</v>
      </c>
      <c r="C102" s="492">
        <v>97.441166388888902</v>
      </c>
      <c r="D102" s="492" t="s">
        <v>513</v>
      </c>
      <c r="E102" s="492" t="s">
        <v>556</v>
      </c>
      <c r="F102" s="492" t="s">
        <v>507</v>
      </c>
      <c r="G102" s="494">
        <v>94</v>
      </c>
      <c r="H102" s="494">
        <v>342</v>
      </c>
    </row>
    <row r="103" spans="1:8" x14ac:dyDescent="0.25">
      <c r="A103" s="492" t="s">
        <v>342</v>
      </c>
      <c r="B103" s="492" t="s">
        <v>341</v>
      </c>
      <c r="C103" s="492">
        <v>97.438432380952406</v>
      </c>
      <c r="D103" s="492" t="s">
        <v>513</v>
      </c>
      <c r="E103" s="492" t="s">
        <v>556</v>
      </c>
      <c r="F103" s="492" t="s">
        <v>462</v>
      </c>
      <c r="G103" s="494">
        <v>65</v>
      </c>
      <c r="H103" s="494">
        <v>322</v>
      </c>
    </row>
    <row r="104" spans="1:8" x14ac:dyDescent="0.25">
      <c r="A104" s="492" t="s">
        <v>338</v>
      </c>
      <c r="B104" s="492" t="s">
        <v>337</v>
      </c>
      <c r="C104" s="492">
        <v>97.437472666666693</v>
      </c>
      <c r="D104" s="492" t="s">
        <v>513</v>
      </c>
      <c r="E104" s="492" t="s">
        <v>556</v>
      </c>
      <c r="F104" s="492" t="s">
        <v>507</v>
      </c>
      <c r="G104" s="494">
        <v>31</v>
      </c>
      <c r="H104" s="494">
        <v>171</v>
      </c>
    </row>
    <row r="105" spans="1:8" x14ac:dyDescent="0.25">
      <c r="A105" s="492" t="s">
        <v>351</v>
      </c>
      <c r="B105" s="492" t="s">
        <v>350</v>
      </c>
      <c r="C105" s="492">
        <v>97.432495000000003</v>
      </c>
      <c r="D105" s="492" t="s">
        <v>513</v>
      </c>
      <c r="E105" s="492" t="s">
        <v>556</v>
      </c>
      <c r="F105" s="492" t="s">
        <v>507</v>
      </c>
      <c r="G105" s="494">
        <v>91</v>
      </c>
      <c r="H105" s="494">
        <v>484</v>
      </c>
    </row>
    <row r="106" spans="1:8" x14ac:dyDescent="0.25">
      <c r="A106" s="492" t="s">
        <v>118</v>
      </c>
      <c r="B106" s="492" t="s">
        <v>117</v>
      </c>
      <c r="C106" s="492">
        <v>96.279200000000003</v>
      </c>
      <c r="D106" s="492" t="s">
        <v>513</v>
      </c>
      <c r="E106" s="492" t="s">
        <v>556</v>
      </c>
      <c r="F106" s="492" t="s">
        <v>507</v>
      </c>
      <c r="G106" s="494">
        <v>10</v>
      </c>
      <c r="H106" s="494">
        <v>39</v>
      </c>
    </row>
    <row r="107" spans="1:8" x14ac:dyDescent="0.25">
      <c r="A107" s="492" t="s">
        <v>22</v>
      </c>
      <c r="B107" s="492" t="s">
        <v>21</v>
      </c>
      <c r="C107" s="492">
        <v>97.229116811594196</v>
      </c>
      <c r="D107" s="492" t="s">
        <v>513</v>
      </c>
      <c r="E107" s="492" t="s">
        <v>556</v>
      </c>
      <c r="F107" s="492" t="s">
        <v>462</v>
      </c>
      <c r="G107" s="494">
        <v>652</v>
      </c>
      <c r="H107" s="494">
        <v>3706</v>
      </c>
    </row>
    <row r="108" spans="1:8" x14ac:dyDescent="0.25">
      <c r="A108" s="492" t="s">
        <v>124</v>
      </c>
      <c r="B108" s="492" t="s">
        <v>123</v>
      </c>
      <c r="C108" s="492">
        <v>96.353030000000004</v>
      </c>
      <c r="D108" s="492" t="s">
        <v>513</v>
      </c>
      <c r="E108" s="492" t="s">
        <v>556</v>
      </c>
      <c r="F108" s="492" t="s">
        <v>462</v>
      </c>
      <c r="G108" s="494">
        <v>8</v>
      </c>
      <c r="H108" s="494">
        <v>40</v>
      </c>
    </row>
    <row r="109" spans="1:8" x14ac:dyDescent="0.25">
      <c r="A109" s="492" t="s">
        <v>1026</v>
      </c>
      <c r="B109" s="492" t="s">
        <v>1027</v>
      </c>
      <c r="C109" s="492">
        <v>98.356260000000006</v>
      </c>
      <c r="D109" s="492" t="s">
        <v>513</v>
      </c>
      <c r="E109" s="492" t="s">
        <v>556</v>
      </c>
      <c r="F109" s="492" t="s">
        <v>1097</v>
      </c>
      <c r="G109" s="494">
        <v>30</v>
      </c>
      <c r="H109" s="494">
        <v>181</v>
      </c>
    </row>
    <row r="110" spans="1:8" x14ac:dyDescent="0.25">
      <c r="A110" s="492" t="s">
        <v>225</v>
      </c>
      <c r="B110" s="492" t="s">
        <v>224</v>
      </c>
      <c r="C110" s="492">
        <v>97.710864000000001</v>
      </c>
      <c r="D110" s="492" t="s">
        <v>513</v>
      </c>
      <c r="E110" s="492" t="s">
        <v>556</v>
      </c>
      <c r="F110" s="492" t="s">
        <v>462</v>
      </c>
      <c r="G110" s="494">
        <v>45</v>
      </c>
      <c r="H110" s="494">
        <v>269</v>
      </c>
    </row>
    <row r="111" spans="1:8" x14ac:dyDescent="0.25">
      <c r="A111" s="492" t="s">
        <v>277</v>
      </c>
      <c r="B111" s="492" t="s">
        <v>276</v>
      </c>
      <c r="C111" s="492">
        <v>97.399628000000007</v>
      </c>
      <c r="D111" s="492" t="s">
        <v>513</v>
      </c>
      <c r="E111" s="492" t="s">
        <v>556</v>
      </c>
      <c r="F111" s="492" t="s">
        <v>462</v>
      </c>
      <c r="G111" s="494">
        <v>95</v>
      </c>
      <c r="H111" s="494">
        <v>385</v>
      </c>
    </row>
    <row r="112" spans="1:8" x14ac:dyDescent="0.25">
      <c r="A112" s="492" t="s">
        <v>279</v>
      </c>
      <c r="B112" s="492" t="s">
        <v>278</v>
      </c>
      <c r="C112" s="492">
        <v>97.418004999999994</v>
      </c>
      <c r="D112" s="492" t="s">
        <v>513</v>
      </c>
      <c r="E112" s="492" t="s">
        <v>556</v>
      </c>
      <c r="F112" s="492" t="s">
        <v>507</v>
      </c>
      <c r="G112" s="494">
        <v>28</v>
      </c>
      <c r="H112" s="494">
        <v>132</v>
      </c>
    </row>
    <row r="113" spans="1:8" x14ac:dyDescent="0.25">
      <c r="A113" s="492" t="s">
        <v>347</v>
      </c>
      <c r="B113" s="492" t="s">
        <v>346</v>
      </c>
      <c r="C113" s="492">
        <v>98.025662999999994</v>
      </c>
      <c r="D113" s="492" t="s">
        <v>513</v>
      </c>
      <c r="E113" s="492" t="s">
        <v>556</v>
      </c>
      <c r="F113" s="492" t="s">
        <v>462</v>
      </c>
      <c r="G113" s="494">
        <v>183</v>
      </c>
      <c r="H113" s="494">
        <v>919</v>
      </c>
    </row>
    <row r="114" spans="1:8" x14ac:dyDescent="0.25">
      <c r="A114" s="492" t="s">
        <v>306</v>
      </c>
      <c r="B114" s="492" t="s">
        <v>305</v>
      </c>
      <c r="C114" s="492">
        <v>96.807353000000006</v>
      </c>
      <c r="D114" s="492" t="s">
        <v>513</v>
      </c>
      <c r="E114" s="492" t="s">
        <v>556</v>
      </c>
      <c r="F114" s="492" t="s">
        <v>462</v>
      </c>
      <c r="G114" s="494">
        <v>83</v>
      </c>
      <c r="H114" s="494">
        <v>293</v>
      </c>
    </row>
    <row r="115" spans="1:8" x14ac:dyDescent="0.25">
      <c r="A115" s="492" t="s">
        <v>308</v>
      </c>
      <c r="B115" s="492" t="s">
        <v>307</v>
      </c>
      <c r="C115" s="492">
        <v>96.807353000000006</v>
      </c>
      <c r="D115" s="492" t="s">
        <v>513</v>
      </c>
      <c r="E115" s="492" t="s">
        <v>556</v>
      </c>
      <c r="F115" s="492" t="s">
        <v>1096</v>
      </c>
      <c r="G115" s="494">
        <v>41</v>
      </c>
      <c r="H115" s="494">
        <v>152</v>
      </c>
    </row>
    <row r="116" spans="1:8" x14ac:dyDescent="0.25">
      <c r="A116" s="492" t="s">
        <v>281</v>
      </c>
      <c r="B116" s="492" t="s">
        <v>280</v>
      </c>
      <c r="C116" s="492">
        <v>97.419403000000003</v>
      </c>
      <c r="D116" s="492" t="s">
        <v>513</v>
      </c>
      <c r="E116" s="492" t="s">
        <v>556</v>
      </c>
      <c r="F116" s="492" t="s">
        <v>462</v>
      </c>
      <c r="G116" s="494">
        <v>90</v>
      </c>
      <c r="H116" s="494">
        <v>487</v>
      </c>
    </row>
    <row r="117" spans="1:8" x14ac:dyDescent="0.25">
      <c r="A117" s="492" t="s">
        <v>181</v>
      </c>
      <c r="B117" s="492" t="s">
        <v>179</v>
      </c>
      <c r="C117" s="492">
        <v>96.367059999999995</v>
      </c>
      <c r="D117" s="492" t="s">
        <v>513</v>
      </c>
      <c r="E117" s="492" t="s">
        <v>556</v>
      </c>
      <c r="F117" s="492" t="s">
        <v>1097</v>
      </c>
      <c r="G117" s="494">
        <v>12</v>
      </c>
      <c r="H117" s="494">
        <v>55</v>
      </c>
    </row>
    <row r="118" spans="1:8" x14ac:dyDescent="0.25">
      <c r="A118" s="492" t="s">
        <v>813</v>
      </c>
      <c r="B118" s="492" t="s">
        <v>817</v>
      </c>
      <c r="C118" s="492">
        <v>97.568836000000005</v>
      </c>
      <c r="D118" s="492" t="s">
        <v>513</v>
      </c>
      <c r="E118" s="492" t="s">
        <v>556</v>
      </c>
      <c r="F118" s="492" t="s">
        <v>865</v>
      </c>
      <c r="G118" s="494">
        <v>5</v>
      </c>
      <c r="H118" s="494">
        <v>32</v>
      </c>
    </row>
    <row r="119" spans="1:8" x14ac:dyDescent="0.25">
      <c r="A119" s="492" t="s">
        <v>24</v>
      </c>
      <c r="B119" s="492" t="s">
        <v>23</v>
      </c>
      <c r="C119" s="492">
        <v>97.227789999999999</v>
      </c>
      <c r="D119" s="492" t="s">
        <v>513</v>
      </c>
      <c r="E119" s="492" t="s">
        <v>556</v>
      </c>
      <c r="F119" s="492" t="s">
        <v>507</v>
      </c>
      <c r="G119" s="494">
        <v>25</v>
      </c>
      <c r="H119" s="494">
        <v>104</v>
      </c>
    </row>
    <row r="120" spans="1:8" x14ac:dyDescent="0.25">
      <c r="A120" s="492" t="s">
        <v>238</v>
      </c>
      <c r="B120" s="492" t="s">
        <v>236</v>
      </c>
      <c r="C120" s="492">
        <v>97.386718999999999</v>
      </c>
      <c r="D120" s="492" t="s">
        <v>513</v>
      </c>
      <c r="E120" s="492" t="s">
        <v>556</v>
      </c>
      <c r="F120" s="492" t="s">
        <v>462</v>
      </c>
      <c r="G120" s="494">
        <v>70</v>
      </c>
      <c r="H120" s="494">
        <v>369</v>
      </c>
    </row>
    <row r="121" spans="1:8" x14ac:dyDescent="0.25">
      <c r="A121" s="492" t="s">
        <v>249</v>
      </c>
      <c r="B121" s="492" t="s">
        <v>248</v>
      </c>
      <c r="C121" s="492">
        <v>97.389778000000007</v>
      </c>
      <c r="D121" s="492" t="s">
        <v>513</v>
      </c>
      <c r="E121" s="492" t="s">
        <v>556</v>
      </c>
      <c r="F121" s="492" t="s">
        <v>507</v>
      </c>
      <c r="G121" s="494">
        <v>12</v>
      </c>
      <c r="H121" s="494">
        <v>57</v>
      </c>
    </row>
    <row r="122" spans="1:8" x14ac:dyDescent="0.25">
      <c r="A122" s="492" t="s">
        <v>251</v>
      </c>
      <c r="B122" s="492" t="s">
        <v>250</v>
      </c>
      <c r="C122" s="492">
        <v>97.377662999999998</v>
      </c>
      <c r="D122" s="492" t="s">
        <v>513</v>
      </c>
      <c r="E122" s="492" t="s">
        <v>556</v>
      </c>
      <c r="F122" s="492" t="s">
        <v>462</v>
      </c>
      <c r="G122" s="494">
        <v>32</v>
      </c>
      <c r="H122" s="494">
        <v>146</v>
      </c>
    </row>
    <row r="123" spans="1:8" x14ac:dyDescent="0.25">
      <c r="A123" s="492" t="s">
        <v>275</v>
      </c>
      <c r="B123" s="492" t="s">
        <v>274</v>
      </c>
      <c r="C123" s="492">
        <v>97.382192000000003</v>
      </c>
      <c r="D123" s="492" t="s">
        <v>513</v>
      </c>
      <c r="E123" s="492" t="s">
        <v>556</v>
      </c>
      <c r="F123" s="492" t="s">
        <v>462</v>
      </c>
      <c r="G123" s="494">
        <v>44</v>
      </c>
      <c r="H123" s="494">
        <v>212</v>
      </c>
    </row>
    <row r="124" spans="1:8" x14ac:dyDescent="0.25">
      <c r="A124" s="492" t="s">
        <v>349</v>
      </c>
      <c r="B124" s="492" t="s">
        <v>348</v>
      </c>
      <c r="C124" s="492">
        <v>97.428251153846105</v>
      </c>
      <c r="D124" s="492" t="s">
        <v>513</v>
      </c>
      <c r="E124" s="492" t="s">
        <v>556</v>
      </c>
      <c r="F124" s="492" t="s">
        <v>507</v>
      </c>
      <c r="G124" s="494">
        <v>44</v>
      </c>
      <c r="H124" s="494">
        <v>182</v>
      </c>
    </row>
    <row r="125" spans="1:8" x14ac:dyDescent="0.25">
      <c r="A125" s="492" t="s">
        <v>316</v>
      </c>
      <c r="B125" s="492" t="s">
        <v>315</v>
      </c>
      <c r="C125" s="492">
        <v>97.444283730158702</v>
      </c>
      <c r="D125" s="492" t="s">
        <v>513</v>
      </c>
      <c r="E125" s="492" t="s">
        <v>556</v>
      </c>
      <c r="F125" s="492" t="s">
        <v>507</v>
      </c>
      <c r="G125" s="494">
        <v>90</v>
      </c>
      <c r="H125" s="494">
        <v>365</v>
      </c>
    </row>
    <row r="126" spans="1:8" x14ac:dyDescent="0.25">
      <c r="A126" s="492" t="s">
        <v>126</v>
      </c>
      <c r="B126" s="492" t="s">
        <v>125</v>
      </c>
      <c r="C126" s="492">
        <v>96.286680000000004</v>
      </c>
      <c r="D126" s="492" t="s">
        <v>513</v>
      </c>
      <c r="E126" s="492" t="s">
        <v>556</v>
      </c>
      <c r="F126" s="492" t="s">
        <v>462</v>
      </c>
      <c r="G126" s="494">
        <v>41</v>
      </c>
      <c r="H126" s="494">
        <v>201</v>
      </c>
    </row>
    <row r="127" spans="1:8" x14ac:dyDescent="0.25">
      <c r="A127" s="492" t="s">
        <v>353</v>
      </c>
      <c r="B127" s="492" t="s">
        <v>352</v>
      </c>
      <c r="C127" s="492">
        <v>97.546893999999995</v>
      </c>
      <c r="D127" s="492" t="s">
        <v>515</v>
      </c>
      <c r="E127" s="492" t="s">
        <v>556</v>
      </c>
      <c r="F127" s="492" t="s">
        <v>1097</v>
      </c>
      <c r="G127" s="494">
        <v>1348</v>
      </c>
      <c r="H127" s="494">
        <v>6839</v>
      </c>
    </row>
    <row r="128" spans="1:8" x14ac:dyDescent="0.25">
      <c r="A128" s="492" t="s">
        <v>283</v>
      </c>
      <c r="B128" s="492" t="s">
        <v>282</v>
      </c>
      <c r="C128" s="492">
        <v>97.403878500000005</v>
      </c>
      <c r="D128" s="492" t="s">
        <v>513</v>
      </c>
      <c r="E128" s="492" t="s">
        <v>556</v>
      </c>
      <c r="F128" s="492" t="s">
        <v>507</v>
      </c>
      <c r="G128" s="494">
        <v>7</v>
      </c>
      <c r="H128" s="494">
        <v>37</v>
      </c>
    </row>
    <row r="129" spans="1:8" x14ac:dyDescent="0.25">
      <c r="A129" s="492" t="s">
        <v>26</v>
      </c>
      <c r="B129" s="492" t="s">
        <v>25</v>
      </c>
      <c r="C129" s="492">
        <v>97.240639999999999</v>
      </c>
      <c r="D129" s="492" t="s">
        <v>513</v>
      </c>
      <c r="E129" s="492" t="s">
        <v>556</v>
      </c>
      <c r="F129" s="492" t="s">
        <v>507</v>
      </c>
      <c r="G129" s="494">
        <v>15</v>
      </c>
      <c r="H129" s="494">
        <v>64</v>
      </c>
    </row>
    <row r="130" spans="1:8" x14ac:dyDescent="0.25">
      <c r="A130" s="492" t="s">
        <v>140</v>
      </c>
      <c r="B130" s="492" t="s">
        <v>139</v>
      </c>
      <c r="C130" s="492">
        <v>96.306910999999999</v>
      </c>
      <c r="D130" s="492" t="s">
        <v>513</v>
      </c>
      <c r="E130" s="492" t="s">
        <v>556</v>
      </c>
      <c r="F130" s="492" t="s">
        <v>462</v>
      </c>
      <c r="G130" s="494">
        <v>20</v>
      </c>
      <c r="H130" s="494">
        <v>80</v>
      </c>
    </row>
    <row r="131" spans="1:8" x14ac:dyDescent="0.25">
      <c r="A131" s="492" t="s">
        <v>373</v>
      </c>
      <c r="B131" s="492" t="s">
        <v>387</v>
      </c>
      <c r="C131" s="492">
        <v>97.837040000000002</v>
      </c>
      <c r="D131" s="492" t="s">
        <v>513</v>
      </c>
      <c r="E131" s="492" t="s">
        <v>556</v>
      </c>
      <c r="F131" s="492" t="s">
        <v>462</v>
      </c>
      <c r="G131" s="494">
        <v>189</v>
      </c>
      <c r="H131" s="494">
        <v>935</v>
      </c>
    </row>
    <row r="132" spans="1:8" x14ac:dyDescent="0.25">
      <c r="A132" s="492" t="s">
        <v>1127</v>
      </c>
      <c r="B132" s="492" t="s">
        <v>1128</v>
      </c>
      <c r="C132" s="492" t="s">
        <v>865</v>
      </c>
      <c r="D132" s="492" t="s">
        <v>513</v>
      </c>
      <c r="E132" s="492" t="s">
        <v>556</v>
      </c>
      <c r="F132" s="492" t="s">
        <v>462</v>
      </c>
      <c r="G132" s="494">
        <v>50</v>
      </c>
      <c r="H132" s="494">
        <v>226</v>
      </c>
    </row>
    <row r="133" spans="1:8" x14ac:dyDescent="0.25">
      <c r="A133" s="492" t="s">
        <v>1257</v>
      </c>
      <c r="B133" s="492" t="s">
        <v>345</v>
      </c>
      <c r="C133" s="492">
        <v>97.751389000000003</v>
      </c>
      <c r="D133" s="492" t="s">
        <v>515</v>
      </c>
      <c r="E133" s="492" t="s">
        <v>556</v>
      </c>
      <c r="F133" s="492" t="s">
        <v>462</v>
      </c>
      <c r="G133" s="494">
        <v>191</v>
      </c>
      <c r="H133" s="494">
        <v>768</v>
      </c>
    </row>
    <row r="134" spans="1:8" x14ac:dyDescent="0.25">
      <c r="A134" s="492" t="s">
        <v>1258</v>
      </c>
      <c r="B134" s="492" t="s">
        <v>241</v>
      </c>
      <c r="C134" s="492">
        <v>97.387636874999998</v>
      </c>
      <c r="D134" s="492" t="s">
        <v>513</v>
      </c>
      <c r="E134" s="492" t="s">
        <v>556</v>
      </c>
      <c r="F134" s="492" t="s">
        <v>507</v>
      </c>
      <c r="G134" s="494">
        <v>68</v>
      </c>
      <c r="H134" s="494">
        <v>340</v>
      </c>
    </row>
    <row r="135" spans="1:8" x14ac:dyDescent="0.25">
      <c r="A135" s="492" t="s">
        <v>1259</v>
      </c>
      <c r="B135" s="492" t="s">
        <v>356</v>
      </c>
      <c r="C135" s="492">
        <v>97.756789999999995</v>
      </c>
      <c r="D135" s="492" t="s">
        <v>515</v>
      </c>
      <c r="E135" s="492" t="s">
        <v>556</v>
      </c>
      <c r="F135" s="492" t="s">
        <v>462</v>
      </c>
      <c r="G135" s="494">
        <v>620</v>
      </c>
      <c r="H135" s="494">
        <v>2782</v>
      </c>
    </row>
    <row r="136" spans="1:8" x14ac:dyDescent="0.25">
      <c r="A136" s="492" t="s">
        <v>1279</v>
      </c>
      <c r="B136" s="492" t="s">
        <v>1278</v>
      </c>
      <c r="C136" s="492">
        <v>97.416121000000004</v>
      </c>
      <c r="D136" s="492" t="s">
        <v>513</v>
      </c>
      <c r="E136" s="492" t="s">
        <v>556</v>
      </c>
      <c r="F136" s="492" t="s">
        <v>462</v>
      </c>
      <c r="G136" s="494">
        <v>58</v>
      </c>
      <c r="H136" s="494">
        <v>224</v>
      </c>
    </row>
    <row r="137" spans="1:8" x14ac:dyDescent="0.25">
      <c r="A137" s="492" t="s">
        <v>1295</v>
      </c>
      <c r="B137" s="492" t="s">
        <v>1277</v>
      </c>
      <c r="C137" s="492">
        <v>98.218626999999998</v>
      </c>
      <c r="D137" s="492" t="s">
        <v>513</v>
      </c>
      <c r="E137" s="492" t="s">
        <v>556</v>
      </c>
      <c r="F137" s="492" t="s">
        <v>462</v>
      </c>
      <c r="G137" s="494">
        <v>44</v>
      </c>
      <c r="H137" s="494">
        <v>273</v>
      </c>
    </row>
    <row r="138" spans="1:8" x14ac:dyDescent="0.25">
      <c r="A138" s="492" t="s">
        <v>1288</v>
      </c>
      <c r="B138" s="492" t="s">
        <v>1291</v>
      </c>
      <c r="C138" s="492" t="s">
        <v>865</v>
      </c>
      <c r="D138" s="492" t="s">
        <v>513</v>
      </c>
      <c r="E138" s="492" t="s">
        <v>556</v>
      </c>
      <c r="F138" s="492" t="s">
        <v>1097</v>
      </c>
      <c r="G138" s="494">
        <v>9</v>
      </c>
      <c r="H138" s="494">
        <v>39</v>
      </c>
    </row>
    <row r="139" spans="1:8" x14ac:dyDescent="0.25">
      <c r="A139" s="492" t="s">
        <v>1320</v>
      </c>
      <c r="B139" s="492" t="s">
        <v>1321</v>
      </c>
      <c r="C139" s="492">
        <v>97.745480999999998</v>
      </c>
      <c r="D139" s="492" t="s">
        <v>513</v>
      </c>
      <c r="E139" s="492" t="s">
        <v>556</v>
      </c>
      <c r="F139" s="492" t="s">
        <v>865</v>
      </c>
      <c r="G139" s="494">
        <v>161</v>
      </c>
      <c r="H139" s="494">
        <v>711</v>
      </c>
    </row>
    <row r="140" spans="1:8" x14ac:dyDescent="0.25">
      <c r="A140" s="492" t="s">
        <v>1323</v>
      </c>
      <c r="B140" s="492" t="s">
        <v>1324</v>
      </c>
      <c r="C140" s="492">
        <v>97.75609</v>
      </c>
      <c r="D140" s="492" t="s">
        <v>513</v>
      </c>
      <c r="E140" s="492" t="s">
        <v>556</v>
      </c>
      <c r="F140" s="492" t="s">
        <v>865</v>
      </c>
      <c r="G140" s="494"/>
      <c r="H140" s="494">
        <v>489</v>
      </c>
    </row>
    <row r="141" spans="1:8" x14ac:dyDescent="0.25">
      <c r="A141" s="492" t="s">
        <v>1347</v>
      </c>
      <c r="B141" s="492" t="s">
        <v>1348</v>
      </c>
      <c r="C141" s="492">
        <v>97.461271999999994</v>
      </c>
      <c r="D141" s="492" t="s">
        <v>513</v>
      </c>
      <c r="E141" s="492" t="s">
        <v>993</v>
      </c>
      <c r="F141" s="492" t="s">
        <v>865</v>
      </c>
      <c r="G141" s="494"/>
      <c r="H141" s="494">
        <v>49</v>
      </c>
    </row>
    <row r="142" spans="1:8" x14ac:dyDescent="0.25">
      <c r="A142" s="492" t="s">
        <v>1350</v>
      </c>
      <c r="B142" s="492" t="s">
        <v>1351</v>
      </c>
      <c r="C142" s="492">
        <v>29.52796</v>
      </c>
      <c r="D142" s="492" t="s">
        <v>513</v>
      </c>
      <c r="E142" s="492" t="s">
        <v>556</v>
      </c>
      <c r="F142" s="492" t="s">
        <v>865</v>
      </c>
      <c r="G142" s="494">
        <v>105</v>
      </c>
      <c r="H142" s="494">
        <v>568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D23"/>
  <sheetViews>
    <sheetView topLeftCell="A3" workbookViewId="0">
      <selection activeCell="D14" sqref="D14"/>
    </sheetView>
  </sheetViews>
  <sheetFormatPr defaultRowHeight="15" x14ac:dyDescent="0.25"/>
  <cols>
    <col min="1" max="1" width="16.5703125" bestFit="1" customWidth="1"/>
    <col min="2" max="2" width="22.5703125" bestFit="1" customWidth="1"/>
    <col min="3" max="3" width="11.7109375" bestFit="1" customWidth="1"/>
    <col min="4" max="5" width="15.7109375" bestFit="1" customWidth="1"/>
    <col min="6" max="6" width="16.28515625" bestFit="1" customWidth="1"/>
    <col min="7" max="7" width="10.5703125" bestFit="1" customWidth="1"/>
  </cols>
  <sheetData>
    <row r="1" spans="1:4" hidden="1" x14ac:dyDescent="0.25">
      <c r="A1" s="500" t="s">
        <v>500</v>
      </c>
      <c r="B1" s="492" t="s">
        <v>502</v>
      </c>
    </row>
    <row r="2" spans="1:4" hidden="1" x14ac:dyDescent="0.25"/>
    <row r="3" spans="1:4" x14ac:dyDescent="0.25">
      <c r="A3" s="500" t="s">
        <v>403</v>
      </c>
      <c r="B3" s="500" t="s">
        <v>0</v>
      </c>
      <c r="C3" s="500" t="s">
        <v>512</v>
      </c>
      <c r="D3" s="500" t="s">
        <v>560</v>
      </c>
    </row>
    <row r="4" spans="1:4" x14ac:dyDescent="0.25">
      <c r="A4" s="492" t="s">
        <v>852</v>
      </c>
      <c r="B4" s="492" t="s">
        <v>5</v>
      </c>
      <c r="C4" s="492" t="s">
        <v>14</v>
      </c>
      <c r="D4" s="492" t="s">
        <v>13</v>
      </c>
    </row>
    <row r="5" spans="1:4" x14ac:dyDescent="0.25">
      <c r="C5" s="492" t="s">
        <v>18</v>
      </c>
      <c r="D5" s="492" t="s">
        <v>17</v>
      </c>
    </row>
    <row r="6" spans="1:4" x14ac:dyDescent="0.25">
      <c r="C6" s="492" t="s">
        <v>366</v>
      </c>
      <c r="D6" s="492" t="s">
        <v>376</v>
      </c>
    </row>
    <row r="7" spans="1:4" x14ac:dyDescent="0.25">
      <c r="C7" s="492" t="s">
        <v>22</v>
      </c>
      <c r="D7" s="492" t="s">
        <v>21</v>
      </c>
    </row>
    <row r="8" spans="1:4" x14ac:dyDescent="0.25">
      <c r="C8" s="492" t="s">
        <v>26</v>
      </c>
      <c r="D8" s="492" t="s">
        <v>25</v>
      </c>
    </row>
    <row r="9" spans="1:4" x14ac:dyDescent="0.25">
      <c r="B9" s="492" t="s">
        <v>146</v>
      </c>
      <c r="C9" s="492" t="s">
        <v>369</v>
      </c>
      <c r="D9" s="492" t="s">
        <v>383</v>
      </c>
    </row>
    <row r="10" spans="1:4" x14ac:dyDescent="0.25">
      <c r="C10" s="492" t="s">
        <v>370</v>
      </c>
      <c r="D10" s="492" t="s">
        <v>384</v>
      </c>
    </row>
    <row r="11" spans="1:4" x14ac:dyDescent="0.25">
      <c r="C11" s="492" t="s">
        <v>373</v>
      </c>
      <c r="D11" s="492" t="s">
        <v>387</v>
      </c>
    </row>
    <row r="12" spans="1:4" x14ac:dyDescent="0.25">
      <c r="B12" s="492" t="s">
        <v>151</v>
      </c>
      <c r="C12" s="492" t="s">
        <v>160</v>
      </c>
      <c r="D12" s="492" t="s">
        <v>159</v>
      </c>
    </row>
    <row r="13" spans="1:4" x14ac:dyDescent="0.25">
      <c r="C13" s="492" t="s">
        <v>152</v>
      </c>
      <c r="D13" s="492" t="s">
        <v>150</v>
      </c>
    </row>
    <row r="14" spans="1:4" x14ac:dyDescent="0.25">
      <c r="B14" s="492" t="s">
        <v>185</v>
      </c>
      <c r="C14" s="492" t="s">
        <v>202</v>
      </c>
      <c r="D14" s="492" t="s">
        <v>201</v>
      </c>
    </row>
    <row r="15" spans="1:4" x14ac:dyDescent="0.25">
      <c r="C15" s="492" t="s">
        <v>209</v>
      </c>
      <c r="D15" s="492" t="s">
        <v>208</v>
      </c>
    </row>
    <row r="16" spans="1:4" x14ac:dyDescent="0.25">
      <c r="C16" s="492" t="s">
        <v>217</v>
      </c>
      <c r="D16" s="492" t="s">
        <v>216</v>
      </c>
    </row>
    <row r="17" spans="2:4" x14ac:dyDescent="0.25">
      <c r="B17" s="492" t="s">
        <v>230</v>
      </c>
      <c r="C17" s="492" t="s">
        <v>1060</v>
      </c>
      <c r="D17" s="492" t="s">
        <v>1061</v>
      </c>
    </row>
    <row r="18" spans="2:4" x14ac:dyDescent="0.25">
      <c r="C18" s="492" t="s">
        <v>1070</v>
      </c>
      <c r="D18" s="492" t="s">
        <v>1071</v>
      </c>
    </row>
    <row r="19" spans="2:4" x14ac:dyDescent="0.25">
      <c r="B19" s="492" t="s">
        <v>289</v>
      </c>
      <c r="C19" s="492" t="s">
        <v>1062</v>
      </c>
      <c r="D19" s="492" t="s">
        <v>1063</v>
      </c>
    </row>
    <row r="20" spans="2:4" x14ac:dyDescent="0.25">
      <c r="C20" s="492" t="s">
        <v>1074</v>
      </c>
      <c r="D20" s="492" t="s">
        <v>1067</v>
      </c>
    </row>
    <row r="21" spans="2:4" x14ac:dyDescent="0.25">
      <c r="B21" s="492" t="s">
        <v>302</v>
      </c>
      <c r="C21" s="492" t="s">
        <v>306</v>
      </c>
      <c r="D21" s="492" t="s">
        <v>305</v>
      </c>
    </row>
    <row r="22" spans="2:4" x14ac:dyDescent="0.25">
      <c r="B22" s="492" t="s">
        <v>310</v>
      </c>
      <c r="C22" s="492" t="s">
        <v>353</v>
      </c>
      <c r="D22" s="492" t="s">
        <v>352</v>
      </c>
    </row>
    <row r="23" spans="2:4" x14ac:dyDescent="0.25">
      <c r="B23" s="492" t="s">
        <v>784</v>
      </c>
      <c r="C23" s="492" t="s">
        <v>1295</v>
      </c>
      <c r="D23" s="492" t="s">
        <v>1277</v>
      </c>
    </row>
  </sheetData>
  <pageMargins left="0.25" right="0.25"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AT324"/>
  <sheetViews>
    <sheetView showZeros="0" zoomScale="85" zoomScaleNormal="85" workbookViewId="0">
      <pane xSplit="1" ySplit="4" topLeftCell="E5" activePane="bottomRight" state="frozen"/>
      <selection activeCell="AS915" sqref="AS915"/>
      <selection pane="topRight" activeCell="AS915" sqref="AS915"/>
      <selection pane="bottomLeft" activeCell="AS915" sqref="AS915"/>
      <selection pane="bottomRight" activeCell="J33" sqref="J33"/>
    </sheetView>
  </sheetViews>
  <sheetFormatPr defaultColWidth="9.140625" defaultRowHeight="15" x14ac:dyDescent="0.25"/>
  <cols>
    <col min="1" max="1" width="21.7109375" customWidth="1"/>
    <col min="2" max="2" width="16" customWidth="1"/>
    <col min="3" max="3" width="14.85546875" customWidth="1"/>
    <col min="4" max="4" width="13.42578125" customWidth="1"/>
    <col min="5" max="5" width="17.140625" customWidth="1"/>
    <col min="6" max="6" width="42.140625" customWidth="1"/>
    <col min="7" max="7" width="17.7109375" customWidth="1"/>
    <col min="8" max="8" width="20.85546875" customWidth="1"/>
    <col min="9" max="9" width="14.28515625" customWidth="1"/>
    <col min="10" max="10" width="19.85546875" customWidth="1"/>
    <col min="11" max="11" width="15.85546875" customWidth="1"/>
    <col min="12" max="12" width="15.42578125" customWidth="1"/>
    <col min="13" max="13" width="18.5703125" customWidth="1"/>
    <col min="14" max="14" width="23.7109375" customWidth="1"/>
    <col min="15" max="15" width="19.5703125" customWidth="1"/>
    <col min="16" max="16" width="16.5703125" customWidth="1"/>
    <col min="17" max="17" width="20" style="4" customWidth="1"/>
    <col min="18" max="18" width="16.140625" style="4" customWidth="1"/>
    <col min="19" max="19" width="32.28515625" customWidth="1"/>
    <col min="20" max="20" width="7.85546875" customWidth="1"/>
    <col min="21" max="21" width="13.7109375" customWidth="1"/>
    <col min="22" max="22" width="13.7109375" style="492" customWidth="1"/>
    <col min="23" max="23" width="43.85546875" bestFit="1" customWidth="1"/>
    <col min="24" max="16384" width="9.140625" style="4"/>
  </cols>
  <sheetData>
    <row r="1" spans="1:46" s="18" customFormat="1" ht="36" x14ac:dyDescent="0.25">
      <c r="A1" s="369"/>
      <c r="B1" s="310"/>
      <c r="C1" s="310"/>
      <c r="D1" s="310"/>
      <c r="E1" s="310"/>
      <c r="F1" s="310"/>
      <c r="G1" s="310"/>
      <c r="H1" s="310"/>
      <c r="I1" s="310"/>
      <c r="J1" s="310"/>
      <c r="K1" s="310"/>
      <c r="L1" s="310"/>
      <c r="M1" s="310"/>
      <c r="N1" s="310"/>
      <c r="O1" s="310"/>
      <c r="P1" s="310"/>
      <c r="Q1" s="253"/>
      <c r="R1" s="253"/>
      <c r="S1" s="253"/>
      <c r="T1" s="253"/>
      <c r="U1" s="253"/>
      <c r="V1" s="531"/>
      <c r="W1" s="254"/>
      <c r="AS1" s="60"/>
      <c r="AT1" s="60"/>
    </row>
    <row r="2" spans="1:46" s="18" customFormat="1" ht="36" x14ac:dyDescent="0.25">
      <c r="A2" s="854" t="s">
        <v>1299</v>
      </c>
      <c r="B2" s="849"/>
      <c r="C2" s="849"/>
      <c r="D2" s="276"/>
      <c r="E2" s="276"/>
      <c r="F2" s="276"/>
      <c r="G2" s="276"/>
      <c r="H2" s="276"/>
      <c r="I2" s="276"/>
      <c r="J2" s="276"/>
      <c r="K2" s="276"/>
      <c r="L2" s="276"/>
      <c r="M2" s="276"/>
      <c r="N2" s="276"/>
      <c r="O2" s="276"/>
      <c r="P2" s="276"/>
      <c r="Q2" s="216"/>
      <c r="R2" s="216"/>
      <c r="S2" s="216"/>
      <c r="T2" s="216"/>
      <c r="U2" s="216"/>
      <c r="V2" s="509"/>
      <c r="W2" s="255"/>
      <c r="AS2" s="60"/>
      <c r="AT2" s="60"/>
    </row>
    <row r="3" spans="1:46" s="18" customFormat="1" ht="18" customHeight="1" x14ac:dyDescent="0.25">
      <c r="A3" s="845">
        <f>Report_Date</f>
        <v>42370</v>
      </c>
      <c r="B3" s="846"/>
      <c r="C3" s="846"/>
      <c r="D3" s="846"/>
      <c r="E3" s="846"/>
      <c r="F3" s="846"/>
      <c r="G3" s="846"/>
      <c r="H3" s="846"/>
      <c r="I3" s="846"/>
      <c r="J3" s="846"/>
      <c r="K3" s="846"/>
      <c r="L3" s="846"/>
      <c r="M3" s="846"/>
      <c r="N3" s="846"/>
      <c r="O3" s="846"/>
      <c r="P3" s="846"/>
      <c r="Q3" s="423"/>
      <c r="R3" s="257"/>
      <c r="S3" s="257"/>
      <c r="T3" s="257"/>
      <c r="U3" s="257"/>
      <c r="V3" s="257"/>
      <c r="W3" s="258"/>
      <c r="AS3" s="60"/>
      <c r="AT3" s="60"/>
    </row>
    <row r="4" spans="1:46" ht="57" customHeight="1" x14ac:dyDescent="0.25">
      <c r="A4" s="401" t="s">
        <v>503</v>
      </c>
      <c r="B4" s="402" t="s">
        <v>403</v>
      </c>
      <c r="C4" s="403" t="s">
        <v>1300</v>
      </c>
      <c r="D4" s="402" t="s">
        <v>396</v>
      </c>
      <c r="E4" s="402" t="s">
        <v>0</v>
      </c>
      <c r="F4" s="402" t="s">
        <v>512</v>
      </c>
      <c r="G4" s="402" t="s">
        <v>1301</v>
      </c>
      <c r="H4" s="404" t="s">
        <v>1310</v>
      </c>
      <c r="I4" s="404" t="s">
        <v>1302</v>
      </c>
      <c r="J4" s="405" t="s">
        <v>1303</v>
      </c>
      <c r="K4" s="405" t="s">
        <v>1304</v>
      </c>
      <c r="L4" s="405" t="s">
        <v>1305</v>
      </c>
      <c r="M4" s="406" t="s">
        <v>1306</v>
      </c>
      <c r="N4" s="406" t="s">
        <v>1307</v>
      </c>
      <c r="O4" s="406" t="s">
        <v>1308</v>
      </c>
      <c r="P4" s="407" t="s">
        <v>1309</v>
      </c>
      <c r="Q4" s="408" t="s">
        <v>1012</v>
      </c>
      <c r="R4" s="408" t="s">
        <v>1011</v>
      </c>
      <c r="S4" s="409" t="s">
        <v>560</v>
      </c>
      <c r="T4" s="410" t="s">
        <v>500</v>
      </c>
      <c r="U4" s="406" t="s">
        <v>442</v>
      </c>
      <c r="V4" s="726" t="s">
        <v>1326</v>
      </c>
      <c r="W4" s="411" t="s">
        <v>1052</v>
      </c>
    </row>
    <row r="5" spans="1:46" ht="15" customHeight="1" x14ac:dyDescent="0.25">
      <c r="A5" s="392">
        <v>41609</v>
      </c>
      <c r="B5" s="221" t="s">
        <v>454</v>
      </c>
      <c r="C5" s="221" t="s">
        <v>462</v>
      </c>
      <c r="D5" s="221" t="s">
        <v>380</v>
      </c>
      <c r="E5" s="226" t="s">
        <v>529</v>
      </c>
      <c r="F5" s="221" t="s">
        <v>62</v>
      </c>
      <c r="G5" s="190">
        <v>1</v>
      </c>
      <c r="H5" s="190"/>
      <c r="I5" s="190"/>
      <c r="J5" s="190">
        <v>20</v>
      </c>
      <c r="K5" s="190">
        <v>20</v>
      </c>
      <c r="L5" s="221"/>
      <c r="M5" s="221"/>
      <c r="N5" s="221"/>
      <c r="O5" s="221"/>
      <c r="P5" s="191">
        <f>IF(V5="NO",Table_Shelter[[#This Row],[HH per Shelter]]*(Table_Shelter[[#This Row],['# of Temporary Shelter Units Built]]+Table_Shelter[[#This Row],['# of Temporary Shelter Under  Construction]]+Table_Shelter[[#This Row],['# of Permanent House Under Construction]]),0)</f>
        <v>20</v>
      </c>
      <c r="Q5" s="191"/>
      <c r="R5" s="221"/>
      <c r="S5" s="221" t="str">
        <f>IFERROR(VLOOKUP(Table_Shelter[[#This Row],[CampName]],CL,2,0),"")</f>
        <v>MMR001CMP179</v>
      </c>
      <c r="T5" s="221" t="str">
        <f>IFERROR(VLOOKUP(Table_Shelter[[#This Row],[CampName]],CL,3,0),"")</f>
        <v>Open</v>
      </c>
      <c r="U5" s="393">
        <f>IFERROR(Table_Shelter[[#This Row],[HH Covered]]/VLOOKUP(Table_Shelter[[#This Row],[CampName]],CL,4,0),"")</f>
        <v>0.26315789473684209</v>
      </c>
      <c r="V5" s="725" t="s">
        <v>1328</v>
      </c>
      <c r="W5" s="394"/>
    </row>
    <row r="6" spans="1:46" ht="14.25" customHeight="1" x14ac:dyDescent="0.25">
      <c r="A6" s="392"/>
      <c r="B6" s="220" t="s">
        <v>868</v>
      </c>
      <c r="C6" s="220"/>
      <c r="D6" s="223" t="s">
        <v>380</v>
      </c>
      <c r="E6" s="525" t="s">
        <v>529</v>
      </c>
      <c r="F6" s="220" t="s">
        <v>62</v>
      </c>
      <c r="G6" s="145">
        <v>1</v>
      </c>
      <c r="H6" s="190">
        <v>25</v>
      </c>
      <c r="I6" s="190">
        <v>25</v>
      </c>
      <c r="J6" s="190"/>
      <c r="K6" s="190"/>
      <c r="L6" s="221"/>
      <c r="M6" s="221"/>
      <c r="N6" s="221"/>
      <c r="O6" s="221"/>
      <c r="P6" s="191">
        <f>IF(V6="NO",Table_Shelter[[#This Row],[HH per Shelter]]*(Table_Shelter[[#This Row],['# of Temporary Shelter Units Built]]+Table_Shelter[[#This Row],['# of Temporary Shelter Under  Construction]]+Table_Shelter[[#This Row],['# of Permanent House Under Construction]]),0)</f>
        <v>0</v>
      </c>
      <c r="Q6" s="191"/>
      <c r="R6" s="221"/>
      <c r="S6" s="221" t="str">
        <f>IFERROR(VLOOKUP(Table_Shelter[[#This Row],[CampName]],CL,2,0),"")</f>
        <v>MMR001CMP179</v>
      </c>
      <c r="T6" s="221" t="str">
        <f>IFERROR(VLOOKUP(Table_Shelter[[#This Row],[CampName]],CL,3,0),"")</f>
        <v>Open</v>
      </c>
      <c r="U6" s="393">
        <f>IFERROR(Table_Shelter[[#This Row],[HH Covered]]/VLOOKUP(Table_Shelter[[#This Row],[CampName]],CL,4,0),"")</f>
        <v>0</v>
      </c>
      <c r="V6" s="725" t="s">
        <v>1328</v>
      </c>
      <c r="W6" s="394"/>
    </row>
    <row r="7" spans="1:46" ht="15" customHeight="1" x14ac:dyDescent="0.25">
      <c r="A7" s="395"/>
      <c r="B7" s="220" t="s">
        <v>454</v>
      </c>
      <c r="C7" s="220" t="s">
        <v>508</v>
      </c>
      <c r="D7" s="220" t="s">
        <v>380</v>
      </c>
      <c r="E7" s="225" t="s">
        <v>529</v>
      </c>
      <c r="F7" s="220" t="s">
        <v>62</v>
      </c>
      <c r="G7" s="145">
        <v>1</v>
      </c>
      <c r="H7" s="145"/>
      <c r="I7" s="145"/>
      <c r="J7" s="145"/>
      <c r="K7" s="145"/>
      <c r="L7" s="220"/>
      <c r="M7" s="220"/>
      <c r="N7" s="220"/>
      <c r="O7" s="220"/>
      <c r="P7" s="191">
        <f>IF(V7="NO",Table_Shelter[[#This Row],[HH per Shelter]]*(Table_Shelter[[#This Row],['# of Temporary Shelter Units Built]]+Table_Shelter[[#This Row],['# of Temporary Shelter Under  Construction]]+Table_Shelter[[#This Row],['# of Permanent House Under Construction]]),0)</f>
        <v>0</v>
      </c>
      <c r="Q7" s="144">
        <v>44</v>
      </c>
      <c r="R7" s="220"/>
      <c r="S7" s="221" t="str">
        <f>IFERROR(VLOOKUP(Table_Shelter[[#This Row],[CampName]],CL,2,0),"")</f>
        <v>MMR001CMP179</v>
      </c>
      <c r="T7" s="221" t="str">
        <f>IFERROR(VLOOKUP(Table_Shelter[[#This Row],[CampName]],CL,3,0),"")</f>
        <v>Open</v>
      </c>
      <c r="U7" s="393">
        <f>IFERROR(Table_Shelter[[#This Row],[HH Covered]]/VLOOKUP(Table_Shelter[[#This Row],[CampName]],CL,4,0),"")</f>
        <v>0</v>
      </c>
      <c r="V7" s="725" t="s">
        <v>1328</v>
      </c>
      <c r="W7" s="394"/>
    </row>
    <row r="8" spans="1:46" ht="15" customHeight="1" x14ac:dyDescent="0.25">
      <c r="A8" s="395">
        <v>42416</v>
      </c>
      <c r="B8" s="220" t="s">
        <v>454</v>
      </c>
      <c r="C8" s="220" t="s">
        <v>508</v>
      </c>
      <c r="D8" s="220" t="s">
        <v>380</v>
      </c>
      <c r="E8" s="525" t="s">
        <v>529</v>
      </c>
      <c r="F8" s="220" t="s">
        <v>120</v>
      </c>
      <c r="G8" s="190">
        <v>1</v>
      </c>
      <c r="H8" s="190"/>
      <c r="I8" s="190"/>
      <c r="J8" s="190">
        <v>12</v>
      </c>
      <c r="K8" s="190">
        <v>12</v>
      </c>
      <c r="L8" s="221"/>
      <c r="M8" s="221"/>
      <c r="N8" s="221"/>
      <c r="O8" s="221"/>
      <c r="P8" s="191">
        <f>IF(V8="NO",Table_Shelter[[#This Row],[HH per Shelter]]*(Table_Shelter[[#This Row],['# of Temporary Shelter Units Built]]+Table_Shelter[[#This Row],['# of Temporary Shelter Under  Construction]]+Table_Shelter[[#This Row],['# of Permanent House Under Construction]]),0)</f>
        <v>12</v>
      </c>
      <c r="Q8" s="191"/>
      <c r="R8" s="221"/>
      <c r="S8" s="221" t="str">
        <f>IFERROR(VLOOKUP(Table_Shelter[[#This Row],[CampName]],CL,2,0),"")</f>
        <v>MMR001CMP168</v>
      </c>
      <c r="T8" s="221" t="str">
        <f>IFERROR(VLOOKUP(Table_Shelter[[#This Row],[CampName]],CL,3,0),"")</f>
        <v>Open</v>
      </c>
      <c r="U8" s="393">
        <f>IFERROR(Table_Shelter[[#This Row],[HH Covered]]/VLOOKUP(Table_Shelter[[#This Row],[CampName]],CL,4,0),"")</f>
        <v>0.16</v>
      </c>
      <c r="V8" s="725" t="s">
        <v>1328</v>
      </c>
      <c r="W8" s="394"/>
    </row>
    <row r="9" spans="1:46" ht="15" customHeight="1" x14ac:dyDescent="0.25">
      <c r="A9" s="395"/>
      <c r="B9" s="220" t="s">
        <v>574</v>
      </c>
      <c r="C9" s="220" t="s">
        <v>461</v>
      </c>
      <c r="D9" s="220" t="s">
        <v>380</v>
      </c>
      <c r="E9" s="525" t="s">
        <v>5</v>
      </c>
      <c r="F9" s="220" t="s">
        <v>6</v>
      </c>
      <c r="G9" s="145">
        <v>1</v>
      </c>
      <c r="H9" s="145"/>
      <c r="I9" s="145"/>
      <c r="J9" s="145">
        <v>6</v>
      </c>
      <c r="K9" s="145">
        <v>6</v>
      </c>
      <c r="L9" s="220"/>
      <c r="M9" s="220"/>
      <c r="N9" s="220"/>
      <c r="O9" s="220"/>
      <c r="P9" s="191">
        <f>IF(V9="NO",Table_Shelter[[#This Row],[HH per Shelter]]*(Table_Shelter[[#This Row],['# of Temporary Shelter Units Built]]+Table_Shelter[[#This Row],['# of Temporary Shelter Under  Construction]]+Table_Shelter[[#This Row],['# of Permanent House Under Construction]]),0)</f>
        <v>6</v>
      </c>
      <c r="Q9" s="144"/>
      <c r="R9" s="220"/>
      <c r="S9" s="221" t="str">
        <f>IFERROR(VLOOKUP(Table_Shelter[[#This Row],[CampName]],CL,2,0),"")</f>
        <v>MMR001CMP050</v>
      </c>
      <c r="T9" s="221" t="str">
        <f>IFERROR(VLOOKUP(Table_Shelter[[#This Row],[CampName]],CL,3,0),"")</f>
        <v>Open</v>
      </c>
      <c r="U9" s="393">
        <f>IFERROR(Table_Shelter[[#This Row],[HH Covered]]/VLOOKUP(Table_Shelter[[#This Row],[CampName]],CL,4,0),"")</f>
        <v>2.1897810218978103E-2</v>
      </c>
      <c r="V9" s="725" t="s">
        <v>1328</v>
      </c>
      <c r="W9" s="394"/>
    </row>
    <row r="10" spans="1:46" ht="15" customHeight="1" x14ac:dyDescent="0.25">
      <c r="A10" s="396"/>
      <c r="B10" s="222" t="s">
        <v>454</v>
      </c>
      <c r="C10" s="222" t="s">
        <v>461</v>
      </c>
      <c r="D10" s="222" t="s">
        <v>380</v>
      </c>
      <c r="E10" s="227" t="s">
        <v>5</v>
      </c>
      <c r="F10" s="222" t="s">
        <v>6</v>
      </c>
      <c r="G10" s="149">
        <v>1</v>
      </c>
      <c r="H10" s="149"/>
      <c r="I10" s="149"/>
      <c r="J10" s="149">
        <v>144</v>
      </c>
      <c r="K10" s="149">
        <v>144</v>
      </c>
      <c r="L10" s="222"/>
      <c r="M10" s="222"/>
      <c r="N10" s="222"/>
      <c r="O10" s="222"/>
      <c r="P10" s="191">
        <f>IF(V10="NO",Table_Shelter[[#This Row],[HH per Shelter]]*(Table_Shelter[[#This Row],['# of Temporary Shelter Units Built]]+Table_Shelter[[#This Row],['# of Temporary Shelter Under  Construction]]+Table_Shelter[[#This Row],['# of Permanent House Under Construction]]),0)</f>
        <v>144</v>
      </c>
      <c r="Q10" s="148"/>
      <c r="R10" s="222"/>
      <c r="S10" s="221" t="str">
        <f>IFERROR(VLOOKUP(Table_Shelter[[#This Row],[CampName]],CL,2,0),"")</f>
        <v>MMR001CMP050</v>
      </c>
      <c r="T10" s="221" t="str">
        <f>IFERROR(VLOOKUP(Table_Shelter[[#This Row],[CampName]],CL,3,0),"")</f>
        <v>Open</v>
      </c>
      <c r="U10" s="393">
        <f>IFERROR(Table_Shelter[[#This Row],[HH Covered]]/VLOOKUP(Table_Shelter[[#This Row],[CampName]],CL,4,0),"")</f>
        <v>0.52554744525547448</v>
      </c>
      <c r="V10" s="725" t="s">
        <v>1328</v>
      </c>
      <c r="W10" s="394"/>
    </row>
    <row r="11" spans="1:46" ht="15" customHeight="1" x14ac:dyDescent="0.25">
      <c r="A11" s="395"/>
      <c r="B11" s="220" t="s">
        <v>454</v>
      </c>
      <c r="C11" s="220"/>
      <c r="D11" s="220" t="s">
        <v>380</v>
      </c>
      <c r="E11" s="525" t="s">
        <v>5</v>
      </c>
      <c r="F11" s="220" t="s">
        <v>6</v>
      </c>
      <c r="G11" s="145">
        <v>1</v>
      </c>
      <c r="H11" s="145"/>
      <c r="I11" s="145"/>
      <c r="J11" s="145">
        <v>20</v>
      </c>
      <c r="K11" s="145">
        <v>20</v>
      </c>
      <c r="L11" s="220"/>
      <c r="M11" s="220"/>
      <c r="N11" s="220"/>
      <c r="O11" s="220"/>
      <c r="P11" s="191">
        <f>IF(V11="NO",Table_Shelter[[#This Row],[HH per Shelter]]*(Table_Shelter[[#This Row],['# of Temporary Shelter Units Built]]+Table_Shelter[[#This Row],['# of Temporary Shelter Under  Construction]]+Table_Shelter[[#This Row],['# of Permanent House Under Construction]]),0)</f>
        <v>20</v>
      </c>
      <c r="Q11" s="144"/>
      <c r="R11" s="220"/>
      <c r="S11" s="221" t="str">
        <f>IFERROR(VLOOKUP(Table_Shelter[[#This Row],[CampName]],CL,2,0),"")</f>
        <v>MMR001CMP050</v>
      </c>
      <c r="T11" s="221" t="str">
        <f>IFERROR(VLOOKUP(Table_Shelter[[#This Row],[CampName]],CL,3,0),"")</f>
        <v>Open</v>
      </c>
      <c r="U11" s="393">
        <f>IFERROR(Table_Shelter[[#This Row],[HH Covered]]/VLOOKUP(Table_Shelter[[#This Row],[CampName]],CL,4,0),"")</f>
        <v>7.2992700729927001E-2</v>
      </c>
      <c r="V11" s="725" t="s">
        <v>1328</v>
      </c>
      <c r="W11" s="394"/>
    </row>
    <row r="12" spans="1:46" ht="15" customHeight="1" x14ac:dyDescent="0.25">
      <c r="A12" s="395">
        <v>41609</v>
      </c>
      <c r="B12" s="220" t="s">
        <v>454</v>
      </c>
      <c r="C12" s="220" t="s">
        <v>507</v>
      </c>
      <c r="D12" s="220" t="s">
        <v>380</v>
      </c>
      <c r="E12" s="525" t="s">
        <v>529</v>
      </c>
      <c r="F12" s="220" t="s">
        <v>41</v>
      </c>
      <c r="G12" s="145">
        <v>1</v>
      </c>
      <c r="H12" s="145"/>
      <c r="I12" s="145"/>
      <c r="J12" s="145">
        <v>25</v>
      </c>
      <c r="K12" s="145">
        <v>25</v>
      </c>
      <c r="L12" s="220"/>
      <c r="M12" s="220"/>
      <c r="N12" s="220"/>
      <c r="O12" s="220"/>
      <c r="P12" s="191">
        <f>IF(V12="NO",Table_Shelter[[#This Row],[HH per Shelter]]*(Table_Shelter[[#This Row],['# of Temporary Shelter Units Built]]+Table_Shelter[[#This Row],['# of Temporary Shelter Under  Construction]]+Table_Shelter[[#This Row],['# of Permanent House Under Construction]]),0)</f>
        <v>25</v>
      </c>
      <c r="Q12" s="144"/>
      <c r="R12" s="220"/>
      <c r="S12" s="221" t="str">
        <f>IFERROR(VLOOKUP(Table_Shelter[[#This Row],[CampName]],CL,2,0),"")</f>
        <v>MMR001CMP176</v>
      </c>
      <c r="T12" s="221" t="str">
        <f>IFERROR(VLOOKUP(Table_Shelter[[#This Row],[CampName]],CL,3,0),"")</f>
        <v>Open</v>
      </c>
      <c r="U12" s="393">
        <f>IFERROR(Table_Shelter[[#This Row],[HH Covered]]/VLOOKUP(Table_Shelter[[#This Row],[CampName]],CL,4,0),"")</f>
        <v>0.37313432835820898</v>
      </c>
      <c r="V12" s="725" t="s">
        <v>1328</v>
      </c>
      <c r="W12" s="394"/>
    </row>
    <row r="13" spans="1:46" ht="15" customHeight="1" x14ac:dyDescent="0.25">
      <c r="A13" s="395">
        <v>41974</v>
      </c>
      <c r="B13" s="220" t="s">
        <v>454</v>
      </c>
      <c r="C13" s="220" t="s">
        <v>507</v>
      </c>
      <c r="D13" s="228" t="s">
        <v>380</v>
      </c>
      <c r="E13" s="525" t="s">
        <v>529</v>
      </c>
      <c r="F13" s="220" t="s">
        <v>41</v>
      </c>
      <c r="G13" s="145">
        <v>1</v>
      </c>
      <c r="H13" s="145"/>
      <c r="I13" s="145"/>
      <c r="J13" s="145">
        <v>15</v>
      </c>
      <c r="K13" s="145">
        <v>15</v>
      </c>
      <c r="L13" s="220"/>
      <c r="M13" s="220"/>
      <c r="N13" s="220"/>
      <c r="O13" s="220"/>
      <c r="P13" s="148">
        <f>IF(V13="NO",Table_Shelter[[#This Row],[HH per Shelter]]*(Table_Shelter[[#This Row],['# of Temporary Shelter Units Built]]+Table_Shelter[[#This Row],['# of Temporary Shelter Under  Construction]]+Table_Shelter[[#This Row],['# of Permanent House Under Construction]]),0)</f>
        <v>15</v>
      </c>
      <c r="Q13" s="144"/>
      <c r="R13" s="144"/>
      <c r="S13" s="148" t="str">
        <f>IFERROR(VLOOKUP(Table_Shelter[[#This Row],[CampName]],CL,2,0),"")</f>
        <v>MMR001CMP176</v>
      </c>
      <c r="T13" s="148" t="str">
        <f>IFERROR(VLOOKUP(Table_Shelter[[#This Row],[CampName]],CL,3,0),"")</f>
        <v>Open</v>
      </c>
      <c r="U13" s="393">
        <f>IFERROR(Table_Shelter[[#This Row],[HH Covered]]/VLOOKUP(Table_Shelter[[#This Row],[CampName]],CL,4,0),"")</f>
        <v>0.22388059701492538</v>
      </c>
      <c r="V13" s="725" t="s">
        <v>1328</v>
      </c>
      <c r="W13" s="397"/>
    </row>
    <row r="14" spans="1:46" ht="15" customHeight="1" x14ac:dyDescent="0.25">
      <c r="A14" s="395">
        <v>42416</v>
      </c>
      <c r="B14" s="220" t="s">
        <v>454</v>
      </c>
      <c r="C14" s="220" t="s">
        <v>507</v>
      </c>
      <c r="D14" s="220" t="s">
        <v>380</v>
      </c>
      <c r="E14" s="525" t="s">
        <v>529</v>
      </c>
      <c r="F14" s="220" t="s">
        <v>41</v>
      </c>
      <c r="G14" s="145">
        <v>1</v>
      </c>
      <c r="H14" s="145"/>
      <c r="I14" s="145"/>
      <c r="J14" s="145">
        <v>15</v>
      </c>
      <c r="K14" s="145">
        <v>15</v>
      </c>
      <c r="L14" s="220"/>
      <c r="M14" s="220"/>
      <c r="N14" s="220"/>
      <c r="O14" s="220"/>
      <c r="P14" s="191">
        <f>IF(V14="NO",Table_Shelter[[#This Row],[HH per Shelter]]*(Table_Shelter[[#This Row],['# of Temporary Shelter Units Built]]+Table_Shelter[[#This Row],['# of Temporary Shelter Under  Construction]]+Table_Shelter[[#This Row],['# of Permanent House Under Construction]]),0)</f>
        <v>15</v>
      </c>
      <c r="Q14" s="144"/>
      <c r="R14" s="220"/>
      <c r="S14" s="221" t="str">
        <f>IFERROR(VLOOKUP(Table_Shelter[[#This Row],[CampName]],CL,2,0),"")</f>
        <v>MMR001CMP176</v>
      </c>
      <c r="T14" s="221" t="str">
        <f>IFERROR(VLOOKUP(Table_Shelter[[#This Row],[CampName]],CL,3,0),"")</f>
        <v>Open</v>
      </c>
      <c r="U14" s="393">
        <f>IFERROR(Table_Shelter[[#This Row],[HH Covered]]/VLOOKUP(Table_Shelter[[#This Row],[CampName]],CL,4,0),"")</f>
        <v>0.22388059701492538</v>
      </c>
      <c r="V14" s="725" t="s">
        <v>1328</v>
      </c>
      <c r="W14" s="394"/>
    </row>
    <row r="15" spans="1:46" ht="15" customHeight="1" x14ac:dyDescent="0.25">
      <c r="A15" s="395"/>
      <c r="B15" s="220" t="s">
        <v>868</v>
      </c>
      <c r="C15" s="220"/>
      <c r="D15" s="223" t="s">
        <v>380</v>
      </c>
      <c r="E15" s="225" t="s">
        <v>529</v>
      </c>
      <c r="F15" s="220" t="s">
        <v>41</v>
      </c>
      <c r="G15" s="145">
        <v>1</v>
      </c>
      <c r="H15" s="145">
        <v>10</v>
      </c>
      <c r="I15" s="145">
        <v>10</v>
      </c>
      <c r="J15" s="145"/>
      <c r="K15" s="145"/>
      <c r="L15" s="220"/>
      <c r="M15" s="220"/>
      <c r="N15" s="220"/>
      <c r="O15" s="220"/>
      <c r="P15" s="191">
        <f>IF(V15="NO",Table_Shelter[[#This Row],[HH per Shelter]]*(Table_Shelter[[#This Row],['# of Temporary Shelter Units Built]]+Table_Shelter[[#This Row],['# of Temporary Shelter Under  Construction]]+Table_Shelter[[#This Row],['# of Permanent House Under Construction]]),0)</f>
        <v>0</v>
      </c>
      <c r="Q15" s="144"/>
      <c r="R15" s="220"/>
      <c r="S15" s="221" t="str">
        <f>IFERROR(VLOOKUP(Table_Shelter[[#This Row],[CampName]],CL,2,0),"")</f>
        <v>MMR001CMP176</v>
      </c>
      <c r="T15" s="221" t="str">
        <f>IFERROR(VLOOKUP(Table_Shelter[[#This Row],[CampName]],CL,3,0),"")</f>
        <v>Open</v>
      </c>
      <c r="U15" s="393">
        <f>IFERROR(Table_Shelter[[#This Row],[HH Covered]]/VLOOKUP(Table_Shelter[[#This Row],[CampName]],CL,4,0),"")</f>
        <v>0</v>
      </c>
      <c r="V15" s="725" t="s">
        <v>1328</v>
      </c>
      <c r="W15" s="394"/>
    </row>
    <row r="16" spans="1:46" ht="15" customHeight="1" x14ac:dyDescent="0.25">
      <c r="A16" s="395"/>
      <c r="B16" s="220" t="s">
        <v>454</v>
      </c>
      <c r="C16" s="220" t="s">
        <v>507</v>
      </c>
      <c r="D16" s="228" t="s">
        <v>380</v>
      </c>
      <c r="E16" s="525" t="s">
        <v>529</v>
      </c>
      <c r="F16" s="220" t="s">
        <v>41</v>
      </c>
      <c r="G16" s="145">
        <v>1</v>
      </c>
      <c r="H16" s="145"/>
      <c r="I16" s="145"/>
      <c r="J16" s="145">
        <v>5</v>
      </c>
      <c r="K16" s="145">
        <v>5</v>
      </c>
      <c r="L16" s="220"/>
      <c r="M16" s="220"/>
      <c r="N16" s="220"/>
      <c r="O16" s="220"/>
      <c r="P16" s="148">
        <f>IF(V16="NO",Table_Shelter[[#This Row],[HH per Shelter]]*(Table_Shelter[[#This Row],['# of Temporary Shelter Units Built]]+Table_Shelter[[#This Row],['# of Temporary Shelter Under  Construction]]+Table_Shelter[[#This Row],['# of Permanent House Under Construction]]),0)</f>
        <v>5</v>
      </c>
      <c r="Q16" s="144"/>
      <c r="R16" s="144"/>
      <c r="S16" s="148" t="str">
        <f>IFERROR(VLOOKUP(Table_Shelter[[#This Row],[CampName]],CL,2,0),"")</f>
        <v>MMR001CMP176</v>
      </c>
      <c r="T16" s="148" t="str">
        <f>IFERROR(VLOOKUP(Table_Shelter[[#This Row],[CampName]],CL,3,0),"")</f>
        <v>Open</v>
      </c>
      <c r="U16" s="393">
        <f>IFERROR(Table_Shelter[[#This Row],[HH Covered]]/VLOOKUP(Table_Shelter[[#This Row],[CampName]],CL,4,0),"")</f>
        <v>7.4626865671641784E-2</v>
      </c>
      <c r="V16" s="725" t="s">
        <v>1328</v>
      </c>
      <c r="W16" s="397"/>
    </row>
    <row r="17" spans="1:23" ht="15" customHeight="1" x14ac:dyDescent="0.25">
      <c r="A17" s="395">
        <v>41609</v>
      </c>
      <c r="B17" s="220" t="s">
        <v>454</v>
      </c>
      <c r="C17" s="220" t="s">
        <v>507</v>
      </c>
      <c r="D17" s="220" t="s">
        <v>380</v>
      </c>
      <c r="E17" s="525" t="s">
        <v>529</v>
      </c>
      <c r="F17" s="220" t="s">
        <v>43</v>
      </c>
      <c r="G17" s="145">
        <v>1</v>
      </c>
      <c r="H17" s="145"/>
      <c r="I17" s="145"/>
      <c r="J17" s="145">
        <v>5</v>
      </c>
      <c r="K17" s="145">
        <v>5</v>
      </c>
      <c r="L17" s="220"/>
      <c r="M17" s="220"/>
      <c r="N17" s="220"/>
      <c r="O17" s="220"/>
      <c r="P17" s="191">
        <f>IF(V17="NO",Table_Shelter[[#This Row],[HH per Shelter]]*(Table_Shelter[[#This Row],['# of Temporary Shelter Units Built]]+Table_Shelter[[#This Row],['# of Temporary Shelter Under  Construction]]+Table_Shelter[[#This Row],['# of Permanent House Under Construction]]),0)</f>
        <v>5</v>
      </c>
      <c r="Q17" s="144"/>
      <c r="R17" s="220"/>
      <c r="S17" s="221" t="str">
        <f>IFERROR(VLOOKUP(Table_Shelter[[#This Row],[CampName]],CL,2,0),"")</f>
        <v>MMR001CMP190</v>
      </c>
      <c r="T17" s="221" t="str">
        <f>IFERROR(VLOOKUP(Table_Shelter[[#This Row],[CampName]],CL,3,0),"")</f>
        <v>Open</v>
      </c>
      <c r="U17" s="393">
        <f>IFERROR(Table_Shelter[[#This Row],[HH Covered]]/VLOOKUP(Table_Shelter[[#This Row],[CampName]],CL,4,0),"")</f>
        <v>0.35714285714285715</v>
      </c>
      <c r="V17" s="725" t="s">
        <v>1328</v>
      </c>
      <c r="W17" s="394"/>
    </row>
    <row r="18" spans="1:23" ht="15" customHeight="1" x14ac:dyDescent="0.25">
      <c r="A18" s="395">
        <v>41974</v>
      </c>
      <c r="B18" s="220" t="s">
        <v>454</v>
      </c>
      <c r="C18" s="220" t="s">
        <v>507</v>
      </c>
      <c r="D18" s="220" t="s">
        <v>380</v>
      </c>
      <c r="E18" s="225" t="s">
        <v>529</v>
      </c>
      <c r="F18" s="220" t="s">
        <v>43</v>
      </c>
      <c r="G18" s="145">
        <v>1</v>
      </c>
      <c r="H18" s="145"/>
      <c r="I18" s="145"/>
      <c r="J18" s="145">
        <v>5</v>
      </c>
      <c r="K18" s="145">
        <v>5</v>
      </c>
      <c r="L18" s="220"/>
      <c r="M18" s="220"/>
      <c r="N18" s="220"/>
      <c r="O18" s="220"/>
      <c r="P18" s="148">
        <f>IF(V18="NO",Table_Shelter[[#This Row],[HH per Shelter]]*(Table_Shelter[[#This Row],['# of Temporary Shelter Units Built]]+Table_Shelter[[#This Row],['# of Temporary Shelter Under  Construction]]+Table_Shelter[[#This Row],['# of Permanent House Under Construction]]),0)</f>
        <v>5</v>
      </c>
      <c r="Q18" s="144"/>
      <c r="R18" s="144"/>
      <c r="S18" s="148" t="str">
        <f>IFERROR(VLOOKUP(Table_Shelter[[#This Row],[CampName]],CL,2,0),"")</f>
        <v>MMR001CMP190</v>
      </c>
      <c r="T18" s="148" t="str">
        <f>IFERROR(VLOOKUP(Table_Shelter[[#This Row],[CampName]],CL,3,0),"")</f>
        <v>Open</v>
      </c>
      <c r="U18" s="393">
        <f>IFERROR(Table_Shelter[[#This Row],[HH Covered]]/VLOOKUP(Table_Shelter[[#This Row],[CampName]],CL,4,0),"")</f>
        <v>0.35714285714285715</v>
      </c>
      <c r="V18" s="725" t="s">
        <v>1328</v>
      </c>
      <c r="W18" s="397"/>
    </row>
    <row r="19" spans="1:23" ht="15" customHeight="1" x14ac:dyDescent="0.25">
      <c r="A19" s="395"/>
      <c r="B19" s="220" t="s">
        <v>454</v>
      </c>
      <c r="C19" s="220" t="s">
        <v>461</v>
      </c>
      <c r="D19" s="220" t="s">
        <v>380</v>
      </c>
      <c r="E19" s="525" t="s">
        <v>5</v>
      </c>
      <c r="F19" s="220" t="s">
        <v>514</v>
      </c>
      <c r="G19" s="145">
        <v>1</v>
      </c>
      <c r="H19" s="145"/>
      <c r="I19" s="145"/>
      <c r="J19" s="145">
        <v>32</v>
      </c>
      <c r="K19" s="145">
        <v>32</v>
      </c>
      <c r="L19" s="220"/>
      <c r="M19" s="220"/>
      <c r="N19" s="220"/>
      <c r="O19" s="220"/>
      <c r="P19" s="191">
        <f>IF(V19="NO",Table_Shelter[[#This Row],[HH per Shelter]]*(Table_Shelter[[#This Row],['# of Temporary Shelter Units Built]]+Table_Shelter[[#This Row],['# of Temporary Shelter Under  Construction]]+Table_Shelter[[#This Row],['# of Permanent House Under Construction]]),0)</f>
        <v>32</v>
      </c>
      <c r="Q19" s="144"/>
      <c r="R19" s="220"/>
      <c r="S19" s="221" t="str">
        <f>IFERROR(VLOOKUP(Table_Shelter[[#This Row],[CampName]],CL,2,0),"")</f>
        <v>MMR001CMP194</v>
      </c>
      <c r="T19" s="221" t="str">
        <f>IFERROR(VLOOKUP(Table_Shelter[[#This Row],[CampName]],CL,3,0),"")</f>
        <v>Open</v>
      </c>
      <c r="U19" s="393">
        <f>IFERROR(Table_Shelter[[#This Row],[HH Covered]]/VLOOKUP(Table_Shelter[[#This Row],[CampName]],CL,4,0),"")</f>
        <v>2.6666666666666665</v>
      </c>
      <c r="V19" s="725" t="s">
        <v>1328</v>
      </c>
      <c r="W19" s="394"/>
    </row>
    <row r="20" spans="1:23" ht="15" customHeight="1" x14ac:dyDescent="0.25">
      <c r="A20" s="395"/>
      <c r="B20" s="220" t="s">
        <v>454</v>
      </c>
      <c r="C20" s="220"/>
      <c r="D20" s="220" t="s">
        <v>380</v>
      </c>
      <c r="E20" s="525" t="s">
        <v>5</v>
      </c>
      <c r="F20" s="220" t="s">
        <v>514</v>
      </c>
      <c r="G20" s="145">
        <v>1</v>
      </c>
      <c r="H20" s="145"/>
      <c r="I20" s="145"/>
      <c r="J20" s="145">
        <v>10</v>
      </c>
      <c r="K20" s="145">
        <v>10</v>
      </c>
      <c r="L20" s="220"/>
      <c r="M20" s="220"/>
      <c r="N20" s="220"/>
      <c r="O20" s="220"/>
      <c r="P20" s="191">
        <f>IF(V20="NO",Table_Shelter[[#This Row],[HH per Shelter]]*(Table_Shelter[[#This Row],['# of Temporary Shelter Units Built]]+Table_Shelter[[#This Row],['# of Temporary Shelter Under  Construction]]+Table_Shelter[[#This Row],['# of Permanent House Under Construction]]),0)</f>
        <v>10</v>
      </c>
      <c r="Q20" s="144"/>
      <c r="R20" s="220"/>
      <c r="S20" s="221" t="str">
        <f>IFERROR(VLOOKUP(Table_Shelter[[#This Row],[CampName]],CL,2,0),"")</f>
        <v>MMR001CMP194</v>
      </c>
      <c r="T20" s="221" t="str">
        <f>IFERROR(VLOOKUP(Table_Shelter[[#This Row],[CampName]],CL,3,0),"")</f>
        <v>Open</v>
      </c>
      <c r="U20" s="393">
        <f>IFERROR(Table_Shelter[[#This Row],[HH Covered]]/VLOOKUP(Table_Shelter[[#This Row],[CampName]],CL,4,0),"")</f>
        <v>0.83333333333333337</v>
      </c>
      <c r="V20" s="725" t="s">
        <v>1328</v>
      </c>
      <c r="W20" s="394"/>
    </row>
    <row r="21" spans="1:23" ht="15" customHeight="1" x14ac:dyDescent="0.25">
      <c r="A21" s="395">
        <v>41609</v>
      </c>
      <c r="B21" s="220" t="s">
        <v>454</v>
      </c>
      <c r="C21" s="220" t="s">
        <v>462</v>
      </c>
      <c r="D21" s="220" t="s">
        <v>380</v>
      </c>
      <c r="E21" s="225" t="s">
        <v>529</v>
      </c>
      <c r="F21" s="220" t="s">
        <v>52</v>
      </c>
      <c r="G21" s="145">
        <v>1</v>
      </c>
      <c r="H21" s="145"/>
      <c r="I21" s="145"/>
      <c r="J21" s="145">
        <v>20</v>
      </c>
      <c r="K21" s="145">
        <v>20</v>
      </c>
      <c r="L21" s="220"/>
      <c r="M21" s="220"/>
      <c r="N21" s="220"/>
      <c r="O21" s="220"/>
      <c r="P21" s="191">
        <f>IF(V21="NO",Table_Shelter[[#This Row],[HH per Shelter]]*(Table_Shelter[[#This Row],['# of Temporary Shelter Units Built]]+Table_Shelter[[#This Row],['# of Temporary Shelter Under  Construction]]+Table_Shelter[[#This Row],['# of Permanent House Under Construction]]),0)</f>
        <v>20</v>
      </c>
      <c r="Q21" s="144"/>
      <c r="R21" s="220"/>
      <c r="S21" s="221" t="str">
        <f>IFERROR(VLOOKUP(Table_Shelter[[#This Row],[CampName]],CL,2,0),"")</f>
        <v>MMR001CMP169</v>
      </c>
      <c r="T21" s="221" t="str">
        <f>IFERROR(VLOOKUP(Table_Shelter[[#This Row],[CampName]],CL,3,0),"")</f>
        <v>Open</v>
      </c>
      <c r="U21" s="393">
        <f>IFERROR(Table_Shelter[[#This Row],[HH Covered]]/VLOOKUP(Table_Shelter[[#This Row],[CampName]],CL,4,0),"")</f>
        <v>0.5714285714285714</v>
      </c>
      <c r="V21" s="725" t="s">
        <v>1328</v>
      </c>
      <c r="W21" s="394"/>
    </row>
    <row r="22" spans="1:23" ht="15" customHeight="1" x14ac:dyDescent="0.25">
      <c r="A22" s="395"/>
      <c r="B22" s="220" t="s">
        <v>868</v>
      </c>
      <c r="C22" s="220"/>
      <c r="D22" s="220" t="s">
        <v>380</v>
      </c>
      <c r="E22" s="225" t="s">
        <v>529</v>
      </c>
      <c r="F22" s="220" t="s">
        <v>52</v>
      </c>
      <c r="G22" s="145">
        <v>1</v>
      </c>
      <c r="H22" s="145">
        <v>10</v>
      </c>
      <c r="I22" s="145">
        <v>10</v>
      </c>
      <c r="J22" s="145"/>
      <c r="K22" s="145"/>
      <c r="L22" s="220"/>
      <c r="M22" s="220"/>
      <c r="N22" s="220"/>
      <c r="O22" s="220"/>
      <c r="P22" s="191">
        <f>IF(V22="NO",Table_Shelter[[#This Row],[HH per Shelter]]*(Table_Shelter[[#This Row],['# of Temporary Shelter Units Built]]+Table_Shelter[[#This Row],['# of Temporary Shelter Under  Construction]]+Table_Shelter[[#This Row],['# of Permanent House Under Construction]]),0)</f>
        <v>0</v>
      </c>
      <c r="Q22" s="144"/>
      <c r="R22" s="220"/>
      <c r="S22" s="221" t="str">
        <f>IFERROR(VLOOKUP(Table_Shelter[[#This Row],[CampName]],CL,2,0),"")</f>
        <v>MMR001CMP169</v>
      </c>
      <c r="T22" s="221" t="str">
        <f>IFERROR(VLOOKUP(Table_Shelter[[#This Row],[CampName]],CL,3,0),"")</f>
        <v>Open</v>
      </c>
      <c r="U22" s="393">
        <f>IFERROR(Table_Shelter[[#This Row],[HH Covered]]/VLOOKUP(Table_Shelter[[#This Row],[CampName]],CL,4,0),"")</f>
        <v>0</v>
      </c>
      <c r="V22" s="725" t="s">
        <v>1328</v>
      </c>
      <c r="W22" s="394"/>
    </row>
    <row r="23" spans="1:23" ht="15" customHeight="1" x14ac:dyDescent="0.25">
      <c r="A23" s="395">
        <v>41609</v>
      </c>
      <c r="B23" s="220" t="s">
        <v>454</v>
      </c>
      <c r="C23" s="220" t="s">
        <v>507</v>
      </c>
      <c r="D23" s="220" t="s">
        <v>380</v>
      </c>
      <c r="E23" s="225" t="s">
        <v>529</v>
      </c>
      <c r="F23" s="220" t="s">
        <v>58</v>
      </c>
      <c r="G23" s="145">
        <v>1</v>
      </c>
      <c r="H23" s="145"/>
      <c r="I23" s="145"/>
      <c r="J23" s="145">
        <v>10</v>
      </c>
      <c r="K23" s="145">
        <v>10</v>
      </c>
      <c r="L23" s="220"/>
      <c r="M23" s="220"/>
      <c r="N23" s="220"/>
      <c r="O23" s="220"/>
      <c r="P23" s="191">
        <f>IF(V23="NO",Table_Shelter[[#This Row],[HH per Shelter]]*(Table_Shelter[[#This Row],['# of Temporary Shelter Units Built]]+Table_Shelter[[#This Row],['# of Temporary Shelter Under  Construction]]+Table_Shelter[[#This Row],['# of Permanent House Under Construction]]),0)</f>
        <v>10</v>
      </c>
      <c r="Q23" s="144"/>
      <c r="R23" s="220"/>
      <c r="S23" s="221" t="str">
        <f>IFERROR(VLOOKUP(Table_Shelter[[#This Row],[CampName]],CL,2,0),"")</f>
        <v>MMR001CMP188</v>
      </c>
      <c r="T23" s="221" t="str">
        <f>IFERROR(VLOOKUP(Table_Shelter[[#This Row],[CampName]],CL,3,0),"")</f>
        <v>Closed</v>
      </c>
      <c r="U23" s="393" t="str">
        <f>IFERROR(Table_Shelter[[#This Row],[HH Covered]]/VLOOKUP(Table_Shelter[[#This Row],[CampName]],CL,4,0),"")</f>
        <v/>
      </c>
      <c r="V23" s="725" t="s">
        <v>1328</v>
      </c>
      <c r="W23" s="394"/>
    </row>
    <row r="24" spans="1:23" ht="15" customHeight="1" x14ac:dyDescent="0.25">
      <c r="A24" s="395">
        <v>41974</v>
      </c>
      <c r="B24" s="220" t="s">
        <v>454</v>
      </c>
      <c r="C24" s="220" t="s">
        <v>507</v>
      </c>
      <c r="D24" s="223" t="s">
        <v>380</v>
      </c>
      <c r="E24" s="525" t="s">
        <v>529</v>
      </c>
      <c r="F24" s="220" t="s">
        <v>58</v>
      </c>
      <c r="G24" s="145">
        <v>1</v>
      </c>
      <c r="H24" s="145"/>
      <c r="I24" s="145"/>
      <c r="J24" s="145">
        <v>5</v>
      </c>
      <c r="K24" s="145">
        <v>5</v>
      </c>
      <c r="L24" s="220"/>
      <c r="M24" s="220"/>
      <c r="N24" s="220"/>
      <c r="O24" s="220"/>
      <c r="P24" s="148">
        <f>IF(V24="NO",Table_Shelter[[#This Row],[HH per Shelter]]*(Table_Shelter[[#This Row],['# of Temporary Shelter Units Built]]+Table_Shelter[[#This Row],['# of Temporary Shelter Under  Construction]]+Table_Shelter[[#This Row],['# of Permanent House Under Construction]]),0)</f>
        <v>5</v>
      </c>
      <c r="Q24" s="144"/>
      <c r="R24" s="144"/>
      <c r="S24" s="148" t="str">
        <f>IFERROR(VLOOKUP(Table_Shelter[[#This Row],[CampName]],CL,2,0),"")</f>
        <v>MMR001CMP188</v>
      </c>
      <c r="T24" s="148" t="str">
        <f>IFERROR(VLOOKUP(Table_Shelter[[#This Row],[CampName]],CL,3,0),"")</f>
        <v>Closed</v>
      </c>
      <c r="U24" s="393" t="str">
        <f>IFERROR(Table_Shelter[[#This Row],[HH Covered]]/VLOOKUP(Table_Shelter[[#This Row],[CampName]],CL,4,0),"")</f>
        <v/>
      </c>
      <c r="V24" s="725" t="s">
        <v>1328</v>
      </c>
      <c r="W24" s="397"/>
    </row>
    <row r="25" spans="1:23" ht="15" customHeight="1" x14ac:dyDescent="0.25">
      <c r="A25" s="395"/>
      <c r="B25" s="220"/>
      <c r="C25" s="220"/>
      <c r="D25" s="223" t="s">
        <v>380</v>
      </c>
      <c r="E25" s="525" t="s">
        <v>529</v>
      </c>
      <c r="F25" s="220" t="s">
        <v>58</v>
      </c>
      <c r="G25" s="145">
        <v>1</v>
      </c>
      <c r="H25" s="145"/>
      <c r="I25" s="145"/>
      <c r="J25" s="145">
        <v>10</v>
      </c>
      <c r="K25" s="145">
        <v>10</v>
      </c>
      <c r="L25" s="220"/>
      <c r="M25" s="220"/>
      <c r="N25" s="220"/>
      <c r="O25" s="220"/>
      <c r="P25" s="191">
        <f>IF(V25="NO",Table_Shelter[[#This Row],[HH per Shelter]]*(Table_Shelter[[#This Row],['# of Temporary Shelter Units Built]]+Table_Shelter[[#This Row],['# of Temporary Shelter Under  Construction]]+Table_Shelter[[#This Row],['# of Permanent House Under Construction]]),0)</f>
        <v>10</v>
      </c>
      <c r="Q25" s="144"/>
      <c r="R25" s="220"/>
      <c r="S25" s="221" t="str">
        <f>IFERROR(VLOOKUP(Table_Shelter[[#This Row],[CampName]],CL,2,0),"")</f>
        <v>MMR001CMP188</v>
      </c>
      <c r="T25" s="221" t="str">
        <f>IFERROR(VLOOKUP(Table_Shelter[[#This Row],[CampName]],CL,3,0),"")</f>
        <v>Closed</v>
      </c>
      <c r="U25" s="393" t="str">
        <f>IFERROR(Table_Shelter[[#This Row],[HH Covered]]/VLOOKUP(Table_Shelter[[#This Row],[CampName]],CL,4,0),"")</f>
        <v/>
      </c>
      <c r="V25" s="725" t="s">
        <v>1328</v>
      </c>
      <c r="W25" s="394"/>
    </row>
    <row r="26" spans="1:23" ht="15" customHeight="1" x14ac:dyDescent="0.25">
      <c r="A26" s="395">
        <v>41609</v>
      </c>
      <c r="B26" s="222" t="s">
        <v>454</v>
      </c>
      <c r="C26" s="222" t="s">
        <v>508</v>
      </c>
      <c r="D26" s="224" t="s">
        <v>380</v>
      </c>
      <c r="E26" s="227" t="s">
        <v>310</v>
      </c>
      <c r="F26" s="222" t="s">
        <v>334</v>
      </c>
      <c r="G26" s="149">
        <v>1</v>
      </c>
      <c r="H26" s="149"/>
      <c r="I26" s="149"/>
      <c r="J26" s="149">
        <v>35</v>
      </c>
      <c r="K26" s="149">
        <v>35</v>
      </c>
      <c r="L26" s="222"/>
      <c r="M26" s="222"/>
      <c r="N26" s="222"/>
      <c r="O26" s="222"/>
      <c r="P26" s="148">
        <f>IF(V26="NO",Table_Shelter[[#This Row],[HH per Shelter]]*(Table_Shelter[[#This Row],['# of Temporary Shelter Units Built]]+Table_Shelter[[#This Row],['# of Temporary Shelter Under  Construction]]+Table_Shelter[[#This Row],['# of Permanent House Under Construction]]),0)</f>
        <v>35</v>
      </c>
      <c r="Q26" s="148"/>
      <c r="R26" s="148"/>
      <c r="S26" s="148" t="str">
        <f>IFERROR(VLOOKUP(Table_Shelter[[#This Row],[CampName]],CL,2,0),"")</f>
        <v>MMR001CMP113</v>
      </c>
      <c r="T26" s="148" t="str">
        <f>IFERROR(VLOOKUP(Table_Shelter[[#This Row],[CampName]],CL,3,0),"")</f>
        <v>Open</v>
      </c>
      <c r="U26" s="393">
        <f>IFERROR(Table_Shelter[[#This Row],[HH Covered]]/VLOOKUP(Table_Shelter[[#This Row],[CampName]],CL,4,0),"")</f>
        <v>0.22580645161290322</v>
      </c>
      <c r="V26" s="725" t="s">
        <v>1328</v>
      </c>
      <c r="W26" s="397"/>
    </row>
    <row r="27" spans="1:23" ht="15" customHeight="1" x14ac:dyDescent="0.25">
      <c r="A27" s="395"/>
      <c r="B27" s="220" t="s">
        <v>868</v>
      </c>
      <c r="C27" s="220"/>
      <c r="D27" s="220" t="s">
        <v>380</v>
      </c>
      <c r="E27" s="525" t="s">
        <v>310</v>
      </c>
      <c r="F27" s="220" t="s">
        <v>334</v>
      </c>
      <c r="G27" s="145">
        <v>1</v>
      </c>
      <c r="H27" s="145">
        <v>41</v>
      </c>
      <c r="I27" s="145">
        <v>41</v>
      </c>
      <c r="J27" s="145"/>
      <c r="K27" s="145"/>
      <c r="L27" s="220"/>
      <c r="M27" s="220"/>
      <c r="N27" s="220"/>
      <c r="O27" s="220"/>
      <c r="P27" s="191">
        <f>IF(V27="NO",Table_Shelter[[#This Row],[HH per Shelter]]*(Table_Shelter[[#This Row],['# of Temporary Shelter Units Built]]+Table_Shelter[[#This Row],['# of Temporary Shelter Under  Construction]]+Table_Shelter[[#This Row],['# of Permanent House Under Construction]]),0)</f>
        <v>0</v>
      </c>
      <c r="Q27" s="144"/>
      <c r="R27" s="220"/>
      <c r="S27" s="221" t="str">
        <f>IFERROR(VLOOKUP(Table_Shelter[[#This Row],[CampName]],CL,2,0),"")</f>
        <v>MMR001CMP113</v>
      </c>
      <c r="T27" s="221" t="str">
        <f>IFERROR(VLOOKUP(Table_Shelter[[#This Row],[CampName]],CL,3,0),"")</f>
        <v>Open</v>
      </c>
      <c r="U27" s="393">
        <f>IFERROR(Table_Shelter[[#This Row],[HH Covered]]/VLOOKUP(Table_Shelter[[#This Row],[CampName]],CL,4,0),"")</f>
        <v>0</v>
      </c>
      <c r="V27" s="725" t="s">
        <v>1328</v>
      </c>
      <c r="W27" s="394"/>
    </row>
    <row r="28" spans="1:23" ht="15" customHeight="1" x14ac:dyDescent="0.25">
      <c r="A28" s="395"/>
      <c r="B28" s="222" t="s">
        <v>454</v>
      </c>
      <c r="C28" s="222" t="s">
        <v>508</v>
      </c>
      <c r="D28" s="224" t="s">
        <v>380</v>
      </c>
      <c r="E28" s="227" t="s">
        <v>310</v>
      </c>
      <c r="F28" s="222" t="s">
        <v>334</v>
      </c>
      <c r="G28" s="149">
        <v>1</v>
      </c>
      <c r="H28" s="149"/>
      <c r="I28" s="149"/>
      <c r="J28" s="398">
        <v>202</v>
      </c>
      <c r="K28" s="149">
        <v>202</v>
      </c>
      <c r="L28" s="222"/>
      <c r="M28" s="222"/>
      <c r="N28" s="222"/>
      <c r="O28" s="222"/>
      <c r="P28" s="191">
        <f>IF(V28="NO",Table_Shelter[[#This Row],[HH per Shelter]]*(Table_Shelter[[#This Row],['# of Temporary Shelter Units Built]]+Table_Shelter[[#This Row],['# of Temporary Shelter Under  Construction]]+Table_Shelter[[#This Row],['# of Permanent House Under Construction]]),0)</f>
        <v>202</v>
      </c>
      <c r="Q28" s="148"/>
      <c r="R28" s="222"/>
      <c r="S28" s="221" t="str">
        <f>IFERROR(VLOOKUP(Table_Shelter[[#This Row],[CampName]],CL,2,0),"")</f>
        <v>MMR001CMP113</v>
      </c>
      <c r="T28" s="221" t="str">
        <f>IFERROR(VLOOKUP(Table_Shelter[[#This Row],[CampName]],CL,3,0),"")</f>
        <v>Open</v>
      </c>
      <c r="U28" s="393">
        <f>IFERROR(Table_Shelter[[#This Row],[HH Covered]]/VLOOKUP(Table_Shelter[[#This Row],[CampName]],CL,4,0),"")</f>
        <v>1.3032258064516129</v>
      </c>
      <c r="V28" s="725" t="s">
        <v>1328</v>
      </c>
      <c r="W28" s="394"/>
    </row>
    <row r="29" spans="1:23" ht="15" customHeight="1" x14ac:dyDescent="0.25">
      <c r="A29" s="396">
        <v>41791</v>
      </c>
      <c r="B29" s="222" t="s">
        <v>454</v>
      </c>
      <c r="C29" s="222" t="s">
        <v>508</v>
      </c>
      <c r="D29" s="222" t="s">
        <v>380</v>
      </c>
      <c r="E29" s="227" t="s">
        <v>151</v>
      </c>
      <c r="F29" s="222" t="s">
        <v>188</v>
      </c>
      <c r="G29" s="149">
        <v>1</v>
      </c>
      <c r="H29" s="149"/>
      <c r="I29" s="149"/>
      <c r="J29" s="149">
        <v>100</v>
      </c>
      <c r="K29" s="149">
        <v>100</v>
      </c>
      <c r="L29" s="222"/>
      <c r="M29" s="222"/>
      <c r="N29" s="222"/>
      <c r="O29" s="222"/>
      <c r="P29" s="191">
        <f>IF(V29="NO",Table_Shelter[[#This Row],[HH per Shelter]]*(Table_Shelter[[#This Row],['# of Temporary Shelter Units Built]]+Table_Shelter[[#This Row],['# of Temporary Shelter Under  Construction]]+Table_Shelter[[#This Row],['# of Permanent House Under Construction]]),0)</f>
        <v>100</v>
      </c>
      <c r="Q29" s="148"/>
      <c r="R29" s="222"/>
      <c r="S29" s="221" t="str">
        <f>IFERROR(VLOOKUP(Table_Shelter[[#This Row],[CampName]],CL,2,0),"")</f>
        <v>MMR001CMP129</v>
      </c>
      <c r="T29" s="221" t="str">
        <f>IFERROR(VLOOKUP(Table_Shelter[[#This Row],[CampName]],CL,3,0),"")</f>
        <v>Open</v>
      </c>
      <c r="U29" s="393">
        <f>IFERROR(Table_Shelter[[#This Row],[HH Covered]]/VLOOKUP(Table_Shelter[[#This Row],[CampName]],CL,4,0),"")</f>
        <v>0.40816326530612246</v>
      </c>
      <c r="V29" s="725" t="s">
        <v>1328</v>
      </c>
      <c r="W29" s="394"/>
    </row>
    <row r="30" spans="1:23" ht="15" customHeight="1" x14ac:dyDescent="0.25">
      <c r="A30" s="395">
        <v>41974</v>
      </c>
      <c r="B30" s="220" t="s">
        <v>454</v>
      </c>
      <c r="C30" s="220" t="s">
        <v>462</v>
      </c>
      <c r="D30" s="220" t="s">
        <v>380</v>
      </c>
      <c r="E30" s="525" t="s">
        <v>151</v>
      </c>
      <c r="F30" s="220" t="s">
        <v>188</v>
      </c>
      <c r="G30" s="145">
        <v>1</v>
      </c>
      <c r="H30" s="145"/>
      <c r="I30" s="145"/>
      <c r="J30" s="145">
        <v>90</v>
      </c>
      <c r="K30" s="145">
        <v>90</v>
      </c>
      <c r="L30" s="220"/>
      <c r="M30" s="220"/>
      <c r="N30" s="220"/>
      <c r="O30" s="220"/>
      <c r="P30" s="191">
        <f>IF(V30="NO",Table_Shelter[[#This Row],[HH per Shelter]]*(Table_Shelter[[#This Row],['# of Temporary Shelter Units Built]]+Table_Shelter[[#This Row],['# of Temporary Shelter Under  Construction]]+Table_Shelter[[#This Row],['# of Permanent House Under Construction]]),0)</f>
        <v>90</v>
      </c>
      <c r="Q30" s="144"/>
      <c r="R30" s="220"/>
      <c r="S30" s="221" t="str">
        <f>IFERROR(VLOOKUP(Table_Shelter[[#This Row],[CampName]],CL,2,0),"")</f>
        <v>MMR001CMP129</v>
      </c>
      <c r="T30" s="221" t="str">
        <f>IFERROR(VLOOKUP(Table_Shelter[[#This Row],[CampName]],CL,3,0),"")</f>
        <v>Open</v>
      </c>
      <c r="U30" s="393">
        <f>IFERROR(Table_Shelter[[#This Row],[HH Covered]]/VLOOKUP(Table_Shelter[[#This Row],[CampName]],CL,4,0),"")</f>
        <v>0.36734693877551022</v>
      </c>
      <c r="V30" s="725" t="s">
        <v>1328</v>
      </c>
      <c r="W30" s="394"/>
    </row>
    <row r="31" spans="1:23" s="189" customFormat="1" ht="15" customHeight="1" x14ac:dyDescent="0.25">
      <c r="A31" s="395"/>
      <c r="B31" s="220" t="s">
        <v>454</v>
      </c>
      <c r="C31" s="220"/>
      <c r="D31" s="220" t="s">
        <v>380</v>
      </c>
      <c r="E31" s="525" t="s">
        <v>151</v>
      </c>
      <c r="F31" s="220" t="s">
        <v>188</v>
      </c>
      <c r="G31" s="145">
        <v>1</v>
      </c>
      <c r="H31" s="145"/>
      <c r="I31" s="145"/>
      <c r="J31" s="149">
        <v>150</v>
      </c>
      <c r="K31" s="145"/>
      <c r="L31" s="220"/>
      <c r="M31" s="220"/>
      <c r="N31" s="220"/>
      <c r="O31" s="220"/>
      <c r="P31" s="191">
        <f>IF(V31="NO",Table_Shelter[[#This Row],[HH per Shelter]]*(Table_Shelter[[#This Row],['# of Temporary Shelter Units Built]]+Table_Shelter[[#This Row],['# of Temporary Shelter Under  Construction]]+Table_Shelter[[#This Row],['# of Permanent House Under Construction]]),0)</f>
        <v>0</v>
      </c>
      <c r="Q31" s="144"/>
      <c r="R31" s="220"/>
      <c r="S31" s="221" t="str">
        <f>IFERROR(VLOOKUP(Table_Shelter[[#This Row],[CampName]],CL,2,0),"")</f>
        <v>MMR001CMP129</v>
      </c>
      <c r="T31" s="221" t="str">
        <f>IFERROR(VLOOKUP(Table_Shelter[[#This Row],[CampName]],CL,3,0),"")</f>
        <v>Open</v>
      </c>
      <c r="U31" s="393">
        <f>IFERROR(Table_Shelter[[#This Row],[HH Covered]]/VLOOKUP(Table_Shelter[[#This Row],[CampName]],CL,4,0),"")</f>
        <v>0</v>
      </c>
      <c r="V31" s="725" t="s">
        <v>1328</v>
      </c>
      <c r="W31" s="394"/>
    </row>
    <row r="32" spans="1:23" ht="15" customHeight="1" x14ac:dyDescent="0.25">
      <c r="A32" s="395">
        <v>41974</v>
      </c>
      <c r="B32" s="220" t="s">
        <v>454</v>
      </c>
      <c r="C32" s="220" t="s">
        <v>462</v>
      </c>
      <c r="D32" s="220" t="s">
        <v>380</v>
      </c>
      <c r="E32" s="525" t="s">
        <v>151</v>
      </c>
      <c r="F32" s="220" t="s">
        <v>1041</v>
      </c>
      <c r="G32" s="145">
        <v>1</v>
      </c>
      <c r="H32" s="145"/>
      <c r="I32" s="145"/>
      <c r="J32" s="145">
        <v>120</v>
      </c>
      <c r="K32" s="145">
        <v>120</v>
      </c>
      <c r="L32" s="220"/>
      <c r="M32" s="220"/>
      <c r="N32" s="220"/>
      <c r="O32" s="220"/>
      <c r="P32" s="191">
        <f>IF(V32="NO",Table_Shelter[[#This Row],[HH per Shelter]]*(Table_Shelter[[#This Row],['# of Temporary Shelter Units Built]]+Table_Shelter[[#This Row],['# of Temporary Shelter Under  Construction]]+Table_Shelter[[#This Row],['# of Permanent House Under Construction]]),0)</f>
        <v>120</v>
      </c>
      <c r="Q32" s="144"/>
      <c r="R32" s="220"/>
      <c r="S32" s="221" t="str">
        <f>IFERROR(VLOOKUP(Table_Shelter[[#This Row],[CampName]],CL,2,0),"")</f>
        <v>MMR001CMP226</v>
      </c>
      <c r="T32" s="221" t="str">
        <f>IFERROR(VLOOKUP(Table_Shelter[[#This Row],[CampName]],CL,3,0),"")</f>
        <v>Open</v>
      </c>
      <c r="U32" s="393">
        <f>IFERROR(Table_Shelter[[#This Row],[HH Covered]]/VLOOKUP(Table_Shelter[[#This Row],[CampName]],CL,4,0),"")</f>
        <v>0.54794520547945202</v>
      </c>
      <c r="V32" s="725" t="s">
        <v>1328</v>
      </c>
      <c r="W32" s="394"/>
    </row>
    <row r="33" spans="1:23" ht="15" customHeight="1" x14ac:dyDescent="0.25">
      <c r="A33" s="396">
        <v>41609</v>
      </c>
      <c r="B33" s="222" t="s">
        <v>454</v>
      </c>
      <c r="C33" s="222" t="s">
        <v>507</v>
      </c>
      <c r="D33" s="222" t="s">
        <v>380</v>
      </c>
      <c r="E33" s="227" t="s">
        <v>529</v>
      </c>
      <c r="F33" s="222" t="s">
        <v>72</v>
      </c>
      <c r="G33" s="149">
        <v>1</v>
      </c>
      <c r="H33" s="149"/>
      <c r="I33" s="149"/>
      <c r="J33" s="149">
        <v>4</v>
      </c>
      <c r="K33" s="149">
        <v>4</v>
      </c>
      <c r="L33" s="222"/>
      <c r="M33" s="222"/>
      <c r="N33" s="222"/>
      <c r="O33" s="222"/>
      <c r="P33" s="191">
        <f>IF(V33="NO",Table_Shelter[[#This Row],[HH per Shelter]]*(Table_Shelter[[#This Row],['# of Temporary Shelter Units Built]]+Table_Shelter[[#This Row],['# of Temporary Shelter Under  Construction]]+Table_Shelter[[#This Row],['# of Permanent House Under Construction]]),0)</f>
        <v>4</v>
      </c>
      <c r="Q33" s="148"/>
      <c r="R33" s="222"/>
      <c r="S33" s="221" t="str">
        <f>IFERROR(VLOOKUP(Table_Shelter[[#This Row],[CampName]],CL,2,0),"")</f>
        <v>MMR001CMP109</v>
      </c>
      <c r="T33" s="221" t="str">
        <f>IFERROR(VLOOKUP(Table_Shelter[[#This Row],[CampName]],CL,3,0),"")</f>
        <v>Open</v>
      </c>
      <c r="U33" s="393">
        <f>IFERROR(Table_Shelter[[#This Row],[HH Covered]]/VLOOKUP(Table_Shelter[[#This Row],[CampName]],CL,4,0),"")</f>
        <v>0.66666666666666663</v>
      </c>
      <c r="V33" s="725" t="s">
        <v>1328</v>
      </c>
      <c r="W33" s="394"/>
    </row>
    <row r="34" spans="1:23" ht="15" customHeight="1" x14ac:dyDescent="0.25">
      <c r="A34" s="396">
        <v>41974</v>
      </c>
      <c r="B34" s="222" t="s">
        <v>454</v>
      </c>
      <c r="C34" s="222" t="s">
        <v>507</v>
      </c>
      <c r="D34" s="222" t="s">
        <v>380</v>
      </c>
      <c r="E34" s="227" t="s">
        <v>529</v>
      </c>
      <c r="F34" s="222" t="s">
        <v>72</v>
      </c>
      <c r="G34" s="149">
        <v>1</v>
      </c>
      <c r="H34" s="149"/>
      <c r="I34" s="149"/>
      <c r="J34" s="149">
        <v>2</v>
      </c>
      <c r="K34" s="149">
        <v>2</v>
      </c>
      <c r="L34" s="222"/>
      <c r="M34" s="222"/>
      <c r="N34" s="222"/>
      <c r="O34" s="222"/>
      <c r="P34" s="148">
        <f>IF(V34="NO",Table_Shelter[[#This Row],[HH per Shelter]]*(Table_Shelter[[#This Row],['# of Temporary Shelter Units Built]]+Table_Shelter[[#This Row],['# of Temporary Shelter Under  Construction]]+Table_Shelter[[#This Row],['# of Permanent House Under Construction]]),0)</f>
        <v>2</v>
      </c>
      <c r="Q34" s="148"/>
      <c r="R34" s="148"/>
      <c r="S34" s="148" t="str">
        <f>IFERROR(VLOOKUP(Table_Shelter[[#This Row],[CampName]],CL,2,0),"")</f>
        <v>MMR001CMP109</v>
      </c>
      <c r="T34" s="148" t="str">
        <f>IFERROR(VLOOKUP(Table_Shelter[[#This Row],[CampName]],CL,3,0),"")</f>
        <v>Open</v>
      </c>
      <c r="U34" s="393">
        <f>IFERROR(Table_Shelter[[#This Row],[HH Covered]]/VLOOKUP(Table_Shelter[[#This Row],[CampName]],CL,4,0),"")</f>
        <v>0.33333333333333331</v>
      </c>
      <c r="V34" s="725" t="s">
        <v>1328</v>
      </c>
      <c r="W34" s="397"/>
    </row>
    <row r="35" spans="1:23" ht="15" customHeight="1" x14ac:dyDescent="0.25">
      <c r="A35" s="395">
        <v>41974</v>
      </c>
      <c r="B35" s="220" t="s">
        <v>454</v>
      </c>
      <c r="C35" s="220" t="s">
        <v>507</v>
      </c>
      <c r="D35" s="220" t="s">
        <v>380</v>
      </c>
      <c r="E35" s="525" t="s">
        <v>27</v>
      </c>
      <c r="F35" s="220" t="s">
        <v>1110</v>
      </c>
      <c r="G35" s="145">
        <v>1</v>
      </c>
      <c r="H35" s="145"/>
      <c r="I35" s="145"/>
      <c r="J35" s="145">
        <v>5</v>
      </c>
      <c r="K35" s="145">
        <v>5</v>
      </c>
      <c r="L35" s="220"/>
      <c r="M35" s="220"/>
      <c r="N35" s="220"/>
      <c r="O35" s="220"/>
      <c r="P35" s="191">
        <f>IF(V35="NO",Table_Shelter[[#This Row],[HH per Shelter]]*(Table_Shelter[[#This Row],['# of Temporary Shelter Units Built]]+Table_Shelter[[#This Row],['# of Temporary Shelter Under  Construction]]+Table_Shelter[[#This Row],['# of Permanent House Under Construction]]),0)</f>
        <v>5</v>
      </c>
      <c r="Q35" s="144"/>
      <c r="R35" s="220"/>
      <c r="S35" s="221" t="str">
        <f>IFERROR(VLOOKUP(Table_Shelter[[#This Row],[CampName]],CL,2,0),"")</f>
        <v>MMR001CMP042</v>
      </c>
      <c r="T35" s="221" t="str">
        <f>IFERROR(VLOOKUP(Table_Shelter[[#This Row],[CampName]],CL,3,0),"")</f>
        <v>Open</v>
      </c>
      <c r="U35" s="393">
        <f>IFERROR(Table_Shelter[[#This Row],[HH Covered]]/VLOOKUP(Table_Shelter[[#This Row],[CampName]],CL,4,0),"")</f>
        <v>4.6296296296296294E-2</v>
      </c>
      <c r="V35" s="725" t="s">
        <v>1328</v>
      </c>
      <c r="W35" s="394"/>
    </row>
    <row r="36" spans="1:23" ht="15" customHeight="1" x14ac:dyDescent="0.25">
      <c r="A36" s="395"/>
      <c r="B36" s="220" t="s">
        <v>455</v>
      </c>
      <c r="C36" s="220" t="s">
        <v>507</v>
      </c>
      <c r="D36" s="220" t="s">
        <v>380</v>
      </c>
      <c r="E36" s="525" t="s">
        <v>27</v>
      </c>
      <c r="F36" s="220" t="s">
        <v>28</v>
      </c>
      <c r="G36" s="145">
        <v>1</v>
      </c>
      <c r="H36" s="145"/>
      <c r="I36" s="145"/>
      <c r="J36" s="145">
        <v>82</v>
      </c>
      <c r="K36" s="145">
        <v>82</v>
      </c>
      <c r="L36" s="220"/>
      <c r="M36" s="220"/>
      <c r="N36" s="220"/>
      <c r="O36" s="220"/>
      <c r="P36" s="191">
        <f>IF(V36="NO",Table_Shelter[[#This Row],[HH per Shelter]]*(Table_Shelter[[#This Row],['# of Temporary Shelter Units Built]]+Table_Shelter[[#This Row],['# of Temporary Shelter Under  Construction]]+Table_Shelter[[#This Row],['# of Permanent House Under Construction]]),0)</f>
        <v>82</v>
      </c>
      <c r="Q36" s="144"/>
      <c r="R36" s="220"/>
      <c r="S36" s="221" t="str">
        <f>IFERROR(VLOOKUP(Table_Shelter[[#This Row],[CampName]],CL,2,0),"")</f>
        <v>MMR001CMP042</v>
      </c>
      <c r="T36" s="221" t="str">
        <f>IFERROR(VLOOKUP(Table_Shelter[[#This Row],[CampName]],CL,3,0),"")</f>
        <v>Open</v>
      </c>
      <c r="U36" s="393">
        <f>IFERROR(Table_Shelter[[#This Row],[HH Covered]]/VLOOKUP(Table_Shelter[[#This Row],[CampName]],CL,4,0),"")</f>
        <v>0.7592592592592593</v>
      </c>
      <c r="V36" s="725" t="s">
        <v>1328</v>
      </c>
      <c r="W36" s="394"/>
    </row>
    <row r="37" spans="1:23" ht="15" customHeight="1" x14ac:dyDescent="0.25">
      <c r="A37" s="395"/>
      <c r="B37" s="220" t="s">
        <v>454</v>
      </c>
      <c r="C37" s="220" t="s">
        <v>507</v>
      </c>
      <c r="D37" s="228" t="s">
        <v>380</v>
      </c>
      <c r="E37" s="525" t="s">
        <v>27</v>
      </c>
      <c r="F37" s="220" t="s">
        <v>1110</v>
      </c>
      <c r="G37" s="145">
        <v>1</v>
      </c>
      <c r="H37" s="145"/>
      <c r="I37" s="145"/>
      <c r="J37" s="145">
        <v>20</v>
      </c>
      <c r="K37" s="145">
        <v>20</v>
      </c>
      <c r="L37" s="220"/>
      <c r="M37" s="220"/>
      <c r="N37" s="220"/>
      <c r="O37" s="220"/>
      <c r="P37" s="148">
        <f>IF(V37="NO",Table_Shelter[[#This Row],[HH per Shelter]]*(Table_Shelter[[#This Row],['# of Temporary Shelter Units Built]]+Table_Shelter[[#This Row],['# of Temporary Shelter Under  Construction]]+Table_Shelter[[#This Row],['# of Permanent House Under Construction]]),0)</f>
        <v>20</v>
      </c>
      <c r="Q37" s="144"/>
      <c r="R37" s="144"/>
      <c r="S37" s="148" t="str">
        <f>IFERROR(VLOOKUP(Table_Shelter[[#This Row],[CampName]],CL,2,0),"")</f>
        <v>MMR001CMP042</v>
      </c>
      <c r="T37" s="148" t="str">
        <f>IFERROR(VLOOKUP(Table_Shelter[[#This Row],[CampName]],CL,3,0),"")</f>
        <v>Open</v>
      </c>
      <c r="U37" s="393">
        <f>IFERROR(Table_Shelter[[#This Row],[HH Covered]]/VLOOKUP(Table_Shelter[[#This Row],[CampName]],CL,4,0),"")</f>
        <v>0.18518518518518517</v>
      </c>
      <c r="V37" s="725" t="s">
        <v>1328</v>
      </c>
      <c r="W37" s="397"/>
    </row>
    <row r="38" spans="1:23" ht="15" customHeight="1" x14ac:dyDescent="0.25">
      <c r="A38" s="396">
        <v>41791</v>
      </c>
      <c r="B38" s="145" t="s">
        <v>454</v>
      </c>
      <c r="C38" s="145" t="s">
        <v>507</v>
      </c>
      <c r="D38" s="228" t="s">
        <v>380</v>
      </c>
      <c r="E38" s="229" t="s">
        <v>529</v>
      </c>
      <c r="F38" s="145" t="s">
        <v>76</v>
      </c>
      <c r="G38" s="145">
        <v>1</v>
      </c>
      <c r="H38" s="149"/>
      <c r="I38" s="149"/>
      <c r="J38" s="149">
        <v>20</v>
      </c>
      <c r="K38" s="149">
        <v>20</v>
      </c>
      <c r="L38" s="149"/>
      <c r="M38" s="149"/>
      <c r="N38" s="149"/>
      <c r="O38" s="149"/>
      <c r="P38" s="148">
        <f>IF(V38="NO",Table_Shelter[[#This Row],[HH per Shelter]]*(Table_Shelter[[#This Row],['# of Temporary Shelter Units Built]]+Table_Shelter[[#This Row],['# of Temporary Shelter Under  Construction]]+Table_Shelter[[#This Row],['# of Permanent House Under Construction]]),0)</f>
        <v>20</v>
      </c>
      <c r="Q38" s="148"/>
      <c r="R38" s="148"/>
      <c r="S38" s="148" t="str">
        <f>IFERROR(VLOOKUP(Table_Shelter[[#This Row],[CampName]],CL,2,0),"")</f>
        <v>MMR001CMP174</v>
      </c>
      <c r="T38" s="148" t="str">
        <f>IFERROR(VLOOKUP(Table_Shelter[[#This Row],[CampName]],CL,3,0),"")</f>
        <v>Open</v>
      </c>
      <c r="U38" s="399">
        <f>IFERROR(Table_Shelter[[#This Row],[HH Covered]]/VLOOKUP(Table_Shelter[[#This Row],[CampName]],CL,4,0),"")</f>
        <v>0.30769230769230771</v>
      </c>
      <c r="V38" s="725" t="s">
        <v>1328</v>
      </c>
      <c r="W38" s="397"/>
    </row>
    <row r="39" spans="1:23" ht="16.149999999999999" customHeight="1" x14ac:dyDescent="0.25">
      <c r="A39" s="396">
        <v>41974</v>
      </c>
      <c r="B39" s="222" t="s">
        <v>454</v>
      </c>
      <c r="C39" s="222" t="s">
        <v>507</v>
      </c>
      <c r="D39" s="222" t="s">
        <v>380</v>
      </c>
      <c r="E39" s="227" t="s">
        <v>529</v>
      </c>
      <c r="F39" s="222" t="s">
        <v>76</v>
      </c>
      <c r="G39" s="149">
        <v>1</v>
      </c>
      <c r="H39" s="149"/>
      <c r="I39" s="149"/>
      <c r="J39" s="149">
        <v>45</v>
      </c>
      <c r="K39" s="149">
        <v>45</v>
      </c>
      <c r="L39" s="222"/>
      <c r="M39" s="222"/>
      <c r="N39" s="222"/>
      <c r="O39" s="222"/>
      <c r="P39" s="191">
        <f>IF(V39="NO",Table_Shelter[[#This Row],[HH per Shelter]]*(Table_Shelter[[#This Row],['# of Temporary Shelter Units Built]]+Table_Shelter[[#This Row],['# of Temporary Shelter Under  Construction]]+Table_Shelter[[#This Row],['# of Permanent House Under Construction]]),0)</f>
        <v>45</v>
      </c>
      <c r="Q39" s="148"/>
      <c r="R39" s="222"/>
      <c r="S39" s="221" t="str">
        <f>IFERROR(VLOOKUP(Table_Shelter[[#This Row],[CampName]],CL,2,0),"")</f>
        <v>MMR001CMP174</v>
      </c>
      <c r="T39" s="221" t="str">
        <f>IFERROR(VLOOKUP(Table_Shelter[[#This Row],[CampName]],CL,3,0),"")</f>
        <v>Open</v>
      </c>
      <c r="U39" s="393">
        <f>IFERROR(Table_Shelter[[#This Row],[HH Covered]]/VLOOKUP(Table_Shelter[[#This Row],[CampName]],CL,4,0),"")</f>
        <v>0.69230769230769229</v>
      </c>
      <c r="V39" s="725" t="s">
        <v>1328</v>
      </c>
      <c r="W39" s="394"/>
    </row>
    <row r="40" spans="1:23" ht="15" customHeight="1" x14ac:dyDescent="0.25">
      <c r="A40" s="395"/>
      <c r="B40" s="220" t="s">
        <v>868</v>
      </c>
      <c r="C40" s="220"/>
      <c r="D40" s="220" t="s">
        <v>380</v>
      </c>
      <c r="E40" s="525" t="s">
        <v>529</v>
      </c>
      <c r="F40" s="220" t="s">
        <v>76</v>
      </c>
      <c r="G40" s="145">
        <v>1</v>
      </c>
      <c r="H40" s="145">
        <v>5</v>
      </c>
      <c r="I40" s="145">
        <v>5</v>
      </c>
      <c r="J40" s="145"/>
      <c r="K40" s="145"/>
      <c r="L40" s="220"/>
      <c r="M40" s="220"/>
      <c r="N40" s="220"/>
      <c r="O40" s="220"/>
      <c r="P40" s="191">
        <f>IF(V40="NO",Table_Shelter[[#This Row],[HH per Shelter]]*(Table_Shelter[[#This Row],['# of Temporary Shelter Units Built]]+Table_Shelter[[#This Row],['# of Temporary Shelter Under  Construction]]+Table_Shelter[[#This Row],['# of Permanent House Under Construction]]),0)</f>
        <v>0</v>
      </c>
      <c r="Q40" s="144"/>
      <c r="R40" s="220"/>
      <c r="S40" s="221" t="str">
        <f>IFERROR(VLOOKUP(Table_Shelter[[#This Row],[CampName]],CL,2,0),"")</f>
        <v>MMR001CMP174</v>
      </c>
      <c r="T40" s="221" t="str">
        <f>IFERROR(VLOOKUP(Table_Shelter[[#This Row],[CampName]],CL,3,0),"")</f>
        <v>Open</v>
      </c>
      <c r="U40" s="393">
        <f>IFERROR(Table_Shelter[[#This Row],[HH Covered]]/VLOOKUP(Table_Shelter[[#This Row],[CampName]],CL,4,0),"")</f>
        <v>0</v>
      </c>
      <c r="V40" s="725" t="s">
        <v>1328</v>
      </c>
      <c r="W40" s="394"/>
    </row>
    <row r="41" spans="1:23" ht="15" customHeight="1" x14ac:dyDescent="0.25">
      <c r="A41" s="396"/>
      <c r="B41" s="145" t="s">
        <v>454</v>
      </c>
      <c r="C41" s="145" t="s">
        <v>507</v>
      </c>
      <c r="D41" s="228" t="s">
        <v>380</v>
      </c>
      <c r="E41" s="229" t="s">
        <v>529</v>
      </c>
      <c r="F41" s="145" t="s">
        <v>76</v>
      </c>
      <c r="G41" s="145">
        <v>1</v>
      </c>
      <c r="H41" s="149"/>
      <c r="I41" s="149"/>
      <c r="J41" s="149">
        <v>10</v>
      </c>
      <c r="K41" s="149">
        <v>10</v>
      </c>
      <c r="L41" s="149"/>
      <c r="M41" s="149"/>
      <c r="N41" s="149"/>
      <c r="O41" s="149"/>
      <c r="P41" s="148">
        <f>IF(V41="NO",Table_Shelter[[#This Row],[HH per Shelter]]*(Table_Shelter[[#This Row],['# of Temporary Shelter Units Built]]+Table_Shelter[[#This Row],['# of Temporary Shelter Under  Construction]]+Table_Shelter[[#This Row],['# of Permanent House Under Construction]]),0)</f>
        <v>10</v>
      </c>
      <c r="Q41" s="148"/>
      <c r="R41" s="148"/>
      <c r="S41" s="148" t="str">
        <f>IFERROR(VLOOKUP(Table_Shelter[[#This Row],[CampName]],CL,2,0),"")</f>
        <v>MMR001CMP174</v>
      </c>
      <c r="T41" s="148" t="str">
        <f>IFERROR(VLOOKUP(Table_Shelter[[#This Row],[CampName]],CL,3,0),"")</f>
        <v>Open</v>
      </c>
      <c r="U41" s="399">
        <f>IFERROR(Table_Shelter[[#This Row],[HH Covered]]/VLOOKUP(Table_Shelter[[#This Row],[CampName]],CL,4,0),"")</f>
        <v>0.15384615384615385</v>
      </c>
      <c r="V41" s="725" t="s">
        <v>1328</v>
      </c>
      <c r="W41" s="397"/>
    </row>
    <row r="42" spans="1:23" ht="15" customHeight="1" x14ac:dyDescent="0.25">
      <c r="A42" s="396">
        <v>42416</v>
      </c>
      <c r="B42" s="220" t="s">
        <v>454</v>
      </c>
      <c r="C42" s="220" t="s">
        <v>462</v>
      </c>
      <c r="D42" s="220" t="s">
        <v>380</v>
      </c>
      <c r="E42" s="525" t="s">
        <v>237</v>
      </c>
      <c r="F42" s="220" t="s">
        <v>243</v>
      </c>
      <c r="G42" s="145">
        <v>1</v>
      </c>
      <c r="H42" s="145"/>
      <c r="I42" s="145"/>
      <c r="J42" s="145"/>
      <c r="K42" s="145"/>
      <c r="L42" s="220"/>
      <c r="M42" s="220"/>
      <c r="N42" s="220"/>
      <c r="O42" s="220"/>
      <c r="P42" s="191">
        <f>IF(V42="NO",Table_Shelter[[#This Row],[HH per Shelter]]*(Table_Shelter[[#This Row],['# of Temporary Shelter Units Built]]+Table_Shelter[[#This Row],['# of Temporary Shelter Under  Construction]]+Table_Shelter[[#This Row],['# of Permanent House Under Construction]]),0)</f>
        <v>0</v>
      </c>
      <c r="Q42" s="144">
        <v>13</v>
      </c>
      <c r="R42" s="144">
        <v>13</v>
      </c>
      <c r="S42" s="221" t="str">
        <f>IFERROR(VLOOKUP(Table_Shelter[[#This Row],[CampName]],CL,2,0),"")</f>
        <v>MMR001CMP012</v>
      </c>
      <c r="T42" s="221" t="str">
        <f>IFERROR(VLOOKUP(Table_Shelter[[#This Row],[CampName]],CL,3,0),"")</f>
        <v>Open</v>
      </c>
      <c r="U42" s="393">
        <f>IFERROR(Table_Shelter[[#This Row],[HH Covered]]/VLOOKUP(Table_Shelter[[#This Row],[CampName]],CL,4,0),"")</f>
        <v>0</v>
      </c>
      <c r="V42" s="725" t="s">
        <v>1328</v>
      </c>
      <c r="W42" s="394" t="s">
        <v>1453</v>
      </c>
    </row>
    <row r="43" spans="1:23" ht="15" customHeight="1" x14ac:dyDescent="0.25">
      <c r="A43" s="395"/>
      <c r="B43" s="220" t="s">
        <v>454</v>
      </c>
      <c r="C43" s="220"/>
      <c r="D43" s="220" t="s">
        <v>380</v>
      </c>
      <c r="E43" s="525" t="s">
        <v>237</v>
      </c>
      <c r="F43" s="220" t="s">
        <v>243</v>
      </c>
      <c r="G43" s="145">
        <v>1</v>
      </c>
      <c r="H43" s="145"/>
      <c r="I43" s="145"/>
      <c r="J43" s="145">
        <v>3</v>
      </c>
      <c r="K43" s="145">
        <v>3</v>
      </c>
      <c r="L43" s="220"/>
      <c r="M43" s="220"/>
      <c r="N43" s="220"/>
      <c r="O43" s="220"/>
      <c r="P43" s="191">
        <f>IF(V43="NO",Table_Shelter[[#This Row],[HH per Shelter]]*(Table_Shelter[[#This Row],['# of Temporary Shelter Units Built]]+Table_Shelter[[#This Row],['# of Temporary Shelter Under  Construction]]+Table_Shelter[[#This Row],['# of Permanent House Under Construction]]),0)</f>
        <v>3</v>
      </c>
      <c r="Q43" s="144"/>
      <c r="R43" s="220"/>
      <c r="S43" s="221" t="str">
        <f>IFERROR(VLOOKUP(Table_Shelter[[#This Row],[CampName]],CL,2,0),"")</f>
        <v>MMR001CMP012</v>
      </c>
      <c r="T43" s="221" t="str">
        <f>IFERROR(VLOOKUP(Table_Shelter[[#This Row],[CampName]],CL,3,0),"")</f>
        <v>Open</v>
      </c>
      <c r="U43" s="393">
        <f>IFERROR(Table_Shelter[[#This Row],[HH Covered]]/VLOOKUP(Table_Shelter[[#This Row],[CampName]],CL,4,0),"")</f>
        <v>0.5</v>
      </c>
      <c r="V43" s="725" t="s">
        <v>1328</v>
      </c>
      <c r="W43" s="394"/>
    </row>
    <row r="44" spans="1:23" ht="15" customHeight="1" x14ac:dyDescent="0.25">
      <c r="A44" s="395"/>
      <c r="B44" s="220" t="s">
        <v>454</v>
      </c>
      <c r="C44" s="220"/>
      <c r="D44" s="220" t="s">
        <v>380</v>
      </c>
      <c r="E44" s="525" t="s">
        <v>237</v>
      </c>
      <c r="F44" s="220" t="s">
        <v>245</v>
      </c>
      <c r="G44" s="145">
        <v>1</v>
      </c>
      <c r="H44" s="145"/>
      <c r="I44" s="145"/>
      <c r="J44" s="145">
        <v>6</v>
      </c>
      <c r="K44" s="145">
        <v>6</v>
      </c>
      <c r="L44" s="220"/>
      <c r="M44" s="220"/>
      <c r="N44" s="220"/>
      <c r="O44" s="220"/>
      <c r="P44" s="191">
        <f>IF(V44="NO",Table_Shelter[[#This Row],[HH per Shelter]]*(Table_Shelter[[#This Row],['# of Temporary Shelter Units Built]]+Table_Shelter[[#This Row],['# of Temporary Shelter Under  Construction]]+Table_Shelter[[#This Row],['# of Permanent House Under Construction]]),0)</f>
        <v>6</v>
      </c>
      <c r="Q44" s="144"/>
      <c r="R44" s="220"/>
      <c r="S44" s="221" t="str">
        <f>IFERROR(VLOOKUP(Table_Shelter[[#This Row],[CampName]],CL,2,0),"")</f>
        <v>MMR001CMP010</v>
      </c>
      <c r="T44" s="221" t="str">
        <f>IFERROR(VLOOKUP(Table_Shelter[[#This Row],[CampName]],CL,3,0),"")</f>
        <v>Open</v>
      </c>
      <c r="U44" s="393">
        <f>IFERROR(Table_Shelter[[#This Row],[HH Covered]]/VLOOKUP(Table_Shelter[[#This Row],[CampName]],CL,4,0),"")</f>
        <v>1</v>
      </c>
      <c r="V44" s="725" t="s">
        <v>1328</v>
      </c>
      <c r="W44" s="394"/>
    </row>
    <row r="45" spans="1:23" ht="15" customHeight="1" x14ac:dyDescent="0.25">
      <c r="A45" s="395"/>
      <c r="B45" s="220" t="s">
        <v>454</v>
      </c>
      <c r="C45" s="220"/>
      <c r="D45" s="220" t="s">
        <v>380</v>
      </c>
      <c r="E45" s="525" t="s">
        <v>237</v>
      </c>
      <c r="F45" s="220" t="s">
        <v>247</v>
      </c>
      <c r="G45" s="145">
        <v>1</v>
      </c>
      <c r="H45" s="145"/>
      <c r="I45" s="145"/>
      <c r="J45" s="149">
        <v>3</v>
      </c>
      <c r="K45" s="145">
        <v>3</v>
      </c>
      <c r="L45" s="220"/>
      <c r="M45" s="220"/>
      <c r="N45" s="220"/>
      <c r="O45" s="220"/>
      <c r="P45" s="191">
        <f>IF(V45="NO",Table_Shelter[[#This Row],[HH per Shelter]]*(Table_Shelter[[#This Row],['# of Temporary Shelter Units Built]]+Table_Shelter[[#This Row],['# of Temporary Shelter Under  Construction]]+Table_Shelter[[#This Row],['# of Permanent House Under Construction]]),0)</f>
        <v>3</v>
      </c>
      <c r="Q45" s="144"/>
      <c r="R45" s="220"/>
      <c r="S45" s="221" t="str">
        <f>IFERROR(VLOOKUP(Table_Shelter[[#This Row],[CampName]],CL,2,0),"")</f>
        <v>MMR001CMP011</v>
      </c>
      <c r="T45" s="221" t="str">
        <f>IFERROR(VLOOKUP(Table_Shelter[[#This Row],[CampName]],CL,3,0),"")</f>
        <v>Open</v>
      </c>
      <c r="U45" s="393">
        <f>IFERROR(Table_Shelter[[#This Row],[HH Covered]]/VLOOKUP(Table_Shelter[[#This Row],[CampName]],CL,4,0),"")</f>
        <v>0.06</v>
      </c>
      <c r="V45" s="725" t="s">
        <v>1328</v>
      </c>
      <c r="W45" s="394"/>
    </row>
    <row r="46" spans="1:23" ht="15" customHeight="1" x14ac:dyDescent="0.25">
      <c r="A46" s="395">
        <v>42416</v>
      </c>
      <c r="B46" s="220" t="s">
        <v>454</v>
      </c>
      <c r="C46" s="220" t="s">
        <v>508</v>
      </c>
      <c r="D46" s="223" t="s">
        <v>380</v>
      </c>
      <c r="E46" s="525" t="s">
        <v>185</v>
      </c>
      <c r="F46" s="220" t="s">
        <v>192</v>
      </c>
      <c r="G46" s="145">
        <v>1</v>
      </c>
      <c r="H46" s="145"/>
      <c r="I46" s="145"/>
      <c r="J46" s="145">
        <v>82</v>
      </c>
      <c r="K46" s="145">
        <v>82</v>
      </c>
      <c r="L46" s="220"/>
      <c r="M46" s="220"/>
      <c r="N46" s="220"/>
      <c r="O46" s="220"/>
      <c r="P46" s="191">
        <f>IF(V46="NO",Table_Shelter[[#This Row],[HH per Shelter]]*(Table_Shelter[[#This Row],['# of Temporary Shelter Units Built]]+Table_Shelter[[#This Row],['# of Temporary Shelter Under  Construction]]+Table_Shelter[[#This Row],['# of Permanent House Under Construction]]),0)</f>
        <v>82</v>
      </c>
      <c r="Q46" s="144"/>
      <c r="R46" s="220"/>
      <c r="S46" s="221" t="str">
        <f>IFERROR(VLOOKUP(Table_Shelter[[#This Row],[CampName]],CL,2,0),"")</f>
        <v>MMR001CMP123</v>
      </c>
      <c r="T46" s="221" t="str">
        <f>IFERROR(VLOOKUP(Table_Shelter[[#This Row],[CampName]],CL,3,0),"")</f>
        <v>Open</v>
      </c>
      <c r="U46" s="393">
        <f>IFERROR(Table_Shelter[[#This Row],[HH Covered]]/VLOOKUP(Table_Shelter[[#This Row],[CampName]],CL,4,0),"")</f>
        <v>0.7068965517241379</v>
      </c>
      <c r="V46" s="725" t="s">
        <v>1328</v>
      </c>
      <c r="W46" s="394"/>
    </row>
    <row r="47" spans="1:23" ht="15" customHeight="1" x14ac:dyDescent="0.25">
      <c r="A47" s="395"/>
      <c r="B47" s="220" t="s">
        <v>454</v>
      </c>
      <c r="C47" s="220" t="s">
        <v>508</v>
      </c>
      <c r="D47" s="223" t="s">
        <v>380</v>
      </c>
      <c r="E47" s="525" t="s">
        <v>185</v>
      </c>
      <c r="F47" s="220" t="s">
        <v>192</v>
      </c>
      <c r="G47" s="145">
        <v>1</v>
      </c>
      <c r="H47" s="145"/>
      <c r="I47" s="145"/>
      <c r="J47" s="145">
        <v>123</v>
      </c>
      <c r="K47" s="145">
        <v>123</v>
      </c>
      <c r="L47" s="220"/>
      <c r="M47" s="220"/>
      <c r="N47" s="220"/>
      <c r="O47" s="220"/>
      <c r="P47" s="191">
        <f>IF(V47="NO",Table_Shelter[[#This Row],[HH per Shelter]]*(Table_Shelter[[#This Row],['# of Temporary Shelter Units Built]]+Table_Shelter[[#This Row],['# of Temporary Shelter Under  Construction]]+Table_Shelter[[#This Row],['# of Permanent House Under Construction]]),0)</f>
        <v>123</v>
      </c>
      <c r="Q47" s="144"/>
      <c r="R47" s="220"/>
      <c r="S47" s="221" t="str">
        <f>IFERROR(VLOOKUP(Table_Shelter[[#This Row],[CampName]],CL,2,0),"")</f>
        <v>MMR001CMP123</v>
      </c>
      <c r="T47" s="221" t="str">
        <f>IFERROR(VLOOKUP(Table_Shelter[[#This Row],[CampName]],CL,3,0),"")</f>
        <v>Open</v>
      </c>
      <c r="U47" s="393">
        <f>IFERROR(Table_Shelter[[#This Row],[HH Covered]]/VLOOKUP(Table_Shelter[[#This Row],[CampName]],CL,4,0),"")</f>
        <v>1.0603448275862069</v>
      </c>
      <c r="V47" s="725" t="s">
        <v>1328</v>
      </c>
      <c r="W47" s="394"/>
    </row>
    <row r="48" spans="1:23" ht="15" customHeight="1" x14ac:dyDescent="0.25">
      <c r="A48" s="395">
        <v>41609</v>
      </c>
      <c r="B48" s="220" t="s">
        <v>454</v>
      </c>
      <c r="C48" s="220" t="s">
        <v>507</v>
      </c>
      <c r="D48" s="220" t="s">
        <v>380</v>
      </c>
      <c r="E48" s="525" t="s">
        <v>310</v>
      </c>
      <c r="F48" s="220" t="s">
        <v>313</v>
      </c>
      <c r="G48" s="145">
        <v>1</v>
      </c>
      <c r="H48" s="145"/>
      <c r="I48" s="145"/>
      <c r="J48" s="145">
        <v>5</v>
      </c>
      <c r="K48" s="145">
        <v>5</v>
      </c>
      <c r="L48" s="220"/>
      <c r="M48" s="220"/>
      <c r="N48" s="220"/>
      <c r="O48" s="220"/>
      <c r="P48" s="148">
        <f>IF(V48="NO",Table_Shelter[[#This Row],[HH per Shelter]]*(Table_Shelter[[#This Row],['# of Temporary Shelter Units Built]]+Table_Shelter[[#This Row],['# of Temporary Shelter Under  Construction]]+Table_Shelter[[#This Row],['# of Permanent House Under Construction]]),0)</f>
        <v>5</v>
      </c>
      <c r="Q48" s="144"/>
      <c r="R48" s="144"/>
      <c r="S48" s="148" t="str">
        <f>IFERROR(VLOOKUP(Table_Shelter[[#This Row],[CampName]],CL,2,0),"")</f>
        <v>MMR001CMP028</v>
      </c>
      <c r="T48" s="148" t="str">
        <f>IFERROR(VLOOKUP(Table_Shelter[[#This Row],[CampName]],CL,3,0),"")</f>
        <v>Open</v>
      </c>
      <c r="U48" s="393">
        <f>IFERROR(Table_Shelter[[#This Row],[HH Covered]]/VLOOKUP(Table_Shelter[[#This Row],[CampName]],CL,4,0),"")</f>
        <v>4.5045045045045043E-2</v>
      </c>
      <c r="V48" s="725" t="s">
        <v>1328</v>
      </c>
      <c r="W48" s="397"/>
    </row>
    <row r="49" spans="1:23" ht="15" customHeight="1" x14ac:dyDescent="0.25">
      <c r="A49" s="395">
        <v>41809</v>
      </c>
      <c r="B49" s="220" t="s">
        <v>455</v>
      </c>
      <c r="C49" s="220" t="s">
        <v>507</v>
      </c>
      <c r="D49" s="220" t="s">
        <v>380</v>
      </c>
      <c r="E49" s="225" t="s">
        <v>310</v>
      </c>
      <c r="F49" s="220" t="s">
        <v>313</v>
      </c>
      <c r="G49" s="145">
        <v>1</v>
      </c>
      <c r="H49" s="145"/>
      <c r="I49" s="145"/>
      <c r="J49" s="145">
        <v>50</v>
      </c>
      <c r="K49" s="145">
        <v>55</v>
      </c>
      <c r="L49" s="220"/>
      <c r="M49" s="220"/>
      <c r="N49" s="220"/>
      <c r="O49" s="220"/>
      <c r="P49" s="191">
        <f>IF(V49="NO",Table_Shelter[[#This Row],[HH per Shelter]]*(Table_Shelter[[#This Row],['# of Temporary Shelter Units Built]]+Table_Shelter[[#This Row],['# of Temporary Shelter Under  Construction]]+Table_Shelter[[#This Row],['# of Permanent House Under Construction]]),0)</f>
        <v>55</v>
      </c>
      <c r="Q49" s="144"/>
      <c r="R49" s="220"/>
      <c r="S49" s="221" t="str">
        <f>IFERROR(VLOOKUP(Table_Shelter[[#This Row],[CampName]],CL,2,0),"")</f>
        <v>MMR001CMP028</v>
      </c>
      <c r="T49" s="221" t="str">
        <f>IFERROR(VLOOKUP(Table_Shelter[[#This Row],[CampName]],CL,3,0),"")</f>
        <v>Open</v>
      </c>
      <c r="U49" s="393">
        <f>IFERROR(Table_Shelter[[#This Row],[HH Covered]]/VLOOKUP(Table_Shelter[[#This Row],[CampName]],CL,4,0),"")</f>
        <v>0.49549549549549549</v>
      </c>
      <c r="V49" s="725" t="s">
        <v>1328</v>
      </c>
      <c r="W49" s="394"/>
    </row>
    <row r="50" spans="1:23" ht="15" customHeight="1" x14ac:dyDescent="0.25">
      <c r="A50" s="395"/>
      <c r="B50" s="220" t="s">
        <v>454</v>
      </c>
      <c r="C50" s="220" t="s">
        <v>507</v>
      </c>
      <c r="D50" s="220" t="s">
        <v>380</v>
      </c>
      <c r="E50" s="525" t="s">
        <v>310</v>
      </c>
      <c r="F50" s="220" t="s">
        <v>313</v>
      </c>
      <c r="G50" s="145">
        <v>1</v>
      </c>
      <c r="H50" s="145"/>
      <c r="I50" s="145"/>
      <c r="J50" s="145">
        <v>45</v>
      </c>
      <c r="K50" s="145">
        <v>45</v>
      </c>
      <c r="L50" s="220"/>
      <c r="M50" s="220"/>
      <c r="N50" s="220"/>
      <c r="O50" s="220"/>
      <c r="P50" s="191">
        <f>IF(V50="NO",Table_Shelter[[#This Row],[HH per Shelter]]*(Table_Shelter[[#This Row],['# of Temporary Shelter Units Built]]+Table_Shelter[[#This Row],['# of Temporary Shelter Under  Construction]]+Table_Shelter[[#This Row],['# of Permanent House Under Construction]]),0)</f>
        <v>45</v>
      </c>
      <c r="Q50" s="144"/>
      <c r="R50" s="220"/>
      <c r="S50" s="221" t="str">
        <f>IFERROR(VLOOKUP(Table_Shelter[[#This Row],[CampName]],CL,2,0),"")</f>
        <v>MMR001CMP028</v>
      </c>
      <c r="T50" s="221" t="str">
        <f>IFERROR(VLOOKUP(Table_Shelter[[#This Row],[CampName]],CL,3,0),"")</f>
        <v>Open</v>
      </c>
      <c r="U50" s="393">
        <f>IFERROR(Table_Shelter[[#This Row],[HH Covered]]/VLOOKUP(Table_Shelter[[#This Row],[CampName]],CL,4,0),"")</f>
        <v>0.40540540540540543</v>
      </c>
      <c r="V50" s="725" t="s">
        <v>1328</v>
      </c>
      <c r="W50" s="394"/>
    </row>
    <row r="51" spans="1:23" ht="15" customHeight="1" x14ac:dyDescent="0.25">
      <c r="A51" s="395"/>
      <c r="B51" s="220" t="s">
        <v>455</v>
      </c>
      <c r="C51" s="220" t="s">
        <v>507</v>
      </c>
      <c r="D51" s="220" t="s">
        <v>380</v>
      </c>
      <c r="E51" s="525" t="s">
        <v>310</v>
      </c>
      <c r="F51" s="220" t="s">
        <v>336</v>
      </c>
      <c r="G51" s="145">
        <v>1</v>
      </c>
      <c r="H51" s="145"/>
      <c r="I51" s="145"/>
      <c r="J51" s="145">
        <v>100</v>
      </c>
      <c r="K51" s="145">
        <v>100</v>
      </c>
      <c r="L51" s="220"/>
      <c r="M51" s="220"/>
      <c r="N51" s="220"/>
      <c r="O51" s="220"/>
      <c r="P51" s="191">
        <f>IF(V51="NO",Table_Shelter[[#This Row],[HH per Shelter]]*(Table_Shelter[[#This Row],['# of Temporary Shelter Units Built]]+Table_Shelter[[#This Row],['# of Temporary Shelter Under  Construction]]+Table_Shelter[[#This Row],['# of Permanent House Under Construction]]),0)</f>
        <v>100</v>
      </c>
      <c r="Q51" s="144"/>
      <c r="R51" s="220"/>
      <c r="S51" s="221" t="str">
        <f>IFERROR(VLOOKUP(Table_Shelter[[#This Row],[CampName]],CL,2,0),"")</f>
        <v>MMR001CMP115</v>
      </c>
      <c r="T51" s="221" t="str">
        <f>IFERROR(VLOOKUP(Table_Shelter[[#This Row],[CampName]],CL,3,0),"")</f>
        <v>Open</v>
      </c>
      <c r="U51" s="393">
        <f>IFERROR(Table_Shelter[[#This Row],[HH Covered]]/VLOOKUP(Table_Shelter[[#This Row],[CampName]],CL,4,0),"")</f>
        <v>0.64935064935064934</v>
      </c>
      <c r="V51" s="725" t="s">
        <v>1328</v>
      </c>
      <c r="W51" s="394"/>
    </row>
    <row r="52" spans="1:23" ht="15" customHeight="1" x14ac:dyDescent="0.25">
      <c r="A52" s="396">
        <v>41609</v>
      </c>
      <c r="B52" s="145" t="s">
        <v>454</v>
      </c>
      <c r="C52" s="145" t="s">
        <v>507</v>
      </c>
      <c r="D52" s="228" t="s">
        <v>380</v>
      </c>
      <c r="E52" s="229" t="s">
        <v>529</v>
      </c>
      <c r="F52" s="145" t="s">
        <v>44</v>
      </c>
      <c r="G52" s="145">
        <v>1</v>
      </c>
      <c r="H52" s="149"/>
      <c r="I52" s="149"/>
      <c r="J52" s="149">
        <v>10</v>
      </c>
      <c r="K52" s="149">
        <v>10</v>
      </c>
      <c r="L52" s="149"/>
      <c r="M52" s="149"/>
      <c r="N52" s="149"/>
      <c r="O52" s="149"/>
      <c r="P52" s="148">
        <f>IF(V52="NO",Table_Shelter[[#This Row],[HH per Shelter]]*(Table_Shelter[[#This Row],['# of Temporary Shelter Units Built]]+Table_Shelter[[#This Row],['# of Temporary Shelter Under  Construction]]+Table_Shelter[[#This Row],['# of Permanent House Under Construction]]),0)</f>
        <v>10</v>
      </c>
      <c r="Q52" s="148"/>
      <c r="R52" s="148"/>
      <c r="S52" s="148" t="str">
        <f>IFERROR(VLOOKUP(Table_Shelter[[#This Row],[CampName]],CL,2,0),"")</f>
        <v>MMR001CMP191</v>
      </c>
      <c r="T52" s="148" t="str">
        <f>IFERROR(VLOOKUP(Table_Shelter[[#This Row],[CampName]],CL,3,0),"")</f>
        <v>Open</v>
      </c>
      <c r="U52" s="399">
        <f>IFERROR(Table_Shelter[[#This Row],[HH Covered]]/VLOOKUP(Table_Shelter[[#This Row],[CampName]],CL,4,0),"")</f>
        <v>0.76923076923076927</v>
      </c>
      <c r="V52" s="725" t="s">
        <v>1328</v>
      </c>
      <c r="W52" s="397"/>
    </row>
    <row r="53" spans="1:23" ht="15" customHeight="1" x14ac:dyDescent="0.25">
      <c r="A53" s="395"/>
      <c r="B53" s="220" t="s">
        <v>868</v>
      </c>
      <c r="C53" s="220"/>
      <c r="D53" s="220" t="s">
        <v>380</v>
      </c>
      <c r="E53" s="525" t="s">
        <v>529</v>
      </c>
      <c r="F53" s="220" t="s">
        <v>44</v>
      </c>
      <c r="G53" s="145">
        <v>1</v>
      </c>
      <c r="H53" s="145">
        <v>20</v>
      </c>
      <c r="I53" s="145">
        <v>20</v>
      </c>
      <c r="J53" s="145"/>
      <c r="K53" s="145"/>
      <c r="L53" s="220"/>
      <c r="M53" s="220"/>
      <c r="N53" s="220"/>
      <c r="O53" s="220"/>
      <c r="P53" s="191">
        <f>IF(V53="NO",Table_Shelter[[#This Row],[HH per Shelter]]*(Table_Shelter[[#This Row],['# of Temporary Shelter Units Built]]+Table_Shelter[[#This Row],['# of Temporary Shelter Under  Construction]]+Table_Shelter[[#This Row],['# of Permanent House Under Construction]]),0)</f>
        <v>0</v>
      </c>
      <c r="Q53" s="144"/>
      <c r="R53" s="220"/>
      <c r="S53" s="221" t="str">
        <f>IFERROR(VLOOKUP(Table_Shelter[[#This Row],[CampName]],CL,2,0),"")</f>
        <v>MMR001CMP191</v>
      </c>
      <c r="T53" s="221" t="str">
        <f>IFERROR(VLOOKUP(Table_Shelter[[#This Row],[CampName]],CL,3,0),"")</f>
        <v>Open</v>
      </c>
      <c r="U53" s="393">
        <f>IFERROR(Table_Shelter[[#This Row],[HH Covered]]/VLOOKUP(Table_Shelter[[#This Row],[CampName]],CL,4,0),"")</f>
        <v>0</v>
      </c>
      <c r="V53" s="725" t="s">
        <v>1328</v>
      </c>
      <c r="W53" s="394"/>
    </row>
    <row r="54" spans="1:23" ht="15" customHeight="1" x14ac:dyDescent="0.25">
      <c r="A54" s="395"/>
      <c r="B54" s="220" t="s">
        <v>454</v>
      </c>
      <c r="C54" s="220" t="s">
        <v>507</v>
      </c>
      <c r="D54" s="223" t="s">
        <v>380</v>
      </c>
      <c r="E54" s="525" t="s">
        <v>529</v>
      </c>
      <c r="F54" s="220" t="s">
        <v>44</v>
      </c>
      <c r="G54" s="145">
        <v>1</v>
      </c>
      <c r="H54" s="145"/>
      <c r="I54" s="145"/>
      <c r="J54" s="145">
        <v>5</v>
      </c>
      <c r="K54" s="145">
        <v>5</v>
      </c>
      <c r="L54" s="220"/>
      <c r="M54" s="220"/>
      <c r="N54" s="220"/>
      <c r="O54" s="220"/>
      <c r="P54" s="191">
        <f>IF(V54="NO",Table_Shelter[[#This Row],[HH per Shelter]]*(Table_Shelter[[#This Row],['# of Temporary Shelter Units Built]]+Table_Shelter[[#This Row],['# of Temporary Shelter Under  Construction]]+Table_Shelter[[#This Row],['# of Permanent House Under Construction]]),0)</f>
        <v>5</v>
      </c>
      <c r="Q54" s="144"/>
      <c r="R54" s="220"/>
      <c r="S54" s="221" t="str">
        <f>IFERROR(VLOOKUP(Table_Shelter[[#This Row],[CampName]],CL,2,0),"")</f>
        <v>MMR001CMP191</v>
      </c>
      <c r="T54" s="221" t="str">
        <f>IFERROR(VLOOKUP(Table_Shelter[[#This Row],[CampName]],CL,3,0),"")</f>
        <v>Open</v>
      </c>
      <c r="U54" s="393">
        <f>IFERROR(Table_Shelter[[#This Row],[HH Covered]]/VLOOKUP(Table_Shelter[[#This Row],[CampName]],CL,4,0),"")</f>
        <v>0.38461538461538464</v>
      </c>
      <c r="V54" s="725" t="s">
        <v>1328</v>
      </c>
      <c r="W54" s="394"/>
    </row>
    <row r="55" spans="1:23" ht="15" customHeight="1" x14ac:dyDescent="0.25">
      <c r="A55" s="396"/>
      <c r="B55" s="222" t="s">
        <v>454</v>
      </c>
      <c r="C55" s="222" t="s">
        <v>462</v>
      </c>
      <c r="D55" s="222" t="s">
        <v>555</v>
      </c>
      <c r="E55" s="227" t="s">
        <v>166</v>
      </c>
      <c r="F55" s="222" t="s">
        <v>169</v>
      </c>
      <c r="G55" s="149">
        <v>1</v>
      </c>
      <c r="H55" s="149"/>
      <c r="I55" s="149"/>
      <c r="J55" s="149">
        <v>10</v>
      </c>
      <c r="K55" s="149">
        <v>10</v>
      </c>
      <c r="L55" s="222"/>
      <c r="M55" s="222"/>
      <c r="N55" s="222"/>
      <c r="O55" s="222"/>
      <c r="P55" s="191">
        <f>IF(V55="NO",Table_Shelter[[#This Row],[HH per Shelter]]*(Table_Shelter[[#This Row],['# of Temporary Shelter Units Built]]+Table_Shelter[[#This Row],['# of Temporary Shelter Under  Construction]]+Table_Shelter[[#This Row],['# of Permanent House Under Construction]]),0)</f>
        <v>10</v>
      </c>
      <c r="Q55" s="148"/>
      <c r="R55" s="222"/>
      <c r="S55" s="221" t="str">
        <f>IFERROR(VLOOKUP(Table_Shelter[[#This Row],[CampName]],CL,2,0),"")</f>
        <v>MMR015CMP010</v>
      </c>
      <c r="T55" s="221" t="str">
        <f>IFERROR(VLOOKUP(Table_Shelter[[#This Row],[CampName]],CL,3,0),"")</f>
        <v>Open</v>
      </c>
      <c r="U55" s="393">
        <f>IFERROR(Table_Shelter[[#This Row],[HH Covered]]/VLOOKUP(Table_Shelter[[#This Row],[CampName]],CL,4,0),"")</f>
        <v>0.3125</v>
      </c>
      <c r="V55" s="725" t="s">
        <v>1328</v>
      </c>
      <c r="W55" s="394"/>
    </row>
    <row r="56" spans="1:23" ht="15" customHeight="1" x14ac:dyDescent="0.25">
      <c r="A56" s="396">
        <v>41974</v>
      </c>
      <c r="B56" s="222" t="s">
        <v>454</v>
      </c>
      <c r="C56" s="222" t="s">
        <v>508</v>
      </c>
      <c r="D56" s="222" t="s">
        <v>380</v>
      </c>
      <c r="E56" s="227" t="s">
        <v>185</v>
      </c>
      <c r="F56" s="222" t="s">
        <v>194</v>
      </c>
      <c r="G56" s="149">
        <v>1</v>
      </c>
      <c r="H56" s="149"/>
      <c r="I56" s="149"/>
      <c r="J56" s="149">
        <v>280</v>
      </c>
      <c r="K56" s="149">
        <v>280</v>
      </c>
      <c r="L56" s="222"/>
      <c r="M56" s="222"/>
      <c r="N56" s="222"/>
      <c r="O56" s="222"/>
      <c r="P56" s="191">
        <f>IF(V56="NO",Table_Shelter[[#This Row],[HH per Shelter]]*(Table_Shelter[[#This Row],['# of Temporary Shelter Units Built]]+Table_Shelter[[#This Row],['# of Temporary Shelter Under  Construction]]+Table_Shelter[[#This Row],['# of Permanent House Under Construction]]),0)</f>
        <v>280</v>
      </c>
      <c r="Q56" s="148"/>
      <c r="R56" s="222"/>
      <c r="S56" s="221" t="str">
        <f>IFERROR(VLOOKUP(Table_Shelter[[#This Row],[CampName]],CL,2,0),"")</f>
        <v>MMR001CMP122</v>
      </c>
      <c r="T56" s="221" t="str">
        <f>IFERROR(VLOOKUP(Table_Shelter[[#This Row],[CampName]],CL,3,0),"")</f>
        <v>Open</v>
      </c>
      <c r="U56" s="393">
        <f>IFERROR(Table_Shelter[[#This Row],[HH Covered]]/VLOOKUP(Table_Shelter[[#This Row],[CampName]],CL,4,0),"")</f>
        <v>0.4560260586319218</v>
      </c>
      <c r="V56" s="725" t="s">
        <v>1328</v>
      </c>
      <c r="W56" s="394"/>
    </row>
    <row r="57" spans="1:23" ht="15" customHeight="1" x14ac:dyDescent="0.25">
      <c r="A57" s="396">
        <v>42416</v>
      </c>
      <c r="B57" s="221" t="s">
        <v>454</v>
      </c>
      <c r="C57" s="220" t="s">
        <v>508</v>
      </c>
      <c r="D57" s="220" t="s">
        <v>380</v>
      </c>
      <c r="E57" s="225" t="s">
        <v>185</v>
      </c>
      <c r="F57" s="220" t="s">
        <v>194</v>
      </c>
      <c r="G57" s="145">
        <v>1</v>
      </c>
      <c r="H57" s="145"/>
      <c r="I57" s="145"/>
      <c r="J57" s="145"/>
      <c r="K57" s="145"/>
      <c r="L57" s="220"/>
      <c r="M57" s="220"/>
      <c r="N57" s="220"/>
      <c r="O57" s="220"/>
      <c r="P57" s="191">
        <f>IF(V57="NO",Table_Shelter[[#This Row],[HH per Shelter]]*(Table_Shelter[[#This Row],['# of Temporary Shelter Units Built]]+Table_Shelter[[#This Row],['# of Temporary Shelter Under  Construction]]+Table_Shelter[[#This Row],['# of Permanent House Under Construction]]),0)</f>
        <v>0</v>
      </c>
      <c r="Q57" s="144">
        <v>338</v>
      </c>
      <c r="R57" s="144">
        <v>338</v>
      </c>
      <c r="S57" s="221" t="str">
        <f>IFERROR(VLOOKUP(Table_Shelter[[#This Row],[CampName]],CL,2,0),"")</f>
        <v>MMR001CMP122</v>
      </c>
      <c r="T57" s="221" t="str">
        <f>IFERROR(VLOOKUP(Table_Shelter[[#This Row],[CampName]],CL,3,0),"")</f>
        <v>Open</v>
      </c>
      <c r="U57" s="393">
        <f>IFERROR(Table_Shelter[[#This Row],[HH Covered]]/VLOOKUP(Table_Shelter[[#This Row],[CampName]],CL,4,0),"")</f>
        <v>0</v>
      </c>
      <c r="V57" s="725" t="s">
        <v>1328</v>
      </c>
      <c r="W57" s="394"/>
    </row>
    <row r="58" spans="1:23" ht="15" customHeight="1" x14ac:dyDescent="0.25">
      <c r="A58" s="395"/>
      <c r="B58" s="220" t="s">
        <v>455</v>
      </c>
      <c r="C58" s="220" t="s">
        <v>508</v>
      </c>
      <c r="D58" s="223" t="s">
        <v>380</v>
      </c>
      <c r="E58" s="525" t="s">
        <v>185</v>
      </c>
      <c r="F58" s="220" t="s">
        <v>194</v>
      </c>
      <c r="G58" s="145">
        <v>1</v>
      </c>
      <c r="H58" s="145"/>
      <c r="I58" s="145"/>
      <c r="J58" s="145">
        <v>338</v>
      </c>
      <c r="K58" s="145">
        <v>338</v>
      </c>
      <c r="L58" s="220"/>
      <c r="M58" s="220"/>
      <c r="N58" s="220"/>
      <c r="O58" s="220"/>
      <c r="P58" s="191">
        <f>IF(V58="NO",Table_Shelter[[#This Row],[HH per Shelter]]*(Table_Shelter[[#This Row],['# of Temporary Shelter Units Built]]+Table_Shelter[[#This Row],['# of Temporary Shelter Under  Construction]]+Table_Shelter[[#This Row],['# of Permanent House Under Construction]]),0)</f>
        <v>338</v>
      </c>
      <c r="Q58" s="144"/>
      <c r="R58" s="220"/>
      <c r="S58" s="221" t="str">
        <f>IFERROR(VLOOKUP(Table_Shelter[[#This Row],[CampName]],CL,2,0),"")</f>
        <v>MMR001CMP122</v>
      </c>
      <c r="T58" s="221" t="str">
        <f>IFERROR(VLOOKUP(Table_Shelter[[#This Row],[CampName]],CL,3,0),"")</f>
        <v>Open</v>
      </c>
      <c r="U58" s="393">
        <f>IFERROR(Table_Shelter[[#This Row],[HH Covered]]/VLOOKUP(Table_Shelter[[#This Row],[CampName]],CL,4,0),"")</f>
        <v>0.55048859934853422</v>
      </c>
      <c r="V58" s="725" t="s">
        <v>1328</v>
      </c>
      <c r="W58" s="394"/>
    </row>
    <row r="59" spans="1:23" ht="15" customHeight="1" x14ac:dyDescent="0.25">
      <c r="A59" s="395"/>
      <c r="B59" s="220" t="s">
        <v>852</v>
      </c>
      <c r="C59" s="220"/>
      <c r="D59" s="220" t="s">
        <v>380</v>
      </c>
      <c r="E59" s="525" t="s">
        <v>5</v>
      </c>
      <c r="F59" s="220" t="s">
        <v>14</v>
      </c>
      <c r="G59" s="145">
        <v>1</v>
      </c>
      <c r="H59" s="145"/>
      <c r="I59" s="145"/>
      <c r="J59" s="145">
        <v>38</v>
      </c>
      <c r="K59" s="145">
        <v>38</v>
      </c>
      <c r="L59" s="220"/>
      <c r="M59" s="220"/>
      <c r="N59" s="220"/>
      <c r="O59" s="220"/>
      <c r="P59" s="191">
        <f>IF(V59="NO",Table_Shelter[[#This Row],[HH per Shelter]]*(Table_Shelter[[#This Row],['# of Temporary Shelter Units Built]]+Table_Shelter[[#This Row],['# of Temporary Shelter Under  Construction]]+Table_Shelter[[#This Row],['# of Permanent House Under Construction]]),0)</f>
        <v>38</v>
      </c>
      <c r="Q59" s="144"/>
      <c r="R59" s="220"/>
      <c r="S59" s="221" t="str">
        <f>IFERROR(VLOOKUP(Table_Shelter[[#This Row],[CampName]],CL,2,0),"")</f>
        <v>MMR001CMP052</v>
      </c>
      <c r="T59" s="221" t="str">
        <f>IFERROR(VLOOKUP(Table_Shelter[[#This Row],[CampName]],CL,3,0),"")</f>
        <v>Open</v>
      </c>
      <c r="U59" s="393">
        <f>IFERROR(Table_Shelter[[#This Row],[HH Covered]]/VLOOKUP(Table_Shelter[[#This Row],[CampName]],CL,4,0),"")</f>
        <v>0.88372093023255816</v>
      </c>
      <c r="V59" s="725" t="s">
        <v>1328</v>
      </c>
      <c r="W59" s="394"/>
    </row>
    <row r="60" spans="1:23" ht="15" customHeight="1" x14ac:dyDescent="0.25">
      <c r="A60" s="395"/>
      <c r="B60" s="220" t="s">
        <v>454</v>
      </c>
      <c r="C60" s="220"/>
      <c r="D60" s="220" t="s">
        <v>380</v>
      </c>
      <c r="E60" s="525" t="s">
        <v>5</v>
      </c>
      <c r="F60" s="220" t="s">
        <v>14</v>
      </c>
      <c r="G60" s="145">
        <v>1</v>
      </c>
      <c r="H60" s="145"/>
      <c r="I60" s="145"/>
      <c r="J60" s="145">
        <v>5</v>
      </c>
      <c r="K60" s="145"/>
      <c r="L60" s="220"/>
      <c r="M60" s="220"/>
      <c r="N60" s="220"/>
      <c r="O60" s="220"/>
      <c r="P60" s="191">
        <f>IF(V60="NO",Table_Shelter[[#This Row],[HH per Shelter]]*(Table_Shelter[[#This Row],['# of Temporary Shelter Units Built]]+Table_Shelter[[#This Row],['# of Temporary Shelter Under  Construction]]+Table_Shelter[[#This Row],['# of Permanent House Under Construction]]),0)</f>
        <v>0</v>
      </c>
      <c r="Q60" s="144"/>
      <c r="R60" s="220"/>
      <c r="S60" s="221" t="str">
        <f>IFERROR(VLOOKUP(Table_Shelter[[#This Row],[CampName]],CL,2,0),"")</f>
        <v>MMR001CMP052</v>
      </c>
      <c r="T60" s="221" t="str">
        <f>IFERROR(VLOOKUP(Table_Shelter[[#This Row],[CampName]],CL,3,0),"")</f>
        <v>Open</v>
      </c>
      <c r="U60" s="393">
        <f>IFERROR(Table_Shelter[[#This Row],[HH Covered]]/VLOOKUP(Table_Shelter[[#This Row],[CampName]],CL,4,0),"")</f>
        <v>0</v>
      </c>
      <c r="V60" s="725" t="s">
        <v>1328</v>
      </c>
      <c r="W60" s="394"/>
    </row>
    <row r="61" spans="1:23" ht="15" customHeight="1" x14ac:dyDescent="0.25">
      <c r="A61" s="395">
        <v>41609</v>
      </c>
      <c r="B61" s="220" t="s">
        <v>454</v>
      </c>
      <c r="C61" s="220" t="s">
        <v>462</v>
      </c>
      <c r="D61" s="220" t="s">
        <v>380</v>
      </c>
      <c r="E61" s="525" t="s">
        <v>237</v>
      </c>
      <c r="F61" s="220" t="s">
        <v>253</v>
      </c>
      <c r="G61" s="145">
        <v>1</v>
      </c>
      <c r="H61" s="145"/>
      <c r="I61" s="145"/>
      <c r="J61" s="145">
        <v>30</v>
      </c>
      <c r="K61" s="145">
        <v>30</v>
      </c>
      <c r="L61" s="220"/>
      <c r="M61" s="220"/>
      <c r="N61" s="220"/>
      <c r="O61" s="220"/>
      <c r="P61" s="191">
        <f>IF(V61="NO",Table_Shelter[[#This Row],[HH per Shelter]]*(Table_Shelter[[#This Row],['# of Temporary Shelter Units Built]]+Table_Shelter[[#This Row],['# of Temporary Shelter Under  Construction]]+Table_Shelter[[#This Row],['# of Permanent House Under Construction]]),0)</f>
        <v>30</v>
      </c>
      <c r="Q61" s="144"/>
      <c r="R61" s="220"/>
      <c r="S61" s="221" t="str">
        <f>IFERROR(VLOOKUP(Table_Shelter[[#This Row],[CampName]],CL,2,0),"")</f>
        <v>MMR001CMP018</v>
      </c>
      <c r="T61" s="221" t="str">
        <f>IFERROR(VLOOKUP(Table_Shelter[[#This Row],[CampName]],CL,3,0),"")</f>
        <v>Open</v>
      </c>
      <c r="U61" s="393">
        <f>IFERROR(Table_Shelter[[#This Row],[HH Covered]]/VLOOKUP(Table_Shelter[[#This Row],[CampName]],CL,4,0),"")</f>
        <v>0.14778325123152711</v>
      </c>
      <c r="V61" s="725" t="s">
        <v>1328</v>
      </c>
      <c r="W61" s="394"/>
    </row>
    <row r="62" spans="1:23" ht="15" customHeight="1" x14ac:dyDescent="0.25">
      <c r="A62" s="395"/>
      <c r="B62" s="220" t="s">
        <v>853</v>
      </c>
      <c r="C62" s="220" t="s">
        <v>508</v>
      </c>
      <c r="D62" s="220" t="s">
        <v>380</v>
      </c>
      <c r="E62" s="525" t="s">
        <v>237</v>
      </c>
      <c r="F62" s="220" t="s">
        <v>253</v>
      </c>
      <c r="G62" s="145">
        <v>1</v>
      </c>
      <c r="H62" s="145"/>
      <c r="I62" s="145"/>
      <c r="J62" s="145">
        <v>20</v>
      </c>
      <c r="K62" s="145">
        <v>20</v>
      </c>
      <c r="L62" s="220"/>
      <c r="M62" s="220"/>
      <c r="N62" s="220"/>
      <c r="O62" s="220"/>
      <c r="P62" s="191">
        <f>IF(V62="NO",Table_Shelter[[#This Row],[HH per Shelter]]*(Table_Shelter[[#This Row],['# of Temporary Shelter Units Built]]+Table_Shelter[[#This Row],['# of Temporary Shelter Under  Construction]]+Table_Shelter[[#This Row],['# of Permanent House Under Construction]]),0)</f>
        <v>20</v>
      </c>
      <c r="Q62" s="144"/>
      <c r="R62" s="220"/>
      <c r="S62" s="221" t="str">
        <f>IFERROR(VLOOKUP(Table_Shelter[[#This Row],[CampName]],CL,2,0),"")</f>
        <v>MMR001CMP018</v>
      </c>
      <c r="T62" s="221" t="str">
        <f>IFERROR(VLOOKUP(Table_Shelter[[#This Row],[CampName]],CL,3,0),"")</f>
        <v>Open</v>
      </c>
      <c r="U62" s="393">
        <f>IFERROR(Table_Shelter[[#This Row],[HH Covered]]/VLOOKUP(Table_Shelter[[#This Row],[CampName]],CL,4,0),"")</f>
        <v>9.8522167487684734E-2</v>
      </c>
      <c r="V62" s="725" t="s">
        <v>1328</v>
      </c>
      <c r="W62" s="394"/>
    </row>
    <row r="63" spans="1:23" ht="15" customHeight="1" x14ac:dyDescent="0.25">
      <c r="A63" s="395"/>
      <c r="B63" s="220" t="s">
        <v>572</v>
      </c>
      <c r="C63" s="220" t="s">
        <v>462</v>
      </c>
      <c r="D63" s="223" t="s">
        <v>380</v>
      </c>
      <c r="E63" s="525" t="s">
        <v>237</v>
      </c>
      <c r="F63" s="220" t="s">
        <v>253</v>
      </c>
      <c r="G63" s="145">
        <v>1</v>
      </c>
      <c r="H63" s="145"/>
      <c r="I63" s="145"/>
      <c r="J63" s="145">
        <v>60</v>
      </c>
      <c r="K63" s="145">
        <v>60</v>
      </c>
      <c r="L63" s="220"/>
      <c r="M63" s="220"/>
      <c r="N63" s="220"/>
      <c r="O63" s="220"/>
      <c r="P63" s="191">
        <f>IF(V63="NO",Table_Shelter[[#This Row],[HH per Shelter]]*(Table_Shelter[[#This Row],['# of Temporary Shelter Units Built]]+Table_Shelter[[#This Row],['# of Temporary Shelter Under  Construction]]+Table_Shelter[[#This Row],['# of Permanent House Under Construction]]),0)</f>
        <v>60</v>
      </c>
      <c r="Q63" s="144"/>
      <c r="R63" s="220"/>
      <c r="S63" s="221" t="str">
        <f>IFERROR(VLOOKUP(Table_Shelter[[#This Row],[CampName]],CL,2,0),"")</f>
        <v>MMR001CMP018</v>
      </c>
      <c r="T63" s="221" t="str">
        <f>IFERROR(VLOOKUP(Table_Shelter[[#This Row],[CampName]],CL,3,0),"")</f>
        <v>Open</v>
      </c>
      <c r="U63" s="393">
        <f>IFERROR(Table_Shelter[[#This Row],[HH Covered]]/VLOOKUP(Table_Shelter[[#This Row],[CampName]],CL,4,0),"")</f>
        <v>0.29556650246305421</v>
      </c>
      <c r="V63" s="725" t="s">
        <v>1328</v>
      </c>
      <c r="W63" s="394"/>
    </row>
    <row r="64" spans="1:23" ht="15" customHeight="1" x14ac:dyDescent="0.25">
      <c r="A64" s="395"/>
      <c r="B64" s="220" t="s">
        <v>454</v>
      </c>
      <c r="C64" s="220"/>
      <c r="D64" s="220" t="s">
        <v>380</v>
      </c>
      <c r="E64" s="525" t="s">
        <v>237</v>
      </c>
      <c r="F64" s="220" t="s">
        <v>253</v>
      </c>
      <c r="G64" s="145">
        <v>1</v>
      </c>
      <c r="H64" s="145"/>
      <c r="I64" s="145"/>
      <c r="J64" s="145">
        <v>50</v>
      </c>
      <c r="K64" s="145">
        <v>50</v>
      </c>
      <c r="L64" s="220"/>
      <c r="M64" s="220"/>
      <c r="N64" s="220"/>
      <c r="O64" s="220"/>
      <c r="P64" s="191">
        <f>IF(V64="NO",Table_Shelter[[#This Row],[HH per Shelter]]*(Table_Shelter[[#This Row],['# of Temporary Shelter Units Built]]+Table_Shelter[[#This Row],['# of Temporary Shelter Under  Construction]]+Table_Shelter[[#This Row],['# of Permanent House Under Construction]]),0)</f>
        <v>50</v>
      </c>
      <c r="Q64" s="144"/>
      <c r="R64" s="220"/>
      <c r="S64" s="221" t="str">
        <f>IFERROR(VLOOKUP(Table_Shelter[[#This Row],[CampName]],CL,2,0),"")</f>
        <v>MMR001CMP018</v>
      </c>
      <c r="T64" s="221" t="str">
        <f>IFERROR(VLOOKUP(Table_Shelter[[#This Row],[CampName]],CL,3,0),"")</f>
        <v>Open</v>
      </c>
      <c r="U64" s="393">
        <f>IFERROR(Table_Shelter[[#This Row],[HH Covered]]/VLOOKUP(Table_Shelter[[#This Row],[CampName]],CL,4,0),"")</f>
        <v>0.24630541871921183</v>
      </c>
      <c r="V64" s="725" t="s">
        <v>1328</v>
      </c>
      <c r="W64" s="394"/>
    </row>
    <row r="65" spans="1:23" ht="15" customHeight="1" x14ac:dyDescent="0.25">
      <c r="A65" s="395"/>
      <c r="B65" s="220" t="s">
        <v>594</v>
      </c>
      <c r="C65" s="220" t="s">
        <v>508</v>
      </c>
      <c r="D65" s="220" t="s">
        <v>380</v>
      </c>
      <c r="E65" s="525" t="s">
        <v>237</v>
      </c>
      <c r="F65" s="220" t="s">
        <v>255</v>
      </c>
      <c r="G65" s="145">
        <v>1</v>
      </c>
      <c r="H65" s="145"/>
      <c r="I65" s="145"/>
      <c r="J65" s="145">
        <v>60</v>
      </c>
      <c r="K65" s="145">
        <v>60</v>
      </c>
      <c r="L65" s="220"/>
      <c r="M65" s="220"/>
      <c r="N65" s="220"/>
      <c r="O65" s="220"/>
      <c r="P65" s="191">
        <f>IF(V65="NO",Table_Shelter[[#This Row],[HH per Shelter]]*(Table_Shelter[[#This Row],['# of Temporary Shelter Units Built]]+Table_Shelter[[#This Row],['# of Temporary Shelter Under  Construction]]+Table_Shelter[[#This Row],['# of Permanent House Under Construction]]),0)</f>
        <v>60</v>
      </c>
      <c r="Q65" s="144"/>
      <c r="R65" s="220"/>
      <c r="S65" s="221" t="str">
        <f>IFERROR(VLOOKUP(Table_Shelter[[#This Row],[CampName]],CL,2,0),"")</f>
        <v>MMR001CMP019</v>
      </c>
      <c r="T65" s="221" t="str">
        <f>IFERROR(VLOOKUP(Table_Shelter[[#This Row],[CampName]],CL,3,0),"")</f>
        <v>Open</v>
      </c>
      <c r="U65" s="393">
        <f>IFERROR(Table_Shelter[[#This Row],[HH Covered]]/VLOOKUP(Table_Shelter[[#This Row],[CampName]],CL,4,0),"")</f>
        <v>0.55045871559633031</v>
      </c>
      <c r="V65" s="725" t="s">
        <v>1328</v>
      </c>
      <c r="W65" s="394"/>
    </row>
    <row r="66" spans="1:23" ht="15" customHeight="1" x14ac:dyDescent="0.25">
      <c r="A66" s="395"/>
      <c r="B66" s="220" t="s">
        <v>454</v>
      </c>
      <c r="C66" s="220" t="s">
        <v>508</v>
      </c>
      <c r="D66" s="220" t="s">
        <v>380</v>
      </c>
      <c r="E66" s="525" t="s">
        <v>237</v>
      </c>
      <c r="F66" s="220" t="s">
        <v>255</v>
      </c>
      <c r="G66" s="145">
        <v>1</v>
      </c>
      <c r="H66" s="145"/>
      <c r="I66" s="145"/>
      <c r="J66" s="145">
        <v>20</v>
      </c>
      <c r="K66" s="145">
        <v>20</v>
      </c>
      <c r="L66" s="220"/>
      <c r="M66" s="220"/>
      <c r="N66" s="220"/>
      <c r="O66" s="220"/>
      <c r="P66" s="191">
        <f>IF(V66="NO",Table_Shelter[[#This Row],[HH per Shelter]]*(Table_Shelter[[#This Row],['# of Temporary Shelter Units Built]]+Table_Shelter[[#This Row],['# of Temporary Shelter Under  Construction]]+Table_Shelter[[#This Row],['# of Permanent House Under Construction]]),0)</f>
        <v>20</v>
      </c>
      <c r="Q66" s="144"/>
      <c r="R66" s="220"/>
      <c r="S66" s="221" t="str">
        <f>IFERROR(VLOOKUP(Table_Shelter[[#This Row],[CampName]],CL,2,0),"")</f>
        <v>MMR001CMP019</v>
      </c>
      <c r="T66" s="221" t="str">
        <f>IFERROR(VLOOKUP(Table_Shelter[[#This Row],[CampName]],CL,3,0),"")</f>
        <v>Open</v>
      </c>
      <c r="U66" s="393">
        <f>IFERROR(Table_Shelter[[#This Row],[HH Covered]]/VLOOKUP(Table_Shelter[[#This Row],[CampName]],CL,4,0),"")</f>
        <v>0.1834862385321101</v>
      </c>
      <c r="V66" s="725" t="s">
        <v>1328</v>
      </c>
      <c r="W66" s="394"/>
    </row>
    <row r="67" spans="1:23" ht="15" customHeight="1" x14ac:dyDescent="0.25">
      <c r="A67" s="395">
        <v>41974</v>
      </c>
      <c r="B67" s="220" t="s">
        <v>454</v>
      </c>
      <c r="C67" s="220" t="s">
        <v>508</v>
      </c>
      <c r="D67" s="220" t="s">
        <v>380</v>
      </c>
      <c r="E67" s="225" t="s">
        <v>185</v>
      </c>
      <c r="F67" s="220" t="s">
        <v>196</v>
      </c>
      <c r="G67" s="145">
        <v>1</v>
      </c>
      <c r="H67" s="145"/>
      <c r="I67" s="145"/>
      <c r="J67" s="145">
        <v>278</v>
      </c>
      <c r="K67" s="145">
        <v>278</v>
      </c>
      <c r="L67" s="220"/>
      <c r="M67" s="220"/>
      <c r="N67" s="220"/>
      <c r="O67" s="220"/>
      <c r="P67" s="191">
        <f>IF(V67="NO",Table_Shelter[[#This Row],[HH per Shelter]]*(Table_Shelter[[#This Row],['# of Temporary Shelter Units Built]]+Table_Shelter[[#This Row],['# of Temporary Shelter Under  Construction]]+Table_Shelter[[#This Row],['# of Permanent House Under Construction]]),0)</f>
        <v>278</v>
      </c>
      <c r="Q67" s="144"/>
      <c r="R67" s="220"/>
      <c r="S67" s="221" t="str">
        <f>IFERROR(VLOOKUP(Table_Shelter[[#This Row],[CampName]],CL,2,0),"")</f>
        <v>MMR001CMP121</v>
      </c>
      <c r="T67" s="221" t="str">
        <f>IFERROR(VLOOKUP(Table_Shelter[[#This Row],[CampName]],CL,3,0),"")</f>
        <v>Open</v>
      </c>
      <c r="U67" s="393">
        <f>IFERROR(Table_Shelter[[#This Row],[HH Covered]]/VLOOKUP(Table_Shelter[[#This Row],[CampName]],CL,4,0),"")</f>
        <v>0.1640117994100295</v>
      </c>
      <c r="V67" s="725" t="s">
        <v>1328</v>
      </c>
      <c r="W67" s="394"/>
    </row>
    <row r="68" spans="1:23" ht="15" customHeight="1" x14ac:dyDescent="0.25">
      <c r="A68" s="396">
        <v>42416</v>
      </c>
      <c r="B68" s="221" t="s">
        <v>454</v>
      </c>
      <c r="C68" s="220" t="s">
        <v>508</v>
      </c>
      <c r="D68" s="220" t="s">
        <v>380</v>
      </c>
      <c r="E68" s="525" t="s">
        <v>185</v>
      </c>
      <c r="F68" s="220" t="s">
        <v>196</v>
      </c>
      <c r="G68" s="145">
        <v>1</v>
      </c>
      <c r="H68" s="145"/>
      <c r="I68" s="145"/>
      <c r="J68" s="145"/>
      <c r="K68" s="145"/>
      <c r="L68" s="220"/>
      <c r="M68" s="220"/>
      <c r="N68" s="220"/>
      <c r="O68" s="220"/>
      <c r="P68" s="191">
        <f>IF(V68="NO",Table_Shelter[[#This Row],[HH per Shelter]]*(Table_Shelter[[#This Row],['# of Temporary Shelter Units Built]]+Table_Shelter[[#This Row],['# of Temporary Shelter Under  Construction]]+Table_Shelter[[#This Row],['# of Permanent House Under Construction]]),0)</f>
        <v>0</v>
      </c>
      <c r="Q68" s="144">
        <v>220</v>
      </c>
      <c r="R68" s="144">
        <v>220</v>
      </c>
      <c r="S68" s="221" t="str">
        <f>IFERROR(VLOOKUP(Table_Shelter[[#This Row],[CampName]],CL,2,0),"")</f>
        <v>MMR001CMP121</v>
      </c>
      <c r="T68" s="221" t="str">
        <f>IFERROR(VLOOKUP(Table_Shelter[[#This Row],[CampName]],CL,3,0),"")</f>
        <v>Open</v>
      </c>
      <c r="U68" s="393">
        <f>IFERROR(Table_Shelter[[#This Row],[HH Covered]]/VLOOKUP(Table_Shelter[[#This Row],[CampName]],CL,4,0),"")</f>
        <v>0</v>
      </c>
      <c r="V68" s="725" t="s">
        <v>1328</v>
      </c>
      <c r="W68" s="394"/>
    </row>
    <row r="69" spans="1:23" ht="15" customHeight="1" x14ac:dyDescent="0.25">
      <c r="A69" s="395">
        <v>42422</v>
      </c>
      <c r="B69" s="220" t="s">
        <v>455</v>
      </c>
      <c r="C69" s="220"/>
      <c r="D69" s="223" t="s">
        <v>380</v>
      </c>
      <c r="E69" s="525" t="s">
        <v>185</v>
      </c>
      <c r="F69" s="220" t="s">
        <v>196</v>
      </c>
      <c r="G69" s="145">
        <v>1</v>
      </c>
      <c r="H69" s="145"/>
      <c r="I69" s="145"/>
      <c r="J69" s="145">
        <v>118</v>
      </c>
      <c r="K69" s="145">
        <v>118</v>
      </c>
      <c r="L69" s="220"/>
      <c r="M69" s="220"/>
      <c r="N69" s="220"/>
      <c r="O69" s="220"/>
      <c r="P69" s="191">
        <f>IF(V69="NO",Table_Shelter[[#This Row],[HH per Shelter]]*(Table_Shelter[[#This Row],['# of Temporary Shelter Units Built]]+Table_Shelter[[#This Row],['# of Temporary Shelter Under  Construction]]+Table_Shelter[[#This Row],['# of Permanent House Under Construction]]),0)</f>
        <v>0</v>
      </c>
      <c r="Q69" s="144"/>
      <c r="R69" s="144"/>
      <c r="S69" s="221" t="str">
        <f>IFERROR(VLOOKUP(Table_Shelter[[#This Row],[CampName]],CL,2,0),"")</f>
        <v>MMR001CMP121</v>
      </c>
      <c r="T69" s="221" t="str">
        <f>IFERROR(VLOOKUP(Table_Shelter[[#This Row],[CampName]],CL,3,0),"")</f>
        <v>Open</v>
      </c>
      <c r="U69" s="393">
        <f>IFERROR(Table_Shelter[[#This Row],[HH Covered]]/VLOOKUP(Table_Shelter[[#This Row],[CampName]],CL,4,0),"")</f>
        <v>0</v>
      </c>
      <c r="V69" s="725" t="s">
        <v>1327</v>
      </c>
      <c r="W69" s="394"/>
    </row>
    <row r="70" spans="1:23" ht="15" customHeight="1" x14ac:dyDescent="0.25">
      <c r="A70" s="395"/>
      <c r="B70" s="220" t="s">
        <v>455</v>
      </c>
      <c r="C70" s="220" t="s">
        <v>508</v>
      </c>
      <c r="D70" s="223" t="s">
        <v>380</v>
      </c>
      <c r="E70" s="225" t="s">
        <v>185</v>
      </c>
      <c r="F70" s="220" t="s">
        <v>196</v>
      </c>
      <c r="G70" s="145">
        <v>1</v>
      </c>
      <c r="H70" s="145"/>
      <c r="I70" s="145"/>
      <c r="J70" s="145">
        <v>700</v>
      </c>
      <c r="K70" s="145">
        <v>700</v>
      </c>
      <c r="L70" s="220"/>
      <c r="M70" s="220"/>
      <c r="N70" s="220"/>
      <c r="O70" s="220"/>
      <c r="P70" s="191">
        <f>IF(V70="NO",Table_Shelter[[#This Row],[HH per Shelter]]*(Table_Shelter[[#This Row],['# of Temporary Shelter Units Built]]+Table_Shelter[[#This Row],['# of Temporary Shelter Under  Construction]]+Table_Shelter[[#This Row],['# of Permanent House Under Construction]]),0)</f>
        <v>700</v>
      </c>
      <c r="Q70" s="144"/>
      <c r="R70" s="220"/>
      <c r="S70" s="221" t="str">
        <f>IFERROR(VLOOKUP(Table_Shelter[[#This Row],[CampName]],CL,2,0),"")</f>
        <v>MMR001CMP121</v>
      </c>
      <c r="T70" s="221" t="str">
        <f>IFERROR(VLOOKUP(Table_Shelter[[#This Row],[CampName]],CL,3,0),"")</f>
        <v>Open</v>
      </c>
      <c r="U70" s="393">
        <f>IFERROR(Table_Shelter[[#This Row],[HH Covered]]/VLOOKUP(Table_Shelter[[#This Row],[CampName]],CL,4,0),"")</f>
        <v>0.41297935103244837</v>
      </c>
      <c r="V70" s="725" t="s">
        <v>1328</v>
      </c>
      <c r="W70" s="394"/>
    </row>
    <row r="71" spans="1:23" ht="15" customHeight="1" x14ac:dyDescent="0.25">
      <c r="A71" s="395"/>
      <c r="B71" s="220" t="s">
        <v>454</v>
      </c>
      <c r="C71" s="220" t="s">
        <v>461</v>
      </c>
      <c r="D71" s="223" t="s">
        <v>380</v>
      </c>
      <c r="E71" s="525" t="s">
        <v>185</v>
      </c>
      <c r="F71" s="220" t="s">
        <v>196</v>
      </c>
      <c r="G71" s="145">
        <v>1</v>
      </c>
      <c r="H71" s="145"/>
      <c r="I71" s="145"/>
      <c r="J71" s="230">
        <v>217</v>
      </c>
      <c r="K71" s="230">
        <v>217</v>
      </c>
      <c r="L71" s="220"/>
      <c r="M71" s="220"/>
      <c r="N71" s="220"/>
      <c r="O71" s="220"/>
      <c r="P71" s="191">
        <f>IF(V71="NO",Table_Shelter[[#This Row],[HH per Shelter]]*(Table_Shelter[[#This Row],['# of Temporary Shelter Units Built]]+Table_Shelter[[#This Row],['# of Temporary Shelter Under  Construction]]+Table_Shelter[[#This Row],['# of Permanent House Under Construction]]),0)</f>
        <v>217</v>
      </c>
      <c r="Q71" s="144"/>
      <c r="R71" s="220"/>
      <c r="S71" s="221" t="str">
        <f>IFERROR(VLOOKUP(Table_Shelter[[#This Row],[CampName]],CL,2,0),"")</f>
        <v>MMR001CMP121</v>
      </c>
      <c r="T71" s="221" t="str">
        <f>IFERROR(VLOOKUP(Table_Shelter[[#This Row],[CampName]],CL,3,0),"")</f>
        <v>Open</v>
      </c>
      <c r="U71" s="393">
        <f>IFERROR(Table_Shelter[[#This Row],[HH Covered]]/VLOOKUP(Table_Shelter[[#This Row],[CampName]],CL,4,0),"")</f>
        <v>0.12802359882005901</v>
      </c>
      <c r="V71" s="725" t="s">
        <v>1328</v>
      </c>
      <c r="W71" s="394"/>
    </row>
    <row r="72" spans="1:23" ht="15" customHeight="1" x14ac:dyDescent="0.25">
      <c r="A72" s="395"/>
      <c r="B72" s="220" t="s">
        <v>1104</v>
      </c>
      <c r="C72" s="220" t="s">
        <v>951</v>
      </c>
      <c r="D72" s="223" t="s">
        <v>555</v>
      </c>
      <c r="E72" s="225" t="s">
        <v>146</v>
      </c>
      <c r="F72" s="220" t="s">
        <v>372</v>
      </c>
      <c r="G72" s="145">
        <v>1</v>
      </c>
      <c r="H72" s="145"/>
      <c r="I72" s="145"/>
      <c r="J72" s="145">
        <v>121</v>
      </c>
      <c r="K72" s="145">
        <v>121</v>
      </c>
      <c r="L72" s="220"/>
      <c r="M72" s="220"/>
      <c r="N72" s="220"/>
      <c r="O72" s="220"/>
      <c r="P72" s="191">
        <f>IF(V72="NO",Table_Shelter[[#This Row],[HH per Shelter]]*(Table_Shelter[[#This Row],['# of Temporary Shelter Units Built]]+Table_Shelter[[#This Row],['# of Temporary Shelter Under  Construction]]+Table_Shelter[[#This Row],['# of Permanent House Under Construction]]),0)</f>
        <v>121</v>
      </c>
      <c r="Q72" s="144"/>
      <c r="R72" s="220"/>
      <c r="S72" s="221" t="str">
        <f>IFERROR(VLOOKUP(Table_Shelter[[#This Row],[CampName]],CL,2,0),"")</f>
        <v>MMR015CMP015</v>
      </c>
      <c r="T72" s="221" t="str">
        <f>IFERROR(VLOOKUP(Table_Shelter[[#This Row],[CampName]],CL,3,0),"")</f>
        <v>Open</v>
      </c>
      <c r="U72" s="393">
        <f>IFERROR(Table_Shelter[[#This Row],[HH Covered]]/VLOOKUP(Table_Shelter[[#This Row],[CampName]],CL,4,0),"")</f>
        <v>1.3908045977011494</v>
      </c>
      <c r="V72" s="725" t="s">
        <v>1328</v>
      </c>
      <c r="W72" s="394"/>
    </row>
    <row r="73" spans="1:23" ht="15" customHeight="1" x14ac:dyDescent="0.25">
      <c r="A73" s="396"/>
      <c r="B73" s="145" t="s">
        <v>454</v>
      </c>
      <c r="C73" s="145" t="s">
        <v>462</v>
      </c>
      <c r="D73" s="228" t="s">
        <v>380</v>
      </c>
      <c r="E73" s="229" t="s">
        <v>529</v>
      </c>
      <c r="F73" s="145" t="s">
        <v>1127</v>
      </c>
      <c r="G73" s="145">
        <v>1</v>
      </c>
      <c r="H73" s="149"/>
      <c r="I73" s="149"/>
      <c r="J73" s="149">
        <v>50</v>
      </c>
      <c r="K73" s="149">
        <v>50</v>
      </c>
      <c r="L73" s="149"/>
      <c r="M73" s="149"/>
      <c r="N73" s="149"/>
      <c r="O73" s="149"/>
      <c r="P73" s="148">
        <f>IF(V73="NO",Table_Shelter[[#This Row],[HH per Shelter]]*(Table_Shelter[[#This Row],['# of Temporary Shelter Units Built]]+Table_Shelter[[#This Row],['# of Temporary Shelter Under  Construction]]+Table_Shelter[[#This Row],['# of Permanent House Under Construction]]),0)</f>
        <v>50</v>
      </c>
      <c r="Q73" s="148"/>
      <c r="R73" s="148"/>
      <c r="S73" s="148" t="str">
        <f>IFERROR(VLOOKUP(Table_Shelter[[#This Row],[CampName]],CL,2,0),"")</f>
        <v>MMR001CMP231</v>
      </c>
      <c r="T73" s="148" t="str">
        <f>IFERROR(VLOOKUP(Table_Shelter[[#This Row],[CampName]],CL,3,0),"")</f>
        <v>Open</v>
      </c>
      <c r="U73" s="399">
        <f>IFERROR(Table_Shelter[[#This Row],[HH Covered]]/VLOOKUP(Table_Shelter[[#This Row],[CampName]],CL,4,0),"")</f>
        <v>1</v>
      </c>
      <c r="V73" s="725" t="s">
        <v>1328</v>
      </c>
      <c r="W73" s="397"/>
    </row>
    <row r="74" spans="1:23" ht="15" customHeight="1" x14ac:dyDescent="0.25">
      <c r="A74" s="395"/>
      <c r="B74" s="220" t="s">
        <v>852</v>
      </c>
      <c r="C74" s="220"/>
      <c r="D74" s="220" t="s">
        <v>555</v>
      </c>
      <c r="E74" s="525" t="s">
        <v>146</v>
      </c>
      <c r="F74" s="220" t="s">
        <v>369</v>
      </c>
      <c r="G74" s="145">
        <v>1</v>
      </c>
      <c r="H74" s="145"/>
      <c r="I74" s="145"/>
      <c r="J74" s="145">
        <v>80</v>
      </c>
      <c r="K74" s="145">
        <v>80</v>
      </c>
      <c r="L74" s="220"/>
      <c r="M74" s="220"/>
      <c r="N74" s="220"/>
      <c r="O74" s="220"/>
      <c r="P74" s="191">
        <f>IF(V74="NO",Table_Shelter[[#This Row],[HH per Shelter]]*(Table_Shelter[[#This Row],['# of Temporary Shelter Units Built]]+Table_Shelter[[#This Row],['# of Temporary Shelter Under  Construction]]+Table_Shelter[[#This Row],['# of Permanent House Under Construction]]),0)</f>
        <v>80</v>
      </c>
      <c r="Q74" s="144"/>
      <c r="R74" s="220"/>
      <c r="S74" s="221" t="str">
        <f>IFERROR(VLOOKUP(Table_Shelter[[#This Row],[CampName]],CL,2,0),"")</f>
        <v>MMR015CMP016</v>
      </c>
      <c r="T74" s="221" t="str">
        <f>IFERROR(VLOOKUP(Table_Shelter[[#This Row],[CampName]],CL,3,0),"")</f>
        <v>Open</v>
      </c>
      <c r="U74" s="393">
        <f>IFERROR(Table_Shelter[[#This Row],[HH Covered]]/VLOOKUP(Table_Shelter[[#This Row],[CampName]],CL,4,0),"")</f>
        <v>1.25</v>
      </c>
      <c r="V74" s="725" t="s">
        <v>1328</v>
      </c>
      <c r="W74" s="394"/>
    </row>
    <row r="75" spans="1:23" ht="15" customHeight="1" x14ac:dyDescent="0.25">
      <c r="A75" s="396"/>
      <c r="B75" s="222" t="s">
        <v>852</v>
      </c>
      <c r="C75" s="222"/>
      <c r="D75" s="222" t="s">
        <v>555</v>
      </c>
      <c r="E75" s="227" t="s">
        <v>146</v>
      </c>
      <c r="F75" s="222" t="s">
        <v>370</v>
      </c>
      <c r="G75" s="149">
        <v>1</v>
      </c>
      <c r="H75" s="149"/>
      <c r="I75" s="149"/>
      <c r="J75" s="149">
        <v>48</v>
      </c>
      <c r="K75" s="149">
        <v>48</v>
      </c>
      <c r="L75" s="222"/>
      <c r="M75" s="222"/>
      <c r="N75" s="222"/>
      <c r="O75" s="222"/>
      <c r="P75" s="191">
        <f>IF(V75="NO",Table_Shelter[[#This Row],[HH per Shelter]]*(Table_Shelter[[#This Row],['# of Temporary Shelter Units Built]]+Table_Shelter[[#This Row],['# of Temporary Shelter Under  Construction]]+Table_Shelter[[#This Row],['# of Permanent House Under Construction]]),0)</f>
        <v>48</v>
      </c>
      <c r="Q75" s="148"/>
      <c r="R75" s="222"/>
      <c r="S75" s="221" t="str">
        <f>IFERROR(VLOOKUP(Table_Shelter[[#This Row],[CampName]],CL,2,0),"")</f>
        <v>MMR015CMP017</v>
      </c>
      <c r="T75" s="221" t="str">
        <f>IFERROR(VLOOKUP(Table_Shelter[[#This Row],[CampName]],CL,3,0),"")</f>
        <v>Open</v>
      </c>
      <c r="U75" s="393">
        <f>IFERROR(Table_Shelter[[#This Row],[HH Covered]]/VLOOKUP(Table_Shelter[[#This Row],[CampName]],CL,4,0),"")</f>
        <v>1.5483870967741935</v>
      </c>
      <c r="V75" s="725" t="s">
        <v>1328</v>
      </c>
      <c r="W75" s="394"/>
    </row>
    <row r="76" spans="1:23" ht="15" customHeight="1" x14ac:dyDescent="0.25">
      <c r="A76" s="395"/>
      <c r="B76" s="220" t="s">
        <v>454</v>
      </c>
      <c r="C76" s="220" t="s">
        <v>462</v>
      </c>
      <c r="D76" s="220" t="s">
        <v>380</v>
      </c>
      <c r="E76" s="525" t="s">
        <v>237</v>
      </c>
      <c r="F76" s="220" t="s">
        <v>257</v>
      </c>
      <c r="G76" s="145">
        <v>1</v>
      </c>
      <c r="H76" s="145"/>
      <c r="I76" s="145"/>
      <c r="J76" s="145">
        <v>5</v>
      </c>
      <c r="K76" s="145">
        <v>5</v>
      </c>
      <c r="L76" s="220"/>
      <c r="M76" s="220"/>
      <c r="N76" s="220"/>
      <c r="O76" s="220"/>
      <c r="P76" s="191">
        <f>IF(V76="NO",Table_Shelter[[#This Row],[HH per Shelter]]*(Table_Shelter[[#This Row],['# of Temporary Shelter Units Built]]+Table_Shelter[[#This Row],['# of Temporary Shelter Under  Construction]]+Table_Shelter[[#This Row],['# of Permanent House Under Construction]]),0)</f>
        <v>5</v>
      </c>
      <c r="Q76" s="144"/>
      <c r="R76" s="220"/>
      <c r="S76" s="221" t="str">
        <f>IFERROR(VLOOKUP(Table_Shelter[[#This Row],[CampName]],CL,2,0),"")</f>
        <v>MMR001CMP013</v>
      </c>
      <c r="T76" s="221" t="str">
        <f>IFERROR(VLOOKUP(Table_Shelter[[#This Row],[CampName]],CL,3,0),"")</f>
        <v>Open</v>
      </c>
      <c r="U76" s="393">
        <f>IFERROR(Table_Shelter[[#This Row],[HH Covered]]/VLOOKUP(Table_Shelter[[#This Row],[CampName]],CL,4,0),"")</f>
        <v>0.1111111111111111</v>
      </c>
      <c r="V76" s="725" t="s">
        <v>1328</v>
      </c>
      <c r="W76" s="394"/>
    </row>
    <row r="77" spans="1:23" ht="15" customHeight="1" x14ac:dyDescent="0.25">
      <c r="A77" s="395"/>
      <c r="B77" s="220" t="s">
        <v>454</v>
      </c>
      <c r="C77" s="220" t="s">
        <v>462</v>
      </c>
      <c r="D77" s="220" t="s">
        <v>380</v>
      </c>
      <c r="E77" s="225" t="s">
        <v>173</v>
      </c>
      <c r="F77" s="220" t="s">
        <v>174</v>
      </c>
      <c r="G77" s="145">
        <v>1</v>
      </c>
      <c r="H77" s="145"/>
      <c r="I77" s="145"/>
      <c r="J77" s="145">
        <v>15</v>
      </c>
      <c r="K77" s="145">
        <v>15</v>
      </c>
      <c r="L77" s="220"/>
      <c r="M77" s="220"/>
      <c r="N77" s="220"/>
      <c r="O77" s="220"/>
      <c r="P77" s="191">
        <f>IF(V77="NO",Table_Shelter[[#This Row],[HH per Shelter]]*(Table_Shelter[[#This Row],['# of Temporary Shelter Units Built]]+Table_Shelter[[#This Row],['# of Temporary Shelter Under  Construction]]+Table_Shelter[[#This Row],['# of Permanent House Under Construction]]),0)</f>
        <v>15</v>
      </c>
      <c r="Q77" s="144"/>
      <c r="R77" s="220"/>
      <c r="S77" s="221" t="str">
        <f>IFERROR(VLOOKUP(Table_Shelter[[#This Row],[CampName]],CL,2,0),"")</f>
        <v>MMR001CMP078</v>
      </c>
      <c r="T77" s="221" t="str">
        <f>IFERROR(VLOOKUP(Table_Shelter[[#This Row],[CampName]],CL,3,0),"")</f>
        <v>Open</v>
      </c>
      <c r="U77" s="393">
        <f>IFERROR(Table_Shelter[[#This Row],[HH Covered]]/VLOOKUP(Table_Shelter[[#This Row],[CampName]],CL,4,0),"")</f>
        <v>0.9375</v>
      </c>
      <c r="V77" s="725" t="s">
        <v>1328</v>
      </c>
      <c r="W77" s="394"/>
    </row>
    <row r="78" spans="1:23" ht="15" customHeight="1" x14ac:dyDescent="0.25">
      <c r="A78" s="395">
        <v>41609</v>
      </c>
      <c r="B78" s="220" t="s">
        <v>454</v>
      </c>
      <c r="C78" s="220" t="s">
        <v>461</v>
      </c>
      <c r="D78" s="220" t="s">
        <v>380</v>
      </c>
      <c r="E78" s="225" t="s">
        <v>151</v>
      </c>
      <c r="F78" s="220" t="s">
        <v>518</v>
      </c>
      <c r="G78" s="145">
        <v>1</v>
      </c>
      <c r="H78" s="145"/>
      <c r="I78" s="145"/>
      <c r="J78" s="145">
        <v>60</v>
      </c>
      <c r="K78" s="145">
        <v>60</v>
      </c>
      <c r="L78" s="220"/>
      <c r="M78" s="220"/>
      <c r="N78" s="220"/>
      <c r="O78" s="220"/>
      <c r="P78" s="191">
        <f>IF(V78="NO",Table_Shelter[[#This Row],[HH per Shelter]]*(Table_Shelter[[#This Row],['# of Temporary Shelter Units Built]]+Table_Shelter[[#This Row],['# of Temporary Shelter Under  Construction]]+Table_Shelter[[#This Row],['# of Permanent House Under Construction]]),0)</f>
        <v>60</v>
      </c>
      <c r="Q78" s="144"/>
      <c r="R78" s="220"/>
      <c r="S78" s="221" t="str">
        <f>IFERROR(VLOOKUP(Table_Shelter[[#This Row],[CampName]],CL,2,0),"")</f>
        <v>MMR001CMP202</v>
      </c>
      <c r="T78" s="221" t="str">
        <f>IFERROR(VLOOKUP(Table_Shelter[[#This Row],[CampName]],CL,3,0),"")</f>
        <v>Closed</v>
      </c>
      <c r="U78" s="393" t="str">
        <f>IFERROR(Table_Shelter[[#This Row],[HH Covered]]/VLOOKUP(Table_Shelter[[#This Row],[CampName]],CL,4,0),"")</f>
        <v/>
      </c>
      <c r="V78" s="725" t="s">
        <v>1328</v>
      </c>
      <c r="W78" s="394"/>
    </row>
    <row r="79" spans="1:23" ht="15" customHeight="1" x14ac:dyDescent="0.25">
      <c r="A79" s="395"/>
      <c r="B79" s="220" t="s">
        <v>594</v>
      </c>
      <c r="C79" s="220" t="s">
        <v>461</v>
      </c>
      <c r="D79" s="220" t="s">
        <v>380</v>
      </c>
      <c r="E79" s="525" t="s">
        <v>151</v>
      </c>
      <c r="F79" s="220" t="s">
        <v>518</v>
      </c>
      <c r="G79" s="145">
        <v>1</v>
      </c>
      <c r="H79" s="145"/>
      <c r="I79" s="145"/>
      <c r="J79" s="145">
        <v>100</v>
      </c>
      <c r="K79" s="145">
        <v>100</v>
      </c>
      <c r="L79" s="220"/>
      <c r="M79" s="220"/>
      <c r="N79" s="220"/>
      <c r="O79" s="220"/>
      <c r="P79" s="191">
        <f>IF(V79="NO",Table_Shelter[[#This Row],[HH per Shelter]]*(Table_Shelter[[#This Row],['# of Temporary Shelter Units Built]]+Table_Shelter[[#This Row],['# of Temporary Shelter Under  Construction]]+Table_Shelter[[#This Row],['# of Permanent House Under Construction]]),0)</f>
        <v>100</v>
      </c>
      <c r="Q79" s="144"/>
      <c r="R79" s="220"/>
      <c r="S79" s="221" t="str">
        <f>IFERROR(VLOOKUP(Table_Shelter[[#This Row],[CampName]],CL,2,0),"")</f>
        <v>MMR001CMP202</v>
      </c>
      <c r="T79" s="221" t="str">
        <f>IFERROR(VLOOKUP(Table_Shelter[[#This Row],[CampName]],CL,3,0),"")</f>
        <v>Closed</v>
      </c>
      <c r="U79" s="393" t="str">
        <f>IFERROR(Table_Shelter[[#This Row],[HH Covered]]/VLOOKUP(Table_Shelter[[#This Row],[CampName]],CL,4,0),"")</f>
        <v/>
      </c>
      <c r="V79" s="725" t="s">
        <v>1328</v>
      </c>
      <c r="W79" s="394"/>
    </row>
    <row r="80" spans="1:23" s="189" customFormat="1" ht="15" customHeight="1" x14ac:dyDescent="0.25">
      <c r="A80" s="395">
        <v>41974</v>
      </c>
      <c r="B80" s="220" t="s">
        <v>454</v>
      </c>
      <c r="C80" s="220" t="s">
        <v>462</v>
      </c>
      <c r="D80" s="220" t="s">
        <v>380</v>
      </c>
      <c r="E80" s="225" t="s">
        <v>151</v>
      </c>
      <c r="F80" s="220" t="s">
        <v>198</v>
      </c>
      <c r="G80" s="145">
        <v>1</v>
      </c>
      <c r="H80" s="145"/>
      <c r="I80" s="145"/>
      <c r="J80" s="145">
        <v>118</v>
      </c>
      <c r="K80" s="145">
        <v>118</v>
      </c>
      <c r="L80" s="220"/>
      <c r="M80" s="220"/>
      <c r="N80" s="220"/>
      <c r="O80" s="220"/>
      <c r="P80" s="191">
        <f>IF(V80="NO",Table_Shelter[[#This Row],[HH per Shelter]]*(Table_Shelter[[#This Row],['# of Temporary Shelter Units Built]]+Table_Shelter[[#This Row],['# of Temporary Shelter Under  Construction]]+Table_Shelter[[#This Row],['# of Permanent House Under Construction]]),0)</f>
        <v>118</v>
      </c>
      <c r="Q80" s="144"/>
      <c r="R80" s="220"/>
      <c r="S80" s="221" t="str">
        <f>IFERROR(VLOOKUP(Table_Shelter[[#This Row],[CampName]],CL,2,0),"")</f>
        <v>MMR001CMP128</v>
      </c>
      <c r="T80" s="221" t="str">
        <f>IFERROR(VLOOKUP(Table_Shelter[[#This Row],[CampName]],CL,3,0),"")</f>
        <v>Open</v>
      </c>
      <c r="U80" s="393">
        <f>IFERROR(Table_Shelter[[#This Row],[HH Covered]]/VLOOKUP(Table_Shelter[[#This Row],[CampName]],CL,4,0),"")</f>
        <v>0.21651376146788992</v>
      </c>
      <c r="V80" s="725" t="s">
        <v>1328</v>
      </c>
      <c r="W80" s="394"/>
    </row>
    <row r="81" spans="1:23" s="189" customFormat="1" ht="15" customHeight="1" x14ac:dyDescent="0.25">
      <c r="A81" s="395"/>
      <c r="B81" s="220" t="s">
        <v>574</v>
      </c>
      <c r="C81" s="220"/>
      <c r="D81" s="220" t="s">
        <v>380</v>
      </c>
      <c r="E81" s="525" t="s">
        <v>151</v>
      </c>
      <c r="F81" s="220" t="s">
        <v>198</v>
      </c>
      <c r="G81" s="145">
        <v>1</v>
      </c>
      <c r="H81" s="145"/>
      <c r="I81" s="145"/>
      <c r="J81" s="145">
        <v>26</v>
      </c>
      <c r="K81" s="145">
        <v>26</v>
      </c>
      <c r="L81" s="220"/>
      <c r="M81" s="220"/>
      <c r="N81" s="220"/>
      <c r="O81" s="220"/>
      <c r="P81" s="191">
        <f>IF(V81="NO",Table_Shelter[[#This Row],[HH per Shelter]]*(Table_Shelter[[#This Row],['# of Temporary Shelter Units Built]]+Table_Shelter[[#This Row],['# of Temporary Shelter Under  Construction]]+Table_Shelter[[#This Row],['# of Permanent House Under Construction]]),0)</f>
        <v>26</v>
      </c>
      <c r="Q81" s="144"/>
      <c r="R81" s="220"/>
      <c r="S81" s="221" t="str">
        <f>IFERROR(VLOOKUP(Table_Shelter[[#This Row],[CampName]],CL,2,0),"")</f>
        <v>MMR001CMP128</v>
      </c>
      <c r="T81" s="221" t="str">
        <f>IFERROR(VLOOKUP(Table_Shelter[[#This Row],[CampName]],CL,3,0),"")</f>
        <v>Open</v>
      </c>
      <c r="U81" s="393">
        <f>IFERROR(Table_Shelter[[#This Row],[HH Covered]]/VLOOKUP(Table_Shelter[[#This Row],[CampName]],CL,4,0),"")</f>
        <v>4.7706422018348627E-2</v>
      </c>
      <c r="V81" s="725" t="s">
        <v>1328</v>
      </c>
      <c r="W81" s="394"/>
    </row>
    <row r="82" spans="1:23" ht="15" customHeight="1" x14ac:dyDescent="0.25">
      <c r="A82" s="395"/>
      <c r="B82" s="220" t="s">
        <v>454</v>
      </c>
      <c r="C82" s="220" t="s">
        <v>461</v>
      </c>
      <c r="D82" s="220" t="s">
        <v>380</v>
      </c>
      <c r="E82" s="225" t="s">
        <v>151</v>
      </c>
      <c r="F82" s="220" t="s">
        <v>198</v>
      </c>
      <c r="G82" s="145">
        <v>1</v>
      </c>
      <c r="H82" s="145"/>
      <c r="I82" s="145"/>
      <c r="J82" s="145">
        <v>350</v>
      </c>
      <c r="K82" s="145">
        <v>350</v>
      </c>
      <c r="L82" s="220"/>
      <c r="M82" s="220"/>
      <c r="N82" s="220"/>
      <c r="O82" s="220"/>
      <c r="P82" s="191">
        <f>IF(V82="NO",Table_Shelter[[#This Row],[HH per Shelter]]*(Table_Shelter[[#This Row],['# of Temporary Shelter Units Built]]+Table_Shelter[[#This Row],['# of Temporary Shelter Under  Construction]]+Table_Shelter[[#This Row],['# of Permanent House Under Construction]]),0)</f>
        <v>350</v>
      </c>
      <c r="Q82" s="144"/>
      <c r="R82" s="220"/>
      <c r="S82" s="221" t="str">
        <f>IFERROR(VLOOKUP(Table_Shelter[[#This Row],[CampName]],CL,2,0),"")</f>
        <v>MMR001CMP128</v>
      </c>
      <c r="T82" s="221" t="str">
        <f>IFERROR(VLOOKUP(Table_Shelter[[#This Row],[CampName]],CL,3,0),"")</f>
        <v>Open</v>
      </c>
      <c r="U82" s="393">
        <f>IFERROR(Table_Shelter[[#This Row],[HH Covered]]/VLOOKUP(Table_Shelter[[#This Row],[CampName]],CL,4,0),"")</f>
        <v>0.64220183486238536</v>
      </c>
      <c r="V82" s="725" t="s">
        <v>1328</v>
      </c>
      <c r="W82" s="394"/>
    </row>
    <row r="83" spans="1:23" ht="15" customHeight="1" x14ac:dyDescent="0.25">
      <c r="A83" s="395"/>
      <c r="B83" s="220" t="s">
        <v>454</v>
      </c>
      <c r="C83" s="220"/>
      <c r="D83" s="220" t="s">
        <v>380</v>
      </c>
      <c r="E83" s="225" t="s">
        <v>151</v>
      </c>
      <c r="F83" s="220" t="s">
        <v>198</v>
      </c>
      <c r="G83" s="145">
        <v>1</v>
      </c>
      <c r="H83" s="145"/>
      <c r="I83" s="145"/>
      <c r="J83" s="145">
        <v>150</v>
      </c>
      <c r="K83" s="145"/>
      <c r="L83" s="220"/>
      <c r="M83" s="220"/>
      <c r="N83" s="220"/>
      <c r="O83" s="220"/>
      <c r="P83" s="191">
        <f>IF(V83="NO",Table_Shelter[[#This Row],[HH per Shelter]]*(Table_Shelter[[#This Row],['# of Temporary Shelter Units Built]]+Table_Shelter[[#This Row],['# of Temporary Shelter Under  Construction]]+Table_Shelter[[#This Row],['# of Permanent House Under Construction]]),0)</f>
        <v>0</v>
      </c>
      <c r="Q83" s="144"/>
      <c r="R83" s="220"/>
      <c r="S83" s="221" t="str">
        <f>IFERROR(VLOOKUP(Table_Shelter[[#This Row],[CampName]],CL,2,0),"")</f>
        <v>MMR001CMP128</v>
      </c>
      <c r="T83" s="221" t="str">
        <f>IFERROR(VLOOKUP(Table_Shelter[[#This Row],[CampName]],CL,3,0),"")</f>
        <v>Open</v>
      </c>
      <c r="U83" s="393">
        <f>IFERROR(Table_Shelter[[#This Row],[HH Covered]]/VLOOKUP(Table_Shelter[[#This Row],[CampName]],CL,4,0),"")</f>
        <v>0</v>
      </c>
      <c r="V83" s="725" t="s">
        <v>1328</v>
      </c>
      <c r="W83" s="394"/>
    </row>
    <row r="84" spans="1:23" ht="15" customHeight="1" x14ac:dyDescent="0.25">
      <c r="A84" s="395"/>
      <c r="B84" s="220" t="s">
        <v>853</v>
      </c>
      <c r="C84" s="220" t="s">
        <v>462</v>
      </c>
      <c r="D84" s="223" t="s">
        <v>380</v>
      </c>
      <c r="E84" s="525" t="s">
        <v>237</v>
      </c>
      <c r="F84" s="220" t="s">
        <v>240</v>
      </c>
      <c r="G84" s="145">
        <v>1</v>
      </c>
      <c r="H84" s="145"/>
      <c r="I84" s="145"/>
      <c r="J84" s="145">
        <v>9</v>
      </c>
      <c r="K84" s="145">
        <v>9</v>
      </c>
      <c r="L84" s="220"/>
      <c r="M84" s="220"/>
      <c r="N84" s="220"/>
      <c r="O84" s="220"/>
      <c r="P84" s="191">
        <f>IF(V84="NO",Table_Shelter[[#This Row],[HH per Shelter]]*(Table_Shelter[[#This Row],['# of Temporary Shelter Units Built]]+Table_Shelter[[#This Row],['# of Temporary Shelter Under  Construction]]+Table_Shelter[[#This Row],['# of Permanent House Under Construction]]),0)</f>
        <v>9</v>
      </c>
      <c r="Q84" s="144"/>
      <c r="R84" s="220"/>
      <c r="S84" s="221" t="str">
        <f>IFERROR(VLOOKUP(Table_Shelter[[#This Row],[CampName]],CL,2,0),"")</f>
        <v>MMR001CMP015</v>
      </c>
      <c r="T84" s="221" t="str">
        <f>IFERROR(VLOOKUP(Table_Shelter[[#This Row],[CampName]],CL,3,0),"")</f>
        <v>Open</v>
      </c>
      <c r="U84" s="393">
        <f>IFERROR(Table_Shelter[[#This Row],[HH Covered]]/VLOOKUP(Table_Shelter[[#This Row],[CampName]],CL,4,0),"")</f>
        <v>8.3333333333333329E-2</v>
      </c>
      <c r="V84" s="725" t="s">
        <v>1328</v>
      </c>
      <c r="W84" s="394"/>
    </row>
    <row r="85" spans="1:23" ht="15" customHeight="1" x14ac:dyDescent="0.25">
      <c r="A85" s="395"/>
      <c r="B85" s="220" t="s">
        <v>572</v>
      </c>
      <c r="C85" s="220" t="s">
        <v>462</v>
      </c>
      <c r="D85" s="220" t="s">
        <v>380</v>
      </c>
      <c r="E85" s="525" t="s">
        <v>237</v>
      </c>
      <c r="F85" s="220" t="s">
        <v>240</v>
      </c>
      <c r="G85" s="145">
        <v>1</v>
      </c>
      <c r="H85" s="145"/>
      <c r="I85" s="145"/>
      <c r="J85" s="145">
        <v>5</v>
      </c>
      <c r="K85" s="145">
        <v>5</v>
      </c>
      <c r="L85" s="220"/>
      <c r="M85" s="220"/>
      <c r="N85" s="220"/>
      <c r="O85" s="220"/>
      <c r="P85" s="191">
        <f>IF(V85="NO",Table_Shelter[[#This Row],[HH per Shelter]]*(Table_Shelter[[#This Row],['# of Temporary Shelter Units Built]]+Table_Shelter[[#This Row],['# of Temporary Shelter Under  Construction]]+Table_Shelter[[#This Row],['# of Permanent House Under Construction]]),0)</f>
        <v>5</v>
      </c>
      <c r="Q85" s="144"/>
      <c r="R85" s="220"/>
      <c r="S85" s="221" t="str">
        <f>IFERROR(VLOOKUP(Table_Shelter[[#This Row],[CampName]],CL,2,0),"")</f>
        <v>MMR001CMP015</v>
      </c>
      <c r="T85" s="221" t="str">
        <f>IFERROR(VLOOKUP(Table_Shelter[[#This Row],[CampName]],CL,3,0),"")</f>
        <v>Open</v>
      </c>
      <c r="U85" s="393">
        <f>IFERROR(Table_Shelter[[#This Row],[HH Covered]]/VLOOKUP(Table_Shelter[[#This Row],[CampName]],CL,4,0),"")</f>
        <v>4.6296296296296294E-2</v>
      </c>
      <c r="V85" s="725" t="s">
        <v>1328</v>
      </c>
      <c r="W85" s="394"/>
    </row>
    <row r="86" spans="1:23" ht="15" customHeight="1" x14ac:dyDescent="0.25">
      <c r="A86" s="395"/>
      <c r="B86" s="220" t="s">
        <v>454</v>
      </c>
      <c r="C86" s="220" t="s">
        <v>462</v>
      </c>
      <c r="D86" s="220" t="s">
        <v>380</v>
      </c>
      <c r="E86" s="525" t="s">
        <v>237</v>
      </c>
      <c r="F86" s="220" t="s">
        <v>240</v>
      </c>
      <c r="G86" s="145">
        <v>1</v>
      </c>
      <c r="H86" s="145"/>
      <c r="I86" s="145"/>
      <c r="J86" s="145">
        <v>10</v>
      </c>
      <c r="K86" s="145">
        <v>10</v>
      </c>
      <c r="L86" s="220"/>
      <c r="M86" s="220"/>
      <c r="N86" s="220"/>
      <c r="O86" s="220"/>
      <c r="P86" s="191">
        <f>IF(V86="NO",Table_Shelter[[#This Row],[HH per Shelter]]*(Table_Shelter[[#This Row],['# of Temporary Shelter Units Built]]+Table_Shelter[[#This Row],['# of Temporary Shelter Under  Construction]]+Table_Shelter[[#This Row],['# of Permanent House Under Construction]]),0)</f>
        <v>10</v>
      </c>
      <c r="Q86" s="144"/>
      <c r="R86" s="220"/>
      <c r="S86" s="221" t="str">
        <f>IFERROR(VLOOKUP(Table_Shelter[[#This Row],[CampName]],CL,2,0),"")</f>
        <v>MMR001CMP015</v>
      </c>
      <c r="T86" s="221" t="str">
        <f>IFERROR(VLOOKUP(Table_Shelter[[#This Row],[CampName]],CL,3,0),"")</f>
        <v>Open</v>
      </c>
      <c r="U86" s="393">
        <f>IFERROR(Table_Shelter[[#This Row],[HH Covered]]/VLOOKUP(Table_Shelter[[#This Row],[CampName]],CL,4,0),"")</f>
        <v>9.2592592592592587E-2</v>
      </c>
      <c r="V86" s="725" t="s">
        <v>1328</v>
      </c>
      <c r="W86" s="394"/>
    </row>
    <row r="87" spans="1:23" ht="15" customHeight="1" x14ac:dyDescent="0.25">
      <c r="A87" s="396">
        <v>42416</v>
      </c>
      <c r="B87" s="220" t="s">
        <v>454</v>
      </c>
      <c r="C87" s="220" t="s">
        <v>462</v>
      </c>
      <c r="D87" s="220" t="s">
        <v>380</v>
      </c>
      <c r="E87" s="525" t="s">
        <v>237</v>
      </c>
      <c r="F87" s="840" t="s">
        <v>285</v>
      </c>
      <c r="G87" s="145">
        <v>1</v>
      </c>
      <c r="H87" s="145"/>
      <c r="I87" s="145"/>
      <c r="J87" s="145"/>
      <c r="K87" s="145"/>
      <c r="L87" s="220"/>
      <c r="M87" s="220"/>
      <c r="N87" s="220"/>
      <c r="O87" s="220"/>
      <c r="P87" s="191">
        <f>IF(V87="NO",Table_Shelter[[#This Row],[HH per Shelter]]*(Table_Shelter[[#This Row],['# of Temporary Shelter Units Built]]+Table_Shelter[[#This Row],['# of Temporary Shelter Under  Construction]]+Table_Shelter[[#This Row],['# of Permanent House Under Construction]]),0)</f>
        <v>0</v>
      </c>
      <c r="Q87" s="144">
        <v>5</v>
      </c>
      <c r="R87" s="144">
        <v>5</v>
      </c>
      <c r="S87" s="221" t="str">
        <f>IFERROR(VLOOKUP(Table_Shelter[[#This Row],[CampName]],CL,2,0),"")</f>
        <v>MMR001CMP014</v>
      </c>
      <c r="T87" s="221" t="str">
        <f>IFERROR(VLOOKUP(Table_Shelter[[#This Row],[CampName]],CL,3,0),"")</f>
        <v>Open</v>
      </c>
      <c r="U87" s="393">
        <f>IFERROR(Table_Shelter[[#This Row],[HH Covered]]/VLOOKUP(Table_Shelter[[#This Row],[CampName]],CL,4,0),"")</f>
        <v>0</v>
      </c>
      <c r="V87" s="394" t="s">
        <v>1328</v>
      </c>
      <c r="W87" s="817"/>
    </row>
    <row r="88" spans="1:23" ht="15" customHeight="1" x14ac:dyDescent="0.25">
      <c r="A88" s="395"/>
      <c r="B88" s="220" t="s">
        <v>572</v>
      </c>
      <c r="C88" s="220" t="s">
        <v>462</v>
      </c>
      <c r="D88" s="220" t="s">
        <v>380</v>
      </c>
      <c r="E88" s="525" t="s">
        <v>237</v>
      </c>
      <c r="F88" s="220" t="s">
        <v>285</v>
      </c>
      <c r="G88" s="145">
        <v>1</v>
      </c>
      <c r="H88" s="145"/>
      <c r="I88" s="145"/>
      <c r="J88" s="145">
        <v>60</v>
      </c>
      <c r="K88" s="230">
        <v>60</v>
      </c>
      <c r="L88" s="220"/>
      <c r="M88" s="220"/>
      <c r="N88" s="220"/>
      <c r="O88" s="220"/>
      <c r="P88" s="191">
        <f>IF(V88="NO",Table_Shelter[[#This Row],[HH per Shelter]]*(Table_Shelter[[#This Row],['# of Temporary Shelter Units Built]]+Table_Shelter[[#This Row],['# of Temporary Shelter Under  Construction]]+Table_Shelter[[#This Row],['# of Permanent House Under Construction]]),0)</f>
        <v>60</v>
      </c>
      <c r="Q88" s="144"/>
      <c r="R88" s="220"/>
      <c r="S88" s="221" t="str">
        <f>IFERROR(VLOOKUP(Table_Shelter[[#This Row],[CampName]],CL,2,0),"")</f>
        <v>MMR001CMP014</v>
      </c>
      <c r="T88" s="221" t="str">
        <f>IFERROR(VLOOKUP(Table_Shelter[[#This Row],[CampName]],CL,3,0),"")</f>
        <v>Open</v>
      </c>
      <c r="U88" s="393">
        <f>IFERROR(Table_Shelter[[#This Row],[HH Covered]]/VLOOKUP(Table_Shelter[[#This Row],[CampName]],CL,4,0),"")</f>
        <v>0.36809815950920244</v>
      </c>
      <c r="V88" s="725" t="s">
        <v>1328</v>
      </c>
      <c r="W88" s="394"/>
    </row>
    <row r="89" spans="1:23" ht="15" customHeight="1" x14ac:dyDescent="0.25">
      <c r="A89" s="395"/>
      <c r="B89" s="220" t="s">
        <v>454</v>
      </c>
      <c r="C89" s="220" t="s">
        <v>462</v>
      </c>
      <c r="D89" s="220" t="s">
        <v>380</v>
      </c>
      <c r="E89" s="225" t="s">
        <v>237</v>
      </c>
      <c r="F89" s="220" t="s">
        <v>285</v>
      </c>
      <c r="G89" s="145">
        <v>1</v>
      </c>
      <c r="H89" s="145"/>
      <c r="I89" s="145"/>
      <c r="J89" s="145">
        <v>60</v>
      </c>
      <c r="K89" s="145">
        <v>60</v>
      </c>
      <c r="L89" s="220"/>
      <c r="M89" s="220"/>
      <c r="N89" s="220"/>
      <c r="O89" s="220"/>
      <c r="P89" s="191">
        <f>IF(V89="NO",Table_Shelter[[#This Row],[HH per Shelter]]*(Table_Shelter[[#This Row],['# of Temporary Shelter Units Built]]+Table_Shelter[[#This Row],['# of Temporary Shelter Under  Construction]]+Table_Shelter[[#This Row],['# of Permanent House Under Construction]]),0)</f>
        <v>60</v>
      </c>
      <c r="Q89" s="144"/>
      <c r="R89" s="220"/>
      <c r="S89" s="221" t="str">
        <f>IFERROR(VLOOKUP(Table_Shelter[[#This Row],[CampName]],CL,2,0),"")</f>
        <v>MMR001CMP014</v>
      </c>
      <c r="T89" s="221" t="str">
        <f>IFERROR(VLOOKUP(Table_Shelter[[#This Row],[CampName]],CL,3,0),"")</f>
        <v>Open</v>
      </c>
      <c r="U89" s="393">
        <f>IFERROR(Table_Shelter[[#This Row],[HH Covered]]/VLOOKUP(Table_Shelter[[#This Row],[CampName]],CL,4,0),"")</f>
        <v>0.36809815950920244</v>
      </c>
      <c r="V89" s="725" t="s">
        <v>1328</v>
      </c>
      <c r="W89" s="394"/>
    </row>
    <row r="90" spans="1:23" ht="15" customHeight="1" x14ac:dyDescent="0.25">
      <c r="A90" s="395"/>
      <c r="B90" s="220" t="s">
        <v>454</v>
      </c>
      <c r="C90" s="220"/>
      <c r="D90" s="220" t="s">
        <v>380</v>
      </c>
      <c r="E90" s="525" t="s">
        <v>237</v>
      </c>
      <c r="F90" s="220" t="s">
        <v>285</v>
      </c>
      <c r="G90" s="145">
        <v>1</v>
      </c>
      <c r="H90" s="145"/>
      <c r="I90" s="145"/>
      <c r="J90" s="145">
        <v>5</v>
      </c>
      <c r="K90" s="145">
        <v>5</v>
      </c>
      <c r="L90" s="220"/>
      <c r="M90" s="220"/>
      <c r="N90" s="220"/>
      <c r="O90" s="220"/>
      <c r="P90" s="191">
        <f>IF(V90="NO",Table_Shelter[[#This Row],[HH per Shelter]]*(Table_Shelter[[#This Row],['# of Temporary Shelter Units Built]]+Table_Shelter[[#This Row],['# of Temporary Shelter Under  Construction]]+Table_Shelter[[#This Row],['# of Permanent House Under Construction]]),0)</f>
        <v>5</v>
      </c>
      <c r="Q90" s="144"/>
      <c r="R90" s="220"/>
      <c r="S90" s="221" t="str">
        <f>IFERROR(VLOOKUP(Table_Shelter[[#This Row],[CampName]],CL,2,0),"")</f>
        <v>MMR001CMP014</v>
      </c>
      <c r="T90" s="221" t="str">
        <f>IFERROR(VLOOKUP(Table_Shelter[[#This Row],[CampName]],CL,3,0),"")</f>
        <v>Open</v>
      </c>
      <c r="U90" s="393">
        <f>IFERROR(Table_Shelter[[#This Row],[HH Covered]]/VLOOKUP(Table_Shelter[[#This Row],[CampName]],CL,4,0),"")</f>
        <v>3.0674846625766871E-2</v>
      </c>
      <c r="V90" s="725" t="s">
        <v>1328</v>
      </c>
      <c r="W90" s="394"/>
    </row>
    <row r="91" spans="1:23" ht="15" customHeight="1" x14ac:dyDescent="0.25">
      <c r="A91" s="396">
        <v>41791</v>
      </c>
      <c r="B91" s="145" t="s">
        <v>454</v>
      </c>
      <c r="C91" s="145" t="s">
        <v>507</v>
      </c>
      <c r="D91" s="228" t="s">
        <v>380</v>
      </c>
      <c r="E91" s="229" t="s">
        <v>27</v>
      </c>
      <c r="F91" s="145" t="s">
        <v>365</v>
      </c>
      <c r="G91" s="145">
        <v>1</v>
      </c>
      <c r="H91" s="149"/>
      <c r="I91" s="149"/>
      <c r="J91" s="149">
        <v>5</v>
      </c>
      <c r="K91" s="149">
        <v>5</v>
      </c>
      <c r="L91" s="149"/>
      <c r="M91" s="149"/>
      <c r="N91" s="149"/>
      <c r="O91" s="149"/>
      <c r="P91" s="148">
        <f>IF(V91="NO",Table_Shelter[[#This Row],[HH per Shelter]]*(Table_Shelter[[#This Row],['# of Temporary Shelter Units Built]]+Table_Shelter[[#This Row],['# of Temporary Shelter Under  Construction]]+Table_Shelter[[#This Row],['# of Permanent House Under Construction]]),0)</f>
        <v>5</v>
      </c>
      <c r="Q91" s="148"/>
      <c r="R91" s="148"/>
      <c r="S91" s="148" t="str">
        <f>IFERROR(VLOOKUP(Table_Shelter[[#This Row],[CampName]],CL,2,0),"")</f>
        <v>MMR001CMP195</v>
      </c>
      <c r="T91" s="148" t="str">
        <f>IFERROR(VLOOKUP(Table_Shelter[[#This Row],[CampName]],CL,3,0),"")</f>
        <v>Open</v>
      </c>
      <c r="U91" s="399">
        <f>IFERROR(Table_Shelter[[#This Row],[HH Covered]]/VLOOKUP(Table_Shelter[[#This Row],[CampName]],CL,4,0),"")</f>
        <v>3.4722222222222224E-2</v>
      </c>
      <c r="V91" s="725" t="s">
        <v>1328</v>
      </c>
      <c r="W91" s="397"/>
    </row>
    <row r="92" spans="1:23" ht="15" customHeight="1" x14ac:dyDescent="0.25">
      <c r="A92" s="396">
        <v>41974</v>
      </c>
      <c r="B92" s="222" t="s">
        <v>454</v>
      </c>
      <c r="C92" s="222" t="s">
        <v>507</v>
      </c>
      <c r="D92" s="222" t="s">
        <v>380</v>
      </c>
      <c r="E92" s="227" t="s">
        <v>27</v>
      </c>
      <c r="F92" s="222" t="s">
        <v>365</v>
      </c>
      <c r="G92" s="149">
        <v>1</v>
      </c>
      <c r="H92" s="149"/>
      <c r="I92" s="149"/>
      <c r="J92" s="149">
        <v>35</v>
      </c>
      <c r="K92" s="149">
        <v>35</v>
      </c>
      <c r="L92" s="222"/>
      <c r="M92" s="222"/>
      <c r="N92" s="222"/>
      <c r="O92" s="222"/>
      <c r="P92" s="148">
        <f>IF(V92="NO",Table_Shelter[[#This Row],[HH per Shelter]]*(Table_Shelter[[#This Row],['# of Temporary Shelter Units Built]]+Table_Shelter[[#This Row],['# of Temporary Shelter Under  Construction]]+Table_Shelter[[#This Row],['# of Permanent House Under Construction]]),0)</f>
        <v>35</v>
      </c>
      <c r="Q92" s="148"/>
      <c r="R92" s="148"/>
      <c r="S92" s="148" t="str">
        <f>IFERROR(VLOOKUP(Table_Shelter[[#This Row],[CampName]],CL,2,0),"")</f>
        <v>MMR001CMP195</v>
      </c>
      <c r="T92" s="148" t="str">
        <f>IFERROR(VLOOKUP(Table_Shelter[[#This Row],[CampName]],CL,3,0),"")</f>
        <v>Open</v>
      </c>
      <c r="U92" s="393">
        <f>IFERROR(Table_Shelter[[#This Row],[HH Covered]]/VLOOKUP(Table_Shelter[[#This Row],[CampName]],CL,4,0),"")</f>
        <v>0.24305555555555555</v>
      </c>
      <c r="V92" s="725" t="s">
        <v>1328</v>
      </c>
      <c r="W92" s="397"/>
    </row>
    <row r="93" spans="1:23" ht="15" customHeight="1" x14ac:dyDescent="0.25">
      <c r="A93" s="396"/>
      <c r="B93" s="222" t="s">
        <v>454</v>
      </c>
      <c r="C93" s="222" t="s">
        <v>507</v>
      </c>
      <c r="D93" s="222" t="s">
        <v>380</v>
      </c>
      <c r="E93" s="227" t="s">
        <v>27</v>
      </c>
      <c r="F93" s="222" t="s">
        <v>365</v>
      </c>
      <c r="G93" s="149">
        <v>1</v>
      </c>
      <c r="H93" s="149"/>
      <c r="I93" s="149"/>
      <c r="J93" s="149">
        <v>33</v>
      </c>
      <c r="K93" s="149">
        <v>33</v>
      </c>
      <c r="L93" s="222"/>
      <c r="M93" s="222"/>
      <c r="N93" s="222"/>
      <c r="O93" s="222"/>
      <c r="P93" s="191">
        <f>IF(V93="NO",Table_Shelter[[#This Row],[HH per Shelter]]*(Table_Shelter[[#This Row],['# of Temporary Shelter Units Built]]+Table_Shelter[[#This Row],['# of Temporary Shelter Under  Construction]]+Table_Shelter[[#This Row],['# of Permanent House Under Construction]]),0)</f>
        <v>33</v>
      </c>
      <c r="Q93" s="148"/>
      <c r="R93" s="222"/>
      <c r="S93" s="221" t="str">
        <f>IFERROR(VLOOKUP(Table_Shelter[[#This Row],[CampName]],CL,2,0),"")</f>
        <v>MMR001CMP195</v>
      </c>
      <c r="T93" s="221" t="str">
        <f>IFERROR(VLOOKUP(Table_Shelter[[#This Row],[CampName]],CL,3,0),"")</f>
        <v>Open</v>
      </c>
      <c r="U93" s="393">
        <f>IFERROR(Table_Shelter[[#This Row],[HH Covered]]/VLOOKUP(Table_Shelter[[#This Row],[CampName]],CL,4,0),"")</f>
        <v>0.22916666666666666</v>
      </c>
      <c r="V93" s="725" t="s">
        <v>1328</v>
      </c>
      <c r="W93" s="394"/>
    </row>
    <row r="94" spans="1:23" ht="15" customHeight="1" x14ac:dyDescent="0.25">
      <c r="A94" s="395">
        <v>41609</v>
      </c>
      <c r="B94" s="220" t="s">
        <v>454</v>
      </c>
      <c r="C94" s="220" t="s">
        <v>507</v>
      </c>
      <c r="D94" s="220" t="s">
        <v>380</v>
      </c>
      <c r="E94" s="525" t="s">
        <v>529</v>
      </c>
      <c r="F94" s="220" t="s">
        <v>90</v>
      </c>
      <c r="G94" s="145">
        <v>1</v>
      </c>
      <c r="H94" s="145"/>
      <c r="I94" s="145"/>
      <c r="J94" s="145">
        <v>18</v>
      </c>
      <c r="K94" s="145">
        <v>18</v>
      </c>
      <c r="L94" s="220"/>
      <c r="M94" s="220"/>
      <c r="N94" s="220"/>
      <c r="O94" s="220"/>
      <c r="P94" s="191">
        <f>IF(V94="NO",Table_Shelter[[#This Row],[HH per Shelter]]*(Table_Shelter[[#This Row],['# of Temporary Shelter Units Built]]+Table_Shelter[[#This Row],['# of Temporary Shelter Under  Construction]]+Table_Shelter[[#This Row],['# of Permanent House Under Construction]]),0)</f>
        <v>18</v>
      </c>
      <c r="Q94" s="144"/>
      <c r="R94" s="220"/>
      <c r="S94" s="221" t="str">
        <f>IFERROR(VLOOKUP(Table_Shelter[[#This Row],[CampName]],CL,2,0),"")</f>
        <v>MMR001CMP181</v>
      </c>
      <c r="T94" s="221" t="str">
        <f>IFERROR(VLOOKUP(Table_Shelter[[#This Row],[CampName]],CL,3,0),"")</f>
        <v>Open</v>
      </c>
      <c r="U94" s="393">
        <f>IFERROR(Table_Shelter[[#This Row],[HH Covered]]/VLOOKUP(Table_Shelter[[#This Row],[CampName]],CL,4,0),"")</f>
        <v>0.72</v>
      </c>
      <c r="V94" s="725" t="s">
        <v>1328</v>
      </c>
      <c r="W94" s="394"/>
    </row>
    <row r="95" spans="1:23" ht="15" customHeight="1" x14ac:dyDescent="0.25">
      <c r="A95" s="396">
        <v>41791</v>
      </c>
      <c r="B95" s="145" t="s">
        <v>454</v>
      </c>
      <c r="C95" s="145" t="s">
        <v>507</v>
      </c>
      <c r="D95" s="228" t="s">
        <v>380</v>
      </c>
      <c r="E95" s="229" t="s">
        <v>529</v>
      </c>
      <c r="F95" s="145" t="s">
        <v>90</v>
      </c>
      <c r="G95" s="145">
        <v>1</v>
      </c>
      <c r="H95" s="149"/>
      <c r="I95" s="149"/>
      <c r="J95" s="149">
        <v>2</v>
      </c>
      <c r="K95" s="149">
        <v>2</v>
      </c>
      <c r="L95" s="149"/>
      <c r="M95" s="149"/>
      <c r="N95" s="149"/>
      <c r="O95" s="149"/>
      <c r="P95" s="148">
        <f>IF(V95="NO",Table_Shelter[[#This Row],[HH per Shelter]]*(Table_Shelter[[#This Row],['# of Temporary Shelter Units Built]]+Table_Shelter[[#This Row],['# of Temporary Shelter Under  Construction]]+Table_Shelter[[#This Row],['# of Permanent House Under Construction]]),0)</f>
        <v>2</v>
      </c>
      <c r="Q95" s="148"/>
      <c r="R95" s="148"/>
      <c r="S95" s="148" t="str">
        <f>IFERROR(VLOOKUP(Table_Shelter[[#This Row],[CampName]],CL,2,0),"")</f>
        <v>MMR001CMP181</v>
      </c>
      <c r="T95" s="148" t="str">
        <f>IFERROR(VLOOKUP(Table_Shelter[[#This Row],[CampName]],CL,3,0),"")</f>
        <v>Open</v>
      </c>
      <c r="U95" s="399">
        <f>IFERROR(Table_Shelter[[#This Row],[HH Covered]]/VLOOKUP(Table_Shelter[[#This Row],[CampName]],CL,4,0),"")</f>
        <v>0.08</v>
      </c>
      <c r="V95" s="725" t="s">
        <v>1328</v>
      </c>
      <c r="W95" s="397"/>
    </row>
    <row r="96" spans="1:23" ht="15" customHeight="1" x14ac:dyDescent="0.25">
      <c r="A96" s="395">
        <v>41974</v>
      </c>
      <c r="B96" s="220" t="s">
        <v>454</v>
      </c>
      <c r="C96" s="220" t="s">
        <v>507</v>
      </c>
      <c r="D96" s="220" t="s">
        <v>380</v>
      </c>
      <c r="E96" s="525" t="s">
        <v>529</v>
      </c>
      <c r="F96" s="220" t="s">
        <v>90</v>
      </c>
      <c r="G96" s="145">
        <v>1</v>
      </c>
      <c r="H96" s="145"/>
      <c r="I96" s="145"/>
      <c r="J96" s="145">
        <v>5</v>
      </c>
      <c r="K96" s="145">
        <v>5</v>
      </c>
      <c r="L96" s="220"/>
      <c r="M96" s="220"/>
      <c r="N96" s="220"/>
      <c r="O96" s="220"/>
      <c r="P96" s="148">
        <f>IF(V96="NO",Table_Shelter[[#This Row],[HH per Shelter]]*(Table_Shelter[[#This Row],['# of Temporary Shelter Units Built]]+Table_Shelter[[#This Row],['# of Temporary Shelter Under  Construction]]+Table_Shelter[[#This Row],['# of Permanent House Under Construction]]),0)</f>
        <v>5</v>
      </c>
      <c r="Q96" s="144"/>
      <c r="R96" s="144"/>
      <c r="S96" s="148" t="str">
        <f>IFERROR(VLOOKUP(Table_Shelter[[#This Row],[CampName]],CL,2,0),"")</f>
        <v>MMR001CMP181</v>
      </c>
      <c r="T96" s="148" t="str">
        <f>IFERROR(VLOOKUP(Table_Shelter[[#This Row],[CampName]],CL,3,0),"")</f>
        <v>Open</v>
      </c>
      <c r="U96" s="393">
        <f>IFERROR(Table_Shelter[[#This Row],[HH Covered]]/VLOOKUP(Table_Shelter[[#This Row],[CampName]],CL,4,0),"")</f>
        <v>0.2</v>
      </c>
      <c r="V96" s="725" t="s">
        <v>1328</v>
      </c>
      <c r="W96" s="397"/>
    </row>
    <row r="97" spans="1:23" ht="15" customHeight="1" x14ac:dyDescent="0.25">
      <c r="A97" s="395">
        <v>41974</v>
      </c>
      <c r="B97" s="220" t="s">
        <v>454</v>
      </c>
      <c r="C97" s="220" t="s">
        <v>507</v>
      </c>
      <c r="D97" s="220" t="s">
        <v>380</v>
      </c>
      <c r="E97" s="225" t="s">
        <v>529</v>
      </c>
      <c r="F97" s="220" t="s">
        <v>92</v>
      </c>
      <c r="G97" s="145">
        <v>1</v>
      </c>
      <c r="H97" s="145"/>
      <c r="I97" s="145"/>
      <c r="J97" s="145">
        <v>15</v>
      </c>
      <c r="K97" s="145">
        <v>15</v>
      </c>
      <c r="L97" s="220"/>
      <c r="M97" s="220"/>
      <c r="N97" s="220"/>
      <c r="O97" s="220"/>
      <c r="P97" s="191">
        <f>IF(V97="NO",Table_Shelter[[#This Row],[HH per Shelter]]*(Table_Shelter[[#This Row],['# of Temporary Shelter Units Built]]+Table_Shelter[[#This Row],['# of Temporary Shelter Under  Construction]]+Table_Shelter[[#This Row],['# of Permanent House Under Construction]]),0)</f>
        <v>15</v>
      </c>
      <c r="Q97" s="144"/>
      <c r="R97" s="220"/>
      <c r="S97" s="221" t="str">
        <f>IFERROR(VLOOKUP(Table_Shelter[[#This Row],[CampName]],CL,2,0),"")</f>
        <v>MMR001CMP167</v>
      </c>
      <c r="T97" s="221" t="str">
        <f>IFERROR(VLOOKUP(Table_Shelter[[#This Row],[CampName]],CL,3,0),"")</f>
        <v>Open</v>
      </c>
      <c r="U97" s="393">
        <f>IFERROR(Table_Shelter[[#This Row],[HH Covered]]/VLOOKUP(Table_Shelter[[#This Row],[CampName]],CL,4,0),"")</f>
        <v>1</v>
      </c>
      <c r="V97" s="725" t="s">
        <v>1328</v>
      </c>
      <c r="W97" s="394"/>
    </row>
    <row r="98" spans="1:23" ht="15" customHeight="1" x14ac:dyDescent="0.25">
      <c r="A98" s="395">
        <v>41609</v>
      </c>
      <c r="B98" s="222" t="s">
        <v>454</v>
      </c>
      <c r="C98" s="222" t="s">
        <v>507</v>
      </c>
      <c r="D98" s="222" t="s">
        <v>380</v>
      </c>
      <c r="E98" s="227" t="s">
        <v>5</v>
      </c>
      <c r="F98" s="222" t="s">
        <v>18</v>
      </c>
      <c r="G98" s="149">
        <v>1</v>
      </c>
      <c r="H98" s="145"/>
      <c r="I98" s="145"/>
      <c r="J98" s="145">
        <v>10</v>
      </c>
      <c r="K98" s="145">
        <v>10</v>
      </c>
      <c r="L98" s="220"/>
      <c r="M98" s="220"/>
      <c r="N98" s="220"/>
      <c r="O98" s="220"/>
      <c r="P98" s="148">
        <f>IF(V98="NO",Table_Shelter[[#This Row],[HH per Shelter]]*(Table_Shelter[[#This Row],['# of Temporary Shelter Units Built]]+Table_Shelter[[#This Row],['# of Temporary Shelter Under  Construction]]+Table_Shelter[[#This Row],['# of Permanent House Under Construction]]),0)</f>
        <v>10</v>
      </c>
      <c r="Q98" s="144"/>
      <c r="R98" s="144"/>
      <c r="S98" s="148" t="str">
        <f>IFERROR(VLOOKUP(Table_Shelter[[#This Row],[CampName]],CL,2,0),"")</f>
        <v>MMR001CMP049</v>
      </c>
      <c r="T98" s="148" t="str">
        <f>IFERROR(VLOOKUP(Table_Shelter[[#This Row],[CampName]],CL,3,0),"")</f>
        <v>Open</v>
      </c>
      <c r="U98" s="393">
        <f>IFERROR(Table_Shelter[[#This Row],[HH Covered]]/VLOOKUP(Table_Shelter[[#This Row],[CampName]],CL,4,0),"")</f>
        <v>8.6206896551724144E-2</v>
      </c>
      <c r="V98" s="725" t="s">
        <v>1328</v>
      </c>
      <c r="W98" s="397"/>
    </row>
    <row r="99" spans="1:23" ht="15" customHeight="1" x14ac:dyDescent="0.25">
      <c r="A99" s="396">
        <v>41974</v>
      </c>
      <c r="B99" s="222" t="s">
        <v>454</v>
      </c>
      <c r="C99" s="222" t="s">
        <v>507</v>
      </c>
      <c r="D99" s="222" t="s">
        <v>380</v>
      </c>
      <c r="E99" s="227" t="s">
        <v>5</v>
      </c>
      <c r="F99" s="222" t="s">
        <v>18</v>
      </c>
      <c r="G99" s="149">
        <v>1</v>
      </c>
      <c r="H99" s="149"/>
      <c r="I99" s="149"/>
      <c r="J99" s="149">
        <v>15</v>
      </c>
      <c r="K99" s="149">
        <v>15</v>
      </c>
      <c r="L99" s="222"/>
      <c r="M99" s="222"/>
      <c r="N99" s="222"/>
      <c r="O99" s="222"/>
      <c r="P99" s="191">
        <f>IF(V99="NO",Table_Shelter[[#This Row],[HH per Shelter]]*(Table_Shelter[[#This Row],['# of Temporary Shelter Units Built]]+Table_Shelter[[#This Row],['# of Temporary Shelter Under  Construction]]+Table_Shelter[[#This Row],['# of Permanent House Under Construction]]),0)</f>
        <v>15</v>
      </c>
      <c r="Q99" s="148">
        <v>8</v>
      </c>
      <c r="R99" s="222"/>
      <c r="S99" s="221" t="str">
        <f>IFERROR(VLOOKUP(Table_Shelter[[#This Row],[CampName]],CL,2,0),"")</f>
        <v>MMR001CMP049</v>
      </c>
      <c r="T99" s="221" t="str">
        <f>IFERROR(VLOOKUP(Table_Shelter[[#This Row],[CampName]],CL,3,0),"")</f>
        <v>Open</v>
      </c>
      <c r="U99" s="393">
        <f>IFERROR(Table_Shelter[[#This Row],[HH Covered]]/VLOOKUP(Table_Shelter[[#This Row],[CampName]],CL,4,0),"")</f>
        <v>0.12931034482758622</v>
      </c>
      <c r="V99" s="725" t="s">
        <v>1328</v>
      </c>
      <c r="W99" s="394"/>
    </row>
    <row r="100" spans="1:23" ht="15" customHeight="1" x14ac:dyDescent="0.25">
      <c r="A100" s="395">
        <v>42416</v>
      </c>
      <c r="B100" s="220" t="s">
        <v>454</v>
      </c>
      <c r="C100" s="220" t="s">
        <v>507</v>
      </c>
      <c r="D100" s="223" t="s">
        <v>380</v>
      </c>
      <c r="E100" s="525" t="s">
        <v>5</v>
      </c>
      <c r="F100" s="220" t="s">
        <v>18</v>
      </c>
      <c r="G100" s="145">
        <v>1</v>
      </c>
      <c r="H100" s="145"/>
      <c r="I100" s="145"/>
      <c r="J100" s="145">
        <v>15</v>
      </c>
      <c r="K100" s="145">
        <v>15</v>
      </c>
      <c r="L100" s="220"/>
      <c r="M100" s="220"/>
      <c r="N100" s="220"/>
      <c r="O100" s="220"/>
      <c r="P100" s="191">
        <f>IF(V100="NO",Table_Shelter[[#This Row],[HH per Shelter]]*(Table_Shelter[[#This Row],['# of Temporary Shelter Units Built]]+Table_Shelter[[#This Row],['# of Temporary Shelter Under  Construction]]+Table_Shelter[[#This Row],['# of Permanent House Under Construction]]),0)</f>
        <v>15</v>
      </c>
      <c r="Q100" s="144"/>
      <c r="R100" s="220"/>
      <c r="S100" s="221" t="str">
        <f>IFERROR(VLOOKUP(Table_Shelter[[#This Row],[CampName]],CL,2,0),"")</f>
        <v>MMR001CMP049</v>
      </c>
      <c r="T100" s="221" t="str">
        <f>IFERROR(VLOOKUP(Table_Shelter[[#This Row],[CampName]],CL,3,0),"")</f>
        <v>Open</v>
      </c>
      <c r="U100" s="393">
        <f>IFERROR(Table_Shelter[[#This Row],[HH Covered]]/VLOOKUP(Table_Shelter[[#This Row],[CampName]],CL,4,0),"")</f>
        <v>0.12931034482758622</v>
      </c>
      <c r="V100" s="725" t="s">
        <v>1328</v>
      </c>
      <c r="W100" s="394"/>
    </row>
    <row r="101" spans="1:23" ht="15" customHeight="1" x14ac:dyDescent="0.25">
      <c r="A101" s="395"/>
      <c r="B101" s="220" t="s">
        <v>852</v>
      </c>
      <c r="C101" s="220"/>
      <c r="D101" s="223" t="s">
        <v>380</v>
      </c>
      <c r="E101" s="525" t="s">
        <v>5</v>
      </c>
      <c r="F101" s="220" t="s">
        <v>18</v>
      </c>
      <c r="G101" s="145">
        <v>1</v>
      </c>
      <c r="H101" s="145"/>
      <c r="I101" s="145"/>
      <c r="J101" s="145">
        <v>12</v>
      </c>
      <c r="K101" s="145">
        <v>12</v>
      </c>
      <c r="L101" s="220"/>
      <c r="M101" s="220"/>
      <c r="N101" s="220"/>
      <c r="O101" s="220"/>
      <c r="P101" s="191">
        <f>IF(V101="NO",Table_Shelter[[#This Row],[HH per Shelter]]*(Table_Shelter[[#This Row],['# of Temporary Shelter Units Built]]+Table_Shelter[[#This Row],['# of Temporary Shelter Under  Construction]]+Table_Shelter[[#This Row],['# of Permanent House Under Construction]]),0)</f>
        <v>12</v>
      </c>
      <c r="Q101" s="144"/>
      <c r="R101" s="220"/>
      <c r="S101" s="221" t="str">
        <f>IFERROR(VLOOKUP(Table_Shelter[[#This Row],[CampName]],CL,2,0),"")</f>
        <v>MMR001CMP049</v>
      </c>
      <c r="T101" s="221" t="str">
        <f>IFERROR(VLOOKUP(Table_Shelter[[#This Row],[CampName]],CL,3,0),"")</f>
        <v>Open</v>
      </c>
      <c r="U101" s="393">
        <f>IFERROR(Table_Shelter[[#This Row],[HH Covered]]/VLOOKUP(Table_Shelter[[#This Row],[CampName]],CL,4,0),"")</f>
        <v>0.10344827586206896</v>
      </c>
      <c r="V101" s="725" t="s">
        <v>1328</v>
      </c>
      <c r="W101" s="394"/>
    </row>
    <row r="102" spans="1:23" ht="15" customHeight="1" x14ac:dyDescent="0.25">
      <c r="A102" s="395"/>
      <c r="B102" s="220" t="s">
        <v>454</v>
      </c>
      <c r="C102" s="220" t="s">
        <v>852</v>
      </c>
      <c r="D102" s="223" t="s">
        <v>380</v>
      </c>
      <c r="E102" s="525" t="s">
        <v>5</v>
      </c>
      <c r="F102" s="220" t="s">
        <v>18</v>
      </c>
      <c r="G102" s="145">
        <v>1</v>
      </c>
      <c r="H102" s="145"/>
      <c r="I102" s="145"/>
      <c r="J102" s="145">
        <v>30</v>
      </c>
      <c r="K102" s="145">
        <v>30</v>
      </c>
      <c r="L102" s="220"/>
      <c r="M102" s="220"/>
      <c r="N102" s="220"/>
      <c r="O102" s="220"/>
      <c r="P102" s="191">
        <f>IF(V102="NO",Table_Shelter[[#This Row],[HH per Shelter]]*(Table_Shelter[[#This Row],['# of Temporary Shelter Units Built]]+Table_Shelter[[#This Row],['# of Temporary Shelter Under  Construction]]+Table_Shelter[[#This Row],['# of Permanent House Under Construction]]),0)</f>
        <v>30</v>
      </c>
      <c r="Q102" s="144"/>
      <c r="R102" s="220"/>
      <c r="S102" s="221" t="str">
        <f>IFERROR(VLOOKUP(Table_Shelter[[#This Row],[CampName]],CL,2,0),"")</f>
        <v>MMR001CMP049</v>
      </c>
      <c r="T102" s="221" t="str">
        <f>IFERROR(VLOOKUP(Table_Shelter[[#This Row],[CampName]],CL,3,0),"")</f>
        <v>Open</v>
      </c>
      <c r="U102" s="393">
        <f>IFERROR(Table_Shelter[[#This Row],[HH Covered]]/VLOOKUP(Table_Shelter[[#This Row],[CampName]],CL,4,0),"")</f>
        <v>0.25862068965517243</v>
      </c>
      <c r="V102" s="725" t="s">
        <v>1328</v>
      </c>
      <c r="W102" s="394"/>
    </row>
    <row r="103" spans="1:23" ht="15" customHeight="1" x14ac:dyDescent="0.25">
      <c r="A103" s="396"/>
      <c r="B103" s="222" t="s">
        <v>454</v>
      </c>
      <c r="C103" s="222"/>
      <c r="D103" s="222" t="s">
        <v>380</v>
      </c>
      <c r="E103" s="227" t="s">
        <v>5</v>
      </c>
      <c r="F103" s="222" t="s">
        <v>18</v>
      </c>
      <c r="G103" s="149">
        <v>1</v>
      </c>
      <c r="H103" s="149"/>
      <c r="I103" s="149"/>
      <c r="J103" s="149">
        <v>15</v>
      </c>
      <c r="K103" s="149">
        <v>15</v>
      </c>
      <c r="L103" s="222"/>
      <c r="M103" s="222"/>
      <c r="N103" s="222"/>
      <c r="O103" s="222"/>
      <c r="P103" s="191">
        <f>IF(V103="NO",Table_Shelter[[#This Row],[HH per Shelter]]*(Table_Shelter[[#This Row],['# of Temporary Shelter Units Built]]+Table_Shelter[[#This Row],['# of Temporary Shelter Under  Construction]]+Table_Shelter[[#This Row],['# of Permanent House Under Construction]]),0)</f>
        <v>15</v>
      </c>
      <c r="Q103" s="148"/>
      <c r="R103" s="222"/>
      <c r="S103" s="221" t="str">
        <f>IFERROR(VLOOKUP(Table_Shelter[[#This Row],[CampName]],CL,2,0),"")</f>
        <v>MMR001CMP049</v>
      </c>
      <c r="T103" s="221" t="str">
        <f>IFERROR(VLOOKUP(Table_Shelter[[#This Row],[CampName]],CL,3,0),"")</f>
        <v>Open</v>
      </c>
      <c r="U103" s="393">
        <f>IFERROR(Table_Shelter[[#This Row],[HH Covered]]/VLOOKUP(Table_Shelter[[#This Row],[CampName]],CL,4,0),"")</f>
        <v>0.12931034482758622</v>
      </c>
      <c r="V103" s="725" t="s">
        <v>1328</v>
      </c>
      <c r="W103" s="394"/>
    </row>
    <row r="104" spans="1:23" ht="15" customHeight="1" x14ac:dyDescent="0.25">
      <c r="A104" s="396"/>
      <c r="B104" s="220" t="s">
        <v>454</v>
      </c>
      <c r="C104" s="220" t="s">
        <v>507</v>
      </c>
      <c r="D104" s="228" t="s">
        <v>380</v>
      </c>
      <c r="E104" s="525" t="s">
        <v>5</v>
      </c>
      <c r="F104" s="220" t="s">
        <v>18</v>
      </c>
      <c r="G104" s="145">
        <v>1</v>
      </c>
      <c r="H104" s="149"/>
      <c r="I104" s="149"/>
      <c r="J104" s="149">
        <v>5</v>
      </c>
      <c r="K104" s="149">
        <v>5</v>
      </c>
      <c r="L104" s="222"/>
      <c r="M104" s="222"/>
      <c r="N104" s="222"/>
      <c r="O104" s="222"/>
      <c r="P104" s="148">
        <f>IF(V104="NO",Table_Shelter[[#This Row],[HH per Shelter]]*(Table_Shelter[[#This Row],['# of Temporary Shelter Units Built]]+Table_Shelter[[#This Row],['# of Temporary Shelter Under  Construction]]+Table_Shelter[[#This Row],['# of Permanent House Under Construction]]),0)</f>
        <v>5</v>
      </c>
      <c r="Q104" s="148"/>
      <c r="R104" s="148"/>
      <c r="S104" s="148" t="str">
        <f>IFERROR(VLOOKUP(Table_Shelter[[#This Row],[CampName]],CL,2,0),"")</f>
        <v>MMR001CMP049</v>
      </c>
      <c r="T104" s="148" t="str">
        <f>IFERROR(VLOOKUP(Table_Shelter[[#This Row],[CampName]],CL,3,0),"")</f>
        <v>Open</v>
      </c>
      <c r="U104" s="393">
        <f>IFERROR(Table_Shelter[[#This Row],[HH Covered]]/VLOOKUP(Table_Shelter[[#This Row],[CampName]],CL,4,0),"")</f>
        <v>4.3103448275862072E-2</v>
      </c>
      <c r="V104" s="725" t="s">
        <v>1328</v>
      </c>
      <c r="W104" s="397"/>
    </row>
    <row r="105" spans="1:23" ht="15" customHeight="1" x14ac:dyDescent="0.25">
      <c r="A105" s="396"/>
      <c r="B105" s="222" t="s">
        <v>454</v>
      </c>
      <c r="C105" s="222"/>
      <c r="D105" s="222" t="s">
        <v>380</v>
      </c>
      <c r="E105" s="227" t="s">
        <v>185</v>
      </c>
      <c r="F105" s="222" t="s">
        <v>186</v>
      </c>
      <c r="G105" s="149">
        <v>1</v>
      </c>
      <c r="H105" s="149"/>
      <c r="I105" s="149"/>
      <c r="J105" s="149">
        <v>12</v>
      </c>
      <c r="K105" s="149">
        <v>12</v>
      </c>
      <c r="L105" s="222"/>
      <c r="M105" s="222"/>
      <c r="N105" s="222"/>
      <c r="O105" s="222"/>
      <c r="P105" s="191">
        <f>IF(V105="NO",Table_Shelter[[#This Row],[HH per Shelter]]*(Table_Shelter[[#This Row],['# of Temporary Shelter Units Built]]+Table_Shelter[[#This Row],['# of Temporary Shelter Under  Construction]]+Table_Shelter[[#This Row],['# of Permanent House Under Construction]]),0)</f>
        <v>12</v>
      </c>
      <c r="Q105" s="148"/>
      <c r="R105" s="222"/>
      <c r="S105" s="221" t="str">
        <f>IFERROR(VLOOKUP(Table_Shelter[[#This Row],[CampName]],CL,2,0),"")</f>
        <v>MMR001CMP071</v>
      </c>
      <c r="T105" s="221" t="str">
        <f>IFERROR(VLOOKUP(Table_Shelter[[#This Row],[CampName]],CL,3,0),"")</f>
        <v>Open</v>
      </c>
      <c r="U105" s="393">
        <f>IFERROR(Table_Shelter[[#This Row],[HH Covered]]/VLOOKUP(Table_Shelter[[#This Row],[CampName]],CL,4,0),"")</f>
        <v>0.41379310344827586</v>
      </c>
      <c r="V105" s="725" t="s">
        <v>1328</v>
      </c>
      <c r="W105" s="394"/>
    </row>
    <row r="106" spans="1:23" s="189" customFormat="1" ht="15" customHeight="1" x14ac:dyDescent="0.25">
      <c r="A106" s="396"/>
      <c r="B106" s="220" t="s">
        <v>454</v>
      </c>
      <c r="C106" s="220" t="s">
        <v>462</v>
      </c>
      <c r="D106" s="228" t="s">
        <v>380</v>
      </c>
      <c r="E106" s="525" t="s">
        <v>185</v>
      </c>
      <c r="F106" s="220" t="s">
        <v>186</v>
      </c>
      <c r="G106" s="145">
        <v>1</v>
      </c>
      <c r="H106" s="149"/>
      <c r="I106" s="149"/>
      <c r="J106" s="149">
        <v>27</v>
      </c>
      <c r="K106" s="149">
        <v>27</v>
      </c>
      <c r="L106" s="222"/>
      <c r="M106" s="222"/>
      <c r="N106" s="222"/>
      <c r="O106" s="222"/>
      <c r="P106" s="148">
        <f>IF(V106="NO",Table_Shelter[[#This Row],[HH per Shelter]]*(Table_Shelter[[#This Row],['# of Temporary Shelter Units Built]]+Table_Shelter[[#This Row],['# of Temporary Shelter Under  Construction]]+Table_Shelter[[#This Row],['# of Permanent House Under Construction]]),0)</f>
        <v>27</v>
      </c>
      <c r="Q106" s="148"/>
      <c r="R106" s="148"/>
      <c r="S106" s="148" t="str">
        <f>IFERROR(VLOOKUP(Table_Shelter[[#This Row],[CampName]],CL,2,0),"")</f>
        <v>MMR001CMP071</v>
      </c>
      <c r="T106" s="148" t="str">
        <f>IFERROR(VLOOKUP(Table_Shelter[[#This Row],[CampName]],CL,3,0),"")</f>
        <v>Open</v>
      </c>
      <c r="U106" s="393">
        <f>IFERROR(Table_Shelter[[#This Row],[HH Covered]]/VLOOKUP(Table_Shelter[[#This Row],[CampName]],CL,4,0),"")</f>
        <v>0.93103448275862066</v>
      </c>
      <c r="V106" s="725" t="s">
        <v>1328</v>
      </c>
      <c r="W106" s="397"/>
    </row>
    <row r="107" spans="1:23" ht="15" customHeight="1" x14ac:dyDescent="0.25">
      <c r="A107" s="395">
        <v>41974</v>
      </c>
      <c r="B107" s="220" t="s">
        <v>454</v>
      </c>
      <c r="C107" s="220" t="s">
        <v>462</v>
      </c>
      <c r="D107" s="220" t="s">
        <v>380</v>
      </c>
      <c r="E107" s="225" t="s">
        <v>185</v>
      </c>
      <c r="F107" s="220" t="s">
        <v>223</v>
      </c>
      <c r="G107" s="145">
        <v>1</v>
      </c>
      <c r="H107" s="145"/>
      <c r="I107" s="145"/>
      <c r="J107" s="145">
        <v>21</v>
      </c>
      <c r="K107" s="145">
        <v>21</v>
      </c>
      <c r="L107" s="220"/>
      <c r="M107" s="220"/>
      <c r="N107" s="220"/>
      <c r="O107" s="220"/>
      <c r="P107" s="191">
        <f>IF(V107="NO",Table_Shelter[[#This Row],[HH per Shelter]]*(Table_Shelter[[#This Row],['# of Temporary Shelter Units Built]]+Table_Shelter[[#This Row],['# of Temporary Shelter Under  Construction]]+Table_Shelter[[#This Row],['# of Permanent House Under Construction]]),0)</f>
        <v>21</v>
      </c>
      <c r="Q107" s="144"/>
      <c r="R107" s="220"/>
      <c r="S107" s="221" t="str">
        <f>IFERROR(VLOOKUP(Table_Shelter[[#This Row],[CampName]],CL,2,0),"")</f>
        <v>MMR001CMP069</v>
      </c>
      <c r="T107" s="221" t="str">
        <f>IFERROR(VLOOKUP(Table_Shelter[[#This Row],[CampName]],CL,3,0),"")</f>
        <v>Open</v>
      </c>
      <c r="U107" s="393">
        <f>IFERROR(Table_Shelter[[#This Row],[HH Covered]]/VLOOKUP(Table_Shelter[[#This Row],[CampName]],CL,4,0),"")</f>
        <v>0.16935483870967741</v>
      </c>
      <c r="V107" s="725" t="s">
        <v>1328</v>
      </c>
      <c r="W107" s="394"/>
    </row>
    <row r="108" spans="1:23" ht="15" customHeight="1" x14ac:dyDescent="0.25">
      <c r="A108" s="395"/>
      <c r="B108" s="220" t="s">
        <v>594</v>
      </c>
      <c r="C108" s="220"/>
      <c r="D108" s="223" t="s">
        <v>380</v>
      </c>
      <c r="E108" s="225" t="s">
        <v>185</v>
      </c>
      <c r="F108" s="220" t="s">
        <v>223</v>
      </c>
      <c r="G108" s="145">
        <v>1</v>
      </c>
      <c r="H108" s="145"/>
      <c r="I108" s="145"/>
      <c r="J108" s="145">
        <v>40</v>
      </c>
      <c r="K108" s="145">
        <v>40</v>
      </c>
      <c r="L108" s="220"/>
      <c r="M108" s="220"/>
      <c r="N108" s="220"/>
      <c r="O108" s="220"/>
      <c r="P108" s="191">
        <f>IF(V108="NO",Table_Shelter[[#This Row],[HH per Shelter]]*(Table_Shelter[[#This Row],['# of Temporary Shelter Units Built]]+Table_Shelter[[#This Row],['# of Temporary Shelter Under  Construction]]+Table_Shelter[[#This Row],['# of Permanent House Under Construction]]),0)</f>
        <v>40</v>
      </c>
      <c r="Q108" s="144"/>
      <c r="R108" s="220"/>
      <c r="S108" s="221" t="str">
        <f>IFERROR(VLOOKUP(Table_Shelter[[#This Row],[CampName]],CL,2,0),"")</f>
        <v>MMR001CMP069</v>
      </c>
      <c r="T108" s="221" t="str">
        <f>IFERROR(VLOOKUP(Table_Shelter[[#This Row],[CampName]],CL,3,0),"")</f>
        <v>Open</v>
      </c>
      <c r="U108" s="393">
        <f>IFERROR(Table_Shelter[[#This Row],[HH Covered]]/VLOOKUP(Table_Shelter[[#This Row],[CampName]],CL,4,0),"")</f>
        <v>0.32258064516129031</v>
      </c>
      <c r="V108" s="725" t="s">
        <v>1328</v>
      </c>
      <c r="W108" s="394"/>
    </row>
    <row r="109" spans="1:23" ht="15" customHeight="1" x14ac:dyDescent="0.25">
      <c r="A109" s="395"/>
      <c r="B109" s="220" t="s">
        <v>454</v>
      </c>
      <c r="C109" s="220"/>
      <c r="D109" s="220" t="s">
        <v>380</v>
      </c>
      <c r="E109" s="525" t="s">
        <v>185</v>
      </c>
      <c r="F109" s="220" t="s">
        <v>223</v>
      </c>
      <c r="G109" s="145">
        <v>1</v>
      </c>
      <c r="H109" s="145"/>
      <c r="I109" s="145"/>
      <c r="J109" s="145">
        <v>6</v>
      </c>
      <c r="K109" s="145">
        <v>6</v>
      </c>
      <c r="L109" s="220"/>
      <c r="M109" s="220"/>
      <c r="N109" s="220"/>
      <c r="O109" s="220"/>
      <c r="P109" s="191">
        <f>IF(V109="NO",Table_Shelter[[#This Row],[HH per Shelter]]*(Table_Shelter[[#This Row],['# of Temporary Shelter Units Built]]+Table_Shelter[[#This Row],['# of Temporary Shelter Under  Construction]]+Table_Shelter[[#This Row],['# of Permanent House Under Construction]]),0)</f>
        <v>6</v>
      </c>
      <c r="Q109" s="144"/>
      <c r="R109" s="220"/>
      <c r="S109" s="221" t="str">
        <f>IFERROR(VLOOKUP(Table_Shelter[[#This Row],[CampName]],CL,2,0),"")</f>
        <v>MMR001CMP069</v>
      </c>
      <c r="T109" s="221" t="str">
        <f>IFERROR(VLOOKUP(Table_Shelter[[#This Row],[CampName]],CL,3,0),"")</f>
        <v>Open</v>
      </c>
      <c r="U109" s="393">
        <f>IFERROR(Table_Shelter[[#This Row],[HH Covered]]/VLOOKUP(Table_Shelter[[#This Row],[CampName]],CL,4,0),"")</f>
        <v>4.8387096774193547E-2</v>
      </c>
      <c r="V109" s="725" t="s">
        <v>1328</v>
      </c>
      <c r="W109" s="394"/>
    </row>
    <row r="110" spans="1:23" ht="15" customHeight="1" x14ac:dyDescent="0.25">
      <c r="A110" s="395">
        <v>41791</v>
      </c>
      <c r="B110" s="220" t="s">
        <v>454</v>
      </c>
      <c r="C110" s="220" t="s">
        <v>462</v>
      </c>
      <c r="D110" s="223" t="s">
        <v>380</v>
      </c>
      <c r="E110" s="225" t="s">
        <v>185</v>
      </c>
      <c r="F110" s="220" t="s">
        <v>190</v>
      </c>
      <c r="G110" s="145">
        <v>1</v>
      </c>
      <c r="H110" s="145"/>
      <c r="I110" s="145"/>
      <c r="J110" s="145">
        <v>25</v>
      </c>
      <c r="K110" s="145">
        <v>25</v>
      </c>
      <c r="L110" s="220"/>
      <c r="M110" s="220"/>
      <c r="N110" s="220"/>
      <c r="O110" s="220"/>
      <c r="P110" s="191">
        <f>IF(V110="NO",Table_Shelter[[#This Row],[HH per Shelter]]*(Table_Shelter[[#This Row],['# of Temporary Shelter Units Built]]+Table_Shelter[[#This Row],['# of Temporary Shelter Under  Construction]]+Table_Shelter[[#This Row],['# of Permanent House Under Construction]]),0)</f>
        <v>25</v>
      </c>
      <c r="Q110" s="144"/>
      <c r="R110" s="220"/>
      <c r="S110" s="221" t="str">
        <f>IFERROR(VLOOKUP(Table_Shelter[[#This Row],[CampName]],CL,2,0),"")</f>
        <v>MMR001CMP070</v>
      </c>
      <c r="T110" s="221" t="str">
        <f>IFERROR(VLOOKUP(Table_Shelter[[#This Row],[CampName]],CL,3,0),"")</f>
        <v>Open</v>
      </c>
      <c r="U110" s="393">
        <f>IFERROR(Table_Shelter[[#This Row],[HH Covered]]/VLOOKUP(Table_Shelter[[#This Row],[CampName]],CL,4,0),"")</f>
        <v>0.13297872340425532</v>
      </c>
      <c r="V110" s="725" t="s">
        <v>1328</v>
      </c>
      <c r="W110" s="394"/>
    </row>
    <row r="111" spans="1:23" ht="15" customHeight="1" x14ac:dyDescent="0.25">
      <c r="A111" s="395"/>
      <c r="B111" s="220" t="s">
        <v>454</v>
      </c>
      <c r="C111" s="220"/>
      <c r="D111" s="220" t="s">
        <v>380</v>
      </c>
      <c r="E111" s="225" t="s">
        <v>185</v>
      </c>
      <c r="F111" s="220" t="s">
        <v>190</v>
      </c>
      <c r="G111" s="145">
        <v>1</v>
      </c>
      <c r="H111" s="145"/>
      <c r="I111" s="145"/>
      <c r="J111" s="145">
        <v>5</v>
      </c>
      <c r="K111" s="145">
        <v>57</v>
      </c>
      <c r="L111" s="220"/>
      <c r="M111" s="220"/>
      <c r="N111" s="220"/>
      <c r="O111" s="220"/>
      <c r="P111" s="191">
        <f>IF(V111="NO",Table_Shelter[[#This Row],[HH per Shelter]]*(Table_Shelter[[#This Row],['# of Temporary Shelter Units Built]]+Table_Shelter[[#This Row],['# of Temporary Shelter Under  Construction]]+Table_Shelter[[#This Row],['# of Permanent House Under Construction]]),0)</f>
        <v>57</v>
      </c>
      <c r="Q111" s="144"/>
      <c r="R111" s="220"/>
      <c r="S111" s="221" t="str">
        <f>IFERROR(VLOOKUP(Table_Shelter[[#This Row],[CampName]],CL,2,0),"")</f>
        <v>MMR001CMP070</v>
      </c>
      <c r="T111" s="221" t="str">
        <f>IFERROR(VLOOKUP(Table_Shelter[[#This Row],[CampName]],CL,3,0),"")</f>
        <v>Open</v>
      </c>
      <c r="U111" s="393">
        <f>IFERROR(Table_Shelter[[#This Row],[HH Covered]]/VLOOKUP(Table_Shelter[[#This Row],[CampName]],CL,4,0),"")</f>
        <v>0.30319148936170215</v>
      </c>
      <c r="V111" s="725" t="s">
        <v>1328</v>
      </c>
      <c r="W111" s="394"/>
    </row>
    <row r="112" spans="1:23" ht="15" customHeight="1" x14ac:dyDescent="0.25">
      <c r="A112" s="396"/>
      <c r="B112" s="222" t="s">
        <v>594</v>
      </c>
      <c r="C112" s="222" t="s">
        <v>461</v>
      </c>
      <c r="D112" s="222" t="s">
        <v>380</v>
      </c>
      <c r="E112" s="227" t="s">
        <v>151</v>
      </c>
      <c r="F112" s="222" t="s">
        <v>158</v>
      </c>
      <c r="G112" s="149">
        <v>1</v>
      </c>
      <c r="H112" s="149"/>
      <c r="I112" s="149"/>
      <c r="J112" s="149">
        <v>100</v>
      </c>
      <c r="K112" s="149">
        <v>100</v>
      </c>
      <c r="L112" s="222"/>
      <c r="M112" s="222"/>
      <c r="N112" s="222"/>
      <c r="O112" s="222"/>
      <c r="P112" s="191">
        <f>IF(V112="NO",Table_Shelter[[#This Row],[HH per Shelter]]*(Table_Shelter[[#This Row],['# of Temporary Shelter Units Built]]+Table_Shelter[[#This Row],['# of Temporary Shelter Under  Construction]]+Table_Shelter[[#This Row],['# of Permanent House Under Construction]]),0)</f>
        <v>100</v>
      </c>
      <c r="Q112" s="148"/>
      <c r="R112" s="222"/>
      <c r="S112" s="221" t="str">
        <f>IFERROR(VLOOKUP(Table_Shelter[[#This Row],[CampName]],CL,2,0),"")</f>
        <v>MMR001CMP135</v>
      </c>
      <c r="T112" s="221" t="str">
        <f>IFERROR(VLOOKUP(Table_Shelter[[#This Row],[CampName]],CL,3,0),"")</f>
        <v>Closed</v>
      </c>
      <c r="U112" s="393" t="str">
        <f>IFERROR(Table_Shelter[[#This Row],[HH Covered]]/VLOOKUP(Table_Shelter[[#This Row],[CampName]],CL,4,0),"")</f>
        <v/>
      </c>
      <c r="V112" s="725" t="s">
        <v>1328</v>
      </c>
      <c r="W112" s="394"/>
    </row>
    <row r="113" spans="1:23" ht="15" customHeight="1" x14ac:dyDescent="0.25">
      <c r="A113" s="395">
        <v>42416</v>
      </c>
      <c r="B113" s="220" t="s">
        <v>854</v>
      </c>
      <c r="C113" s="220"/>
      <c r="D113" s="223" t="s">
        <v>380</v>
      </c>
      <c r="E113" s="525" t="s">
        <v>300</v>
      </c>
      <c r="F113" s="220" t="s">
        <v>1279</v>
      </c>
      <c r="G113" s="145">
        <v>1</v>
      </c>
      <c r="H113" s="149"/>
      <c r="I113" s="149"/>
      <c r="J113" s="149">
        <v>60</v>
      </c>
      <c r="K113" s="149">
        <v>60</v>
      </c>
      <c r="L113" s="222"/>
      <c r="M113" s="222"/>
      <c r="N113" s="222"/>
      <c r="O113" s="222"/>
      <c r="P113" s="148">
        <f>IF(V113="NO",Table_Shelter[[#This Row],[HH per Shelter]]*(Table_Shelter[[#This Row],['# of Temporary Shelter Units Built]]+Table_Shelter[[#This Row],['# of Temporary Shelter Under  Construction]]+Table_Shelter[[#This Row],['# of Permanent House Under Construction]]),0)</f>
        <v>60</v>
      </c>
      <c r="Q113" s="148"/>
      <c r="R113" s="222"/>
      <c r="S113" s="222" t="str">
        <f>IFERROR(VLOOKUP(Table_Shelter[[#This Row],[CampName]],CL,2,0),"")</f>
        <v>MMR001CMP234</v>
      </c>
      <c r="T113" s="222" t="str">
        <f>IFERROR(VLOOKUP(Table_Shelter[[#This Row],[CampName]],CL,3,0),"")</f>
        <v>Open</v>
      </c>
      <c r="U113" s="393">
        <f>IFERROR(Table_Shelter[[#This Row],[HH Covered]]/VLOOKUP(Table_Shelter[[#This Row],[CampName]],CL,4,0),"")</f>
        <v>1.0344827586206897</v>
      </c>
      <c r="V113" s="725" t="s">
        <v>1328</v>
      </c>
      <c r="W113" s="394"/>
    </row>
    <row r="114" spans="1:23" ht="15" customHeight="1" x14ac:dyDescent="0.25">
      <c r="A114" s="395"/>
      <c r="B114" s="220" t="s">
        <v>454</v>
      </c>
      <c r="C114" s="220" t="s">
        <v>507</v>
      </c>
      <c r="D114" s="220" t="s">
        <v>380</v>
      </c>
      <c r="E114" s="525" t="s">
        <v>310</v>
      </c>
      <c r="F114" s="220" t="s">
        <v>320</v>
      </c>
      <c r="G114" s="145">
        <v>1</v>
      </c>
      <c r="H114" s="145"/>
      <c r="I114" s="145"/>
      <c r="J114" s="145">
        <v>25</v>
      </c>
      <c r="K114" s="145">
        <v>25</v>
      </c>
      <c r="L114" s="220"/>
      <c r="M114" s="220"/>
      <c r="N114" s="220"/>
      <c r="O114" s="220"/>
      <c r="P114" s="191">
        <f>IF(V114="NO",Table_Shelter[[#This Row],[HH per Shelter]]*(Table_Shelter[[#This Row],['# of Temporary Shelter Units Built]]+Table_Shelter[[#This Row],['# of Temporary Shelter Under  Construction]]+Table_Shelter[[#This Row],['# of Permanent House Under Construction]]),0)</f>
        <v>25</v>
      </c>
      <c r="Q114" s="144"/>
      <c r="R114" s="220"/>
      <c r="S114" s="221" t="str">
        <f>IFERROR(VLOOKUP(Table_Shelter[[#This Row],[CampName]],CL,2,0),"")</f>
        <v>MMR001CMP027</v>
      </c>
      <c r="T114" s="221" t="str">
        <f>IFERROR(VLOOKUP(Table_Shelter[[#This Row],[CampName]],CL,3,0),"")</f>
        <v>Open</v>
      </c>
      <c r="U114" s="393">
        <f>IFERROR(Table_Shelter[[#This Row],[HH Covered]]/VLOOKUP(Table_Shelter[[#This Row],[CampName]],CL,4,0),"")</f>
        <v>1</v>
      </c>
      <c r="V114" s="725" t="s">
        <v>1328</v>
      </c>
      <c r="W114" s="394"/>
    </row>
    <row r="115" spans="1:23" ht="15" customHeight="1" x14ac:dyDescent="0.25">
      <c r="A115" s="395"/>
      <c r="B115" s="220" t="s">
        <v>455</v>
      </c>
      <c r="C115" s="220" t="s">
        <v>508</v>
      </c>
      <c r="D115" s="223" t="s">
        <v>380</v>
      </c>
      <c r="E115" s="525" t="s">
        <v>310</v>
      </c>
      <c r="F115" s="220" t="s">
        <v>322</v>
      </c>
      <c r="G115" s="145">
        <v>1</v>
      </c>
      <c r="H115" s="145"/>
      <c r="I115" s="145"/>
      <c r="J115" s="149">
        <v>604</v>
      </c>
      <c r="K115" s="145">
        <v>604</v>
      </c>
      <c r="L115" s="220"/>
      <c r="M115" s="220"/>
      <c r="N115" s="220"/>
      <c r="O115" s="220"/>
      <c r="P115" s="191">
        <f>IF(V115="NO",Table_Shelter[[#This Row],[HH per Shelter]]*(Table_Shelter[[#This Row],['# of Temporary Shelter Units Built]]+Table_Shelter[[#This Row],['# of Temporary Shelter Under  Construction]]+Table_Shelter[[#This Row],['# of Permanent House Under Construction]]),0)</f>
        <v>604</v>
      </c>
      <c r="Q115" s="144"/>
      <c r="R115" s="220"/>
      <c r="S115" s="221" t="str">
        <f>IFERROR(VLOOKUP(Table_Shelter[[#This Row],[CampName]],CL,2,0),"")</f>
        <v>MMR001CMP119</v>
      </c>
      <c r="T115" s="221" t="str">
        <f>IFERROR(VLOOKUP(Table_Shelter[[#This Row],[CampName]],CL,3,0),"")</f>
        <v>Open</v>
      </c>
      <c r="U115" s="393">
        <f>IFERROR(Table_Shelter[[#This Row],[HH Covered]]/VLOOKUP(Table_Shelter[[#This Row],[CampName]],CL,4,0),"")</f>
        <v>0.99342105263157898</v>
      </c>
      <c r="V115" s="725" t="s">
        <v>1328</v>
      </c>
      <c r="W115" s="394"/>
    </row>
    <row r="116" spans="1:23" ht="15" customHeight="1" x14ac:dyDescent="0.25">
      <c r="A116" s="395"/>
      <c r="B116" s="220"/>
      <c r="C116" s="220"/>
      <c r="D116" s="220" t="s">
        <v>380</v>
      </c>
      <c r="E116" s="525" t="s">
        <v>185</v>
      </c>
      <c r="F116" s="220" t="s">
        <v>200</v>
      </c>
      <c r="G116" s="145">
        <v>1</v>
      </c>
      <c r="H116" s="145"/>
      <c r="I116" s="145"/>
      <c r="J116" s="145">
        <v>92</v>
      </c>
      <c r="K116" s="145">
        <v>92</v>
      </c>
      <c r="L116" s="220"/>
      <c r="M116" s="220"/>
      <c r="N116" s="220"/>
      <c r="O116" s="220"/>
      <c r="P116" s="191">
        <f>IF(V116="NO",Table_Shelter[[#This Row],[HH per Shelter]]*(Table_Shelter[[#This Row],['# of Temporary Shelter Units Built]]+Table_Shelter[[#This Row],['# of Temporary Shelter Under  Construction]]+Table_Shelter[[#This Row],['# of Permanent House Under Construction]]),0)</f>
        <v>92</v>
      </c>
      <c r="Q116" s="144"/>
      <c r="R116" s="220"/>
      <c r="S116" s="221" t="str">
        <f>IFERROR(VLOOKUP(Table_Shelter[[#This Row],[CampName]],CL,2,0),"")</f>
        <v>MMR001CMP064</v>
      </c>
      <c r="T116" s="221" t="str">
        <f>IFERROR(VLOOKUP(Table_Shelter[[#This Row],[CampName]],CL,3,0),"")</f>
        <v>Open</v>
      </c>
      <c r="U116" s="393">
        <f>IFERROR(Table_Shelter[[#This Row],[HH Covered]]/VLOOKUP(Table_Shelter[[#This Row],[CampName]],CL,4,0),"")</f>
        <v>46</v>
      </c>
      <c r="V116" s="725" t="s">
        <v>1328</v>
      </c>
      <c r="W116" s="394"/>
    </row>
    <row r="117" spans="1:23" ht="15" customHeight="1" x14ac:dyDescent="0.25">
      <c r="A117" s="395">
        <v>41609</v>
      </c>
      <c r="B117" s="220" t="s">
        <v>454</v>
      </c>
      <c r="C117" s="220" t="s">
        <v>507</v>
      </c>
      <c r="D117" s="220" t="s">
        <v>380</v>
      </c>
      <c r="E117" s="525" t="s">
        <v>310</v>
      </c>
      <c r="F117" s="220" t="s">
        <v>328</v>
      </c>
      <c r="G117" s="145">
        <v>1</v>
      </c>
      <c r="H117" s="145"/>
      <c r="I117" s="145"/>
      <c r="J117" s="145">
        <v>35</v>
      </c>
      <c r="K117" s="145">
        <v>35</v>
      </c>
      <c r="L117" s="220"/>
      <c r="M117" s="220"/>
      <c r="N117" s="220"/>
      <c r="O117" s="220"/>
      <c r="P117" s="148">
        <f>IF(V117="NO",Table_Shelter[[#This Row],[HH per Shelter]]*(Table_Shelter[[#This Row],['# of Temporary Shelter Units Built]]+Table_Shelter[[#This Row],['# of Temporary Shelter Under  Construction]]+Table_Shelter[[#This Row],['# of Permanent House Under Construction]]),0)</f>
        <v>35</v>
      </c>
      <c r="Q117" s="144"/>
      <c r="R117" s="144"/>
      <c r="S117" s="148" t="str">
        <f>IFERROR(VLOOKUP(Table_Shelter[[#This Row],[CampName]],CL,2,0),"")</f>
        <v>MMR001CMP031</v>
      </c>
      <c r="T117" s="148" t="str">
        <f>IFERROR(VLOOKUP(Table_Shelter[[#This Row],[CampName]],CL,3,0),"")</f>
        <v>Open</v>
      </c>
      <c r="U117" s="393">
        <f>IFERROR(Table_Shelter[[#This Row],[HH Covered]]/VLOOKUP(Table_Shelter[[#This Row],[CampName]],CL,4,0),"")</f>
        <v>0.25925925925925924</v>
      </c>
      <c r="V117" s="725" t="s">
        <v>1328</v>
      </c>
      <c r="W117" s="397"/>
    </row>
    <row r="118" spans="1:23" ht="15" customHeight="1" x14ac:dyDescent="0.25">
      <c r="A118" s="395"/>
      <c r="B118" s="220" t="s">
        <v>454</v>
      </c>
      <c r="C118" s="220" t="s">
        <v>507</v>
      </c>
      <c r="D118" s="220" t="s">
        <v>380</v>
      </c>
      <c r="E118" s="525" t="s">
        <v>310</v>
      </c>
      <c r="F118" s="220" t="s">
        <v>328</v>
      </c>
      <c r="G118" s="145">
        <v>1</v>
      </c>
      <c r="H118" s="145"/>
      <c r="I118" s="145"/>
      <c r="J118" s="145">
        <v>54</v>
      </c>
      <c r="K118" s="145">
        <v>54</v>
      </c>
      <c r="L118" s="220"/>
      <c r="M118" s="220"/>
      <c r="N118" s="220"/>
      <c r="O118" s="220"/>
      <c r="P118" s="191">
        <f>IF(V118="NO",Table_Shelter[[#This Row],[HH per Shelter]]*(Table_Shelter[[#This Row],['# of Temporary Shelter Units Built]]+Table_Shelter[[#This Row],['# of Temporary Shelter Under  Construction]]+Table_Shelter[[#This Row],['# of Permanent House Under Construction]]),0)</f>
        <v>54</v>
      </c>
      <c r="Q118" s="144"/>
      <c r="R118" s="220"/>
      <c r="S118" s="221" t="str">
        <f>IFERROR(VLOOKUP(Table_Shelter[[#This Row],[CampName]],CL,2,0),"")</f>
        <v>MMR001CMP031</v>
      </c>
      <c r="T118" s="221" t="str">
        <f>IFERROR(VLOOKUP(Table_Shelter[[#This Row],[CampName]],CL,3,0),"")</f>
        <v>Open</v>
      </c>
      <c r="U118" s="393">
        <f>IFERROR(Table_Shelter[[#This Row],[HH Covered]]/VLOOKUP(Table_Shelter[[#This Row],[CampName]],CL,4,0),"")</f>
        <v>0.4</v>
      </c>
      <c r="V118" s="725" t="s">
        <v>1328</v>
      </c>
      <c r="W118" s="394"/>
    </row>
    <row r="119" spans="1:23" ht="15" customHeight="1" x14ac:dyDescent="0.25">
      <c r="A119" s="395"/>
      <c r="B119" s="220" t="s">
        <v>571</v>
      </c>
      <c r="C119" s="220"/>
      <c r="D119" s="220" t="s">
        <v>380</v>
      </c>
      <c r="E119" s="525" t="s">
        <v>310</v>
      </c>
      <c r="F119" s="220" t="s">
        <v>328</v>
      </c>
      <c r="G119" s="145">
        <v>1</v>
      </c>
      <c r="H119" s="145"/>
      <c r="I119" s="145"/>
      <c r="J119" s="145">
        <v>18</v>
      </c>
      <c r="K119" s="145">
        <v>18</v>
      </c>
      <c r="L119" s="220"/>
      <c r="M119" s="220"/>
      <c r="N119" s="220"/>
      <c r="O119" s="220"/>
      <c r="P119" s="191">
        <f>IF(V119="NO",Table_Shelter[[#This Row],[HH per Shelter]]*(Table_Shelter[[#This Row],['# of Temporary Shelter Units Built]]+Table_Shelter[[#This Row],['# of Temporary Shelter Under  Construction]]+Table_Shelter[[#This Row],['# of Permanent House Under Construction]]),0)</f>
        <v>18</v>
      </c>
      <c r="Q119" s="144"/>
      <c r="R119" s="220"/>
      <c r="S119" s="221" t="str">
        <f>IFERROR(VLOOKUP(Table_Shelter[[#This Row],[CampName]],CL,2,0),"")</f>
        <v>MMR001CMP031</v>
      </c>
      <c r="T119" s="221" t="str">
        <f>IFERROR(VLOOKUP(Table_Shelter[[#This Row],[CampName]],CL,3,0),"")</f>
        <v>Open</v>
      </c>
      <c r="U119" s="393">
        <f>IFERROR(Table_Shelter[[#This Row],[HH Covered]]/VLOOKUP(Table_Shelter[[#This Row],[CampName]],CL,4,0),"")</f>
        <v>0.13333333333333333</v>
      </c>
      <c r="V119" s="725" t="s">
        <v>1328</v>
      </c>
      <c r="W119" s="394"/>
    </row>
    <row r="120" spans="1:23" ht="15" customHeight="1" x14ac:dyDescent="0.25">
      <c r="A120" s="396"/>
      <c r="B120" s="222" t="s">
        <v>455</v>
      </c>
      <c r="C120" s="222" t="s">
        <v>508</v>
      </c>
      <c r="D120" s="224" t="s">
        <v>380</v>
      </c>
      <c r="E120" s="227" t="s">
        <v>310</v>
      </c>
      <c r="F120" s="222" t="s">
        <v>330</v>
      </c>
      <c r="G120" s="149">
        <v>1</v>
      </c>
      <c r="H120" s="149"/>
      <c r="I120" s="149"/>
      <c r="J120" s="398">
        <v>12</v>
      </c>
      <c r="K120" s="230">
        <v>12</v>
      </c>
      <c r="L120" s="222"/>
      <c r="M120" s="222"/>
      <c r="N120" s="222"/>
      <c r="O120" s="222"/>
      <c r="P120" s="191">
        <f>IF(V120="NO",Table_Shelter[[#This Row],[HH per Shelter]]*(Table_Shelter[[#This Row],['# of Temporary Shelter Units Built]]+Table_Shelter[[#This Row],['# of Temporary Shelter Under  Construction]]+Table_Shelter[[#This Row],['# of Permanent House Under Construction]]),0)</f>
        <v>12</v>
      </c>
      <c r="Q120" s="148"/>
      <c r="R120" s="222"/>
      <c r="S120" s="221" t="str">
        <f>IFERROR(VLOOKUP(Table_Shelter[[#This Row],[CampName]],CL,2,0),"")</f>
        <v>MMR001CMP029</v>
      </c>
      <c r="T120" s="221" t="str">
        <f>IFERROR(VLOOKUP(Table_Shelter[[#This Row],[CampName]],CL,3,0),"")</f>
        <v>Open</v>
      </c>
      <c r="U120" s="393">
        <f>IFERROR(Table_Shelter[[#This Row],[HH Covered]]/VLOOKUP(Table_Shelter[[#This Row],[CampName]],CL,4,0),"")</f>
        <v>5.2863436123348019E-2</v>
      </c>
      <c r="V120" s="725" t="s">
        <v>1328</v>
      </c>
      <c r="W120" s="394"/>
    </row>
    <row r="121" spans="1:23" ht="15" customHeight="1" x14ac:dyDescent="0.25">
      <c r="A121" s="396"/>
      <c r="B121" s="222" t="s">
        <v>454</v>
      </c>
      <c r="C121" s="222" t="s">
        <v>508</v>
      </c>
      <c r="D121" s="222" t="s">
        <v>380</v>
      </c>
      <c r="E121" s="227" t="s">
        <v>310</v>
      </c>
      <c r="F121" s="222" t="s">
        <v>330</v>
      </c>
      <c r="G121" s="149">
        <v>1</v>
      </c>
      <c r="H121" s="149"/>
      <c r="I121" s="149"/>
      <c r="J121" s="149">
        <v>78</v>
      </c>
      <c r="K121" s="149">
        <v>78</v>
      </c>
      <c r="L121" s="222"/>
      <c r="M121" s="222"/>
      <c r="N121" s="222"/>
      <c r="O121" s="222"/>
      <c r="P121" s="191">
        <f>IF(V121="NO",Table_Shelter[[#This Row],[HH per Shelter]]*(Table_Shelter[[#This Row],['# of Temporary Shelter Units Built]]+Table_Shelter[[#This Row],['# of Temporary Shelter Under  Construction]]+Table_Shelter[[#This Row],['# of Permanent House Under Construction]]),0)</f>
        <v>78</v>
      </c>
      <c r="Q121" s="148">
        <v>138</v>
      </c>
      <c r="R121" s="222"/>
      <c r="S121" s="221" t="str">
        <f>IFERROR(VLOOKUP(Table_Shelter[[#This Row],[CampName]],CL,2,0),"")</f>
        <v>MMR001CMP029</v>
      </c>
      <c r="T121" s="221" t="str">
        <f>IFERROR(VLOOKUP(Table_Shelter[[#This Row],[CampName]],CL,3,0),"")</f>
        <v>Open</v>
      </c>
      <c r="U121" s="393">
        <f>IFERROR(Table_Shelter[[#This Row],[HH Covered]]/VLOOKUP(Table_Shelter[[#This Row],[CampName]],CL,4,0),"")</f>
        <v>0.34361233480176212</v>
      </c>
      <c r="V121" s="725" t="s">
        <v>1328</v>
      </c>
      <c r="W121" s="394"/>
    </row>
    <row r="122" spans="1:23" ht="15" customHeight="1" x14ac:dyDescent="0.25">
      <c r="A122" s="395"/>
      <c r="B122" s="220" t="s">
        <v>454</v>
      </c>
      <c r="C122" s="220"/>
      <c r="D122" s="220" t="s">
        <v>380</v>
      </c>
      <c r="E122" s="525" t="s">
        <v>310</v>
      </c>
      <c r="F122" s="220" t="s">
        <v>330</v>
      </c>
      <c r="G122" s="145">
        <v>1</v>
      </c>
      <c r="H122" s="145"/>
      <c r="I122" s="145"/>
      <c r="J122" s="145">
        <v>120</v>
      </c>
      <c r="K122" s="145">
        <v>120</v>
      </c>
      <c r="L122" s="220"/>
      <c r="M122" s="220"/>
      <c r="N122" s="220"/>
      <c r="O122" s="220"/>
      <c r="P122" s="191">
        <f>IF(V122="NO",Table_Shelter[[#This Row],[HH per Shelter]]*(Table_Shelter[[#This Row],['# of Temporary Shelter Units Built]]+Table_Shelter[[#This Row],['# of Temporary Shelter Under  Construction]]+Table_Shelter[[#This Row],['# of Permanent House Under Construction]]),0)</f>
        <v>120</v>
      </c>
      <c r="Q122" s="144"/>
      <c r="R122" s="220"/>
      <c r="S122" s="221" t="str">
        <f>IFERROR(VLOOKUP(Table_Shelter[[#This Row],[CampName]],CL,2,0),"")</f>
        <v>MMR001CMP029</v>
      </c>
      <c r="T122" s="221" t="str">
        <f>IFERROR(VLOOKUP(Table_Shelter[[#This Row],[CampName]],CL,3,0),"")</f>
        <v>Open</v>
      </c>
      <c r="U122" s="393">
        <f>IFERROR(Table_Shelter[[#This Row],[HH Covered]]/VLOOKUP(Table_Shelter[[#This Row],[CampName]],CL,4,0),"")</f>
        <v>0.52863436123348018</v>
      </c>
      <c r="V122" s="725" t="s">
        <v>1328</v>
      </c>
      <c r="W122" s="394"/>
    </row>
    <row r="123" spans="1:23" ht="15" customHeight="1" x14ac:dyDescent="0.25">
      <c r="A123" s="392"/>
      <c r="B123" s="221" t="s">
        <v>572</v>
      </c>
      <c r="C123" s="221" t="s">
        <v>462</v>
      </c>
      <c r="D123" s="221" t="s">
        <v>380</v>
      </c>
      <c r="E123" s="226" t="s">
        <v>310</v>
      </c>
      <c r="F123" s="221" t="s">
        <v>324</v>
      </c>
      <c r="G123" s="190">
        <v>1</v>
      </c>
      <c r="H123" s="190"/>
      <c r="I123" s="190"/>
      <c r="J123" s="190">
        <v>50</v>
      </c>
      <c r="K123" s="190">
        <v>50</v>
      </c>
      <c r="L123" s="221"/>
      <c r="M123" s="221"/>
      <c r="N123" s="221"/>
      <c r="O123" s="221"/>
      <c r="P123" s="191">
        <f>IF(V123="NO",Table_Shelter[[#This Row],[HH per Shelter]]*(Table_Shelter[[#This Row],['# of Temporary Shelter Units Built]]+Table_Shelter[[#This Row],['# of Temporary Shelter Under  Construction]]+Table_Shelter[[#This Row],['# of Permanent House Under Construction]]),0)</f>
        <v>50</v>
      </c>
      <c r="Q123" s="191"/>
      <c r="R123" s="221"/>
      <c r="S123" s="221" t="str">
        <f>IFERROR(VLOOKUP(Table_Shelter[[#This Row],[CampName]],CL,2,0),"")</f>
        <v>MMR001CMP040</v>
      </c>
      <c r="T123" s="221" t="str">
        <f>IFERROR(VLOOKUP(Table_Shelter[[#This Row],[CampName]],CL,3,0),"")</f>
        <v>Open</v>
      </c>
      <c r="U123" s="393">
        <f>IFERROR(Table_Shelter[[#This Row],[HH Covered]]/VLOOKUP(Table_Shelter[[#This Row],[CampName]],CL,4,0),"")</f>
        <v>0.11682242990654206</v>
      </c>
      <c r="V123" s="725" t="s">
        <v>1328</v>
      </c>
      <c r="W123" s="394"/>
    </row>
    <row r="124" spans="1:23" ht="15" customHeight="1" x14ac:dyDescent="0.25">
      <c r="A124" s="392"/>
      <c r="B124" s="221" t="s">
        <v>454</v>
      </c>
      <c r="C124" s="221" t="s">
        <v>462</v>
      </c>
      <c r="D124" s="221" t="s">
        <v>380</v>
      </c>
      <c r="E124" s="226" t="s">
        <v>310</v>
      </c>
      <c r="F124" s="221" t="s">
        <v>324</v>
      </c>
      <c r="G124" s="190">
        <v>1</v>
      </c>
      <c r="H124" s="190"/>
      <c r="I124" s="190"/>
      <c r="J124" s="190">
        <v>400</v>
      </c>
      <c r="K124" s="190">
        <v>400</v>
      </c>
      <c r="L124" s="221"/>
      <c r="M124" s="221"/>
      <c r="N124" s="221"/>
      <c r="O124" s="221"/>
      <c r="P124" s="191">
        <f>IF(V124="NO",Table_Shelter[[#This Row],[HH per Shelter]]*(Table_Shelter[[#This Row],['# of Temporary Shelter Units Built]]+Table_Shelter[[#This Row],['# of Temporary Shelter Under  Construction]]+Table_Shelter[[#This Row],['# of Permanent House Under Construction]]),0)</f>
        <v>400</v>
      </c>
      <c r="Q124" s="191"/>
      <c r="R124" s="221"/>
      <c r="S124" s="221" t="str">
        <f>IFERROR(VLOOKUP(Table_Shelter[[#This Row],[CampName]],CL,2,0),"")</f>
        <v>MMR001CMP040</v>
      </c>
      <c r="T124" s="221" t="str">
        <f>IFERROR(VLOOKUP(Table_Shelter[[#This Row],[CampName]],CL,3,0),"")</f>
        <v>Open</v>
      </c>
      <c r="U124" s="393">
        <f>IFERROR(Table_Shelter[[#This Row],[HH Covered]]/VLOOKUP(Table_Shelter[[#This Row],[CampName]],CL,4,0),"")</f>
        <v>0.93457943925233644</v>
      </c>
      <c r="V124" s="725" t="s">
        <v>1328</v>
      </c>
      <c r="W124" s="394"/>
    </row>
    <row r="125" spans="1:23" ht="15" customHeight="1" x14ac:dyDescent="0.25">
      <c r="A125" s="392"/>
      <c r="B125" s="221" t="s">
        <v>856</v>
      </c>
      <c r="C125" s="221" t="s">
        <v>462</v>
      </c>
      <c r="D125" s="221" t="s">
        <v>380</v>
      </c>
      <c r="E125" s="226" t="s">
        <v>310</v>
      </c>
      <c r="F125" s="221" t="s">
        <v>324</v>
      </c>
      <c r="G125" s="190">
        <v>1</v>
      </c>
      <c r="H125" s="190"/>
      <c r="I125" s="190"/>
      <c r="J125" s="190">
        <v>10</v>
      </c>
      <c r="K125" s="190">
        <v>10</v>
      </c>
      <c r="L125" s="221"/>
      <c r="M125" s="221"/>
      <c r="N125" s="221"/>
      <c r="O125" s="221"/>
      <c r="P125" s="191">
        <f>IF(V125="NO",Table_Shelter[[#This Row],[HH per Shelter]]*(Table_Shelter[[#This Row],['# of Temporary Shelter Units Built]]+Table_Shelter[[#This Row],['# of Temporary Shelter Under  Construction]]+Table_Shelter[[#This Row],['# of Permanent House Under Construction]]),0)</f>
        <v>10</v>
      </c>
      <c r="Q125" s="191"/>
      <c r="R125" s="221"/>
      <c r="S125" s="221" t="str">
        <f>IFERROR(VLOOKUP(Table_Shelter[[#This Row],[CampName]],CL,2,0),"")</f>
        <v>MMR001CMP040</v>
      </c>
      <c r="T125" s="221" t="str">
        <f>IFERROR(VLOOKUP(Table_Shelter[[#This Row],[CampName]],CL,3,0),"")</f>
        <v>Open</v>
      </c>
      <c r="U125" s="393">
        <f>IFERROR(Table_Shelter[[#This Row],[HH Covered]]/VLOOKUP(Table_Shelter[[#This Row],[CampName]],CL,4,0),"")</f>
        <v>2.336448598130841E-2</v>
      </c>
      <c r="V125" s="725" t="s">
        <v>1328</v>
      </c>
      <c r="W125" s="394"/>
    </row>
    <row r="126" spans="1:23" ht="15" customHeight="1" x14ac:dyDescent="0.25">
      <c r="A126" s="396"/>
      <c r="B126" s="222" t="s">
        <v>454</v>
      </c>
      <c r="C126" s="222" t="s">
        <v>462</v>
      </c>
      <c r="D126" s="222" t="s">
        <v>380</v>
      </c>
      <c r="E126" s="227" t="s">
        <v>310</v>
      </c>
      <c r="F126" s="222" t="s">
        <v>326</v>
      </c>
      <c r="G126" s="149">
        <v>1</v>
      </c>
      <c r="H126" s="149"/>
      <c r="I126" s="149"/>
      <c r="J126" s="149">
        <v>30</v>
      </c>
      <c r="K126" s="149">
        <v>30</v>
      </c>
      <c r="L126" s="222"/>
      <c r="M126" s="222"/>
      <c r="N126" s="222"/>
      <c r="O126" s="222"/>
      <c r="P126" s="191">
        <f>IF(V126="NO",Table_Shelter[[#This Row],[HH per Shelter]]*(Table_Shelter[[#This Row],['# of Temporary Shelter Units Built]]+Table_Shelter[[#This Row],['# of Temporary Shelter Under  Construction]]+Table_Shelter[[#This Row],['# of Permanent House Under Construction]]),0)</f>
        <v>30</v>
      </c>
      <c r="Q126" s="148"/>
      <c r="R126" s="222"/>
      <c r="S126" s="221" t="str">
        <f>IFERROR(VLOOKUP(Table_Shelter[[#This Row],[CampName]],CL,2,0),"")</f>
        <v>MMR001CMP039</v>
      </c>
      <c r="T126" s="221" t="str">
        <f>IFERROR(VLOOKUP(Table_Shelter[[#This Row],[CampName]],CL,3,0),"")</f>
        <v>Open</v>
      </c>
      <c r="U126" s="393">
        <f>IFERROR(Table_Shelter[[#This Row],[HH Covered]]/VLOOKUP(Table_Shelter[[#This Row],[CampName]],CL,4,0),"")</f>
        <v>0.625</v>
      </c>
      <c r="V126" s="725" t="s">
        <v>1328</v>
      </c>
      <c r="W126" s="394"/>
    </row>
    <row r="127" spans="1:23" ht="15" customHeight="1" x14ac:dyDescent="0.25">
      <c r="A127" s="396"/>
      <c r="B127" s="222" t="s">
        <v>571</v>
      </c>
      <c r="C127" s="222"/>
      <c r="D127" s="222" t="s">
        <v>380</v>
      </c>
      <c r="E127" s="227" t="s">
        <v>310</v>
      </c>
      <c r="F127" s="222" t="s">
        <v>326</v>
      </c>
      <c r="G127" s="149">
        <v>1</v>
      </c>
      <c r="H127" s="149"/>
      <c r="I127" s="149"/>
      <c r="J127" s="149">
        <v>10</v>
      </c>
      <c r="K127" s="149">
        <v>10</v>
      </c>
      <c r="L127" s="222"/>
      <c r="M127" s="222"/>
      <c r="N127" s="222"/>
      <c r="O127" s="222"/>
      <c r="P127" s="191">
        <f>IF(V127="NO",Table_Shelter[[#This Row],[HH per Shelter]]*(Table_Shelter[[#This Row],['# of Temporary Shelter Units Built]]+Table_Shelter[[#This Row],['# of Temporary Shelter Under  Construction]]+Table_Shelter[[#This Row],['# of Permanent House Under Construction]]),0)</f>
        <v>10</v>
      </c>
      <c r="Q127" s="148"/>
      <c r="R127" s="222"/>
      <c r="S127" s="221" t="str">
        <f>IFERROR(VLOOKUP(Table_Shelter[[#This Row],[CampName]],CL,2,0),"")</f>
        <v>MMR001CMP039</v>
      </c>
      <c r="T127" s="221" t="str">
        <f>IFERROR(VLOOKUP(Table_Shelter[[#This Row],[CampName]],CL,3,0),"")</f>
        <v>Open</v>
      </c>
      <c r="U127" s="393">
        <f>IFERROR(Table_Shelter[[#This Row],[HH Covered]]/VLOOKUP(Table_Shelter[[#This Row],[CampName]],CL,4,0),"")</f>
        <v>0.20833333333333334</v>
      </c>
      <c r="V127" s="725" t="s">
        <v>1328</v>
      </c>
      <c r="W127" s="394"/>
    </row>
    <row r="128" spans="1:23" ht="15" customHeight="1" x14ac:dyDescent="0.25">
      <c r="A128" s="396">
        <v>41791</v>
      </c>
      <c r="B128" s="222" t="s">
        <v>454</v>
      </c>
      <c r="C128" s="222" t="s">
        <v>462</v>
      </c>
      <c r="D128" s="222" t="s">
        <v>380</v>
      </c>
      <c r="E128" s="227" t="s">
        <v>151</v>
      </c>
      <c r="F128" s="222" t="s">
        <v>891</v>
      </c>
      <c r="G128" s="149">
        <v>1</v>
      </c>
      <c r="H128" s="149"/>
      <c r="I128" s="149"/>
      <c r="J128" s="149">
        <v>60</v>
      </c>
      <c r="K128" s="149">
        <v>60</v>
      </c>
      <c r="L128" s="222"/>
      <c r="M128" s="222"/>
      <c r="N128" s="222"/>
      <c r="O128" s="222"/>
      <c r="P128" s="191">
        <f>IF(V128="NO",Table_Shelter[[#This Row],[HH per Shelter]]*(Table_Shelter[[#This Row],['# of Temporary Shelter Units Built]]+Table_Shelter[[#This Row],['# of Temporary Shelter Under  Construction]]+Table_Shelter[[#This Row],['# of Permanent House Under Construction]]),0)</f>
        <v>60</v>
      </c>
      <c r="Q128" s="148"/>
      <c r="R128" s="222"/>
      <c r="S128" s="221" t="str">
        <f>IFERROR(VLOOKUP(Table_Shelter[[#This Row],[CampName]],CL,2,0),"")</f>
        <v>MMR001CMP218</v>
      </c>
      <c r="T128" s="221" t="str">
        <f>IFERROR(VLOOKUP(Table_Shelter[[#This Row],[CampName]],CL,3,0),"")</f>
        <v>Open</v>
      </c>
      <c r="U128" s="393">
        <f>IFERROR(Table_Shelter[[#This Row],[HH Covered]]/VLOOKUP(Table_Shelter[[#This Row],[CampName]],CL,4,0),"")</f>
        <v>0.16129032258064516</v>
      </c>
      <c r="V128" s="725" t="s">
        <v>1328</v>
      </c>
      <c r="W128" s="394"/>
    </row>
    <row r="129" spans="1:23" ht="15" customHeight="1" x14ac:dyDescent="0.25">
      <c r="A129" s="396"/>
      <c r="B129" s="222" t="s">
        <v>853</v>
      </c>
      <c r="C129" s="222" t="s">
        <v>462</v>
      </c>
      <c r="D129" s="222" t="s">
        <v>380</v>
      </c>
      <c r="E129" s="227" t="s">
        <v>151</v>
      </c>
      <c r="F129" s="222" t="s">
        <v>891</v>
      </c>
      <c r="G129" s="149">
        <v>1</v>
      </c>
      <c r="H129" s="149"/>
      <c r="I129" s="149"/>
      <c r="J129" s="149">
        <v>20</v>
      </c>
      <c r="K129" s="149">
        <v>20</v>
      </c>
      <c r="L129" s="222"/>
      <c r="M129" s="222"/>
      <c r="N129" s="222"/>
      <c r="O129" s="222"/>
      <c r="P129" s="191">
        <f>IF(V129="NO",Table_Shelter[[#This Row],[HH per Shelter]]*(Table_Shelter[[#This Row],['# of Temporary Shelter Units Built]]+Table_Shelter[[#This Row],['# of Temporary Shelter Under  Construction]]+Table_Shelter[[#This Row],['# of Permanent House Under Construction]]),0)</f>
        <v>20</v>
      </c>
      <c r="Q129" s="148"/>
      <c r="R129" s="222"/>
      <c r="S129" s="221" t="str">
        <f>IFERROR(VLOOKUP(Table_Shelter[[#This Row],[CampName]],CL,2,0),"")</f>
        <v>MMR001CMP218</v>
      </c>
      <c r="T129" s="221" t="str">
        <f>IFERROR(VLOOKUP(Table_Shelter[[#This Row],[CampName]],CL,3,0),"")</f>
        <v>Open</v>
      </c>
      <c r="U129" s="393">
        <f>IFERROR(Table_Shelter[[#This Row],[HH Covered]]/VLOOKUP(Table_Shelter[[#This Row],[CampName]],CL,4,0),"")</f>
        <v>5.3763440860215055E-2</v>
      </c>
      <c r="V129" s="725" t="s">
        <v>1328</v>
      </c>
      <c r="W129" s="394"/>
    </row>
    <row r="130" spans="1:23" ht="15" customHeight="1" x14ac:dyDescent="0.25">
      <c r="A130" s="396"/>
      <c r="B130" s="222" t="s">
        <v>455</v>
      </c>
      <c r="C130" s="222"/>
      <c r="D130" s="222" t="s">
        <v>380</v>
      </c>
      <c r="E130" s="227" t="s">
        <v>151</v>
      </c>
      <c r="F130" s="222" t="s">
        <v>891</v>
      </c>
      <c r="G130" s="149">
        <v>1</v>
      </c>
      <c r="H130" s="149"/>
      <c r="I130" s="149"/>
      <c r="J130" s="149">
        <v>144</v>
      </c>
      <c r="K130" s="149">
        <v>144</v>
      </c>
      <c r="L130" s="222"/>
      <c r="M130" s="222"/>
      <c r="N130" s="222"/>
      <c r="O130" s="222"/>
      <c r="P130" s="191">
        <f>IF(V130="NO",Table_Shelter[[#This Row],[HH per Shelter]]*(Table_Shelter[[#This Row],['# of Temporary Shelter Units Built]]+Table_Shelter[[#This Row],['# of Temporary Shelter Under  Construction]]+Table_Shelter[[#This Row],['# of Permanent House Under Construction]]),0)</f>
        <v>144</v>
      </c>
      <c r="Q130" s="148"/>
      <c r="R130" s="222"/>
      <c r="S130" s="221" t="str">
        <f>IFERROR(VLOOKUP(Table_Shelter[[#This Row],[CampName]],CL,2,0),"")</f>
        <v>MMR001CMP218</v>
      </c>
      <c r="T130" s="221" t="str">
        <f>IFERROR(VLOOKUP(Table_Shelter[[#This Row],[CampName]],CL,3,0),"")</f>
        <v>Open</v>
      </c>
      <c r="U130" s="393">
        <f>IFERROR(Table_Shelter[[#This Row],[HH Covered]]/VLOOKUP(Table_Shelter[[#This Row],[CampName]],CL,4,0),"")</f>
        <v>0.38709677419354838</v>
      </c>
      <c r="V130" s="725" t="s">
        <v>1328</v>
      </c>
      <c r="W130" s="394"/>
    </row>
    <row r="131" spans="1:23" ht="15" customHeight="1" x14ac:dyDescent="0.25">
      <c r="A131" s="396"/>
      <c r="B131" s="222" t="s">
        <v>1106</v>
      </c>
      <c r="C131" s="222"/>
      <c r="D131" s="222" t="s">
        <v>380</v>
      </c>
      <c r="E131" s="227" t="s">
        <v>151</v>
      </c>
      <c r="F131" s="222" t="s">
        <v>949</v>
      </c>
      <c r="G131" s="149">
        <v>1</v>
      </c>
      <c r="H131" s="149"/>
      <c r="I131" s="149"/>
      <c r="J131" s="149">
        <v>20</v>
      </c>
      <c r="K131" s="149">
        <v>20</v>
      </c>
      <c r="L131" s="222"/>
      <c r="M131" s="222"/>
      <c r="N131" s="222"/>
      <c r="O131" s="222"/>
      <c r="P131" s="191">
        <f>IF(V131="NO",Table_Shelter[[#This Row],[HH per Shelter]]*(Table_Shelter[[#This Row],['# of Temporary Shelter Units Built]]+Table_Shelter[[#This Row],['# of Temporary Shelter Under  Construction]]+Table_Shelter[[#This Row],['# of Permanent House Under Construction]]),0)</f>
        <v>20</v>
      </c>
      <c r="Q131" s="148"/>
      <c r="R131" s="222"/>
      <c r="S131" s="221" t="str">
        <f>IFERROR(VLOOKUP(Table_Shelter[[#This Row],[CampName]],CL,2,0),"")</f>
        <v>MMR001CMP223</v>
      </c>
      <c r="T131" s="221" t="str">
        <f>IFERROR(VLOOKUP(Table_Shelter[[#This Row],[CampName]],CL,3,0),"")</f>
        <v>Open</v>
      </c>
      <c r="U131" s="393">
        <f>IFERROR(Table_Shelter[[#This Row],[HH Covered]]/VLOOKUP(Table_Shelter[[#This Row],[CampName]],CL,4,0),"")</f>
        <v>0.16260162601626016</v>
      </c>
      <c r="V131" s="725" t="s">
        <v>1328</v>
      </c>
      <c r="W131" s="394"/>
    </row>
    <row r="132" spans="1:23" ht="15" customHeight="1" x14ac:dyDescent="0.25">
      <c r="A132" s="396"/>
      <c r="B132" s="222"/>
      <c r="C132" s="222"/>
      <c r="D132" s="222" t="s">
        <v>380</v>
      </c>
      <c r="E132" s="227" t="s">
        <v>151</v>
      </c>
      <c r="F132" s="222" t="s">
        <v>949</v>
      </c>
      <c r="G132" s="149">
        <v>1</v>
      </c>
      <c r="H132" s="149"/>
      <c r="I132" s="149"/>
      <c r="J132" s="149">
        <v>30</v>
      </c>
      <c r="K132" s="149">
        <v>30</v>
      </c>
      <c r="L132" s="222"/>
      <c r="M132" s="222"/>
      <c r="N132" s="222"/>
      <c r="O132" s="222"/>
      <c r="P132" s="191">
        <f>IF(V132="NO",Table_Shelter[[#This Row],[HH per Shelter]]*(Table_Shelter[[#This Row],['# of Temporary Shelter Units Built]]+Table_Shelter[[#This Row],['# of Temporary Shelter Under  Construction]]+Table_Shelter[[#This Row],['# of Permanent House Under Construction]]),0)</f>
        <v>30</v>
      </c>
      <c r="Q132" s="148"/>
      <c r="R132" s="222"/>
      <c r="S132" s="221" t="str">
        <f>IFERROR(VLOOKUP(Table_Shelter[[#This Row],[CampName]],CL,2,0),"")</f>
        <v>MMR001CMP223</v>
      </c>
      <c r="T132" s="221" t="str">
        <f>IFERROR(VLOOKUP(Table_Shelter[[#This Row],[CampName]],CL,3,0),"")</f>
        <v>Open</v>
      </c>
      <c r="U132" s="393">
        <f>IFERROR(Table_Shelter[[#This Row],[HH Covered]]/VLOOKUP(Table_Shelter[[#This Row],[CampName]],CL,4,0),"")</f>
        <v>0.24390243902439024</v>
      </c>
      <c r="V132" s="725" t="s">
        <v>1328</v>
      </c>
      <c r="W132" s="394"/>
    </row>
    <row r="133" spans="1:23" ht="15" customHeight="1" x14ac:dyDescent="0.25">
      <c r="A133" s="396"/>
      <c r="B133" s="222" t="s">
        <v>454</v>
      </c>
      <c r="C133" s="222" t="s">
        <v>462</v>
      </c>
      <c r="D133" s="222" t="s">
        <v>380</v>
      </c>
      <c r="E133" s="227" t="s">
        <v>237</v>
      </c>
      <c r="F133" s="222" t="s">
        <v>259</v>
      </c>
      <c r="G133" s="149">
        <v>1</v>
      </c>
      <c r="H133" s="149"/>
      <c r="I133" s="149"/>
      <c r="J133" s="149">
        <v>20</v>
      </c>
      <c r="K133" s="149">
        <v>20</v>
      </c>
      <c r="L133" s="222"/>
      <c r="M133" s="222"/>
      <c r="N133" s="222"/>
      <c r="O133" s="222"/>
      <c r="P133" s="191">
        <f>IF(V133="NO",Table_Shelter[[#This Row],[HH per Shelter]]*(Table_Shelter[[#This Row],['# of Temporary Shelter Units Built]]+Table_Shelter[[#This Row],['# of Temporary Shelter Under  Construction]]+Table_Shelter[[#This Row],['# of Permanent House Under Construction]]),0)</f>
        <v>20</v>
      </c>
      <c r="Q133" s="148"/>
      <c r="R133" s="222"/>
      <c r="S133" s="221" t="str">
        <f>IFERROR(VLOOKUP(Table_Shelter[[#This Row],[CampName]],CL,2,0),"")</f>
        <v>MMR001CMP016</v>
      </c>
      <c r="T133" s="221" t="str">
        <f>IFERROR(VLOOKUP(Table_Shelter[[#This Row],[CampName]],CL,3,0),"")</f>
        <v>Open</v>
      </c>
      <c r="U133" s="393">
        <f>IFERROR(Table_Shelter[[#This Row],[HH Covered]]/VLOOKUP(Table_Shelter[[#This Row],[CampName]],CL,4,0),"")</f>
        <v>0.27777777777777779</v>
      </c>
      <c r="V133" s="725" t="s">
        <v>1328</v>
      </c>
      <c r="W133" s="394"/>
    </row>
    <row r="134" spans="1:23" ht="15" customHeight="1" x14ac:dyDescent="0.25">
      <c r="A134" s="395">
        <v>41809</v>
      </c>
      <c r="B134" s="220" t="s">
        <v>454</v>
      </c>
      <c r="C134" s="220" t="s">
        <v>461</v>
      </c>
      <c r="D134" s="220" t="s">
        <v>380</v>
      </c>
      <c r="E134" s="525" t="s">
        <v>185</v>
      </c>
      <c r="F134" s="220" t="s">
        <v>202</v>
      </c>
      <c r="G134" s="145">
        <v>1</v>
      </c>
      <c r="H134" s="145"/>
      <c r="I134" s="145"/>
      <c r="J134" s="145">
        <v>80</v>
      </c>
      <c r="K134" s="145">
        <v>80</v>
      </c>
      <c r="L134" s="220"/>
      <c r="M134" s="220"/>
      <c r="N134" s="220"/>
      <c r="O134" s="220"/>
      <c r="P134" s="191">
        <f>IF(V134="NO",Table_Shelter[[#This Row],[HH per Shelter]]*(Table_Shelter[[#This Row],['# of Temporary Shelter Units Built]]+Table_Shelter[[#This Row],['# of Temporary Shelter Under  Construction]]+Table_Shelter[[#This Row],['# of Permanent House Under Construction]]),0)</f>
        <v>80</v>
      </c>
      <c r="Q134" s="144"/>
      <c r="R134" s="220"/>
      <c r="S134" s="221" t="str">
        <f>IFERROR(VLOOKUP(Table_Shelter[[#This Row],[CampName]],CL,2,0),"")</f>
        <v>MMR001CMP062</v>
      </c>
      <c r="T134" s="221" t="str">
        <f>IFERROR(VLOOKUP(Table_Shelter[[#This Row],[CampName]],CL,3,0),"")</f>
        <v>Open</v>
      </c>
      <c r="U134" s="393">
        <f>IFERROR(Table_Shelter[[#This Row],[HH Covered]]/VLOOKUP(Table_Shelter[[#This Row],[CampName]],CL,4,0),"")</f>
        <v>0.3065134099616858</v>
      </c>
      <c r="V134" s="725" t="s">
        <v>1328</v>
      </c>
      <c r="W134" s="394"/>
    </row>
    <row r="135" spans="1:23" ht="15" customHeight="1" x14ac:dyDescent="0.25">
      <c r="A135" s="395"/>
      <c r="B135" s="220" t="s">
        <v>852</v>
      </c>
      <c r="C135" s="220"/>
      <c r="D135" s="220" t="s">
        <v>380</v>
      </c>
      <c r="E135" s="525" t="s">
        <v>185</v>
      </c>
      <c r="F135" s="220" t="s">
        <v>202</v>
      </c>
      <c r="G135" s="145">
        <v>1</v>
      </c>
      <c r="H135" s="145"/>
      <c r="I135" s="145"/>
      <c r="J135" s="145">
        <v>18</v>
      </c>
      <c r="K135" s="145">
        <v>18</v>
      </c>
      <c r="L135" s="220"/>
      <c r="M135" s="220"/>
      <c r="N135" s="220"/>
      <c r="O135" s="220"/>
      <c r="P135" s="191">
        <f>IF(V135="NO",Table_Shelter[[#This Row],[HH per Shelter]]*(Table_Shelter[[#This Row],['# of Temporary Shelter Units Built]]+Table_Shelter[[#This Row],['# of Temporary Shelter Under  Construction]]+Table_Shelter[[#This Row],['# of Permanent House Under Construction]]),0)</f>
        <v>18</v>
      </c>
      <c r="Q135" s="144"/>
      <c r="R135" s="220"/>
      <c r="S135" s="221" t="str">
        <f>IFERROR(VLOOKUP(Table_Shelter[[#This Row],[CampName]],CL,2,0),"")</f>
        <v>MMR001CMP062</v>
      </c>
      <c r="T135" s="221" t="str">
        <f>IFERROR(VLOOKUP(Table_Shelter[[#This Row],[CampName]],CL,3,0),"")</f>
        <v>Open</v>
      </c>
      <c r="U135" s="393">
        <f>IFERROR(Table_Shelter[[#This Row],[HH Covered]]/VLOOKUP(Table_Shelter[[#This Row],[CampName]],CL,4,0),"")</f>
        <v>6.8965517241379309E-2</v>
      </c>
      <c r="V135" s="725" t="s">
        <v>1328</v>
      </c>
      <c r="W135" s="394"/>
    </row>
    <row r="136" spans="1:23" ht="15" customHeight="1" x14ac:dyDescent="0.25">
      <c r="A136" s="395"/>
      <c r="B136" s="220" t="s">
        <v>454</v>
      </c>
      <c r="C136" s="220"/>
      <c r="D136" s="220" t="s">
        <v>380</v>
      </c>
      <c r="E136" s="525" t="s">
        <v>185</v>
      </c>
      <c r="F136" s="220" t="s">
        <v>202</v>
      </c>
      <c r="G136" s="145">
        <v>1</v>
      </c>
      <c r="H136" s="145"/>
      <c r="I136" s="145"/>
      <c r="J136" s="145">
        <v>55</v>
      </c>
      <c r="K136" s="145">
        <v>55</v>
      </c>
      <c r="L136" s="220"/>
      <c r="M136" s="220"/>
      <c r="N136" s="220"/>
      <c r="O136" s="220"/>
      <c r="P136" s="191">
        <f>IF(V136="NO",Table_Shelter[[#This Row],[HH per Shelter]]*(Table_Shelter[[#This Row],['# of Temporary Shelter Units Built]]+Table_Shelter[[#This Row],['# of Temporary Shelter Under  Construction]]+Table_Shelter[[#This Row],['# of Permanent House Under Construction]]),0)</f>
        <v>55</v>
      </c>
      <c r="Q136" s="144"/>
      <c r="R136" s="220"/>
      <c r="S136" s="221" t="str">
        <f>IFERROR(VLOOKUP(Table_Shelter[[#This Row],[CampName]],CL,2,0),"")</f>
        <v>MMR001CMP062</v>
      </c>
      <c r="T136" s="221" t="str">
        <f>IFERROR(VLOOKUP(Table_Shelter[[#This Row],[CampName]],CL,3,0),"")</f>
        <v>Open</v>
      </c>
      <c r="U136" s="393">
        <f>IFERROR(Table_Shelter[[#This Row],[HH Covered]]/VLOOKUP(Table_Shelter[[#This Row],[CampName]],CL,4,0),"")</f>
        <v>0.21072796934865901</v>
      </c>
      <c r="V136" s="725" t="s">
        <v>1328</v>
      </c>
      <c r="W136" s="394"/>
    </row>
    <row r="137" spans="1:23" ht="15" customHeight="1" x14ac:dyDescent="0.25">
      <c r="A137" s="395"/>
      <c r="B137" s="220" t="s">
        <v>454</v>
      </c>
      <c r="C137" s="220" t="s">
        <v>462</v>
      </c>
      <c r="D137" s="220" t="s">
        <v>380</v>
      </c>
      <c r="E137" s="225" t="s">
        <v>237</v>
      </c>
      <c r="F137" s="220" t="s">
        <v>261</v>
      </c>
      <c r="G137" s="145">
        <v>1</v>
      </c>
      <c r="H137" s="145"/>
      <c r="I137" s="145"/>
      <c r="J137" s="145">
        <v>60</v>
      </c>
      <c r="K137" s="145">
        <v>60</v>
      </c>
      <c r="L137" s="220"/>
      <c r="M137" s="220"/>
      <c r="N137" s="220"/>
      <c r="O137" s="220"/>
      <c r="P137" s="191">
        <f>IF(V137="NO",Table_Shelter[[#This Row],[HH per Shelter]]*(Table_Shelter[[#This Row],['# of Temporary Shelter Units Built]]+Table_Shelter[[#This Row],['# of Temporary Shelter Under  Construction]]+Table_Shelter[[#This Row],['# of Permanent House Under Construction]]),0)</f>
        <v>60</v>
      </c>
      <c r="Q137" s="144"/>
      <c r="R137" s="220"/>
      <c r="S137" s="221" t="str">
        <f>IFERROR(VLOOKUP(Table_Shelter[[#This Row],[CampName]],CL,2,0),"")</f>
        <v>MMR001CMP008</v>
      </c>
      <c r="T137" s="221" t="str">
        <f>IFERROR(VLOOKUP(Table_Shelter[[#This Row],[CampName]],CL,3,0),"")</f>
        <v>Open</v>
      </c>
      <c r="U137" s="393">
        <f>IFERROR(Table_Shelter[[#This Row],[HH Covered]]/VLOOKUP(Table_Shelter[[#This Row],[CampName]],CL,4,0),"")</f>
        <v>0.625</v>
      </c>
      <c r="V137" s="725" t="s">
        <v>1328</v>
      </c>
      <c r="W137" s="394"/>
    </row>
    <row r="138" spans="1:23" ht="15" customHeight="1" x14ac:dyDescent="0.25">
      <c r="A138" s="395"/>
      <c r="B138" s="220" t="s">
        <v>454</v>
      </c>
      <c r="C138" s="220"/>
      <c r="D138" s="220" t="s">
        <v>380</v>
      </c>
      <c r="E138" s="225" t="s">
        <v>237</v>
      </c>
      <c r="F138" s="220" t="s">
        <v>261</v>
      </c>
      <c r="G138" s="145">
        <v>1</v>
      </c>
      <c r="H138" s="145"/>
      <c r="I138" s="145"/>
      <c r="J138" s="145">
        <v>20</v>
      </c>
      <c r="K138" s="145">
        <v>20</v>
      </c>
      <c r="L138" s="220"/>
      <c r="M138" s="220"/>
      <c r="N138" s="220"/>
      <c r="O138" s="220"/>
      <c r="P138" s="191">
        <f>IF(V138="NO",Table_Shelter[[#This Row],[HH per Shelter]]*(Table_Shelter[[#This Row],['# of Temporary Shelter Units Built]]+Table_Shelter[[#This Row],['# of Temporary Shelter Under  Construction]]+Table_Shelter[[#This Row],['# of Permanent House Under Construction]]),0)</f>
        <v>20</v>
      </c>
      <c r="Q138" s="144"/>
      <c r="R138" s="220"/>
      <c r="S138" s="221" t="str">
        <f>IFERROR(VLOOKUP(Table_Shelter[[#This Row],[CampName]],CL,2,0),"")</f>
        <v>MMR001CMP008</v>
      </c>
      <c r="T138" s="221" t="str">
        <f>IFERROR(VLOOKUP(Table_Shelter[[#This Row],[CampName]],CL,3,0),"")</f>
        <v>Open</v>
      </c>
      <c r="U138" s="393">
        <f>IFERROR(Table_Shelter[[#This Row],[HH Covered]]/VLOOKUP(Table_Shelter[[#This Row],[CampName]],CL,4,0),"")</f>
        <v>0.20833333333333334</v>
      </c>
      <c r="V138" s="725" t="s">
        <v>1328</v>
      </c>
      <c r="W138" s="394"/>
    </row>
    <row r="139" spans="1:23" ht="15" customHeight="1" x14ac:dyDescent="0.25">
      <c r="A139" s="395">
        <v>41749</v>
      </c>
      <c r="B139" s="220" t="s">
        <v>454</v>
      </c>
      <c r="C139" s="220"/>
      <c r="D139" s="220" t="s">
        <v>380</v>
      </c>
      <c r="E139" s="225" t="s">
        <v>151</v>
      </c>
      <c r="F139" s="220" t="s">
        <v>882</v>
      </c>
      <c r="G139" s="145">
        <v>1</v>
      </c>
      <c r="H139" s="145">
        <v>200</v>
      </c>
      <c r="I139" s="145">
        <v>200</v>
      </c>
      <c r="J139" s="145"/>
      <c r="K139" s="145"/>
      <c r="L139" s="220"/>
      <c r="M139" s="220"/>
      <c r="N139" s="220"/>
      <c r="O139" s="220"/>
      <c r="P139" s="191">
        <f>IF(V139="NO",Table_Shelter[[#This Row],[HH per Shelter]]*(Table_Shelter[[#This Row],['# of Temporary Shelter Units Built]]+Table_Shelter[[#This Row],['# of Temporary Shelter Under  Construction]]+Table_Shelter[[#This Row],['# of Permanent House Under Construction]]),0)</f>
        <v>0</v>
      </c>
      <c r="Q139" s="144"/>
      <c r="R139" s="220"/>
      <c r="S139" s="221" t="str">
        <f>IFERROR(VLOOKUP(Table_Shelter[[#This Row],[CampName]],CL,2,0),"")</f>
        <v>MMR001CMP212</v>
      </c>
      <c r="T139" s="221" t="str">
        <f>IFERROR(VLOOKUP(Table_Shelter[[#This Row],[CampName]],CL,3,0),"")</f>
        <v>Closed</v>
      </c>
      <c r="U139" s="393" t="str">
        <f>IFERROR(Table_Shelter[[#This Row],[HH Covered]]/VLOOKUP(Table_Shelter[[#This Row],[CampName]],CL,4,0),"")</f>
        <v/>
      </c>
      <c r="V139" s="725" t="s">
        <v>1328</v>
      </c>
      <c r="W139" s="394"/>
    </row>
    <row r="140" spans="1:23" ht="15" customHeight="1" x14ac:dyDescent="0.25">
      <c r="A140" s="395"/>
      <c r="B140" s="220" t="s">
        <v>455</v>
      </c>
      <c r="C140" s="220" t="s">
        <v>462</v>
      </c>
      <c r="D140" s="220" t="s">
        <v>380</v>
      </c>
      <c r="E140" s="225" t="s">
        <v>151</v>
      </c>
      <c r="F140" s="220" t="s">
        <v>160</v>
      </c>
      <c r="G140" s="145">
        <v>1</v>
      </c>
      <c r="H140" s="145"/>
      <c r="I140" s="145"/>
      <c r="J140" s="145">
        <v>39</v>
      </c>
      <c r="K140" s="145">
        <v>39</v>
      </c>
      <c r="L140" s="220"/>
      <c r="M140" s="220"/>
      <c r="N140" s="220"/>
      <c r="O140" s="220"/>
      <c r="P140" s="191">
        <f>IF(V140="NO",Table_Shelter[[#This Row],[HH per Shelter]]*(Table_Shelter[[#This Row],['# of Temporary Shelter Units Built]]+Table_Shelter[[#This Row],['# of Temporary Shelter Under  Construction]]+Table_Shelter[[#This Row],['# of Permanent House Under Construction]]),0)</f>
        <v>39</v>
      </c>
      <c r="Q140" s="144"/>
      <c r="R140" s="220"/>
      <c r="S140" s="221" t="str">
        <f>IFERROR(VLOOKUP(Table_Shelter[[#This Row],[CampName]],CL,2,0),"")</f>
        <v>MMR001CMP133</v>
      </c>
      <c r="T140" s="221" t="str">
        <f>IFERROR(VLOOKUP(Table_Shelter[[#This Row],[CampName]],CL,3,0),"")</f>
        <v>Open</v>
      </c>
      <c r="U140" s="393">
        <f>IFERROR(Table_Shelter[[#This Row],[HH Covered]]/VLOOKUP(Table_Shelter[[#This Row],[CampName]],CL,4,0),"")</f>
        <v>0.34210526315789475</v>
      </c>
      <c r="V140" s="725" t="s">
        <v>1328</v>
      </c>
      <c r="W140" s="394"/>
    </row>
    <row r="141" spans="1:23" ht="15" customHeight="1" x14ac:dyDescent="0.25">
      <c r="A141" s="395"/>
      <c r="B141" s="220" t="s">
        <v>852</v>
      </c>
      <c r="C141" s="220"/>
      <c r="D141" s="220" t="s">
        <v>380</v>
      </c>
      <c r="E141" s="525" t="s">
        <v>151</v>
      </c>
      <c r="F141" s="220" t="s">
        <v>160</v>
      </c>
      <c r="G141" s="145">
        <v>1</v>
      </c>
      <c r="H141" s="145"/>
      <c r="I141" s="145"/>
      <c r="J141" s="145">
        <v>15</v>
      </c>
      <c r="K141" s="145">
        <v>15</v>
      </c>
      <c r="L141" s="220"/>
      <c r="M141" s="220"/>
      <c r="N141" s="220"/>
      <c r="O141" s="220"/>
      <c r="P141" s="191">
        <f>IF(V141="NO",Table_Shelter[[#This Row],[HH per Shelter]]*(Table_Shelter[[#This Row],['# of Temporary Shelter Units Built]]+Table_Shelter[[#This Row],['# of Temporary Shelter Under  Construction]]+Table_Shelter[[#This Row],['# of Permanent House Under Construction]]),0)</f>
        <v>15</v>
      </c>
      <c r="Q141" s="144"/>
      <c r="R141" s="220"/>
      <c r="S141" s="221" t="str">
        <f>IFERROR(VLOOKUP(Table_Shelter[[#This Row],[CampName]],CL,2,0),"")</f>
        <v>MMR001CMP133</v>
      </c>
      <c r="T141" s="221" t="str">
        <f>IFERROR(VLOOKUP(Table_Shelter[[#This Row],[CampName]],CL,3,0),"")</f>
        <v>Open</v>
      </c>
      <c r="U141" s="393">
        <f>IFERROR(Table_Shelter[[#This Row],[HH Covered]]/VLOOKUP(Table_Shelter[[#This Row],[CampName]],CL,4,0),"")</f>
        <v>0.13157894736842105</v>
      </c>
      <c r="V141" s="725" t="s">
        <v>1328</v>
      </c>
      <c r="W141" s="394"/>
    </row>
    <row r="142" spans="1:23" ht="15" customHeight="1" x14ac:dyDescent="0.25">
      <c r="A142" s="395"/>
      <c r="B142" s="220" t="s">
        <v>454</v>
      </c>
      <c r="C142" s="220" t="s">
        <v>462</v>
      </c>
      <c r="D142" s="228" t="s">
        <v>380</v>
      </c>
      <c r="E142" s="225" t="s">
        <v>151</v>
      </c>
      <c r="F142" s="220" t="s">
        <v>160</v>
      </c>
      <c r="G142" s="145">
        <v>1</v>
      </c>
      <c r="H142" s="145"/>
      <c r="I142" s="145"/>
      <c r="J142" s="145">
        <v>20</v>
      </c>
      <c r="K142" s="145">
        <v>20</v>
      </c>
      <c r="L142" s="220"/>
      <c r="M142" s="220"/>
      <c r="N142" s="220"/>
      <c r="O142" s="220"/>
      <c r="P142" s="148">
        <f>IF(V142="NO",Table_Shelter[[#This Row],[HH per Shelter]]*(Table_Shelter[[#This Row],['# of Temporary Shelter Units Built]]+Table_Shelter[[#This Row],['# of Temporary Shelter Under  Construction]]+Table_Shelter[[#This Row],['# of Permanent House Under Construction]]),0)</f>
        <v>20</v>
      </c>
      <c r="Q142" s="144"/>
      <c r="R142" s="144"/>
      <c r="S142" s="148" t="str">
        <f>IFERROR(VLOOKUP(Table_Shelter[[#This Row],[CampName]],CL,2,0),"")</f>
        <v>MMR001CMP133</v>
      </c>
      <c r="T142" s="148" t="str">
        <f>IFERROR(VLOOKUP(Table_Shelter[[#This Row],[CampName]],CL,3,0),"")</f>
        <v>Open</v>
      </c>
      <c r="U142" s="393">
        <f>IFERROR(Table_Shelter[[#This Row],[HH Covered]]/VLOOKUP(Table_Shelter[[#This Row],[CampName]],CL,4,0),"")</f>
        <v>0.17543859649122806</v>
      </c>
      <c r="V142" s="725" t="s">
        <v>1328</v>
      </c>
      <c r="W142" s="397"/>
    </row>
    <row r="143" spans="1:23" ht="15" customHeight="1" x14ac:dyDescent="0.25">
      <c r="A143" s="396">
        <v>41748</v>
      </c>
      <c r="B143" s="222" t="s">
        <v>454</v>
      </c>
      <c r="C143" s="222"/>
      <c r="D143" s="222" t="s">
        <v>380</v>
      </c>
      <c r="E143" s="227" t="s">
        <v>151</v>
      </c>
      <c r="F143" s="222" t="s">
        <v>154</v>
      </c>
      <c r="G143" s="149">
        <v>1</v>
      </c>
      <c r="H143" s="149">
        <v>200</v>
      </c>
      <c r="I143" s="149">
        <v>200</v>
      </c>
      <c r="J143" s="149"/>
      <c r="K143" s="149"/>
      <c r="L143" s="222"/>
      <c r="M143" s="222"/>
      <c r="N143" s="222"/>
      <c r="O143" s="222"/>
      <c r="P143" s="191">
        <f>IF(V143="NO",Table_Shelter[[#This Row],[HH per Shelter]]*(Table_Shelter[[#This Row],['# of Temporary Shelter Units Built]]+Table_Shelter[[#This Row],['# of Temporary Shelter Under  Construction]]+Table_Shelter[[#This Row],['# of Permanent House Under Construction]]),0)</f>
        <v>0</v>
      </c>
      <c r="Q143" s="148"/>
      <c r="R143" s="222"/>
      <c r="S143" s="221" t="str">
        <f>IFERROR(VLOOKUP(Table_Shelter[[#This Row],[CampName]],CL,2,0),"")</f>
        <v>MMR001CMP132</v>
      </c>
      <c r="T143" s="221" t="str">
        <f>IFERROR(VLOOKUP(Table_Shelter[[#This Row],[CampName]],CL,3,0),"")</f>
        <v>Open</v>
      </c>
      <c r="U143" s="393">
        <f>IFERROR(Table_Shelter[[#This Row],[HH Covered]]/VLOOKUP(Table_Shelter[[#This Row],[CampName]],CL,4,0),"")</f>
        <v>0</v>
      </c>
      <c r="V143" s="725" t="s">
        <v>1328</v>
      </c>
      <c r="W143" s="394"/>
    </row>
    <row r="144" spans="1:23" ht="15" customHeight="1" x14ac:dyDescent="0.25">
      <c r="A144" s="395"/>
      <c r="B144" s="220" t="s">
        <v>454</v>
      </c>
      <c r="C144" s="220" t="s">
        <v>461</v>
      </c>
      <c r="D144" s="220" t="s">
        <v>380</v>
      </c>
      <c r="E144" s="525" t="s">
        <v>151</v>
      </c>
      <c r="F144" s="220" t="s">
        <v>154</v>
      </c>
      <c r="G144" s="145">
        <v>1</v>
      </c>
      <c r="H144" s="145"/>
      <c r="I144" s="145"/>
      <c r="J144" s="145">
        <v>200</v>
      </c>
      <c r="K144" s="145">
        <v>200</v>
      </c>
      <c r="L144" s="220"/>
      <c r="M144" s="220"/>
      <c r="N144" s="220"/>
      <c r="O144" s="220"/>
      <c r="P144" s="191">
        <f>IF(V144="NO",Table_Shelter[[#This Row],[HH per Shelter]]*(Table_Shelter[[#This Row],['# of Temporary Shelter Units Built]]+Table_Shelter[[#This Row],['# of Temporary Shelter Under  Construction]]+Table_Shelter[[#This Row],['# of Permanent House Under Construction]]),0)</f>
        <v>200</v>
      </c>
      <c r="Q144" s="144"/>
      <c r="R144" s="220"/>
      <c r="S144" s="221" t="str">
        <f>IFERROR(VLOOKUP(Table_Shelter[[#This Row],[CampName]],CL,2,0),"")</f>
        <v>MMR001CMP132</v>
      </c>
      <c r="T144" s="221" t="str">
        <f>IFERROR(VLOOKUP(Table_Shelter[[#This Row],[CampName]],CL,3,0),"")</f>
        <v>Open</v>
      </c>
      <c r="U144" s="393">
        <f>IFERROR(Table_Shelter[[#This Row],[HH Covered]]/VLOOKUP(Table_Shelter[[#This Row],[CampName]],CL,4,0),"")</f>
        <v>0.4366812227074236</v>
      </c>
      <c r="V144" s="725" t="s">
        <v>1328</v>
      </c>
      <c r="W144" s="394"/>
    </row>
    <row r="145" spans="1:23" ht="15" customHeight="1" x14ac:dyDescent="0.25">
      <c r="A145" s="395"/>
      <c r="B145" s="220" t="s">
        <v>852</v>
      </c>
      <c r="C145" s="220"/>
      <c r="D145" s="220" t="s">
        <v>380</v>
      </c>
      <c r="E145" s="525" t="s">
        <v>185</v>
      </c>
      <c r="F145" s="220" t="s">
        <v>207</v>
      </c>
      <c r="G145" s="145">
        <v>1</v>
      </c>
      <c r="H145" s="145"/>
      <c r="I145" s="145"/>
      <c r="J145" s="145">
        <v>6</v>
      </c>
      <c r="K145" s="145">
        <v>6</v>
      </c>
      <c r="L145" s="220"/>
      <c r="M145" s="220"/>
      <c r="N145" s="220"/>
      <c r="O145" s="220"/>
      <c r="P145" s="191">
        <f>IF(V145="NO",Table_Shelter[[#This Row],[HH per Shelter]]*(Table_Shelter[[#This Row],['# of Temporary Shelter Units Built]]+Table_Shelter[[#This Row],['# of Temporary Shelter Under  Construction]]+Table_Shelter[[#This Row],['# of Permanent House Under Construction]]),0)</f>
        <v>6</v>
      </c>
      <c r="Q145" s="144"/>
      <c r="R145" s="220"/>
      <c r="S145" s="221" t="str">
        <f>IFERROR(VLOOKUP(Table_Shelter[[#This Row],[CampName]],CL,2,0),"")</f>
        <v>MMR001CMP058</v>
      </c>
      <c r="T145" s="221" t="str">
        <f>IFERROR(VLOOKUP(Table_Shelter[[#This Row],[CampName]],CL,3,0),"")</f>
        <v>Closed</v>
      </c>
      <c r="U145" s="393" t="str">
        <f>IFERROR(Table_Shelter[[#This Row],[HH Covered]]/VLOOKUP(Table_Shelter[[#This Row],[CampName]],CL,4,0),"")</f>
        <v/>
      </c>
      <c r="V145" s="725" t="s">
        <v>1328</v>
      </c>
      <c r="W145" s="394"/>
    </row>
    <row r="146" spans="1:23" ht="15" customHeight="1" x14ac:dyDescent="0.25">
      <c r="A146" s="395"/>
      <c r="B146" s="220" t="s">
        <v>454</v>
      </c>
      <c r="C146" s="220" t="s">
        <v>507</v>
      </c>
      <c r="D146" s="220" t="s">
        <v>380</v>
      </c>
      <c r="E146" s="225" t="s">
        <v>185</v>
      </c>
      <c r="F146" s="220" t="s">
        <v>207</v>
      </c>
      <c r="G146" s="145">
        <v>1</v>
      </c>
      <c r="H146" s="145"/>
      <c r="I146" s="145"/>
      <c r="J146" s="145"/>
      <c r="K146" s="145"/>
      <c r="L146" s="220"/>
      <c r="M146" s="220"/>
      <c r="N146" s="220"/>
      <c r="O146" s="220"/>
      <c r="P146" s="191">
        <f>IF(V146="NO",Table_Shelter[[#This Row],[HH per Shelter]]*(Table_Shelter[[#This Row],['# of Temporary Shelter Units Built]]+Table_Shelter[[#This Row],['# of Temporary Shelter Under  Construction]]+Table_Shelter[[#This Row],['# of Permanent House Under Construction]]),0)</f>
        <v>0</v>
      </c>
      <c r="Q146" s="144">
        <v>5</v>
      </c>
      <c r="R146" s="220"/>
      <c r="S146" s="221" t="str">
        <f>IFERROR(VLOOKUP(Table_Shelter[[#This Row],[CampName]],CL,2,0),"")</f>
        <v>MMR001CMP058</v>
      </c>
      <c r="T146" s="221" t="str">
        <f>IFERROR(VLOOKUP(Table_Shelter[[#This Row],[CampName]],CL,3,0),"")</f>
        <v>Closed</v>
      </c>
      <c r="U146" s="393" t="str">
        <f>IFERROR(Table_Shelter[[#This Row],[HH Covered]]/VLOOKUP(Table_Shelter[[#This Row],[CampName]],CL,4,0),"")</f>
        <v/>
      </c>
      <c r="V146" s="725" t="s">
        <v>1328</v>
      </c>
      <c r="W146" s="394"/>
    </row>
    <row r="147" spans="1:23" ht="15" customHeight="1" x14ac:dyDescent="0.25">
      <c r="A147" s="395">
        <v>41609</v>
      </c>
      <c r="B147" s="220" t="s">
        <v>454</v>
      </c>
      <c r="C147" s="220" t="s">
        <v>462</v>
      </c>
      <c r="D147" s="220" t="s">
        <v>555</v>
      </c>
      <c r="E147" s="225" t="s">
        <v>166</v>
      </c>
      <c r="F147" s="220" t="s">
        <v>167</v>
      </c>
      <c r="G147" s="145">
        <v>1</v>
      </c>
      <c r="H147" s="145"/>
      <c r="I147" s="145"/>
      <c r="J147" s="145">
        <v>10</v>
      </c>
      <c r="K147" s="145">
        <v>10</v>
      </c>
      <c r="L147" s="220"/>
      <c r="M147" s="220"/>
      <c r="N147" s="220"/>
      <c r="O147" s="220"/>
      <c r="P147" s="148">
        <f>IF(V147="NO",Table_Shelter[[#This Row],[HH per Shelter]]*(Table_Shelter[[#This Row],['# of Temporary Shelter Units Built]]+Table_Shelter[[#This Row],['# of Temporary Shelter Under  Construction]]+Table_Shelter[[#This Row],['# of Permanent House Under Construction]]),0)</f>
        <v>10</v>
      </c>
      <c r="Q147" s="144"/>
      <c r="R147" s="144"/>
      <c r="S147" s="148" t="str">
        <f>IFERROR(VLOOKUP(Table_Shelter[[#This Row],[CampName]],CL,2,0),"")</f>
        <v>MMR015CMP009</v>
      </c>
      <c r="T147" s="148" t="str">
        <f>IFERROR(VLOOKUP(Table_Shelter[[#This Row],[CampName]],CL,3,0),"")</f>
        <v>Open</v>
      </c>
      <c r="U147" s="393">
        <f>IFERROR(Table_Shelter[[#This Row],[HH Covered]]/VLOOKUP(Table_Shelter[[#This Row],[CampName]],CL,4,0),"")</f>
        <v>0.26315789473684209</v>
      </c>
      <c r="V147" s="725" t="s">
        <v>1328</v>
      </c>
      <c r="W147" s="397"/>
    </row>
    <row r="148" spans="1:23" ht="15" customHeight="1" x14ac:dyDescent="0.25">
      <c r="A148" s="395"/>
      <c r="B148" s="220" t="s">
        <v>454</v>
      </c>
      <c r="C148" s="220" t="s">
        <v>462</v>
      </c>
      <c r="D148" s="220" t="s">
        <v>555</v>
      </c>
      <c r="E148" s="525" t="s">
        <v>166</v>
      </c>
      <c r="F148" s="220" t="s">
        <v>167</v>
      </c>
      <c r="G148" s="145">
        <v>1</v>
      </c>
      <c r="H148" s="145"/>
      <c r="I148" s="145"/>
      <c r="J148" s="145">
        <v>30</v>
      </c>
      <c r="K148" s="145">
        <v>30</v>
      </c>
      <c r="L148" s="220"/>
      <c r="M148" s="220"/>
      <c r="N148" s="220"/>
      <c r="O148" s="220"/>
      <c r="P148" s="191">
        <f>IF(V148="NO",Table_Shelter[[#This Row],[HH per Shelter]]*(Table_Shelter[[#This Row],['# of Temporary Shelter Units Built]]+Table_Shelter[[#This Row],['# of Temporary Shelter Under  Construction]]+Table_Shelter[[#This Row],['# of Permanent House Under Construction]]),0)</f>
        <v>30</v>
      </c>
      <c r="Q148" s="144"/>
      <c r="R148" s="220"/>
      <c r="S148" s="221" t="str">
        <f>IFERROR(VLOOKUP(Table_Shelter[[#This Row],[CampName]],CL,2,0),"")</f>
        <v>MMR015CMP009</v>
      </c>
      <c r="T148" s="221" t="str">
        <f>IFERROR(VLOOKUP(Table_Shelter[[#This Row],[CampName]],CL,3,0),"")</f>
        <v>Open</v>
      </c>
      <c r="U148" s="393">
        <f>IFERROR(Table_Shelter[[#This Row],[HH Covered]]/VLOOKUP(Table_Shelter[[#This Row],[CampName]],CL,4,0),"")</f>
        <v>0.78947368421052633</v>
      </c>
      <c r="V148" s="725" t="s">
        <v>1328</v>
      </c>
      <c r="W148" s="394"/>
    </row>
    <row r="149" spans="1:23" ht="15" customHeight="1" x14ac:dyDescent="0.25">
      <c r="A149" s="396">
        <v>41609</v>
      </c>
      <c r="B149" s="145" t="s">
        <v>454</v>
      </c>
      <c r="C149" s="145" t="s">
        <v>508</v>
      </c>
      <c r="D149" s="228" t="s">
        <v>555</v>
      </c>
      <c r="E149" s="229" t="s">
        <v>166</v>
      </c>
      <c r="F149" s="145" t="s">
        <v>828</v>
      </c>
      <c r="G149" s="145">
        <v>1</v>
      </c>
      <c r="H149" s="149"/>
      <c r="I149" s="149"/>
      <c r="J149" s="149">
        <v>30</v>
      </c>
      <c r="K149" s="149">
        <v>30</v>
      </c>
      <c r="L149" s="149"/>
      <c r="M149" s="149"/>
      <c r="N149" s="149"/>
      <c r="O149" s="149"/>
      <c r="P149" s="148">
        <f>IF(V149="NO",Table_Shelter[[#This Row],[HH per Shelter]]*(Table_Shelter[[#This Row],['# of Temporary Shelter Units Built]]+Table_Shelter[[#This Row],['# of Temporary Shelter Under  Construction]]+Table_Shelter[[#This Row],['# of Permanent House Under Construction]]),0)</f>
        <v>30</v>
      </c>
      <c r="Q149" s="148"/>
      <c r="R149" s="148"/>
      <c r="S149" s="148" t="str">
        <f>IFERROR(VLOOKUP(Table_Shelter[[#This Row],[CampName]],CL,2,0),"")</f>
        <v>MMR015CMP209</v>
      </c>
      <c r="T149" s="148" t="str">
        <f>IFERROR(VLOOKUP(Table_Shelter[[#This Row],[CampName]],CL,3,0),"")</f>
        <v>Open</v>
      </c>
      <c r="U149" s="399">
        <f>IFERROR(Table_Shelter[[#This Row],[HH Covered]]/VLOOKUP(Table_Shelter[[#This Row],[CampName]],CL,4,0),"")</f>
        <v>0.967741935483871</v>
      </c>
      <c r="V149" s="725" t="s">
        <v>1328</v>
      </c>
      <c r="W149" s="397"/>
    </row>
    <row r="150" spans="1:23" ht="15" customHeight="1" x14ac:dyDescent="0.25">
      <c r="A150" s="395"/>
      <c r="B150" s="220" t="s">
        <v>454</v>
      </c>
      <c r="C150" s="220" t="s">
        <v>462</v>
      </c>
      <c r="D150" s="220" t="s">
        <v>380</v>
      </c>
      <c r="E150" s="525" t="s">
        <v>173</v>
      </c>
      <c r="F150" s="220" t="s">
        <v>176</v>
      </c>
      <c r="G150" s="145">
        <v>1</v>
      </c>
      <c r="H150" s="145"/>
      <c r="I150" s="145"/>
      <c r="J150" s="145">
        <v>10</v>
      </c>
      <c r="K150" s="145">
        <v>10</v>
      </c>
      <c r="L150" s="220"/>
      <c r="M150" s="220"/>
      <c r="N150" s="220"/>
      <c r="O150" s="220"/>
      <c r="P150" s="191">
        <f>IF(V150="NO",Table_Shelter[[#This Row],[HH per Shelter]]*(Table_Shelter[[#This Row],['# of Temporary Shelter Units Built]]+Table_Shelter[[#This Row],['# of Temporary Shelter Under  Construction]]+Table_Shelter[[#This Row],['# of Permanent House Under Construction]]),0)</f>
        <v>10</v>
      </c>
      <c r="Q150" s="144"/>
      <c r="R150" s="220"/>
      <c r="S150" s="221" t="str">
        <f>IFERROR(VLOOKUP(Table_Shelter[[#This Row],[CampName]],CL,2,0),"")</f>
        <v>MMR001CMP077</v>
      </c>
      <c r="T150" s="221" t="str">
        <f>IFERROR(VLOOKUP(Table_Shelter[[#This Row],[CampName]],CL,3,0),"")</f>
        <v>Open</v>
      </c>
      <c r="U150" s="393">
        <f>IFERROR(Table_Shelter[[#This Row],[HH Covered]]/VLOOKUP(Table_Shelter[[#This Row],[CampName]],CL,4,0),"")</f>
        <v>0.55555555555555558</v>
      </c>
      <c r="V150" s="725" t="s">
        <v>1328</v>
      </c>
      <c r="W150" s="394"/>
    </row>
    <row r="151" spans="1:23" ht="15" customHeight="1" x14ac:dyDescent="0.25">
      <c r="A151" s="395">
        <v>41609</v>
      </c>
      <c r="B151" s="220" t="s">
        <v>454</v>
      </c>
      <c r="C151" s="220" t="s">
        <v>462</v>
      </c>
      <c r="D151" s="220" t="s">
        <v>380</v>
      </c>
      <c r="E151" s="525" t="s">
        <v>151</v>
      </c>
      <c r="F151" s="220" t="s">
        <v>152</v>
      </c>
      <c r="G151" s="145">
        <v>1</v>
      </c>
      <c r="H151" s="145"/>
      <c r="I151" s="145"/>
      <c r="J151" s="145">
        <v>20</v>
      </c>
      <c r="K151" s="145">
        <v>20</v>
      </c>
      <c r="L151" s="220"/>
      <c r="M151" s="220"/>
      <c r="N151" s="220"/>
      <c r="O151" s="220"/>
      <c r="P151" s="191">
        <f>IF(V151="NO",Table_Shelter[[#This Row],[HH per Shelter]]*(Table_Shelter[[#This Row],['# of Temporary Shelter Units Built]]+Table_Shelter[[#This Row],['# of Temporary Shelter Under  Construction]]+Table_Shelter[[#This Row],['# of Permanent House Under Construction]]),0)</f>
        <v>20</v>
      </c>
      <c r="Q151" s="144"/>
      <c r="R151" s="220"/>
      <c r="S151" s="221" t="str">
        <f>IFERROR(VLOOKUP(Table_Shelter[[#This Row],[CampName]],CL,2,0),"")</f>
        <v>MMR001CMP066</v>
      </c>
      <c r="T151" s="221" t="str">
        <f>IFERROR(VLOOKUP(Table_Shelter[[#This Row],[CampName]],CL,3,0),"")</f>
        <v>Open</v>
      </c>
      <c r="U151" s="393">
        <f>IFERROR(Table_Shelter[[#This Row],[HH Covered]]/VLOOKUP(Table_Shelter[[#This Row],[CampName]],CL,4,0),"")</f>
        <v>9.0497737556561084E-2</v>
      </c>
      <c r="V151" s="725" t="s">
        <v>1328</v>
      </c>
      <c r="W151" s="394"/>
    </row>
    <row r="152" spans="1:23" ht="15" customHeight="1" x14ac:dyDescent="0.25">
      <c r="A152" s="395">
        <v>41791</v>
      </c>
      <c r="B152" s="220" t="s">
        <v>454</v>
      </c>
      <c r="C152" s="220" t="s">
        <v>462</v>
      </c>
      <c r="D152" s="220" t="s">
        <v>380</v>
      </c>
      <c r="E152" s="525" t="s">
        <v>151</v>
      </c>
      <c r="F152" s="220" t="s">
        <v>152</v>
      </c>
      <c r="G152" s="145">
        <v>1</v>
      </c>
      <c r="H152" s="145"/>
      <c r="I152" s="145"/>
      <c r="J152" s="145">
        <v>15</v>
      </c>
      <c r="K152" s="145">
        <v>15</v>
      </c>
      <c r="L152" s="220"/>
      <c r="M152" s="220"/>
      <c r="N152" s="220"/>
      <c r="O152" s="220"/>
      <c r="P152" s="148">
        <f>IF(V152="NO",Table_Shelter[[#This Row],[HH per Shelter]]*(Table_Shelter[[#This Row],['# of Temporary Shelter Units Built]]+Table_Shelter[[#This Row],['# of Temporary Shelter Under  Construction]]+Table_Shelter[[#This Row],['# of Permanent House Under Construction]]),0)</f>
        <v>15</v>
      </c>
      <c r="Q152" s="144"/>
      <c r="R152" s="144"/>
      <c r="S152" s="148" t="str">
        <f>IFERROR(VLOOKUP(Table_Shelter[[#This Row],[CampName]],CL,2,0),"")</f>
        <v>MMR001CMP066</v>
      </c>
      <c r="T152" s="148" t="str">
        <f>IFERROR(VLOOKUP(Table_Shelter[[#This Row],[CampName]],CL,3,0),"")</f>
        <v>Open</v>
      </c>
      <c r="U152" s="393">
        <f>IFERROR(Table_Shelter[[#This Row],[HH Covered]]/VLOOKUP(Table_Shelter[[#This Row],[CampName]],CL,4,0),"")</f>
        <v>6.7873303167420809E-2</v>
      </c>
      <c r="V152" s="725" t="s">
        <v>1328</v>
      </c>
      <c r="W152" s="397"/>
    </row>
    <row r="153" spans="1:23" ht="15" customHeight="1" x14ac:dyDescent="0.25">
      <c r="A153" s="396">
        <v>41809</v>
      </c>
      <c r="B153" s="222" t="s">
        <v>852</v>
      </c>
      <c r="C153" s="222"/>
      <c r="D153" s="222" t="s">
        <v>380</v>
      </c>
      <c r="E153" s="227" t="s">
        <v>151</v>
      </c>
      <c r="F153" s="222" t="s">
        <v>152</v>
      </c>
      <c r="G153" s="149">
        <v>1</v>
      </c>
      <c r="H153" s="149"/>
      <c r="I153" s="149"/>
      <c r="J153" s="149">
        <v>56</v>
      </c>
      <c r="K153" s="149">
        <v>60</v>
      </c>
      <c r="L153" s="222"/>
      <c r="M153" s="222"/>
      <c r="N153" s="222"/>
      <c r="O153" s="222"/>
      <c r="P153" s="191">
        <f>IF(V153="NO",Table_Shelter[[#This Row],[HH per Shelter]]*(Table_Shelter[[#This Row],['# of Temporary Shelter Units Built]]+Table_Shelter[[#This Row],['# of Temporary Shelter Under  Construction]]+Table_Shelter[[#This Row],['# of Permanent House Under Construction]]),0)</f>
        <v>60</v>
      </c>
      <c r="Q153" s="148"/>
      <c r="R153" s="222"/>
      <c r="S153" s="221" t="str">
        <f>IFERROR(VLOOKUP(Table_Shelter[[#This Row],[CampName]],CL,2,0),"")</f>
        <v>MMR001CMP066</v>
      </c>
      <c r="T153" s="221" t="str">
        <f>IFERROR(VLOOKUP(Table_Shelter[[#This Row],[CampName]],CL,3,0),"")</f>
        <v>Open</v>
      </c>
      <c r="U153" s="393">
        <f>IFERROR(Table_Shelter[[#This Row],[HH Covered]]/VLOOKUP(Table_Shelter[[#This Row],[CampName]],CL,4,0),"")</f>
        <v>0.27149321266968324</v>
      </c>
      <c r="V153" s="725" t="s">
        <v>1328</v>
      </c>
      <c r="W153" s="394"/>
    </row>
    <row r="154" spans="1:23" ht="15" customHeight="1" x14ac:dyDescent="0.25">
      <c r="A154" s="395"/>
      <c r="B154" s="220" t="s">
        <v>454</v>
      </c>
      <c r="C154" s="220"/>
      <c r="D154" s="220" t="s">
        <v>380</v>
      </c>
      <c r="E154" s="525" t="s">
        <v>151</v>
      </c>
      <c r="F154" s="220" t="s">
        <v>152</v>
      </c>
      <c r="G154" s="145">
        <v>1</v>
      </c>
      <c r="H154" s="145"/>
      <c r="I154" s="145"/>
      <c r="J154" s="145">
        <v>41</v>
      </c>
      <c r="K154" s="145">
        <v>10</v>
      </c>
      <c r="L154" s="220"/>
      <c r="M154" s="220"/>
      <c r="N154" s="220"/>
      <c r="O154" s="220"/>
      <c r="P154" s="191">
        <f>IF(V154="NO",Table_Shelter[[#This Row],[HH per Shelter]]*(Table_Shelter[[#This Row],['# of Temporary Shelter Units Built]]+Table_Shelter[[#This Row],['# of Temporary Shelter Under  Construction]]+Table_Shelter[[#This Row],['# of Permanent House Under Construction]]),0)</f>
        <v>10</v>
      </c>
      <c r="Q154" s="144"/>
      <c r="R154" s="220"/>
      <c r="S154" s="221" t="str">
        <f>IFERROR(VLOOKUP(Table_Shelter[[#This Row],[CampName]],CL,2,0),"")</f>
        <v>MMR001CMP066</v>
      </c>
      <c r="T154" s="221" t="str">
        <f>IFERROR(VLOOKUP(Table_Shelter[[#This Row],[CampName]],CL,3,0),"")</f>
        <v>Open</v>
      </c>
      <c r="U154" s="393">
        <f>IFERROR(Table_Shelter[[#This Row],[HH Covered]]/VLOOKUP(Table_Shelter[[#This Row],[CampName]],CL,4,0),"")</f>
        <v>4.5248868778280542E-2</v>
      </c>
      <c r="V154" s="725" t="s">
        <v>1328</v>
      </c>
      <c r="W154" s="394"/>
    </row>
    <row r="155" spans="1:23" ht="15" customHeight="1" x14ac:dyDescent="0.25">
      <c r="A155" s="395"/>
      <c r="B155" s="220" t="s">
        <v>853</v>
      </c>
      <c r="C155" s="220" t="s">
        <v>853</v>
      </c>
      <c r="D155" s="220" t="s">
        <v>380</v>
      </c>
      <c r="E155" s="525" t="s">
        <v>529</v>
      </c>
      <c r="F155" s="220" t="s">
        <v>54</v>
      </c>
      <c r="G155" s="145">
        <v>1</v>
      </c>
      <c r="H155" s="145"/>
      <c r="I155" s="145"/>
      <c r="J155" s="145">
        <v>10</v>
      </c>
      <c r="K155" s="145">
        <v>10</v>
      </c>
      <c r="L155" s="220"/>
      <c r="M155" s="220"/>
      <c r="N155" s="220"/>
      <c r="O155" s="220"/>
      <c r="P155" s="191">
        <f>IF(V155="NO",Table_Shelter[[#This Row],[HH per Shelter]]*(Table_Shelter[[#This Row],['# of Temporary Shelter Units Built]]+Table_Shelter[[#This Row],['# of Temporary Shelter Under  Construction]]+Table_Shelter[[#This Row],['# of Permanent House Under Construction]]),0)</f>
        <v>10</v>
      </c>
      <c r="Q155" s="144"/>
      <c r="R155" s="220"/>
      <c r="S155" s="221" t="str">
        <f>IFERROR(VLOOKUP(Table_Shelter[[#This Row],[CampName]],CL,2,0),"")</f>
        <v>MMR001CMP094</v>
      </c>
      <c r="T155" s="221" t="str">
        <f>IFERROR(VLOOKUP(Table_Shelter[[#This Row],[CampName]],CL,3,0),"")</f>
        <v>Closed</v>
      </c>
      <c r="U155" s="393" t="str">
        <f>IFERROR(Table_Shelter[[#This Row],[HH Covered]]/VLOOKUP(Table_Shelter[[#This Row],[CampName]],CL,4,0),"")</f>
        <v/>
      </c>
      <c r="V155" s="725" t="s">
        <v>1328</v>
      </c>
      <c r="W155" s="394"/>
    </row>
    <row r="156" spans="1:23" ht="15" customHeight="1" x14ac:dyDescent="0.25">
      <c r="A156" s="395"/>
      <c r="B156" s="220" t="s">
        <v>454</v>
      </c>
      <c r="C156" s="220" t="s">
        <v>507</v>
      </c>
      <c r="D156" s="220" t="s">
        <v>380</v>
      </c>
      <c r="E156" s="225" t="s">
        <v>529</v>
      </c>
      <c r="F156" s="220" t="s">
        <v>54</v>
      </c>
      <c r="G156" s="145">
        <v>1</v>
      </c>
      <c r="H156" s="145"/>
      <c r="I156" s="145"/>
      <c r="J156" s="145">
        <v>10</v>
      </c>
      <c r="K156" s="145">
        <v>10</v>
      </c>
      <c r="L156" s="220"/>
      <c r="M156" s="220"/>
      <c r="N156" s="220"/>
      <c r="O156" s="220"/>
      <c r="P156" s="191">
        <f>IF(V156="NO",Table_Shelter[[#This Row],[HH per Shelter]]*(Table_Shelter[[#This Row],['# of Temporary Shelter Units Built]]+Table_Shelter[[#This Row],['# of Temporary Shelter Under  Construction]]+Table_Shelter[[#This Row],['# of Permanent House Under Construction]]),0)</f>
        <v>10</v>
      </c>
      <c r="Q156" s="144"/>
      <c r="R156" s="220"/>
      <c r="S156" s="221" t="str">
        <f>IFERROR(VLOOKUP(Table_Shelter[[#This Row],[CampName]],CL,2,0),"")</f>
        <v>MMR001CMP094</v>
      </c>
      <c r="T156" s="221" t="str">
        <f>IFERROR(VLOOKUP(Table_Shelter[[#This Row],[CampName]],CL,3,0),"")</f>
        <v>Closed</v>
      </c>
      <c r="U156" s="393" t="str">
        <f>IFERROR(Table_Shelter[[#This Row],[HH Covered]]/VLOOKUP(Table_Shelter[[#This Row],[CampName]],CL,4,0),"")</f>
        <v/>
      </c>
      <c r="V156" s="725" t="s">
        <v>1328</v>
      </c>
      <c r="W156" s="394"/>
    </row>
    <row r="157" spans="1:23" ht="15" customHeight="1" x14ac:dyDescent="0.25">
      <c r="A157" s="396">
        <v>41791</v>
      </c>
      <c r="B157" s="145" t="s">
        <v>454</v>
      </c>
      <c r="C157" s="145" t="s">
        <v>507</v>
      </c>
      <c r="D157" s="228" t="s">
        <v>380</v>
      </c>
      <c r="E157" s="229" t="s">
        <v>237</v>
      </c>
      <c r="F157" s="145" t="s">
        <v>263</v>
      </c>
      <c r="G157" s="145">
        <v>1</v>
      </c>
      <c r="H157" s="149"/>
      <c r="I157" s="149"/>
      <c r="J157" s="149">
        <v>5</v>
      </c>
      <c r="K157" s="149">
        <v>5</v>
      </c>
      <c r="L157" s="149"/>
      <c r="M157" s="149"/>
      <c r="N157" s="149"/>
      <c r="O157" s="149"/>
      <c r="P157" s="148">
        <f>IF(V157="NO",Table_Shelter[[#This Row],[HH per Shelter]]*(Table_Shelter[[#This Row],['# of Temporary Shelter Units Built]]+Table_Shelter[[#This Row],['# of Temporary Shelter Under  Construction]]+Table_Shelter[[#This Row],['# of Permanent House Under Construction]]),0)</f>
        <v>5</v>
      </c>
      <c r="Q157" s="148"/>
      <c r="R157" s="148"/>
      <c r="S157" s="148" t="str">
        <f>IFERROR(VLOOKUP(Table_Shelter[[#This Row],[CampName]],CL,2,0),"")</f>
        <v>MMR001CMP020</v>
      </c>
      <c r="T157" s="148" t="str">
        <f>IFERROR(VLOOKUP(Table_Shelter[[#This Row],[CampName]],CL,3,0),"")</f>
        <v>Open</v>
      </c>
      <c r="U157" s="399">
        <f>IFERROR(Table_Shelter[[#This Row],[HH Covered]]/VLOOKUP(Table_Shelter[[#This Row],[CampName]],CL,4,0),"")</f>
        <v>0.22727272727272727</v>
      </c>
      <c r="V157" s="725" t="s">
        <v>1328</v>
      </c>
      <c r="W157" s="397"/>
    </row>
    <row r="158" spans="1:23" ht="15" customHeight="1" x14ac:dyDescent="0.25">
      <c r="A158" s="396"/>
      <c r="B158" s="222" t="s">
        <v>454</v>
      </c>
      <c r="C158" s="222" t="s">
        <v>507</v>
      </c>
      <c r="D158" s="222" t="s">
        <v>380</v>
      </c>
      <c r="E158" s="227" t="s">
        <v>237</v>
      </c>
      <c r="F158" s="222" t="s">
        <v>263</v>
      </c>
      <c r="G158" s="149">
        <v>1</v>
      </c>
      <c r="H158" s="149"/>
      <c r="I158" s="149"/>
      <c r="J158" s="149">
        <v>27</v>
      </c>
      <c r="K158" s="231">
        <v>27</v>
      </c>
      <c r="L158" s="222"/>
      <c r="M158" s="222"/>
      <c r="N158" s="222"/>
      <c r="O158" s="222"/>
      <c r="P158" s="191">
        <f>IF(V158="NO",Table_Shelter[[#This Row],[HH per Shelter]]*(Table_Shelter[[#This Row],['# of Temporary Shelter Units Built]]+Table_Shelter[[#This Row],['# of Temporary Shelter Under  Construction]]+Table_Shelter[[#This Row],['# of Permanent House Under Construction]]),0)</f>
        <v>27</v>
      </c>
      <c r="Q158" s="148"/>
      <c r="R158" s="222"/>
      <c r="S158" s="221" t="str">
        <f>IFERROR(VLOOKUP(Table_Shelter[[#This Row],[CampName]],CL,2,0),"")</f>
        <v>MMR001CMP020</v>
      </c>
      <c r="T158" s="221" t="str">
        <f>IFERROR(VLOOKUP(Table_Shelter[[#This Row],[CampName]],CL,3,0),"")</f>
        <v>Open</v>
      </c>
      <c r="U158" s="393">
        <f>IFERROR(Table_Shelter[[#This Row],[HH Covered]]/VLOOKUP(Table_Shelter[[#This Row],[CampName]],CL,4,0),"")</f>
        <v>1.2272727272727273</v>
      </c>
      <c r="V158" s="725" t="s">
        <v>1328</v>
      </c>
      <c r="W158" s="394"/>
    </row>
    <row r="159" spans="1:23" ht="15" customHeight="1" x14ac:dyDescent="0.25">
      <c r="A159" s="395">
        <v>41609</v>
      </c>
      <c r="B159" s="220" t="s">
        <v>454</v>
      </c>
      <c r="C159" s="220" t="s">
        <v>507</v>
      </c>
      <c r="D159" s="220" t="s">
        <v>380</v>
      </c>
      <c r="E159" s="525" t="s">
        <v>237</v>
      </c>
      <c r="F159" s="220" t="s">
        <v>265</v>
      </c>
      <c r="G159" s="145">
        <v>1</v>
      </c>
      <c r="H159" s="145"/>
      <c r="I159" s="145"/>
      <c r="J159" s="145">
        <v>15</v>
      </c>
      <c r="K159" s="145">
        <v>15</v>
      </c>
      <c r="L159" s="220"/>
      <c r="M159" s="220"/>
      <c r="N159" s="220"/>
      <c r="O159" s="220"/>
      <c r="P159" s="148">
        <f>IF(V159="NO",Table_Shelter[[#This Row],[HH per Shelter]]*(Table_Shelter[[#This Row],['# of Temporary Shelter Units Built]]+Table_Shelter[[#This Row],['# of Temporary Shelter Under  Construction]]+Table_Shelter[[#This Row],['# of Permanent House Under Construction]]),0)</f>
        <v>15</v>
      </c>
      <c r="Q159" s="144"/>
      <c r="R159" s="144"/>
      <c r="S159" s="148" t="str">
        <f>IFERROR(VLOOKUP(Table_Shelter[[#This Row],[CampName]],CL,2,0),"")</f>
        <v>MMR001CMP021</v>
      </c>
      <c r="T159" s="148" t="str">
        <f>IFERROR(VLOOKUP(Table_Shelter[[#This Row],[CampName]],CL,3,0),"")</f>
        <v>Open</v>
      </c>
      <c r="U159" s="393">
        <f>IFERROR(Table_Shelter[[#This Row],[HH Covered]]/VLOOKUP(Table_Shelter[[#This Row],[CampName]],CL,4,0),"")</f>
        <v>1.0714285714285714</v>
      </c>
      <c r="V159" s="725" t="s">
        <v>1328</v>
      </c>
      <c r="W159" s="397"/>
    </row>
    <row r="160" spans="1:23" ht="15" customHeight="1" x14ac:dyDescent="0.25">
      <c r="A160" s="395"/>
      <c r="B160" s="220" t="s">
        <v>454</v>
      </c>
      <c r="C160" s="220" t="s">
        <v>507</v>
      </c>
      <c r="D160" s="220" t="s">
        <v>380</v>
      </c>
      <c r="E160" s="525" t="s">
        <v>237</v>
      </c>
      <c r="F160" s="220" t="s">
        <v>265</v>
      </c>
      <c r="G160" s="145">
        <v>1</v>
      </c>
      <c r="H160" s="145"/>
      <c r="I160" s="145"/>
      <c r="J160" s="145">
        <v>4</v>
      </c>
      <c r="K160" s="145">
        <v>4</v>
      </c>
      <c r="L160" s="220"/>
      <c r="M160" s="220"/>
      <c r="N160" s="220"/>
      <c r="O160" s="220"/>
      <c r="P160" s="191">
        <f>IF(V160="NO",Table_Shelter[[#This Row],[HH per Shelter]]*(Table_Shelter[[#This Row],['# of Temporary Shelter Units Built]]+Table_Shelter[[#This Row],['# of Temporary Shelter Under  Construction]]+Table_Shelter[[#This Row],['# of Permanent House Under Construction]]),0)</f>
        <v>4</v>
      </c>
      <c r="Q160" s="144"/>
      <c r="R160" s="220"/>
      <c r="S160" s="221" t="str">
        <f>IFERROR(VLOOKUP(Table_Shelter[[#This Row],[CampName]],CL,2,0),"")</f>
        <v>MMR001CMP021</v>
      </c>
      <c r="T160" s="221" t="str">
        <f>IFERROR(VLOOKUP(Table_Shelter[[#This Row],[CampName]],CL,3,0),"")</f>
        <v>Open</v>
      </c>
      <c r="U160" s="393">
        <f>IFERROR(Table_Shelter[[#This Row],[HH Covered]]/VLOOKUP(Table_Shelter[[#This Row],[CampName]],CL,4,0),"")</f>
        <v>0.2857142857142857</v>
      </c>
      <c r="V160" s="725" t="s">
        <v>1328</v>
      </c>
      <c r="W160" s="394"/>
    </row>
    <row r="161" spans="1:23" ht="15" customHeight="1" x14ac:dyDescent="0.25">
      <c r="A161" s="396">
        <v>41609</v>
      </c>
      <c r="B161" s="221" t="s">
        <v>454</v>
      </c>
      <c r="C161" s="221" t="s">
        <v>507</v>
      </c>
      <c r="D161" s="221" t="s">
        <v>380</v>
      </c>
      <c r="E161" s="226" t="s">
        <v>529</v>
      </c>
      <c r="F161" s="221" t="s">
        <v>100</v>
      </c>
      <c r="G161" s="190">
        <v>1</v>
      </c>
      <c r="H161" s="149"/>
      <c r="I161" s="149"/>
      <c r="J161" s="149">
        <v>5</v>
      </c>
      <c r="K161" s="149">
        <v>5</v>
      </c>
      <c r="L161" s="222"/>
      <c r="M161" s="222"/>
      <c r="N161" s="222"/>
      <c r="O161" s="222"/>
      <c r="P161" s="148">
        <f>IF(V161="NO",Table_Shelter[[#This Row],[HH per Shelter]]*(Table_Shelter[[#This Row],['# of Temporary Shelter Units Built]]+Table_Shelter[[#This Row],['# of Temporary Shelter Under  Construction]]+Table_Shelter[[#This Row],['# of Permanent House Under Construction]]),0)</f>
        <v>5</v>
      </c>
      <c r="Q161" s="148"/>
      <c r="R161" s="148"/>
      <c r="S161" s="148" t="str">
        <f>IFERROR(VLOOKUP(Table_Shelter[[#This Row],[CampName]],CL,2,0),"")</f>
        <v>MMR001CMP091</v>
      </c>
      <c r="T161" s="148" t="str">
        <f>IFERROR(VLOOKUP(Table_Shelter[[#This Row],[CampName]],CL,3,0),"")</f>
        <v>Open</v>
      </c>
      <c r="U161" s="393">
        <f>IFERROR(Table_Shelter[[#This Row],[HH Covered]]/VLOOKUP(Table_Shelter[[#This Row],[CampName]],CL,4,0),"")</f>
        <v>1</v>
      </c>
      <c r="V161" s="725" t="s">
        <v>1328</v>
      </c>
      <c r="W161" s="397"/>
    </row>
    <row r="162" spans="1:23" ht="15" customHeight="1" x14ac:dyDescent="0.25">
      <c r="A162" s="392"/>
      <c r="B162" s="221" t="s">
        <v>454</v>
      </c>
      <c r="C162" s="221" t="s">
        <v>507</v>
      </c>
      <c r="D162" s="221" t="s">
        <v>380</v>
      </c>
      <c r="E162" s="226" t="s">
        <v>529</v>
      </c>
      <c r="F162" s="221" t="s">
        <v>100</v>
      </c>
      <c r="G162" s="190">
        <v>1</v>
      </c>
      <c r="H162" s="190"/>
      <c r="I162" s="190"/>
      <c r="J162" s="190">
        <v>5</v>
      </c>
      <c r="K162" s="190">
        <v>5</v>
      </c>
      <c r="L162" s="221"/>
      <c r="M162" s="221"/>
      <c r="N162" s="221"/>
      <c r="O162" s="221"/>
      <c r="P162" s="191">
        <f>IF(V162="NO",Table_Shelter[[#This Row],[HH per Shelter]]*(Table_Shelter[[#This Row],['# of Temporary Shelter Units Built]]+Table_Shelter[[#This Row],['# of Temporary Shelter Under  Construction]]+Table_Shelter[[#This Row],['# of Permanent House Under Construction]]),0)</f>
        <v>5</v>
      </c>
      <c r="Q162" s="191"/>
      <c r="R162" s="221"/>
      <c r="S162" s="221" t="str">
        <f>IFERROR(VLOOKUP(Table_Shelter[[#This Row],[CampName]],CL,2,0),"")</f>
        <v>MMR001CMP091</v>
      </c>
      <c r="T162" s="221" t="str">
        <f>IFERROR(VLOOKUP(Table_Shelter[[#This Row],[CampName]],CL,3,0),"")</f>
        <v>Open</v>
      </c>
      <c r="U162" s="393">
        <f>IFERROR(Table_Shelter[[#This Row],[HH Covered]]/VLOOKUP(Table_Shelter[[#This Row],[CampName]],CL,4,0),"")</f>
        <v>1</v>
      </c>
      <c r="V162" s="725" t="s">
        <v>1328</v>
      </c>
      <c r="W162" s="394"/>
    </row>
    <row r="163" spans="1:23" ht="15" customHeight="1" x14ac:dyDescent="0.25">
      <c r="A163" s="392"/>
      <c r="B163" s="221" t="s">
        <v>1104</v>
      </c>
      <c r="C163" s="221" t="s">
        <v>951</v>
      </c>
      <c r="D163" s="221" t="s">
        <v>555</v>
      </c>
      <c r="E163" s="226" t="s">
        <v>146</v>
      </c>
      <c r="F163" s="221" t="s">
        <v>368</v>
      </c>
      <c r="G163" s="190">
        <v>1</v>
      </c>
      <c r="H163" s="190"/>
      <c r="I163" s="190"/>
      <c r="J163" s="190">
        <v>63</v>
      </c>
      <c r="K163" s="190">
        <v>63</v>
      </c>
      <c r="L163" s="221"/>
      <c r="M163" s="221"/>
      <c r="N163" s="221"/>
      <c r="O163" s="221"/>
      <c r="P163" s="191">
        <f>IF(V163="NO",Table_Shelter[[#This Row],[HH per Shelter]]*(Table_Shelter[[#This Row],['# of Temporary Shelter Units Built]]+Table_Shelter[[#This Row],['# of Temporary Shelter Under  Construction]]+Table_Shelter[[#This Row],['# of Permanent House Under Construction]]),0)</f>
        <v>63</v>
      </c>
      <c r="Q163" s="191"/>
      <c r="R163" s="221"/>
      <c r="S163" s="221" t="str">
        <f>IFERROR(VLOOKUP(Table_Shelter[[#This Row],[CampName]],CL,2,0),"")</f>
        <v>MMR015CMP018</v>
      </c>
      <c r="T163" s="221" t="str">
        <f>IFERROR(VLOOKUP(Table_Shelter[[#This Row],[CampName]],CL,3,0),"")</f>
        <v>Open</v>
      </c>
      <c r="U163" s="393">
        <f>IFERROR(Table_Shelter[[#This Row],[HH Covered]]/VLOOKUP(Table_Shelter[[#This Row],[CampName]],CL,4,0),"")</f>
        <v>0.79746835443037978</v>
      </c>
      <c r="V163" s="725" t="s">
        <v>1328</v>
      </c>
      <c r="W163" s="394"/>
    </row>
    <row r="164" spans="1:23" ht="15" customHeight="1" x14ac:dyDescent="0.25">
      <c r="A164" s="396">
        <v>41609</v>
      </c>
      <c r="B164" s="220" t="s">
        <v>454</v>
      </c>
      <c r="C164" s="220"/>
      <c r="D164" s="223" t="s">
        <v>380</v>
      </c>
      <c r="E164" s="525" t="s">
        <v>185</v>
      </c>
      <c r="F164" s="220" t="s">
        <v>209</v>
      </c>
      <c r="G164" s="145">
        <v>1</v>
      </c>
      <c r="H164" s="149"/>
      <c r="I164" s="149"/>
      <c r="J164" s="149">
        <v>50</v>
      </c>
      <c r="K164" s="149">
        <v>50</v>
      </c>
      <c r="L164" s="222"/>
      <c r="M164" s="222"/>
      <c r="N164" s="222"/>
      <c r="O164" s="222"/>
      <c r="P164" s="148">
        <f>IF(V164="NO",Table_Shelter[[#This Row],[HH per Shelter]]*(Table_Shelter[[#This Row],['# of Temporary Shelter Units Built]]+Table_Shelter[[#This Row],['# of Temporary Shelter Under  Construction]]+Table_Shelter[[#This Row],['# of Permanent House Under Construction]]),0)</f>
        <v>50</v>
      </c>
      <c r="Q164" s="148"/>
      <c r="R164" s="222"/>
      <c r="S164" s="222" t="str">
        <f>IFERROR(VLOOKUP(Table_Shelter[[#This Row],[CampName]],CL,2,0),"")</f>
        <v>MMR001CMP056</v>
      </c>
      <c r="T164" s="222" t="str">
        <f>IFERROR(VLOOKUP(Table_Shelter[[#This Row],[CampName]],CL,3,0),"")</f>
        <v>Open</v>
      </c>
      <c r="U164" s="393">
        <f>IFERROR(Table_Shelter[[#This Row],[HH Covered]]/VLOOKUP(Table_Shelter[[#This Row],[CampName]],CL,4,0),"")</f>
        <v>0.24154589371980675</v>
      </c>
      <c r="V164" s="725" t="s">
        <v>1328</v>
      </c>
      <c r="W164" s="394"/>
    </row>
    <row r="165" spans="1:23" ht="15" customHeight="1" x14ac:dyDescent="0.25">
      <c r="A165" s="396">
        <v>41791</v>
      </c>
      <c r="B165" s="220" t="s">
        <v>454</v>
      </c>
      <c r="C165" s="220" t="s">
        <v>462</v>
      </c>
      <c r="D165" s="223" t="s">
        <v>380</v>
      </c>
      <c r="E165" s="525" t="s">
        <v>185</v>
      </c>
      <c r="F165" s="220" t="s">
        <v>209</v>
      </c>
      <c r="G165" s="145">
        <v>1</v>
      </c>
      <c r="H165" s="149"/>
      <c r="I165" s="149"/>
      <c r="J165" s="149">
        <v>10</v>
      </c>
      <c r="K165" s="149">
        <v>10</v>
      </c>
      <c r="L165" s="222"/>
      <c r="M165" s="222"/>
      <c r="N165" s="222"/>
      <c r="O165" s="222"/>
      <c r="P165" s="148">
        <f>IF(V165="NO",Table_Shelter[[#This Row],[HH per Shelter]]*(Table_Shelter[[#This Row],['# of Temporary Shelter Units Built]]+Table_Shelter[[#This Row],['# of Temporary Shelter Under  Construction]]+Table_Shelter[[#This Row],['# of Permanent House Under Construction]]),0)</f>
        <v>10</v>
      </c>
      <c r="Q165" s="148"/>
      <c r="R165" s="148"/>
      <c r="S165" s="148" t="str">
        <f>IFERROR(VLOOKUP(Table_Shelter[[#This Row],[CampName]],CL,2,0),"")</f>
        <v>MMR001CMP056</v>
      </c>
      <c r="T165" s="148" t="str">
        <f>IFERROR(VLOOKUP(Table_Shelter[[#This Row],[CampName]],CL,3,0),"")</f>
        <v>Open</v>
      </c>
      <c r="U165" s="393">
        <f>IFERROR(Table_Shelter[[#This Row],[HH Covered]]/VLOOKUP(Table_Shelter[[#This Row],[CampName]],CL,4,0),"")</f>
        <v>4.8309178743961352E-2</v>
      </c>
      <c r="V165" s="725" t="s">
        <v>1328</v>
      </c>
      <c r="W165" s="397"/>
    </row>
    <row r="166" spans="1:23" ht="15" customHeight="1" x14ac:dyDescent="0.25">
      <c r="A166" s="396"/>
      <c r="B166" s="220" t="s">
        <v>853</v>
      </c>
      <c r="C166" s="220" t="s">
        <v>852</v>
      </c>
      <c r="D166" s="223" t="s">
        <v>380</v>
      </c>
      <c r="E166" s="525" t="s">
        <v>185</v>
      </c>
      <c r="F166" s="220" t="s">
        <v>209</v>
      </c>
      <c r="G166" s="145">
        <v>1</v>
      </c>
      <c r="H166" s="149"/>
      <c r="I166" s="149"/>
      <c r="J166" s="149">
        <v>32</v>
      </c>
      <c r="K166" s="149">
        <v>32</v>
      </c>
      <c r="L166" s="222"/>
      <c r="M166" s="222"/>
      <c r="N166" s="222"/>
      <c r="O166" s="222"/>
      <c r="P166" s="148">
        <f>IF(V166="NO",Table_Shelter[[#This Row],[HH per Shelter]]*(Table_Shelter[[#This Row],['# of Temporary Shelter Units Built]]+Table_Shelter[[#This Row],['# of Temporary Shelter Under  Construction]]+Table_Shelter[[#This Row],['# of Permanent House Under Construction]]),0)</f>
        <v>32</v>
      </c>
      <c r="Q166" s="148"/>
      <c r="R166" s="222"/>
      <c r="S166" s="222" t="str">
        <f>IFERROR(VLOOKUP(Table_Shelter[[#This Row],[CampName]],CL,2,0),"")</f>
        <v>MMR001CMP056</v>
      </c>
      <c r="T166" s="222" t="str">
        <f>IFERROR(VLOOKUP(Table_Shelter[[#This Row],[CampName]],CL,3,0),"")</f>
        <v>Open</v>
      </c>
      <c r="U166" s="393">
        <f>IFERROR(Table_Shelter[[#This Row],[HH Covered]]/VLOOKUP(Table_Shelter[[#This Row],[CampName]],CL,4,0),"")</f>
        <v>0.15458937198067632</v>
      </c>
      <c r="V166" s="725" t="s">
        <v>1328</v>
      </c>
      <c r="W166" s="394"/>
    </row>
    <row r="167" spans="1:23" ht="15" customHeight="1" x14ac:dyDescent="0.25">
      <c r="A167" s="396"/>
      <c r="B167" s="220" t="s">
        <v>852</v>
      </c>
      <c r="C167" s="220"/>
      <c r="D167" s="223" t="s">
        <v>380</v>
      </c>
      <c r="E167" s="525" t="s">
        <v>185</v>
      </c>
      <c r="F167" s="220" t="s">
        <v>209</v>
      </c>
      <c r="G167" s="145">
        <v>1</v>
      </c>
      <c r="H167" s="149"/>
      <c r="I167" s="149"/>
      <c r="J167" s="149">
        <v>144</v>
      </c>
      <c r="K167" s="149">
        <v>144</v>
      </c>
      <c r="L167" s="222"/>
      <c r="M167" s="222"/>
      <c r="N167" s="222"/>
      <c r="O167" s="222"/>
      <c r="P167" s="148">
        <f>IF(V167="NO",Table_Shelter[[#This Row],[HH per Shelter]]*(Table_Shelter[[#This Row],['# of Temporary Shelter Units Built]]+Table_Shelter[[#This Row],['# of Temporary Shelter Under  Construction]]+Table_Shelter[[#This Row],['# of Permanent House Under Construction]]),0)</f>
        <v>144</v>
      </c>
      <c r="Q167" s="148"/>
      <c r="R167" s="222"/>
      <c r="S167" s="222" t="str">
        <f>IFERROR(VLOOKUP(Table_Shelter[[#This Row],[CampName]],CL,2,0),"")</f>
        <v>MMR001CMP056</v>
      </c>
      <c r="T167" s="222" t="str">
        <f>IFERROR(VLOOKUP(Table_Shelter[[#This Row],[CampName]],CL,3,0),"")</f>
        <v>Open</v>
      </c>
      <c r="U167" s="393">
        <f>IFERROR(Table_Shelter[[#This Row],[HH Covered]]/VLOOKUP(Table_Shelter[[#This Row],[CampName]],CL,4,0),"")</f>
        <v>0.69565217391304346</v>
      </c>
      <c r="V167" s="725" t="s">
        <v>1328</v>
      </c>
      <c r="W167" s="394"/>
    </row>
    <row r="168" spans="1:23" ht="15" customHeight="1" x14ac:dyDescent="0.25">
      <c r="A168" s="396"/>
      <c r="B168" s="220" t="s">
        <v>454</v>
      </c>
      <c r="C168" s="220" t="s">
        <v>462</v>
      </c>
      <c r="D168" s="223" t="s">
        <v>380</v>
      </c>
      <c r="E168" s="525" t="s">
        <v>185</v>
      </c>
      <c r="F168" s="220" t="s">
        <v>209</v>
      </c>
      <c r="G168" s="145">
        <v>1</v>
      </c>
      <c r="H168" s="149"/>
      <c r="I168" s="149"/>
      <c r="J168" s="149">
        <v>40</v>
      </c>
      <c r="K168" s="149">
        <v>40</v>
      </c>
      <c r="L168" s="222"/>
      <c r="M168" s="222"/>
      <c r="N168" s="222"/>
      <c r="O168" s="222"/>
      <c r="P168" s="148">
        <f>IF(V168="NO",Table_Shelter[[#This Row],[HH per Shelter]]*(Table_Shelter[[#This Row],['# of Temporary Shelter Units Built]]+Table_Shelter[[#This Row],['# of Temporary Shelter Under  Construction]]+Table_Shelter[[#This Row],['# of Permanent House Under Construction]]),0)</f>
        <v>40</v>
      </c>
      <c r="Q168" s="148"/>
      <c r="R168" s="222"/>
      <c r="S168" s="222" t="str">
        <f>IFERROR(VLOOKUP(Table_Shelter[[#This Row],[CampName]],CL,2,0),"")</f>
        <v>MMR001CMP056</v>
      </c>
      <c r="T168" s="222" t="str">
        <f>IFERROR(VLOOKUP(Table_Shelter[[#This Row],[CampName]],CL,3,0),"")</f>
        <v>Open</v>
      </c>
      <c r="U168" s="393">
        <f>IFERROR(Table_Shelter[[#This Row],[HH Covered]]/VLOOKUP(Table_Shelter[[#This Row],[CampName]],CL,4,0),"")</f>
        <v>0.19323671497584541</v>
      </c>
      <c r="V168" s="725" t="s">
        <v>1328</v>
      </c>
      <c r="W168" s="394"/>
    </row>
    <row r="169" spans="1:23" ht="15" customHeight="1" x14ac:dyDescent="0.25">
      <c r="A169" s="396"/>
      <c r="B169" s="220" t="s">
        <v>594</v>
      </c>
      <c r="C169" s="220" t="s">
        <v>461</v>
      </c>
      <c r="D169" s="223" t="s">
        <v>380</v>
      </c>
      <c r="E169" s="525" t="s">
        <v>185</v>
      </c>
      <c r="F169" s="220" t="s">
        <v>211</v>
      </c>
      <c r="G169" s="145">
        <v>1</v>
      </c>
      <c r="H169" s="149"/>
      <c r="I169" s="149"/>
      <c r="J169" s="149">
        <v>92</v>
      </c>
      <c r="K169" s="149">
        <v>92</v>
      </c>
      <c r="L169" s="222"/>
      <c r="M169" s="222"/>
      <c r="N169" s="222"/>
      <c r="O169" s="222"/>
      <c r="P169" s="148">
        <f>IF(V169="NO",Table_Shelter[[#This Row],[HH per Shelter]]*(Table_Shelter[[#This Row],['# of Temporary Shelter Units Built]]+Table_Shelter[[#This Row],['# of Temporary Shelter Under  Construction]]+Table_Shelter[[#This Row],['# of Permanent House Under Construction]]),0)</f>
        <v>92</v>
      </c>
      <c r="Q169" s="148"/>
      <c r="R169" s="222"/>
      <c r="S169" s="222" t="str">
        <f>IFERROR(VLOOKUP(Table_Shelter[[#This Row],[CampName]],CL,2,0),"")</f>
        <v>MMR001CMP057</v>
      </c>
      <c r="T169" s="222" t="str">
        <f>IFERROR(VLOOKUP(Table_Shelter[[#This Row],[CampName]],CL,3,0),"")</f>
        <v>Closed</v>
      </c>
      <c r="U169" s="393" t="str">
        <f>IFERROR(Table_Shelter[[#This Row],[HH Covered]]/VLOOKUP(Table_Shelter[[#This Row],[CampName]],CL,4,0),"")</f>
        <v/>
      </c>
      <c r="V169" s="725" t="s">
        <v>1328</v>
      </c>
      <c r="W169" s="394"/>
    </row>
    <row r="170" spans="1:23" ht="15" customHeight="1" x14ac:dyDescent="0.25">
      <c r="A170" s="396"/>
      <c r="B170" s="220" t="s">
        <v>454</v>
      </c>
      <c r="C170" s="220" t="s">
        <v>462</v>
      </c>
      <c r="D170" s="223" t="s">
        <v>555</v>
      </c>
      <c r="E170" s="525" t="s">
        <v>230</v>
      </c>
      <c r="F170" s="220" t="s">
        <v>235</v>
      </c>
      <c r="G170" s="145">
        <v>1</v>
      </c>
      <c r="H170" s="149"/>
      <c r="I170" s="149"/>
      <c r="J170" s="149">
        <v>10</v>
      </c>
      <c r="K170" s="149">
        <v>10</v>
      </c>
      <c r="L170" s="222"/>
      <c r="M170" s="222"/>
      <c r="N170" s="222"/>
      <c r="O170" s="222"/>
      <c r="P170" s="148">
        <f>IF(V170="NO",Table_Shelter[[#This Row],[HH per Shelter]]*(Table_Shelter[[#This Row],['# of Temporary Shelter Units Built]]+Table_Shelter[[#This Row],['# of Temporary Shelter Under  Construction]]+Table_Shelter[[#This Row],['# of Permanent House Under Construction]]),0)</f>
        <v>10</v>
      </c>
      <c r="Q170" s="148"/>
      <c r="R170" s="222"/>
      <c r="S170" s="222" t="str">
        <f>IFERROR(VLOOKUP(Table_Shelter[[#This Row],[CampName]],CL,2,0),"")</f>
        <v>MMR015CMP005</v>
      </c>
      <c r="T170" s="222" t="str">
        <f>IFERROR(VLOOKUP(Table_Shelter[[#This Row],[CampName]],CL,3,0),"")</f>
        <v>Open</v>
      </c>
      <c r="U170" s="393">
        <f>IFERROR(Table_Shelter[[#This Row],[HH Covered]]/VLOOKUP(Table_Shelter[[#This Row],[CampName]],CL,4,0),"")</f>
        <v>8.1300813008130079E-2</v>
      </c>
      <c r="V170" s="725" t="s">
        <v>1328</v>
      </c>
      <c r="W170" s="394"/>
    </row>
    <row r="171" spans="1:23" ht="15" customHeight="1" x14ac:dyDescent="0.25">
      <c r="A171" s="396"/>
      <c r="B171" s="220" t="s">
        <v>594</v>
      </c>
      <c r="C171" s="220" t="s">
        <v>461</v>
      </c>
      <c r="D171" s="223" t="s">
        <v>380</v>
      </c>
      <c r="E171" s="525" t="s">
        <v>151</v>
      </c>
      <c r="F171" s="220" t="s">
        <v>520</v>
      </c>
      <c r="G171" s="145">
        <v>1</v>
      </c>
      <c r="H171" s="149"/>
      <c r="I171" s="149"/>
      <c r="J171" s="149">
        <v>24</v>
      </c>
      <c r="K171" s="149">
        <v>24</v>
      </c>
      <c r="L171" s="222"/>
      <c r="M171" s="222"/>
      <c r="N171" s="222"/>
      <c r="O171" s="222"/>
      <c r="P171" s="148">
        <f>IF(V171="NO",Table_Shelter[[#This Row],[HH per Shelter]]*(Table_Shelter[[#This Row],['# of Temporary Shelter Units Built]]+Table_Shelter[[#This Row],['# of Temporary Shelter Under  Construction]]+Table_Shelter[[#This Row],['# of Permanent House Under Construction]]),0)</f>
        <v>24</v>
      </c>
      <c r="Q171" s="148"/>
      <c r="R171" s="222"/>
      <c r="S171" s="222" t="str">
        <f>IFERROR(VLOOKUP(Table_Shelter[[#This Row],[CampName]],CL,2,0),"")</f>
        <v>MMR001CMP203</v>
      </c>
      <c r="T171" s="222" t="str">
        <f>IFERROR(VLOOKUP(Table_Shelter[[#This Row],[CampName]],CL,3,0),"")</f>
        <v>Closed</v>
      </c>
      <c r="U171" s="393" t="str">
        <f>IFERROR(Table_Shelter[[#This Row],[HH Covered]]/VLOOKUP(Table_Shelter[[#This Row],[CampName]],CL,4,0),"")</f>
        <v/>
      </c>
      <c r="V171" s="725" t="s">
        <v>1328</v>
      </c>
      <c r="W171" s="394"/>
    </row>
    <row r="172" spans="1:23" ht="15" customHeight="1" x14ac:dyDescent="0.25">
      <c r="A172" s="396">
        <v>41609</v>
      </c>
      <c r="B172" s="145" t="s">
        <v>454</v>
      </c>
      <c r="C172" s="145" t="s">
        <v>462</v>
      </c>
      <c r="D172" s="228" t="s">
        <v>555</v>
      </c>
      <c r="E172" s="229" t="s">
        <v>146</v>
      </c>
      <c r="F172" s="145" t="s">
        <v>371</v>
      </c>
      <c r="G172" s="145">
        <v>1</v>
      </c>
      <c r="H172" s="149"/>
      <c r="I172" s="149"/>
      <c r="J172" s="149">
        <v>5</v>
      </c>
      <c r="K172" s="149">
        <v>5</v>
      </c>
      <c r="L172" s="149"/>
      <c r="M172" s="149"/>
      <c r="N172" s="149"/>
      <c r="O172" s="149"/>
      <c r="P172" s="148">
        <f>IF(V172="NO",Table_Shelter[[#This Row],[HH per Shelter]]*(Table_Shelter[[#This Row],['# of Temporary Shelter Units Built]]+Table_Shelter[[#This Row],['# of Temporary Shelter Under  Construction]]+Table_Shelter[[#This Row],['# of Permanent House Under Construction]]),0)</f>
        <v>5</v>
      </c>
      <c r="Q172" s="148"/>
      <c r="R172" s="148"/>
      <c r="S172" s="148" t="str">
        <f>IFERROR(VLOOKUP(Table_Shelter[[#This Row],[CampName]],CL,2,0),"")</f>
        <v>MMR015CMP006</v>
      </c>
      <c r="T172" s="148" t="str">
        <f>IFERROR(VLOOKUP(Table_Shelter[[#This Row],[CampName]],CL,3,0),"")</f>
        <v>Open</v>
      </c>
      <c r="U172" s="399">
        <f>IFERROR(Table_Shelter[[#This Row],[HH Covered]]/VLOOKUP(Table_Shelter[[#This Row],[CampName]],CL,4,0),"")</f>
        <v>9.8039215686274508E-2</v>
      </c>
      <c r="V172" s="725" t="s">
        <v>1328</v>
      </c>
      <c r="W172" s="397"/>
    </row>
    <row r="173" spans="1:23" ht="15" customHeight="1" x14ac:dyDescent="0.25">
      <c r="A173" s="396">
        <v>41770</v>
      </c>
      <c r="B173" s="220" t="s">
        <v>454</v>
      </c>
      <c r="C173" s="220"/>
      <c r="D173" s="223" t="s">
        <v>555</v>
      </c>
      <c r="E173" s="525" t="s">
        <v>230</v>
      </c>
      <c r="F173" s="220" t="s">
        <v>1060</v>
      </c>
      <c r="G173" s="145">
        <v>1</v>
      </c>
      <c r="H173" s="149">
        <v>110</v>
      </c>
      <c r="I173" s="149">
        <v>110</v>
      </c>
      <c r="J173" s="149"/>
      <c r="K173" s="149"/>
      <c r="L173" s="222"/>
      <c r="M173" s="222"/>
      <c r="N173" s="222"/>
      <c r="O173" s="222"/>
      <c r="P173" s="148">
        <f>IF(V173="NO",Table_Shelter[[#This Row],[HH per Shelter]]*(Table_Shelter[[#This Row],['# of Temporary Shelter Units Built]]+Table_Shelter[[#This Row],['# of Temporary Shelter Under  Construction]]+Table_Shelter[[#This Row],['# of Permanent House Under Construction]]),0)</f>
        <v>0</v>
      </c>
      <c r="Q173" s="148"/>
      <c r="R173" s="222"/>
      <c r="S173" s="222" t="str">
        <f>IFERROR(VLOOKUP(Table_Shelter[[#This Row],[CampName]],CL,2,0),"")</f>
        <v>MMR015CMP213</v>
      </c>
      <c r="T173" s="222" t="str">
        <f>IFERROR(VLOOKUP(Table_Shelter[[#This Row],[CampName]],CL,3,0),"")</f>
        <v>Open</v>
      </c>
      <c r="U173" s="393">
        <f>IFERROR(Table_Shelter[[#This Row],[HH Covered]]/VLOOKUP(Table_Shelter[[#This Row],[CampName]],CL,4,0),"")</f>
        <v>0</v>
      </c>
      <c r="V173" s="725" t="s">
        <v>1328</v>
      </c>
      <c r="W173" s="394"/>
    </row>
    <row r="174" spans="1:23" ht="15" customHeight="1" x14ac:dyDescent="0.25">
      <c r="A174" s="396">
        <v>41974</v>
      </c>
      <c r="B174" s="220" t="s">
        <v>852</v>
      </c>
      <c r="C174" s="220"/>
      <c r="D174" s="223" t="s">
        <v>555</v>
      </c>
      <c r="E174" s="225" t="s">
        <v>230</v>
      </c>
      <c r="F174" s="220" t="s">
        <v>1060</v>
      </c>
      <c r="G174" s="145">
        <v>1</v>
      </c>
      <c r="H174" s="149"/>
      <c r="I174" s="149"/>
      <c r="J174" s="149">
        <v>44</v>
      </c>
      <c r="K174" s="149">
        <v>44</v>
      </c>
      <c r="L174" s="222"/>
      <c r="M174" s="222"/>
      <c r="N174" s="222"/>
      <c r="O174" s="222"/>
      <c r="P174" s="148">
        <f>IF(V174="NO",Table_Shelter[[#This Row],[HH per Shelter]]*(Table_Shelter[[#This Row],['# of Temporary Shelter Units Built]]+Table_Shelter[[#This Row],['# of Temporary Shelter Under  Construction]]+Table_Shelter[[#This Row],['# of Permanent House Under Construction]]),0)</f>
        <v>44</v>
      </c>
      <c r="Q174" s="148"/>
      <c r="R174" s="222"/>
      <c r="S174" s="222" t="str">
        <f>IFERROR(VLOOKUP(Table_Shelter[[#This Row],[CampName]],CL,2,0),"")</f>
        <v>MMR015CMP213</v>
      </c>
      <c r="T174" s="222" t="str">
        <f>IFERROR(VLOOKUP(Table_Shelter[[#This Row],[CampName]],CL,3,0),"")</f>
        <v>Open</v>
      </c>
      <c r="U174" s="393">
        <f>IFERROR(Table_Shelter[[#This Row],[HH Covered]]/VLOOKUP(Table_Shelter[[#This Row],[CampName]],CL,4,0),"")</f>
        <v>0.8</v>
      </c>
      <c r="V174" s="725" t="s">
        <v>1328</v>
      </c>
      <c r="W174" s="394"/>
    </row>
    <row r="175" spans="1:23" ht="15" customHeight="1" x14ac:dyDescent="0.25">
      <c r="A175" s="396"/>
      <c r="B175" s="220" t="s">
        <v>852</v>
      </c>
      <c r="C175" s="220"/>
      <c r="D175" s="223" t="s">
        <v>555</v>
      </c>
      <c r="E175" s="225" t="s">
        <v>230</v>
      </c>
      <c r="F175" s="220" t="s">
        <v>1070</v>
      </c>
      <c r="G175" s="145">
        <v>1</v>
      </c>
      <c r="H175" s="149"/>
      <c r="I175" s="149"/>
      <c r="J175" s="149">
        <v>20</v>
      </c>
      <c r="K175" s="149">
        <v>20</v>
      </c>
      <c r="L175" s="222"/>
      <c r="M175" s="222"/>
      <c r="N175" s="222"/>
      <c r="O175" s="222"/>
      <c r="P175" s="148">
        <f>IF(V175="NO",Table_Shelter[[#This Row],[HH per Shelter]]*(Table_Shelter[[#This Row],['# of Temporary Shelter Units Built]]+Table_Shelter[[#This Row],['# of Temporary Shelter Under  Construction]]+Table_Shelter[[#This Row],['# of Permanent House Under Construction]]),0)</f>
        <v>20</v>
      </c>
      <c r="Q175" s="148"/>
      <c r="R175" s="222"/>
      <c r="S175" s="222" t="str">
        <f>IFERROR(VLOOKUP(Table_Shelter[[#This Row],[CampName]],CL,2,0),"")</f>
        <v>MMR015CMP216</v>
      </c>
      <c r="T175" s="222" t="str">
        <f>IFERROR(VLOOKUP(Table_Shelter[[#This Row],[CampName]],CL,3,0),"")</f>
        <v>Open</v>
      </c>
      <c r="U175" s="393">
        <f>IFERROR(Table_Shelter[[#This Row],[HH Covered]]/VLOOKUP(Table_Shelter[[#This Row],[CampName]],CL,4,0),"")</f>
        <v>0.76923076923076927</v>
      </c>
      <c r="V175" s="725" t="s">
        <v>1328</v>
      </c>
      <c r="W175" s="394"/>
    </row>
    <row r="176" spans="1:23" ht="15" customHeight="1" x14ac:dyDescent="0.25">
      <c r="A176" s="396"/>
      <c r="B176" s="220" t="s">
        <v>454</v>
      </c>
      <c r="C176" s="220" t="s">
        <v>1282</v>
      </c>
      <c r="D176" s="228" t="s">
        <v>555</v>
      </c>
      <c r="E176" s="225" t="s">
        <v>230</v>
      </c>
      <c r="F176" s="220" t="s">
        <v>1070</v>
      </c>
      <c r="G176" s="145">
        <v>1</v>
      </c>
      <c r="H176" s="149"/>
      <c r="I176" s="149"/>
      <c r="J176" s="149">
        <v>10</v>
      </c>
      <c r="K176" s="149">
        <v>10</v>
      </c>
      <c r="L176" s="222"/>
      <c r="M176" s="222"/>
      <c r="N176" s="222"/>
      <c r="O176" s="222"/>
      <c r="P176" s="148">
        <f>IF(V176="NO",Table_Shelter[[#This Row],[HH per Shelter]]*(Table_Shelter[[#This Row],['# of Temporary Shelter Units Built]]+Table_Shelter[[#This Row],['# of Temporary Shelter Under  Construction]]+Table_Shelter[[#This Row],['# of Permanent House Under Construction]]),0)</f>
        <v>10</v>
      </c>
      <c r="Q176" s="148"/>
      <c r="R176" s="148"/>
      <c r="S176" s="148" t="str">
        <f>IFERROR(VLOOKUP(Table_Shelter[[#This Row],[CampName]],CL,2,0),"")</f>
        <v>MMR015CMP216</v>
      </c>
      <c r="T176" s="148" t="str">
        <f>IFERROR(VLOOKUP(Table_Shelter[[#This Row],[CampName]],CL,3,0),"")</f>
        <v>Open</v>
      </c>
      <c r="U176" s="393">
        <f>IFERROR(Table_Shelter[[#This Row],[HH Covered]]/VLOOKUP(Table_Shelter[[#This Row],[CampName]],CL,4,0),"")</f>
        <v>0.38461538461538464</v>
      </c>
      <c r="V176" s="725" t="s">
        <v>1328</v>
      </c>
      <c r="W176" s="397"/>
    </row>
    <row r="177" spans="1:23" ht="15" customHeight="1" x14ac:dyDescent="0.25">
      <c r="A177" s="396">
        <v>41609</v>
      </c>
      <c r="B177" s="220" t="s">
        <v>454</v>
      </c>
      <c r="C177" s="220" t="s">
        <v>507</v>
      </c>
      <c r="D177" s="223" t="s">
        <v>380</v>
      </c>
      <c r="E177" s="525" t="s">
        <v>5</v>
      </c>
      <c r="F177" s="220" t="s">
        <v>8</v>
      </c>
      <c r="G177" s="145">
        <v>1</v>
      </c>
      <c r="H177" s="149"/>
      <c r="I177" s="149"/>
      <c r="J177" s="149">
        <v>13</v>
      </c>
      <c r="K177" s="149">
        <v>13</v>
      </c>
      <c r="L177" s="222"/>
      <c r="M177" s="222"/>
      <c r="N177" s="222"/>
      <c r="O177" s="222"/>
      <c r="P177" s="148">
        <f>IF(V177="NO",Table_Shelter[[#This Row],[HH per Shelter]]*(Table_Shelter[[#This Row],['# of Temporary Shelter Units Built]]+Table_Shelter[[#This Row],['# of Temporary Shelter Under  Construction]]+Table_Shelter[[#This Row],['# of Permanent House Under Construction]]),0)</f>
        <v>13</v>
      </c>
      <c r="Q177" s="148"/>
      <c r="R177" s="222"/>
      <c r="S177" s="222" t="str">
        <f>IFERROR(VLOOKUP(Table_Shelter[[#This Row],[CampName]],CL,2,0),"")</f>
        <v>MMR001CMP051</v>
      </c>
      <c r="T177" s="222" t="str">
        <f>IFERROR(VLOOKUP(Table_Shelter[[#This Row],[CampName]],CL,3,0),"")</f>
        <v>Open</v>
      </c>
      <c r="U177" s="393">
        <f>IFERROR(Table_Shelter[[#This Row],[HH Covered]]/VLOOKUP(Table_Shelter[[#This Row],[CampName]],CL,4,0),"")</f>
        <v>0.56521739130434778</v>
      </c>
      <c r="V177" s="725" t="s">
        <v>1328</v>
      </c>
      <c r="W177" s="394"/>
    </row>
    <row r="178" spans="1:23" ht="15" customHeight="1" x14ac:dyDescent="0.25">
      <c r="A178" s="396">
        <v>41791</v>
      </c>
      <c r="B178" s="145" t="s">
        <v>454</v>
      </c>
      <c r="C178" s="145" t="s">
        <v>507</v>
      </c>
      <c r="D178" s="228" t="s">
        <v>380</v>
      </c>
      <c r="E178" s="229" t="s">
        <v>5</v>
      </c>
      <c r="F178" s="145" t="s">
        <v>8</v>
      </c>
      <c r="G178" s="145">
        <v>1</v>
      </c>
      <c r="H178" s="149"/>
      <c r="I178" s="149"/>
      <c r="J178" s="149">
        <v>5</v>
      </c>
      <c r="K178" s="149">
        <v>5</v>
      </c>
      <c r="L178" s="149"/>
      <c r="M178" s="149"/>
      <c r="N178" s="149"/>
      <c r="O178" s="149"/>
      <c r="P178" s="148">
        <f>IF(V178="NO",Table_Shelter[[#This Row],[HH per Shelter]]*(Table_Shelter[[#This Row],['# of Temporary Shelter Units Built]]+Table_Shelter[[#This Row],['# of Temporary Shelter Under  Construction]]+Table_Shelter[[#This Row],['# of Permanent House Under Construction]]),0)</f>
        <v>5</v>
      </c>
      <c r="Q178" s="148"/>
      <c r="R178" s="148"/>
      <c r="S178" s="148" t="str">
        <f>IFERROR(VLOOKUP(Table_Shelter[[#This Row],[CampName]],CL,2,0),"")</f>
        <v>MMR001CMP051</v>
      </c>
      <c r="T178" s="148" t="str">
        <f>IFERROR(VLOOKUP(Table_Shelter[[#This Row],[CampName]],CL,3,0),"")</f>
        <v>Open</v>
      </c>
      <c r="U178" s="399">
        <f>IFERROR(Table_Shelter[[#This Row],[HH Covered]]/VLOOKUP(Table_Shelter[[#This Row],[CampName]],CL,4,0),"")</f>
        <v>0.21739130434782608</v>
      </c>
      <c r="V178" s="725" t="s">
        <v>1328</v>
      </c>
      <c r="W178" s="397"/>
    </row>
    <row r="179" spans="1:23" ht="15" customHeight="1" x14ac:dyDescent="0.25">
      <c r="A179" s="396"/>
      <c r="B179" s="220" t="s">
        <v>455</v>
      </c>
      <c r="C179" s="220" t="s">
        <v>462</v>
      </c>
      <c r="D179" s="223" t="s">
        <v>555</v>
      </c>
      <c r="E179" s="225" t="s">
        <v>289</v>
      </c>
      <c r="F179" s="220" t="s">
        <v>292</v>
      </c>
      <c r="G179" s="145">
        <v>1</v>
      </c>
      <c r="H179" s="149"/>
      <c r="I179" s="149"/>
      <c r="J179" s="149">
        <v>78</v>
      </c>
      <c r="K179" s="149">
        <v>78</v>
      </c>
      <c r="L179" s="222"/>
      <c r="M179" s="222"/>
      <c r="N179" s="222"/>
      <c r="O179" s="222"/>
      <c r="P179" s="148">
        <f>IF(V179="NO",Table_Shelter[[#This Row],[HH per Shelter]]*(Table_Shelter[[#This Row],['# of Temporary Shelter Units Built]]+Table_Shelter[[#This Row],['# of Temporary Shelter Under  Construction]]+Table_Shelter[[#This Row],['# of Permanent House Under Construction]]),0)</f>
        <v>78</v>
      </c>
      <c r="Q179" s="148"/>
      <c r="R179" s="222"/>
      <c r="S179" s="222" t="str">
        <f>IFERROR(VLOOKUP(Table_Shelter[[#This Row],[CampName]],CL,2,0),"")</f>
        <v>MMR015CMP004</v>
      </c>
      <c r="T179" s="222" t="str">
        <f>IFERROR(VLOOKUP(Table_Shelter[[#This Row],[CampName]],CL,3,0),"")</f>
        <v>Open</v>
      </c>
      <c r="U179" s="393">
        <f>IFERROR(Table_Shelter[[#This Row],[HH Covered]]/VLOOKUP(Table_Shelter[[#This Row],[CampName]],CL,4,0),"")</f>
        <v>0.95121951219512191</v>
      </c>
      <c r="V179" s="725" t="s">
        <v>1328</v>
      </c>
      <c r="W179" s="394"/>
    </row>
    <row r="180" spans="1:23" ht="15" customHeight="1" x14ac:dyDescent="0.25">
      <c r="A180" s="396"/>
      <c r="B180" s="220" t="s">
        <v>454</v>
      </c>
      <c r="C180" s="220" t="s">
        <v>462</v>
      </c>
      <c r="D180" s="223" t="s">
        <v>555</v>
      </c>
      <c r="E180" s="225" t="s">
        <v>289</v>
      </c>
      <c r="F180" s="220" t="s">
        <v>292</v>
      </c>
      <c r="G180" s="145">
        <v>1</v>
      </c>
      <c r="H180" s="149"/>
      <c r="I180" s="149"/>
      <c r="J180" s="149">
        <v>20</v>
      </c>
      <c r="K180" s="149">
        <v>20</v>
      </c>
      <c r="L180" s="222"/>
      <c r="M180" s="222"/>
      <c r="N180" s="222"/>
      <c r="O180" s="222"/>
      <c r="P180" s="148">
        <f>IF(V180="NO",Table_Shelter[[#This Row],[HH per Shelter]]*(Table_Shelter[[#This Row],['# of Temporary Shelter Units Built]]+Table_Shelter[[#This Row],['# of Temporary Shelter Under  Construction]]+Table_Shelter[[#This Row],['# of Permanent House Under Construction]]),0)</f>
        <v>20</v>
      </c>
      <c r="Q180" s="148"/>
      <c r="R180" s="222"/>
      <c r="S180" s="222" t="str">
        <f>IFERROR(VLOOKUP(Table_Shelter[[#This Row],[CampName]],CL,2,0),"")</f>
        <v>MMR015CMP004</v>
      </c>
      <c r="T180" s="222" t="str">
        <f>IFERROR(VLOOKUP(Table_Shelter[[#This Row],[CampName]],CL,3,0),"")</f>
        <v>Open</v>
      </c>
      <c r="U180" s="393">
        <f>IFERROR(Table_Shelter[[#This Row],[HH Covered]]/VLOOKUP(Table_Shelter[[#This Row],[CampName]],CL,4,0),"")</f>
        <v>0.24390243902439024</v>
      </c>
      <c r="V180" s="725" t="s">
        <v>1328</v>
      </c>
      <c r="W180" s="394"/>
    </row>
    <row r="181" spans="1:23" ht="15" customHeight="1" x14ac:dyDescent="0.25">
      <c r="A181" s="396"/>
      <c r="B181" s="220" t="s">
        <v>455</v>
      </c>
      <c r="C181" s="220" t="s">
        <v>462</v>
      </c>
      <c r="D181" s="223" t="s">
        <v>555</v>
      </c>
      <c r="E181" s="525" t="s">
        <v>289</v>
      </c>
      <c r="F181" s="220" t="s">
        <v>290</v>
      </c>
      <c r="G181" s="145">
        <v>1</v>
      </c>
      <c r="H181" s="149"/>
      <c r="I181" s="149"/>
      <c r="J181" s="149">
        <v>30</v>
      </c>
      <c r="K181" s="149">
        <v>30</v>
      </c>
      <c r="L181" s="222"/>
      <c r="M181" s="222"/>
      <c r="N181" s="222"/>
      <c r="O181" s="222"/>
      <c r="P181" s="148">
        <f>IF(V181="NO",Table_Shelter[[#This Row],[HH per Shelter]]*(Table_Shelter[[#This Row],['# of Temporary Shelter Units Built]]+Table_Shelter[[#This Row],['# of Temporary Shelter Under  Construction]]+Table_Shelter[[#This Row],['# of Permanent House Under Construction]]),0)</f>
        <v>30</v>
      </c>
      <c r="Q181" s="148"/>
      <c r="R181" s="222"/>
      <c r="S181" s="222" t="str">
        <f>IFERROR(VLOOKUP(Table_Shelter[[#This Row],[CampName]],CL,2,0),"")</f>
        <v>MMR015CMP001</v>
      </c>
      <c r="T181" s="222" t="str">
        <f>IFERROR(VLOOKUP(Table_Shelter[[#This Row],[CampName]],CL,3,0),"")</f>
        <v>Open</v>
      </c>
      <c r="U181" s="393">
        <f>IFERROR(Table_Shelter[[#This Row],[HH Covered]]/VLOOKUP(Table_Shelter[[#This Row],[CampName]],CL,4,0),"")</f>
        <v>0.44117647058823528</v>
      </c>
      <c r="V181" s="725" t="s">
        <v>1328</v>
      </c>
      <c r="W181" s="394"/>
    </row>
    <row r="182" spans="1:23" ht="15" customHeight="1" x14ac:dyDescent="0.25">
      <c r="A182" s="395">
        <v>42416</v>
      </c>
      <c r="B182" s="220" t="s">
        <v>852</v>
      </c>
      <c r="C182" s="220"/>
      <c r="D182" s="223" t="s">
        <v>555</v>
      </c>
      <c r="E182" s="525" t="s">
        <v>289</v>
      </c>
      <c r="F182" s="220" t="s">
        <v>1062</v>
      </c>
      <c r="G182" s="145">
        <v>1</v>
      </c>
      <c r="H182" s="149"/>
      <c r="I182" s="149"/>
      <c r="J182" s="149">
        <v>25</v>
      </c>
      <c r="K182" s="149">
        <v>25</v>
      </c>
      <c r="L182" s="222"/>
      <c r="M182" s="222"/>
      <c r="N182" s="222"/>
      <c r="O182" s="222"/>
      <c r="P182" s="148">
        <f>IF(V182="NO",Table_Shelter[[#This Row],[HH per Shelter]]*(Table_Shelter[[#This Row],['# of Temporary Shelter Units Built]]+Table_Shelter[[#This Row],['# of Temporary Shelter Under  Construction]]+Table_Shelter[[#This Row],['# of Permanent House Under Construction]]),0)</f>
        <v>25</v>
      </c>
      <c r="Q182" s="148"/>
      <c r="R182" s="222"/>
      <c r="S182" s="222" t="str">
        <f>IFERROR(VLOOKUP(Table_Shelter[[#This Row],[CampName]],CL,2,0),"")</f>
        <v>MMR015CMP214</v>
      </c>
      <c r="T182" s="222" t="str">
        <f>IFERROR(VLOOKUP(Table_Shelter[[#This Row],[CampName]],CL,3,0),"")</f>
        <v>Open</v>
      </c>
      <c r="U182" s="393">
        <f>IFERROR(Table_Shelter[[#This Row],[HH Covered]]/VLOOKUP(Table_Shelter[[#This Row],[CampName]],CL,4,0),"")</f>
        <v>0.6097560975609756</v>
      </c>
      <c r="V182" s="394" t="s">
        <v>1328</v>
      </c>
      <c r="W182" s="817"/>
    </row>
    <row r="183" spans="1:23" ht="15" customHeight="1" x14ac:dyDescent="0.25">
      <c r="A183" s="396"/>
      <c r="B183" s="220" t="s">
        <v>852</v>
      </c>
      <c r="C183" s="220"/>
      <c r="D183" s="223" t="s">
        <v>555</v>
      </c>
      <c r="E183" s="225" t="s">
        <v>289</v>
      </c>
      <c r="F183" s="220" t="s">
        <v>1062</v>
      </c>
      <c r="G183" s="145">
        <v>1</v>
      </c>
      <c r="H183" s="149"/>
      <c r="I183" s="149"/>
      <c r="J183" s="149">
        <v>24</v>
      </c>
      <c r="K183" s="149">
        <v>12</v>
      </c>
      <c r="L183" s="222"/>
      <c r="M183" s="222"/>
      <c r="N183" s="222"/>
      <c r="O183" s="222"/>
      <c r="P183" s="148">
        <f>IF(V183="NO",Table_Shelter[[#This Row],[HH per Shelter]]*(Table_Shelter[[#This Row],['# of Temporary Shelter Units Built]]+Table_Shelter[[#This Row],['# of Temporary Shelter Under  Construction]]+Table_Shelter[[#This Row],['# of Permanent House Under Construction]]),0)</f>
        <v>12</v>
      </c>
      <c r="Q183" s="148"/>
      <c r="R183" s="222"/>
      <c r="S183" s="222" t="str">
        <f>IFERROR(VLOOKUP(Table_Shelter[[#This Row],[CampName]],CL,2,0),"")</f>
        <v>MMR015CMP214</v>
      </c>
      <c r="T183" s="222" t="str">
        <f>IFERROR(VLOOKUP(Table_Shelter[[#This Row],[CampName]],CL,3,0),"")</f>
        <v>Open</v>
      </c>
      <c r="U183" s="393">
        <f>IFERROR(Table_Shelter[[#This Row],[HH Covered]]/VLOOKUP(Table_Shelter[[#This Row],[CampName]],CL,4,0),"")</f>
        <v>0.29268292682926828</v>
      </c>
      <c r="V183" s="725" t="s">
        <v>1328</v>
      </c>
      <c r="W183" s="394"/>
    </row>
    <row r="184" spans="1:23" ht="15" customHeight="1" x14ac:dyDescent="0.25">
      <c r="A184" s="395">
        <v>42416</v>
      </c>
      <c r="B184" s="220" t="s">
        <v>852</v>
      </c>
      <c r="C184" s="220"/>
      <c r="D184" s="223" t="s">
        <v>555</v>
      </c>
      <c r="E184" s="525" t="s">
        <v>230</v>
      </c>
      <c r="F184" s="220" t="s">
        <v>361</v>
      </c>
      <c r="G184" s="145">
        <v>1</v>
      </c>
      <c r="H184" s="149"/>
      <c r="I184" s="149"/>
      <c r="J184" s="149">
        <v>9</v>
      </c>
      <c r="K184" s="149">
        <v>9</v>
      </c>
      <c r="L184" s="222"/>
      <c r="M184" s="222"/>
      <c r="N184" s="222"/>
      <c r="O184" s="222"/>
      <c r="P184" s="148">
        <f>IF(V184="NO",Table_Shelter[[#This Row],[HH per Shelter]]*(Table_Shelter[[#This Row],['# of Temporary Shelter Units Built]]+Table_Shelter[[#This Row],['# of Temporary Shelter Under  Construction]]+Table_Shelter[[#This Row],['# of Permanent House Under Construction]]),0)</f>
        <v>9</v>
      </c>
      <c r="Q184" s="148"/>
      <c r="R184" s="222"/>
      <c r="S184" s="222" t="str">
        <f>IFERROR(VLOOKUP(Table_Shelter[[#This Row],[CampName]],CL,2,0),"")</f>
        <v>MMR015CMP139</v>
      </c>
      <c r="T184" s="222" t="str">
        <f>IFERROR(VLOOKUP(Table_Shelter[[#This Row],[CampName]],CL,3,0),"")</f>
        <v>Closed</v>
      </c>
      <c r="U184" s="393" t="str">
        <f>IFERROR(Table_Shelter[[#This Row],[HH Covered]]/VLOOKUP(Table_Shelter[[#This Row],[CampName]],CL,4,0),"")</f>
        <v/>
      </c>
      <c r="V184" s="394" t="s">
        <v>1328</v>
      </c>
      <c r="W184" s="817"/>
    </row>
    <row r="185" spans="1:23" ht="15" customHeight="1" x14ac:dyDescent="0.25">
      <c r="A185" s="396"/>
      <c r="B185" s="220" t="s">
        <v>454</v>
      </c>
      <c r="C185" s="220" t="s">
        <v>462</v>
      </c>
      <c r="D185" s="223" t="s">
        <v>555</v>
      </c>
      <c r="E185" s="525" t="s">
        <v>146</v>
      </c>
      <c r="F185" s="220" t="s">
        <v>149</v>
      </c>
      <c r="G185" s="145">
        <v>1</v>
      </c>
      <c r="H185" s="149"/>
      <c r="I185" s="149"/>
      <c r="J185" s="149">
        <v>20</v>
      </c>
      <c r="K185" s="149">
        <v>20</v>
      </c>
      <c r="L185" s="222"/>
      <c r="M185" s="222"/>
      <c r="N185" s="222"/>
      <c r="O185" s="222"/>
      <c r="P185" s="148">
        <f>IF(V185="NO",Table_Shelter[[#This Row],[HH per Shelter]]*(Table_Shelter[[#This Row],['# of Temporary Shelter Units Built]]+Table_Shelter[[#This Row],['# of Temporary Shelter Under  Construction]]+Table_Shelter[[#This Row],['# of Permanent House Under Construction]]),0)</f>
        <v>20</v>
      </c>
      <c r="Q185" s="148"/>
      <c r="R185" s="222"/>
      <c r="S185" s="222" t="str">
        <f>IFERROR(VLOOKUP(Table_Shelter[[#This Row],[CampName]],CL,2,0),"")</f>
        <v>MMR015CMP007</v>
      </c>
      <c r="T185" s="222" t="str">
        <f>IFERROR(VLOOKUP(Table_Shelter[[#This Row],[CampName]],CL,3,0),"")</f>
        <v>Open</v>
      </c>
      <c r="U185" s="393">
        <f>IFERROR(Table_Shelter[[#This Row],[HH Covered]]/VLOOKUP(Table_Shelter[[#This Row],[CampName]],CL,4,0),"")</f>
        <v>0.28169014084507044</v>
      </c>
      <c r="V185" s="725" t="s">
        <v>1328</v>
      </c>
      <c r="W185" s="394"/>
    </row>
    <row r="186" spans="1:23" ht="15" customHeight="1" x14ac:dyDescent="0.25">
      <c r="A186" s="396"/>
      <c r="B186" s="220" t="s">
        <v>454</v>
      </c>
      <c r="C186" s="220" t="s">
        <v>852</v>
      </c>
      <c r="D186" s="223" t="s">
        <v>555</v>
      </c>
      <c r="E186" s="225" t="s">
        <v>146</v>
      </c>
      <c r="F186" s="220" t="s">
        <v>149</v>
      </c>
      <c r="G186" s="145">
        <v>1</v>
      </c>
      <c r="H186" s="149"/>
      <c r="I186" s="149"/>
      <c r="J186" s="149">
        <v>6</v>
      </c>
      <c r="K186" s="149">
        <v>6</v>
      </c>
      <c r="L186" s="222"/>
      <c r="M186" s="222"/>
      <c r="N186" s="222"/>
      <c r="O186" s="222"/>
      <c r="P186" s="148">
        <f>IF(V186="NO",Table_Shelter[[#This Row],[HH per Shelter]]*(Table_Shelter[[#This Row],['# of Temporary Shelter Units Built]]+Table_Shelter[[#This Row],['# of Temporary Shelter Under  Construction]]+Table_Shelter[[#This Row],['# of Permanent House Under Construction]]),0)</f>
        <v>6</v>
      </c>
      <c r="Q186" s="148"/>
      <c r="R186" s="222"/>
      <c r="S186" s="222" t="str">
        <f>IFERROR(VLOOKUP(Table_Shelter[[#This Row],[CampName]],CL,2,0),"")</f>
        <v>MMR015CMP007</v>
      </c>
      <c r="T186" s="222" t="str">
        <f>IFERROR(VLOOKUP(Table_Shelter[[#This Row],[CampName]],CL,3,0),"")</f>
        <v>Open</v>
      </c>
      <c r="U186" s="393">
        <f>IFERROR(Table_Shelter[[#This Row],[HH Covered]]/VLOOKUP(Table_Shelter[[#This Row],[CampName]],CL,4,0),"")</f>
        <v>8.4507042253521125E-2</v>
      </c>
      <c r="V186" s="725" t="s">
        <v>1328</v>
      </c>
      <c r="W186" s="394"/>
    </row>
    <row r="187" spans="1:23" ht="15" customHeight="1" x14ac:dyDescent="0.25">
      <c r="A187" s="396"/>
      <c r="B187" s="220" t="s">
        <v>454</v>
      </c>
      <c r="C187" s="220" t="s">
        <v>461</v>
      </c>
      <c r="D187" s="223" t="s">
        <v>380</v>
      </c>
      <c r="E187" s="225" t="s">
        <v>151</v>
      </c>
      <c r="F187" s="220" t="s">
        <v>871</v>
      </c>
      <c r="G187" s="145">
        <v>1</v>
      </c>
      <c r="H187" s="149"/>
      <c r="I187" s="149"/>
      <c r="J187" s="149">
        <v>36</v>
      </c>
      <c r="K187" s="149">
        <v>36</v>
      </c>
      <c r="L187" s="222"/>
      <c r="M187" s="222"/>
      <c r="N187" s="222"/>
      <c r="O187" s="222"/>
      <c r="P187" s="148">
        <f>IF(V187="NO",Table_Shelter[[#This Row],[HH per Shelter]]*(Table_Shelter[[#This Row],['# of Temporary Shelter Units Built]]+Table_Shelter[[#This Row],['# of Temporary Shelter Under  Construction]]+Table_Shelter[[#This Row],['# of Permanent House Under Construction]]),0)</f>
        <v>36</v>
      </c>
      <c r="Q187" s="148"/>
      <c r="R187" s="222"/>
      <c r="S187" s="222" t="str">
        <f>IFERROR(VLOOKUP(Table_Shelter[[#This Row],[CampName]],CL,2,0),"")</f>
        <v>MMR001CMP204</v>
      </c>
      <c r="T187" s="222" t="str">
        <f>IFERROR(VLOOKUP(Table_Shelter[[#This Row],[CampName]],CL,3,0),"")</f>
        <v>Closed</v>
      </c>
      <c r="U187" s="393" t="str">
        <f>IFERROR(Table_Shelter[[#This Row],[HH Covered]]/VLOOKUP(Table_Shelter[[#This Row],[CampName]],CL,4,0),"")</f>
        <v/>
      </c>
      <c r="V187" s="725" t="s">
        <v>1328</v>
      </c>
      <c r="W187" s="394"/>
    </row>
    <row r="188" spans="1:23" ht="15" customHeight="1" x14ac:dyDescent="0.25">
      <c r="A188" s="396">
        <v>41609</v>
      </c>
      <c r="B188" s="220" t="s">
        <v>454</v>
      </c>
      <c r="C188" s="220" t="s">
        <v>507</v>
      </c>
      <c r="D188" s="223" t="s">
        <v>380</v>
      </c>
      <c r="E188" s="225" t="s">
        <v>529</v>
      </c>
      <c r="F188" s="220" t="s">
        <v>613</v>
      </c>
      <c r="G188" s="145">
        <v>1</v>
      </c>
      <c r="H188" s="149"/>
      <c r="I188" s="149"/>
      <c r="J188" s="149">
        <v>10</v>
      </c>
      <c r="K188" s="149">
        <v>10</v>
      </c>
      <c r="L188" s="222"/>
      <c r="M188" s="222"/>
      <c r="N188" s="222"/>
      <c r="O188" s="222"/>
      <c r="P188" s="148">
        <f>IF(V188="NO",Table_Shelter[[#This Row],[HH per Shelter]]*(Table_Shelter[[#This Row],['# of Temporary Shelter Units Built]]+Table_Shelter[[#This Row],['# of Temporary Shelter Under  Construction]]+Table_Shelter[[#This Row],['# of Permanent House Under Construction]]),0)</f>
        <v>10</v>
      </c>
      <c r="Q188" s="148"/>
      <c r="R188" s="222"/>
      <c r="S188" s="222" t="str">
        <f>IFERROR(VLOOKUP(Table_Shelter[[#This Row],[CampName]],CL,2,0),"")</f>
        <v>MMR001CMP192</v>
      </c>
      <c r="T188" s="222" t="str">
        <f>IFERROR(VLOOKUP(Table_Shelter[[#This Row],[CampName]],CL,3,0),"")</f>
        <v>Open</v>
      </c>
      <c r="U188" s="393">
        <f>IFERROR(Table_Shelter[[#This Row],[HH Covered]]/VLOOKUP(Table_Shelter[[#This Row],[CampName]],CL,4,0),"")</f>
        <v>0.58823529411764708</v>
      </c>
      <c r="V188" s="725" t="s">
        <v>1328</v>
      </c>
      <c r="W188" s="394"/>
    </row>
    <row r="189" spans="1:23" ht="15" customHeight="1" x14ac:dyDescent="0.25">
      <c r="A189" s="396">
        <v>41974</v>
      </c>
      <c r="B189" s="220" t="s">
        <v>454</v>
      </c>
      <c r="C189" s="220" t="s">
        <v>507</v>
      </c>
      <c r="D189" s="223" t="s">
        <v>380</v>
      </c>
      <c r="E189" s="525" t="s">
        <v>529</v>
      </c>
      <c r="F189" s="220" t="s">
        <v>613</v>
      </c>
      <c r="G189" s="145">
        <v>1</v>
      </c>
      <c r="H189" s="149"/>
      <c r="I189" s="149"/>
      <c r="J189" s="149">
        <v>5</v>
      </c>
      <c r="K189" s="149">
        <v>5</v>
      </c>
      <c r="L189" s="222"/>
      <c r="M189" s="222"/>
      <c r="N189" s="222"/>
      <c r="O189" s="222"/>
      <c r="P189" s="148">
        <f>IF(V189="NO",Table_Shelter[[#This Row],[HH per Shelter]]*(Table_Shelter[[#This Row],['# of Temporary Shelter Units Built]]+Table_Shelter[[#This Row],['# of Temporary Shelter Under  Construction]]+Table_Shelter[[#This Row],['# of Permanent House Under Construction]]),0)</f>
        <v>5</v>
      </c>
      <c r="Q189" s="148"/>
      <c r="R189" s="148"/>
      <c r="S189" s="148" t="str">
        <f>IFERROR(VLOOKUP(Table_Shelter[[#This Row],[CampName]],CL,2,0),"")</f>
        <v>MMR001CMP192</v>
      </c>
      <c r="T189" s="148" t="str">
        <f>IFERROR(VLOOKUP(Table_Shelter[[#This Row],[CampName]],CL,3,0),"")</f>
        <v>Open</v>
      </c>
      <c r="U189" s="393">
        <f>IFERROR(Table_Shelter[[#This Row],[HH Covered]]/VLOOKUP(Table_Shelter[[#This Row],[CampName]],CL,4,0),"")</f>
        <v>0.29411764705882354</v>
      </c>
      <c r="V189" s="725" t="s">
        <v>1328</v>
      </c>
      <c r="W189" s="397"/>
    </row>
    <row r="190" spans="1:23" ht="15" customHeight="1" x14ac:dyDescent="0.25">
      <c r="A190" s="396"/>
      <c r="B190" s="220" t="s">
        <v>868</v>
      </c>
      <c r="C190" s="220"/>
      <c r="D190" s="223" t="s">
        <v>380</v>
      </c>
      <c r="E190" s="225" t="s">
        <v>529</v>
      </c>
      <c r="F190" s="220" t="s">
        <v>613</v>
      </c>
      <c r="G190" s="145">
        <v>1</v>
      </c>
      <c r="H190" s="149">
        <v>8</v>
      </c>
      <c r="I190" s="149">
        <v>8</v>
      </c>
      <c r="J190" s="149"/>
      <c r="K190" s="149"/>
      <c r="L190" s="222"/>
      <c r="M190" s="222"/>
      <c r="N190" s="222"/>
      <c r="O190" s="222"/>
      <c r="P190" s="148">
        <f>IF(V190="NO",Table_Shelter[[#This Row],[HH per Shelter]]*(Table_Shelter[[#This Row],['# of Temporary Shelter Units Built]]+Table_Shelter[[#This Row],['# of Temporary Shelter Under  Construction]]+Table_Shelter[[#This Row],['# of Permanent House Under Construction]]),0)</f>
        <v>0</v>
      </c>
      <c r="Q190" s="148"/>
      <c r="R190" s="222"/>
      <c r="S190" s="222" t="str">
        <f>IFERROR(VLOOKUP(Table_Shelter[[#This Row],[CampName]],CL,2,0),"")</f>
        <v>MMR001CMP192</v>
      </c>
      <c r="T190" s="222" t="str">
        <f>IFERROR(VLOOKUP(Table_Shelter[[#This Row],[CampName]],CL,3,0),"")</f>
        <v>Open</v>
      </c>
      <c r="U190" s="393">
        <f>IFERROR(Table_Shelter[[#This Row],[HH Covered]]/VLOOKUP(Table_Shelter[[#This Row],[CampName]],CL,4,0),"")</f>
        <v>0</v>
      </c>
      <c r="V190" s="725" t="s">
        <v>1328</v>
      </c>
      <c r="W190" s="394"/>
    </row>
    <row r="191" spans="1:23" ht="15" customHeight="1" x14ac:dyDescent="0.25">
      <c r="A191" s="395">
        <v>42416</v>
      </c>
      <c r="B191" s="220" t="s">
        <v>852</v>
      </c>
      <c r="C191" s="220"/>
      <c r="D191" s="228" t="s">
        <v>555</v>
      </c>
      <c r="E191" s="229" t="s">
        <v>784</v>
      </c>
      <c r="F191" s="145" t="s">
        <v>1295</v>
      </c>
      <c r="G191" s="145">
        <v>1</v>
      </c>
      <c r="H191" s="149"/>
      <c r="I191" s="149"/>
      <c r="J191" s="149">
        <v>25</v>
      </c>
      <c r="K191" s="149">
        <v>25</v>
      </c>
      <c r="L191" s="149"/>
      <c r="M191" s="149"/>
      <c r="N191" s="149"/>
      <c r="O191" s="149"/>
      <c r="P191" s="148">
        <f>IF(V191="NO",Table_Shelter[[#This Row],[HH per Shelter]]*(Table_Shelter[[#This Row],['# of Temporary Shelter Units Built]]+Table_Shelter[[#This Row],['# of Temporary Shelter Under  Construction]]+Table_Shelter[[#This Row],['# of Permanent House Under Construction]]),0)</f>
        <v>25</v>
      </c>
      <c r="Q191" s="148"/>
      <c r="R191" s="148"/>
      <c r="S191" s="148" t="str">
        <f>IFERROR(VLOOKUP(Table_Shelter[[#This Row],[CampName]],CL,2,0),"")</f>
        <v>MMR015CMP218</v>
      </c>
      <c r="T191" s="148" t="str">
        <f>IFERROR(VLOOKUP(Table_Shelter[[#This Row],[CampName]],CL,3,0),"")</f>
        <v>Open</v>
      </c>
      <c r="U191" s="399">
        <f>IFERROR(Table_Shelter[[#This Row],[HH Covered]]/VLOOKUP(Table_Shelter[[#This Row],[CampName]],CL,4,0),"")</f>
        <v>0.56818181818181823</v>
      </c>
      <c r="V191" s="820" t="s">
        <v>1328</v>
      </c>
      <c r="W191" s="817"/>
    </row>
    <row r="192" spans="1:23" ht="15" customHeight="1" x14ac:dyDescent="0.25">
      <c r="A192" s="396"/>
      <c r="B192" s="145" t="s">
        <v>454</v>
      </c>
      <c r="C192" s="145" t="s">
        <v>462</v>
      </c>
      <c r="D192" s="228" t="s">
        <v>555</v>
      </c>
      <c r="E192" s="229" t="s">
        <v>784</v>
      </c>
      <c r="F192" s="145" t="s">
        <v>1295</v>
      </c>
      <c r="G192" s="145">
        <v>1</v>
      </c>
      <c r="H192" s="149"/>
      <c r="I192" s="149"/>
      <c r="J192" s="149">
        <v>10</v>
      </c>
      <c r="K192" s="149">
        <v>10</v>
      </c>
      <c r="L192" s="149"/>
      <c r="M192" s="149"/>
      <c r="N192" s="149"/>
      <c r="O192" s="149"/>
      <c r="P192" s="148">
        <f>IF(V192="NO",Table_Shelter[[#This Row],[HH per Shelter]]*(Table_Shelter[[#This Row],['# of Temporary Shelter Units Built]]+Table_Shelter[[#This Row],['# of Temporary Shelter Under  Construction]]+Table_Shelter[[#This Row],['# of Permanent House Under Construction]]),0)</f>
        <v>10</v>
      </c>
      <c r="Q192" s="148"/>
      <c r="R192" s="148"/>
      <c r="S192" s="148" t="str">
        <f>IFERROR(VLOOKUP(Table_Shelter[[#This Row],[CampName]],CL,2,0),"")</f>
        <v>MMR015CMP218</v>
      </c>
      <c r="T192" s="148" t="str">
        <f>IFERROR(VLOOKUP(Table_Shelter[[#This Row],[CampName]],CL,3,0),"")</f>
        <v>Open</v>
      </c>
      <c r="U192" s="399">
        <f>IFERROR(Table_Shelter[[#This Row],[HH Covered]]/VLOOKUP(Table_Shelter[[#This Row],[CampName]],CL,4,0),"")</f>
        <v>0.22727272727272727</v>
      </c>
      <c r="V192" s="725" t="s">
        <v>1328</v>
      </c>
      <c r="W192" s="397"/>
    </row>
    <row r="193" spans="1:23" ht="15" customHeight="1" x14ac:dyDescent="0.25">
      <c r="A193" s="396"/>
      <c r="B193" s="220" t="s">
        <v>454</v>
      </c>
      <c r="C193" s="220" t="s">
        <v>462</v>
      </c>
      <c r="D193" s="223" t="s">
        <v>555</v>
      </c>
      <c r="E193" s="525" t="s">
        <v>298</v>
      </c>
      <c r="F193" s="220" t="s">
        <v>827</v>
      </c>
      <c r="G193" s="145">
        <v>1</v>
      </c>
      <c r="H193" s="149"/>
      <c r="I193" s="149"/>
      <c r="J193" s="149">
        <v>10</v>
      </c>
      <c r="K193" s="149">
        <v>10</v>
      </c>
      <c r="L193" s="222"/>
      <c r="M193" s="222"/>
      <c r="N193" s="222"/>
      <c r="O193" s="222"/>
      <c r="P193" s="148">
        <f>IF(V193="NO",Table_Shelter[[#This Row],[HH per Shelter]]*(Table_Shelter[[#This Row],['# of Temporary Shelter Units Built]]+Table_Shelter[[#This Row],['# of Temporary Shelter Under  Construction]]+Table_Shelter[[#This Row],['# of Permanent House Under Construction]]),0)</f>
        <v>10</v>
      </c>
      <c r="Q193" s="148"/>
      <c r="R193" s="222"/>
      <c r="S193" s="222" t="str">
        <f>IFERROR(VLOOKUP(Table_Shelter[[#This Row],[CampName]],CL,2,0),"")</f>
        <v>MMR015CMP014</v>
      </c>
      <c r="T193" s="222" t="str">
        <f>IFERROR(VLOOKUP(Table_Shelter[[#This Row],[CampName]],CL,3,0),"")</f>
        <v>Open</v>
      </c>
      <c r="U193" s="393">
        <f>IFERROR(Table_Shelter[[#This Row],[HH Covered]]/VLOOKUP(Table_Shelter[[#This Row],[CampName]],CL,4,0),"")</f>
        <v>1</v>
      </c>
      <c r="V193" s="725" t="s">
        <v>1328</v>
      </c>
      <c r="W193" s="394"/>
    </row>
    <row r="194" spans="1:23" ht="15" customHeight="1" x14ac:dyDescent="0.25">
      <c r="A194" s="395">
        <v>42416</v>
      </c>
      <c r="B194" s="220" t="s">
        <v>852</v>
      </c>
      <c r="C194" s="220"/>
      <c r="D194" s="223" t="s">
        <v>555</v>
      </c>
      <c r="E194" s="525" t="s">
        <v>289</v>
      </c>
      <c r="F194" s="220" t="s">
        <v>1074</v>
      </c>
      <c r="G194" s="145">
        <v>1</v>
      </c>
      <c r="H194" s="149"/>
      <c r="I194" s="149"/>
      <c r="J194" s="149">
        <v>36</v>
      </c>
      <c r="K194" s="149">
        <v>36</v>
      </c>
      <c r="L194" s="222"/>
      <c r="M194" s="222"/>
      <c r="N194" s="222"/>
      <c r="O194" s="222"/>
      <c r="P194" s="148">
        <f>IF(V194="NO",Table_Shelter[[#This Row],[HH per Shelter]]*(Table_Shelter[[#This Row],['# of Temporary Shelter Units Built]]+Table_Shelter[[#This Row],['# of Temporary Shelter Under  Construction]]+Table_Shelter[[#This Row],['# of Permanent House Under Construction]]),0)</f>
        <v>36</v>
      </c>
      <c r="Q194" s="148"/>
      <c r="R194" s="222"/>
      <c r="S194" s="222" t="str">
        <f>IFERROR(VLOOKUP(Table_Shelter[[#This Row],[CampName]],CL,2,0),"")</f>
        <v>MMR015CMP215</v>
      </c>
      <c r="T194" s="222" t="str">
        <f>IFERROR(VLOOKUP(Table_Shelter[[#This Row],[CampName]],CL,3,0),"")</f>
        <v>Open</v>
      </c>
      <c r="U194" s="393">
        <f>IFERROR(Table_Shelter[[#This Row],[HH Covered]]/VLOOKUP(Table_Shelter[[#This Row],[CampName]],CL,4,0),"")</f>
        <v>0.25531914893617019</v>
      </c>
      <c r="V194" s="725" t="s">
        <v>1328</v>
      </c>
      <c r="W194" s="394"/>
    </row>
    <row r="195" spans="1:23" ht="15" customHeight="1" x14ac:dyDescent="0.25">
      <c r="A195" s="396"/>
      <c r="B195" s="220" t="s">
        <v>852</v>
      </c>
      <c r="C195" s="220"/>
      <c r="D195" s="223" t="s">
        <v>555</v>
      </c>
      <c r="E195" s="225" t="s">
        <v>289</v>
      </c>
      <c r="F195" s="220" t="s">
        <v>1074</v>
      </c>
      <c r="G195" s="145">
        <v>1</v>
      </c>
      <c r="H195" s="149"/>
      <c r="I195" s="149"/>
      <c r="J195" s="149">
        <v>50</v>
      </c>
      <c r="K195" s="149">
        <v>36</v>
      </c>
      <c r="L195" s="222"/>
      <c r="M195" s="222"/>
      <c r="N195" s="222"/>
      <c r="O195" s="222"/>
      <c r="P195" s="148">
        <f>IF(V195="NO",Table_Shelter[[#This Row],[HH per Shelter]]*(Table_Shelter[[#This Row],['# of Temporary Shelter Units Built]]+Table_Shelter[[#This Row],['# of Temporary Shelter Under  Construction]]+Table_Shelter[[#This Row],['# of Permanent House Under Construction]]),0)</f>
        <v>36</v>
      </c>
      <c r="Q195" s="148"/>
      <c r="R195" s="222"/>
      <c r="S195" s="222" t="str">
        <f>IFERROR(VLOOKUP(Table_Shelter[[#This Row],[CampName]],CL,2,0),"")</f>
        <v>MMR015CMP215</v>
      </c>
      <c r="T195" s="222" t="str">
        <f>IFERROR(VLOOKUP(Table_Shelter[[#This Row],[CampName]],CL,3,0),"")</f>
        <v>Open</v>
      </c>
      <c r="U195" s="393">
        <f>IFERROR(Table_Shelter[[#This Row],[HH Covered]]/VLOOKUP(Table_Shelter[[#This Row],[CampName]],CL,4,0),"")</f>
        <v>0.25531914893617019</v>
      </c>
      <c r="V195" s="725" t="s">
        <v>1328</v>
      </c>
      <c r="W195" s="394"/>
    </row>
    <row r="196" spans="1:23" ht="15" customHeight="1" x14ac:dyDescent="0.25">
      <c r="A196" s="396"/>
      <c r="B196" s="220" t="s">
        <v>868</v>
      </c>
      <c r="C196" s="220"/>
      <c r="D196" s="223" t="s">
        <v>380</v>
      </c>
      <c r="E196" s="525" t="s">
        <v>237</v>
      </c>
      <c r="F196" s="220" t="s">
        <v>271</v>
      </c>
      <c r="G196" s="145">
        <v>1</v>
      </c>
      <c r="H196" s="149">
        <v>1</v>
      </c>
      <c r="I196" s="149">
        <v>1</v>
      </c>
      <c r="J196" s="149"/>
      <c r="K196" s="149"/>
      <c r="L196" s="222"/>
      <c r="M196" s="222"/>
      <c r="N196" s="222"/>
      <c r="O196" s="222"/>
      <c r="P196" s="148">
        <f>IF(V196="NO",Table_Shelter[[#This Row],[HH per Shelter]]*(Table_Shelter[[#This Row],['# of Temporary Shelter Units Built]]+Table_Shelter[[#This Row],['# of Temporary Shelter Under  Construction]]+Table_Shelter[[#This Row],['# of Permanent House Under Construction]]),0)</f>
        <v>0</v>
      </c>
      <c r="Q196" s="148"/>
      <c r="R196" s="222"/>
      <c r="S196" s="222" t="str">
        <f>IFERROR(VLOOKUP(Table_Shelter[[#This Row],[CampName]],CL,2,0),"")</f>
        <v>MMR001CMP024</v>
      </c>
      <c r="T196" s="222" t="str">
        <f>IFERROR(VLOOKUP(Table_Shelter[[#This Row],[CampName]],CL,3,0),"")</f>
        <v>Open</v>
      </c>
      <c r="U196" s="393">
        <f>IFERROR(Table_Shelter[[#This Row],[HH Covered]]/VLOOKUP(Table_Shelter[[#This Row],[CampName]],CL,4,0),"")</f>
        <v>0</v>
      </c>
      <c r="V196" s="725" t="s">
        <v>1328</v>
      </c>
      <c r="W196" s="394"/>
    </row>
    <row r="197" spans="1:23" ht="15" customHeight="1" x14ac:dyDescent="0.25">
      <c r="A197" s="396"/>
      <c r="B197" s="220" t="s">
        <v>455</v>
      </c>
      <c r="C197" s="220" t="s">
        <v>508</v>
      </c>
      <c r="D197" s="223" t="s">
        <v>380</v>
      </c>
      <c r="E197" s="225" t="s">
        <v>237</v>
      </c>
      <c r="F197" s="220" t="s">
        <v>271</v>
      </c>
      <c r="G197" s="145">
        <v>1</v>
      </c>
      <c r="H197" s="149"/>
      <c r="I197" s="149"/>
      <c r="J197" s="149">
        <v>46</v>
      </c>
      <c r="K197" s="149">
        <v>46</v>
      </c>
      <c r="L197" s="222"/>
      <c r="M197" s="222"/>
      <c r="N197" s="222"/>
      <c r="O197" s="222"/>
      <c r="P197" s="148">
        <f>IF(V197="NO",Table_Shelter[[#This Row],[HH per Shelter]]*(Table_Shelter[[#This Row],['# of Temporary Shelter Units Built]]+Table_Shelter[[#This Row],['# of Temporary Shelter Under  Construction]]+Table_Shelter[[#This Row],['# of Permanent House Under Construction]]),0)</f>
        <v>46</v>
      </c>
      <c r="Q197" s="148"/>
      <c r="R197" s="222"/>
      <c r="S197" s="222" t="str">
        <f>IFERROR(VLOOKUP(Table_Shelter[[#This Row],[CampName]],CL,2,0),"")</f>
        <v>MMR001CMP024</v>
      </c>
      <c r="T197" s="222" t="str">
        <f>IFERROR(VLOOKUP(Table_Shelter[[#This Row],[CampName]],CL,3,0),"")</f>
        <v>Open</v>
      </c>
      <c r="U197" s="393">
        <f>IFERROR(Table_Shelter[[#This Row],[HH Covered]]/VLOOKUP(Table_Shelter[[#This Row],[CampName]],CL,4,0),"")</f>
        <v>0.66666666666666663</v>
      </c>
      <c r="V197" s="725" t="s">
        <v>1328</v>
      </c>
      <c r="W197" s="394"/>
    </row>
    <row r="198" spans="1:23" ht="15" customHeight="1" x14ac:dyDescent="0.25">
      <c r="A198" s="396"/>
      <c r="B198" s="220" t="s">
        <v>454</v>
      </c>
      <c r="C198" s="220" t="s">
        <v>508</v>
      </c>
      <c r="D198" s="223" t="s">
        <v>380</v>
      </c>
      <c r="E198" s="225" t="s">
        <v>237</v>
      </c>
      <c r="F198" s="220" t="s">
        <v>271</v>
      </c>
      <c r="G198" s="145">
        <v>1</v>
      </c>
      <c r="H198" s="149"/>
      <c r="I198" s="149"/>
      <c r="J198" s="149">
        <v>21</v>
      </c>
      <c r="K198" s="149">
        <v>21</v>
      </c>
      <c r="L198" s="222"/>
      <c r="M198" s="222"/>
      <c r="N198" s="222"/>
      <c r="O198" s="222"/>
      <c r="P198" s="148">
        <f>IF(V198="NO",Table_Shelter[[#This Row],[HH per Shelter]]*(Table_Shelter[[#This Row],['# of Temporary Shelter Units Built]]+Table_Shelter[[#This Row],['# of Temporary Shelter Under  Construction]]+Table_Shelter[[#This Row],['# of Permanent House Under Construction]]),0)</f>
        <v>21</v>
      </c>
      <c r="Q198" s="148">
        <v>21</v>
      </c>
      <c r="R198" s="222"/>
      <c r="S198" s="222" t="str">
        <f>IFERROR(VLOOKUP(Table_Shelter[[#This Row],[CampName]],CL,2,0),"")</f>
        <v>MMR001CMP024</v>
      </c>
      <c r="T198" s="222" t="str">
        <f>IFERROR(VLOOKUP(Table_Shelter[[#This Row],[CampName]],CL,3,0),"")</f>
        <v>Open</v>
      </c>
      <c r="U198" s="393">
        <f>IFERROR(Table_Shelter[[#This Row],[HH Covered]]/VLOOKUP(Table_Shelter[[#This Row],[CampName]],CL,4,0),"")</f>
        <v>0.30434782608695654</v>
      </c>
      <c r="V198" s="725" t="s">
        <v>1328</v>
      </c>
      <c r="W198" s="394"/>
    </row>
    <row r="199" spans="1:23" ht="15" customHeight="1" x14ac:dyDescent="0.25">
      <c r="A199" s="396"/>
      <c r="B199" s="220" t="s">
        <v>454</v>
      </c>
      <c r="C199" s="220"/>
      <c r="D199" s="223" t="s">
        <v>380</v>
      </c>
      <c r="E199" s="525" t="s">
        <v>5</v>
      </c>
      <c r="F199" s="220" t="s">
        <v>20</v>
      </c>
      <c r="G199" s="145">
        <v>1</v>
      </c>
      <c r="H199" s="149"/>
      <c r="I199" s="149"/>
      <c r="J199" s="149">
        <v>10</v>
      </c>
      <c r="K199" s="149">
        <v>10</v>
      </c>
      <c r="L199" s="222"/>
      <c r="M199" s="222"/>
      <c r="N199" s="222"/>
      <c r="O199" s="222"/>
      <c r="P199" s="148">
        <f>IF(V199="NO",Table_Shelter[[#This Row],[HH per Shelter]]*(Table_Shelter[[#This Row],['# of Temporary Shelter Units Built]]+Table_Shelter[[#This Row],['# of Temporary Shelter Under  Construction]]+Table_Shelter[[#This Row],['# of Permanent House Under Construction]]),0)</f>
        <v>10</v>
      </c>
      <c r="Q199" s="148"/>
      <c r="R199" s="222"/>
      <c r="S199" s="222" t="str">
        <f>IFERROR(VLOOKUP(Table_Shelter[[#This Row],[CampName]],CL,2,0),"")</f>
        <v>MMR001CMP054</v>
      </c>
      <c r="T199" s="222" t="str">
        <f>IFERROR(VLOOKUP(Table_Shelter[[#This Row],[CampName]],CL,3,0),"")</f>
        <v>Open</v>
      </c>
      <c r="U199" s="393">
        <f>IFERROR(Table_Shelter[[#This Row],[HH Covered]]/VLOOKUP(Table_Shelter[[#This Row],[CampName]],CL,4,0),"")</f>
        <v>0.5</v>
      </c>
      <c r="V199" s="725" t="s">
        <v>1328</v>
      </c>
      <c r="W199" s="394"/>
    </row>
    <row r="200" spans="1:23" ht="15" customHeight="1" x14ac:dyDescent="0.25">
      <c r="A200" s="396"/>
      <c r="B200" s="220" t="s">
        <v>454</v>
      </c>
      <c r="C200" s="220" t="s">
        <v>462</v>
      </c>
      <c r="D200" s="223" t="s">
        <v>380</v>
      </c>
      <c r="E200" s="225" t="s">
        <v>529</v>
      </c>
      <c r="F200" s="220" t="s">
        <v>108</v>
      </c>
      <c r="G200" s="145">
        <v>1</v>
      </c>
      <c r="H200" s="149"/>
      <c r="I200" s="149"/>
      <c r="J200" s="149">
        <v>40</v>
      </c>
      <c r="K200" s="149">
        <v>40</v>
      </c>
      <c r="L200" s="222"/>
      <c r="M200" s="222"/>
      <c r="N200" s="222"/>
      <c r="O200" s="222"/>
      <c r="P200" s="148">
        <f>IF(V200="NO",Table_Shelter[[#This Row],[HH per Shelter]]*(Table_Shelter[[#This Row],['# of Temporary Shelter Units Built]]+Table_Shelter[[#This Row],['# of Temporary Shelter Under  Construction]]+Table_Shelter[[#This Row],['# of Permanent House Under Construction]]),0)</f>
        <v>40</v>
      </c>
      <c r="Q200" s="148"/>
      <c r="R200" s="222"/>
      <c r="S200" s="222" t="str">
        <f>IFERROR(VLOOKUP(Table_Shelter[[#This Row],[CampName]],CL,2,0),"")</f>
        <v>MMR001CMP103</v>
      </c>
      <c r="T200" s="222" t="str">
        <f>IFERROR(VLOOKUP(Table_Shelter[[#This Row],[CampName]],CL,3,0),"")</f>
        <v>Open</v>
      </c>
      <c r="U200" s="393">
        <f>IFERROR(Table_Shelter[[#This Row],[HH Covered]]/VLOOKUP(Table_Shelter[[#This Row],[CampName]],CL,4,0),"")</f>
        <v>0.7407407407407407</v>
      </c>
      <c r="V200" s="725" t="s">
        <v>1328</v>
      </c>
      <c r="W200" s="394"/>
    </row>
    <row r="201" spans="1:23" ht="15" customHeight="1" x14ac:dyDescent="0.25">
      <c r="A201" s="396"/>
      <c r="B201" s="220" t="s">
        <v>454</v>
      </c>
      <c r="C201" s="220" t="s">
        <v>507</v>
      </c>
      <c r="D201" s="228" t="s">
        <v>380</v>
      </c>
      <c r="E201" s="225" t="s">
        <v>529</v>
      </c>
      <c r="F201" s="220" t="s">
        <v>108</v>
      </c>
      <c r="G201" s="145">
        <v>1</v>
      </c>
      <c r="H201" s="149"/>
      <c r="I201" s="149"/>
      <c r="J201" s="149">
        <v>15</v>
      </c>
      <c r="K201" s="149">
        <v>15</v>
      </c>
      <c r="L201" s="222"/>
      <c r="M201" s="222"/>
      <c r="N201" s="222"/>
      <c r="O201" s="222"/>
      <c r="P201" s="148">
        <f>IF(V201="NO",Table_Shelter[[#This Row],[HH per Shelter]]*(Table_Shelter[[#This Row],['# of Temporary Shelter Units Built]]+Table_Shelter[[#This Row],['# of Temporary Shelter Under  Construction]]+Table_Shelter[[#This Row],['# of Permanent House Under Construction]]),0)</f>
        <v>15</v>
      </c>
      <c r="Q201" s="148"/>
      <c r="R201" s="148"/>
      <c r="S201" s="148" t="str">
        <f>IFERROR(VLOOKUP(Table_Shelter[[#This Row],[CampName]],CL,2,0),"")</f>
        <v>MMR001CMP103</v>
      </c>
      <c r="T201" s="148" t="str">
        <f>IFERROR(VLOOKUP(Table_Shelter[[#This Row],[CampName]],CL,3,0),"")</f>
        <v>Open</v>
      </c>
      <c r="U201" s="393">
        <f>IFERROR(Table_Shelter[[#This Row],[HH Covered]]/VLOOKUP(Table_Shelter[[#This Row],[CampName]],CL,4,0),"")</f>
        <v>0.27777777777777779</v>
      </c>
      <c r="V201" s="725" t="s">
        <v>1328</v>
      </c>
      <c r="W201" s="397"/>
    </row>
    <row r="202" spans="1:23" ht="15" customHeight="1" x14ac:dyDescent="0.25">
      <c r="A202" s="396"/>
      <c r="B202" s="220" t="s">
        <v>454</v>
      </c>
      <c r="C202" s="220" t="s">
        <v>462</v>
      </c>
      <c r="D202" s="223" t="s">
        <v>380</v>
      </c>
      <c r="E202" s="525" t="s">
        <v>173</v>
      </c>
      <c r="F202" s="220" t="s">
        <v>178</v>
      </c>
      <c r="G202" s="145">
        <v>1</v>
      </c>
      <c r="H202" s="149"/>
      <c r="I202" s="149"/>
      <c r="J202" s="149">
        <v>15</v>
      </c>
      <c r="K202" s="149">
        <v>15</v>
      </c>
      <c r="L202" s="222"/>
      <c r="M202" s="222"/>
      <c r="N202" s="222"/>
      <c r="O202" s="222"/>
      <c r="P202" s="148">
        <f>IF(V202="NO",Table_Shelter[[#This Row],[HH per Shelter]]*(Table_Shelter[[#This Row],['# of Temporary Shelter Units Built]]+Table_Shelter[[#This Row],['# of Temporary Shelter Under  Construction]]+Table_Shelter[[#This Row],['# of Permanent House Under Construction]]),0)</f>
        <v>15</v>
      </c>
      <c r="Q202" s="148"/>
      <c r="R202" s="222"/>
      <c r="S202" s="222" t="str">
        <f>IFERROR(VLOOKUP(Table_Shelter[[#This Row],[CampName]],CL,2,0),"")</f>
        <v>MMR001CMP079</v>
      </c>
      <c r="T202" s="222" t="str">
        <f>IFERROR(VLOOKUP(Table_Shelter[[#This Row],[CampName]],CL,3,0),"")</f>
        <v>Open</v>
      </c>
      <c r="U202" s="393">
        <f>IFERROR(Table_Shelter[[#This Row],[HH Covered]]/VLOOKUP(Table_Shelter[[#This Row],[CampName]],CL,4,0),"")</f>
        <v>1.0714285714285714</v>
      </c>
      <c r="V202" s="725" t="s">
        <v>1328</v>
      </c>
      <c r="W202" s="394"/>
    </row>
    <row r="203" spans="1:23" ht="15" customHeight="1" x14ac:dyDescent="0.25">
      <c r="A203" s="396">
        <v>41609</v>
      </c>
      <c r="B203" s="220" t="s">
        <v>454</v>
      </c>
      <c r="C203" s="220" t="s">
        <v>507</v>
      </c>
      <c r="D203" s="223" t="s">
        <v>380</v>
      </c>
      <c r="E203" s="525" t="s">
        <v>310</v>
      </c>
      <c r="F203" s="220" t="s">
        <v>344</v>
      </c>
      <c r="G203" s="145">
        <v>1</v>
      </c>
      <c r="H203" s="149"/>
      <c r="I203" s="149"/>
      <c r="J203" s="149">
        <v>10</v>
      </c>
      <c r="K203" s="149">
        <v>10</v>
      </c>
      <c r="L203" s="222"/>
      <c r="M203" s="222"/>
      <c r="N203" s="222"/>
      <c r="O203" s="222"/>
      <c r="P203" s="148">
        <f>IF(V203="NO",Table_Shelter[[#This Row],[HH per Shelter]]*(Table_Shelter[[#This Row],['# of Temporary Shelter Units Built]]+Table_Shelter[[#This Row],['# of Temporary Shelter Under  Construction]]+Table_Shelter[[#This Row],['# of Permanent House Under Construction]]),0)</f>
        <v>10</v>
      </c>
      <c r="Q203" s="148"/>
      <c r="R203" s="222"/>
      <c r="S203" s="222" t="str">
        <f>IFERROR(VLOOKUP(Table_Shelter[[#This Row],[CampName]],CL,2,0),"")</f>
        <v>MMR001CMP033</v>
      </c>
      <c r="T203" s="222" t="str">
        <f>IFERROR(VLOOKUP(Table_Shelter[[#This Row],[CampName]],CL,3,0),"")</f>
        <v>Open</v>
      </c>
      <c r="U203" s="393">
        <f>IFERROR(Table_Shelter[[#This Row],[HH Covered]]/VLOOKUP(Table_Shelter[[#This Row],[CampName]],CL,4,0),"")</f>
        <v>0.55555555555555558</v>
      </c>
      <c r="V203" s="725" t="s">
        <v>1328</v>
      </c>
      <c r="W203" s="394"/>
    </row>
    <row r="204" spans="1:23" ht="15" customHeight="1" x14ac:dyDescent="0.25">
      <c r="A204" s="396">
        <v>41974</v>
      </c>
      <c r="B204" s="220" t="s">
        <v>454</v>
      </c>
      <c r="C204" s="220" t="s">
        <v>507</v>
      </c>
      <c r="D204" s="223" t="s">
        <v>380</v>
      </c>
      <c r="E204" s="225" t="s">
        <v>310</v>
      </c>
      <c r="F204" s="220" t="s">
        <v>344</v>
      </c>
      <c r="G204" s="145">
        <v>1</v>
      </c>
      <c r="H204" s="149"/>
      <c r="I204" s="149"/>
      <c r="J204" s="149">
        <v>9</v>
      </c>
      <c r="K204" s="149">
        <v>9</v>
      </c>
      <c r="L204" s="222"/>
      <c r="M204" s="222"/>
      <c r="N204" s="222"/>
      <c r="O204" s="222"/>
      <c r="P204" s="148">
        <f>IF(V204="NO",Table_Shelter[[#This Row],[HH per Shelter]]*(Table_Shelter[[#This Row],['# of Temporary Shelter Units Built]]+Table_Shelter[[#This Row],['# of Temporary Shelter Under  Construction]]+Table_Shelter[[#This Row],['# of Permanent House Under Construction]]),0)</f>
        <v>9</v>
      </c>
      <c r="Q204" s="148"/>
      <c r="R204" s="148"/>
      <c r="S204" s="148" t="str">
        <f>IFERROR(VLOOKUP(Table_Shelter[[#This Row],[CampName]],CL,2,0),"")</f>
        <v>MMR001CMP033</v>
      </c>
      <c r="T204" s="148" t="str">
        <f>IFERROR(VLOOKUP(Table_Shelter[[#This Row],[CampName]],CL,3,0),"")</f>
        <v>Open</v>
      </c>
      <c r="U204" s="393">
        <f>IFERROR(Table_Shelter[[#This Row],[HH Covered]]/VLOOKUP(Table_Shelter[[#This Row],[CampName]],CL,4,0),"")</f>
        <v>0.5</v>
      </c>
      <c r="V204" s="725" t="s">
        <v>1328</v>
      </c>
      <c r="W204" s="397"/>
    </row>
    <row r="205" spans="1:23" ht="15" customHeight="1" x14ac:dyDescent="0.25">
      <c r="A205" s="396"/>
      <c r="B205" s="220" t="s">
        <v>572</v>
      </c>
      <c r="C205" s="220" t="s">
        <v>462</v>
      </c>
      <c r="D205" s="223" t="s">
        <v>380</v>
      </c>
      <c r="E205" s="225" t="s">
        <v>180</v>
      </c>
      <c r="F205" s="220" t="s">
        <v>287</v>
      </c>
      <c r="G205" s="145">
        <v>1</v>
      </c>
      <c r="H205" s="149"/>
      <c r="I205" s="149"/>
      <c r="J205" s="149">
        <v>10</v>
      </c>
      <c r="K205" s="149">
        <v>10</v>
      </c>
      <c r="L205" s="222"/>
      <c r="M205" s="222"/>
      <c r="N205" s="222"/>
      <c r="O205" s="222"/>
      <c r="P205" s="148">
        <f>IF(V205="NO",Table_Shelter[[#This Row],[HH per Shelter]]*(Table_Shelter[[#This Row],['# of Temporary Shelter Units Built]]+Table_Shelter[[#This Row],['# of Temporary Shelter Under  Construction]]+Table_Shelter[[#This Row],['# of Permanent House Under Construction]]),0)</f>
        <v>10</v>
      </c>
      <c r="Q205" s="148"/>
      <c r="R205" s="222"/>
      <c r="S205" s="222" t="str">
        <f>IFERROR(VLOOKUP(Table_Shelter[[#This Row],[CampName]],CL,2,0),"")</f>
        <v>MMR001CMP152</v>
      </c>
      <c r="T205" s="222" t="str">
        <f>IFERROR(VLOOKUP(Table_Shelter[[#This Row],[CampName]],CL,3,0),"")</f>
        <v>Open</v>
      </c>
      <c r="U205" s="393">
        <f>IFERROR(Table_Shelter[[#This Row],[HH Covered]]/VLOOKUP(Table_Shelter[[#This Row],[CampName]],CL,4,0),"")</f>
        <v>0.55555555555555558</v>
      </c>
      <c r="V205" s="725" t="s">
        <v>1328</v>
      </c>
      <c r="W205" s="394"/>
    </row>
    <row r="206" spans="1:23" ht="15" customHeight="1" x14ac:dyDescent="0.25">
      <c r="A206" s="396"/>
      <c r="B206" s="220" t="s">
        <v>454</v>
      </c>
      <c r="C206" s="220" t="s">
        <v>462</v>
      </c>
      <c r="D206" s="223" t="s">
        <v>380</v>
      </c>
      <c r="E206" s="225" t="s">
        <v>180</v>
      </c>
      <c r="F206" s="220" t="s">
        <v>287</v>
      </c>
      <c r="G206" s="145">
        <v>1</v>
      </c>
      <c r="H206" s="149"/>
      <c r="I206" s="149"/>
      <c r="J206" s="149">
        <v>20</v>
      </c>
      <c r="K206" s="149">
        <v>20</v>
      </c>
      <c r="L206" s="222"/>
      <c r="M206" s="222"/>
      <c r="N206" s="222"/>
      <c r="O206" s="222"/>
      <c r="P206" s="148">
        <f>IF(V206="NO",Table_Shelter[[#This Row],[HH per Shelter]]*(Table_Shelter[[#This Row],['# of Temporary Shelter Units Built]]+Table_Shelter[[#This Row],['# of Temporary Shelter Under  Construction]]+Table_Shelter[[#This Row],['# of Permanent House Under Construction]]),0)</f>
        <v>20</v>
      </c>
      <c r="Q206" s="148"/>
      <c r="R206" s="222"/>
      <c r="S206" s="222" t="str">
        <f>IFERROR(VLOOKUP(Table_Shelter[[#This Row],[CampName]],CL,2,0),"")</f>
        <v>MMR001CMP152</v>
      </c>
      <c r="T206" s="222" t="str">
        <f>IFERROR(VLOOKUP(Table_Shelter[[#This Row],[CampName]],CL,3,0),"")</f>
        <v>Open</v>
      </c>
      <c r="U206" s="393">
        <f>IFERROR(Table_Shelter[[#This Row],[HH Covered]]/VLOOKUP(Table_Shelter[[#This Row],[CampName]],CL,4,0),"")</f>
        <v>1.1111111111111112</v>
      </c>
      <c r="V206" s="725" t="s">
        <v>1328</v>
      </c>
      <c r="W206" s="394"/>
    </row>
    <row r="207" spans="1:23" ht="15" customHeight="1" x14ac:dyDescent="0.25">
      <c r="A207" s="396">
        <v>41609</v>
      </c>
      <c r="B207" s="220" t="s">
        <v>454</v>
      </c>
      <c r="C207" s="220" t="s">
        <v>507</v>
      </c>
      <c r="D207" s="223" t="s">
        <v>380</v>
      </c>
      <c r="E207" s="225" t="s">
        <v>529</v>
      </c>
      <c r="F207" s="220" t="s">
        <v>110</v>
      </c>
      <c r="G207" s="145">
        <v>1</v>
      </c>
      <c r="H207" s="149"/>
      <c r="I207" s="149"/>
      <c r="J207" s="149">
        <v>40</v>
      </c>
      <c r="K207" s="149">
        <v>40</v>
      </c>
      <c r="L207" s="222"/>
      <c r="M207" s="222"/>
      <c r="N207" s="222"/>
      <c r="O207" s="222"/>
      <c r="P207" s="148">
        <f>IF(V207="NO",Table_Shelter[[#This Row],[HH per Shelter]]*(Table_Shelter[[#This Row],['# of Temporary Shelter Units Built]]+Table_Shelter[[#This Row],['# of Temporary Shelter Under  Construction]]+Table_Shelter[[#This Row],['# of Permanent House Under Construction]]),0)</f>
        <v>40</v>
      </c>
      <c r="Q207" s="148"/>
      <c r="R207" s="148"/>
      <c r="S207" s="148" t="str">
        <f>IFERROR(VLOOKUP(Table_Shelter[[#This Row],[CampName]],CL,2,0),"")</f>
        <v>MMR001CMP082</v>
      </c>
      <c r="T207" s="148" t="str">
        <f>IFERROR(VLOOKUP(Table_Shelter[[#This Row],[CampName]],CL,3,0),"")</f>
        <v>Closed</v>
      </c>
      <c r="U207" s="393" t="str">
        <f>IFERROR(Table_Shelter[[#This Row],[HH Covered]]/VLOOKUP(Table_Shelter[[#This Row],[CampName]],CL,4,0),"")</f>
        <v/>
      </c>
      <c r="V207" s="725" t="s">
        <v>1328</v>
      </c>
      <c r="W207" s="397"/>
    </row>
    <row r="208" spans="1:23" ht="15" customHeight="1" x14ac:dyDescent="0.25">
      <c r="A208" s="396"/>
      <c r="B208" s="220" t="s">
        <v>868</v>
      </c>
      <c r="C208" s="220"/>
      <c r="D208" s="223" t="s">
        <v>380</v>
      </c>
      <c r="E208" s="225" t="s">
        <v>529</v>
      </c>
      <c r="F208" s="220" t="s">
        <v>110</v>
      </c>
      <c r="G208" s="145">
        <v>1</v>
      </c>
      <c r="H208" s="149">
        <v>50</v>
      </c>
      <c r="I208" s="149">
        <v>50</v>
      </c>
      <c r="J208" s="149"/>
      <c r="K208" s="149"/>
      <c r="L208" s="222"/>
      <c r="M208" s="222"/>
      <c r="N208" s="222"/>
      <c r="O208" s="222"/>
      <c r="P208" s="148">
        <f>IF(V208="NO",Table_Shelter[[#This Row],[HH per Shelter]]*(Table_Shelter[[#This Row],['# of Temporary Shelter Units Built]]+Table_Shelter[[#This Row],['# of Temporary Shelter Under  Construction]]+Table_Shelter[[#This Row],['# of Permanent House Under Construction]]),0)</f>
        <v>0</v>
      </c>
      <c r="Q208" s="148"/>
      <c r="R208" s="222"/>
      <c r="S208" s="222" t="str">
        <f>IFERROR(VLOOKUP(Table_Shelter[[#This Row],[CampName]],CL,2,0),"")</f>
        <v>MMR001CMP082</v>
      </c>
      <c r="T208" s="222" t="str">
        <f>IFERROR(VLOOKUP(Table_Shelter[[#This Row],[CampName]],CL,3,0),"")</f>
        <v>Closed</v>
      </c>
      <c r="U208" s="393" t="str">
        <f>IFERROR(Table_Shelter[[#This Row],[HH Covered]]/VLOOKUP(Table_Shelter[[#This Row],[CampName]],CL,4,0),"")</f>
        <v/>
      </c>
      <c r="V208" s="725" t="s">
        <v>1328</v>
      </c>
      <c r="W208" s="394"/>
    </row>
    <row r="209" spans="1:23" ht="15" customHeight="1" x14ac:dyDescent="0.25">
      <c r="A209" s="396"/>
      <c r="B209" s="220" t="s">
        <v>454</v>
      </c>
      <c r="C209" s="220" t="s">
        <v>507</v>
      </c>
      <c r="D209" s="223" t="s">
        <v>380</v>
      </c>
      <c r="E209" s="525" t="s">
        <v>529</v>
      </c>
      <c r="F209" s="220" t="s">
        <v>110</v>
      </c>
      <c r="G209" s="145">
        <v>1</v>
      </c>
      <c r="H209" s="149"/>
      <c r="I209" s="149"/>
      <c r="J209" s="149">
        <v>20</v>
      </c>
      <c r="K209" s="149">
        <v>20</v>
      </c>
      <c r="L209" s="222"/>
      <c r="M209" s="222"/>
      <c r="N209" s="222"/>
      <c r="O209" s="222"/>
      <c r="P209" s="148">
        <f>IF(V209="NO",Table_Shelter[[#This Row],[HH per Shelter]]*(Table_Shelter[[#This Row],['# of Temporary Shelter Units Built]]+Table_Shelter[[#This Row],['# of Temporary Shelter Under  Construction]]+Table_Shelter[[#This Row],['# of Permanent House Under Construction]]),0)</f>
        <v>20</v>
      </c>
      <c r="Q209" s="148"/>
      <c r="R209" s="222"/>
      <c r="S209" s="222" t="str">
        <f>IFERROR(VLOOKUP(Table_Shelter[[#This Row],[CampName]],CL,2,0),"")</f>
        <v>MMR001CMP082</v>
      </c>
      <c r="T209" s="222" t="str">
        <f>IFERROR(VLOOKUP(Table_Shelter[[#This Row],[CampName]],CL,3,0),"")</f>
        <v>Closed</v>
      </c>
      <c r="U209" s="393" t="str">
        <f>IFERROR(Table_Shelter[[#This Row],[HH Covered]]/VLOOKUP(Table_Shelter[[#This Row],[CampName]],CL,4,0),"")</f>
        <v/>
      </c>
      <c r="V209" s="725" t="s">
        <v>1328</v>
      </c>
      <c r="W209" s="394"/>
    </row>
    <row r="210" spans="1:23" ht="15" customHeight="1" x14ac:dyDescent="0.25">
      <c r="A210" s="396"/>
      <c r="B210" s="220" t="s">
        <v>454</v>
      </c>
      <c r="C210" s="220" t="s">
        <v>462</v>
      </c>
      <c r="D210" s="228" t="s">
        <v>380</v>
      </c>
      <c r="E210" s="225" t="s">
        <v>529</v>
      </c>
      <c r="F210" s="220" t="s">
        <v>110</v>
      </c>
      <c r="G210" s="145">
        <v>1</v>
      </c>
      <c r="H210" s="149"/>
      <c r="I210" s="149"/>
      <c r="J210" s="149">
        <v>15</v>
      </c>
      <c r="K210" s="149">
        <v>15</v>
      </c>
      <c r="L210" s="222"/>
      <c r="M210" s="222"/>
      <c r="N210" s="222"/>
      <c r="O210" s="222"/>
      <c r="P210" s="148">
        <f>IF(V210="NO",Table_Shelter[[#This Row],[HH per Shelter]]*(Table_Shelter[[#This Row],['# of Temporary Shelter Units Built]]+Table_Shelter[[#This Row],['# of Temporary Shelter Under  Construction]]+Table_Shelter[[#This Row],['# of Permanent House Under Construction]]),0)</f>
        <v>15</v>
      </c>
      <c r="Q210" s="148"/>
      <c r="R210" s="148"/>
      <c r="S210" s="148" t="str">
        <f>IFERROR(VLOOKUP(Table_Shelter[[#This Row],[CampName]],CL,2,0),"")</f>
        <v>MMR001CMP082</v>
      </c>
      <c r="T210" s="148" t="str">
        <f>IFERROR(VLOOKUP(Table_Shelter[[#This Row],[CampName]],CL,3,0),"")</f>
        <v>Closed</v>
      </c>
      <c r="U210" s="393" t="str">
        <f>IFERROR(Table_Shelter[[#This Row],[HH Covered]]/VLOOKUP(Table_Shelter[[#This Row],[CampName]],CL,4,0),"")</f>
        <v/>
      </c>
      <c r="V210" s="725" t="s">
        <v>1328</v>
      </c>
      <c r="W210" s="397"/>
    </row>
    <row r="211" spans="1:23" ht="15" customHeight="1" x14ac:dyDescent="0.25">
      <c r="A211" s="395">
        <v>42422</v>
      </c>
      <c r="B211" s="220" t="s">
        <v>455</v>
      </c>
      <c r="C211" s="220"/>
      <c r="D211" s="223" t="s">
        <v>380</v>
      </c>
      <c r="E211" s="525" t="s">
        <v>185</v>
      </c>
      <c r="F211" s="220" t="s">
        <v>215</v>
      </c>
      <c r="G211" s="145">
        <v>1</v>
      </c>
      <c r="H211" s="149"/>
      <c r="I211" s="149"/>
      <c r="J211" s="149">
        <v>170</v>
      </c>
      <c r="K211" s="149">
        <v>170</v>
      </c>
      <c r="L211" s="222"/>
      <c r="M211" s="222"/>
      <c r="N211" s="222"/>
      <c r="O211" s="222"/>
      <c r="P211" s="148">
        <f>IF(V211="NO",Table_Shelter[[#This Row],[HH per Shelter]]*(Table_Shelter[[#This Row],['# of Temporary Shelter Units Built]]+Table_Shelter[[#This Row],['# of Temporary Shelter Under  Construction]]+Table_Shelter[[#This Row],['# of Permanent House Under Construction]]),0)</f>
        <v>0</v>
      </c>
      <c r="Q211" s="148"/>
      <c r="R211" s="222"/>
      <c r="S211" s="222" t="str">
        <f>IFERROR(VLOOKUP(Table_Shelter[[#This Row],[CampName]],CL,2,0),"")</f>
        <v>MMR001CMP131</v>
      </c>
      <c r="T211" s="222" t="str">
        <f>IFERROR(VLOOKUP(Table_Shelter[[#This Row],[CampName]],CL,3,0),"")</f>
        <v>Open</v>
      </c>
      <c r="U211" s="393">
        <f>IFERROR(Table_Shelter[[#This Row],[HH Covered]]/VLOOKUP(Table_Shelter[[#This Row],[CampName]],CL,4,0),"")</f>
        <v>0</v>
      </c>
      <c r="V211" s="725" t="s">
        <v>1327</v>
      </c>
      <c r="W211" s="394"/>
    </row>
    <row r="212" spans="1:23" ht="15" customHeight="1" x14ac:dyDescent="0.25">
      <c r="A212" s="396"/>
      <c r="B212" s="220" t="s">
        <v>594</v>
      </c>
      <c r="C212" s="220" t="s">
        <v>461</v>
      </c>
      <c r="D212" s="223" t="s">
        <v>380</v>
      </c>
      <c r="E212" s="525" t="s">
        <v>185</v>
      </c>
      <c r="F212" s="220" t="s">
        <v>215</v>
      </c>
      <c r="G212" s="145">
        <v>1</v>
      </c>
      <c r="H212" s="149"/>
      <c r="I212" s="149"/>
      <c r="J212" s="149">
        <v>100</v>
      </c>
      <c r="K212" s="149">
        <v>100</v>
      </c>
      <c r="L212" s="222"/>
      <c r="M212" s="222"/>
      <c r="N212" s="222"/>
      <c r="O212" s="222"/>
      <c r="P212" s="148">
        <f>IF(V212="NO",Table_Shelter[[#This Row],[HH per Shelter]]*(Table_Shelter[[#This Row],['# of Temporary Shelter Units Built]]+Table_Shelter[[#This Row],['# of Temporary Shelter Under  Construction]]+Table_Shelter[[#This Row],['# of Permanent House Under Construction]]),0)</f>
        <v>100</v>
      </c>
      <c r="Q212" s="148"/>
      <c r="R212" s="222"/>
      <c r="S212" s="222" t="str">
        <f>IFERROR(VLOOKUP(Table_Shelter[[#This Row],[CampName]],CL,2,0),"")</f>
        <v>MMR001CMP131</v>
      </c>
      <c r="T212" s="222" t="str">
        <f>IFERROR(VLOOKUP(Table_Shelter[[#This Row],[CampName]],CL,3,0),"")</f>
        <v>Open</v>
      </c>
      <c r="U212" s="393">
        <f>IFERROR(Table_Shelter[[#This Row],[HH Covered]]/VLOOKUP(Table_Shelter[[#This Row],[CampName]],CL,4,0),"")</f>
        <v>0.26666666666666666</v>
      </c>
      <c r="V212" s="725" t="s">
        <v>1328</v>
      </c>
      <c r="W212" s="394"/>
    </row>
    <row r="213" spans="1:23" ht="15" customHeight="1" x14ac:dyDescent="0.25">
      <c r="A213" s="396"/>
      <c r="B213" s="220" t="s">
        <v>908</v>
      </c>
      <c r="C213" s="220" t="s">
        <v>461</v>
      </c>
      <c r="D213" s="223" t="s">
        <v>380</v>
      </c>
      <c r="E213" s="225" t="s">
        <v>185</v>
      </c>
      <c r="F213" s="220" t="s">
        <v>215</v>
      </c>
      <c r="G213" s="145">
        <v>1</v>
      </c>
      <c r="H213" s="149"/>
      <c r="I213" s="149"/>
      <c r="J213" s="149">
        <v>350</v>
      </c>
      <c r="K213" s="149">
        <v>350</v>
      </c>
      <c r="L213" s="222"/>
      <c r="M213" s="222"/>
      <c r="N213" s="222"/>
      <c r="O213" s="222"/>
      <c r="P213" s="148">
        <f>IF(V213="NO",Table_Shelter[[#This Row],[HH per Shelter]]*(Table_Shelter[[#This Row],['# of Temporary Shelter Units Built]]+Table_Shelter[[#This Row],['# of Temporary Shelter Under  Construction]]+Table_Shelter[[#This Row],['# of Permanent House Under Construction]]),0)</f>
        <v>350</v>
      </c>
      <c r="Q213" s="148"/>
      <c r="R213" s="222"/>
      <c r="S213" s="222" t="str">
        <f>IFERROR(VLOOKUP(Table_Shelter[[#This Row],[CampName]],CL,2,0),"")</f>
        <v>MMR001CMP131</v>
      </c>
      <c r="T213" s="222" t="str">
        <f>IFERROR(VLOOKUP(Table_Shelter[[#This Row],[CampName]],CL,3,0),"")</f>
        <v>Open</v>
      </c>
      <c r="U213" s="393">
        <f>IFERROR(Table_Shelter[[#This Row],[HH Covered]]/VLOOKUP(Table_Shelter[[#This Row],[CampName]],CL,4,0),"")</f>
        <v>0.93333333333333335</v>
      </c>
      <c r="V213" s="725" t="s">
        <v>1328</v>
      </c>
      <c r="W213" s="394"/>
    </row>
    <row r="214" spans="1:23" ht="15" customHeight="1" x14ac:dyDescent="0.25">
      <c r="A214" s="396">
        <v>41609</v>
      </c>
      <c r="B214" s="220" t="s">
        <v>454</v>
      </c>
      <c r="C214" s="220" t="s">
        <v>507</v>
      </c>
      <c r="D214" s="223" t="s">
        <v>380</v>
      </c>
      <c r="E214" s="225" t="s">
        <v>185</v>
      </c>
      <c r="F214" s="220" t="s">
        <v>217</v>
      </c>
      <c r="G214" s="145">
        <v>1</v>
      </c>
      <c r="H214" s="149"/>
      <c r="I214" s="149"/>
      <c r="J214" s="149">
        <v>4</v>
      </c>
      <c r="K214" s="149">
        <v>4</v>
      </c>
      <c r="L214" s="222"/>
      <c r="M214" s="222"/>
      <c r="N214" s="222"/>
      <c r="O214" s="222"/>
      <c r="P214" s="148">
        <f>IF(V214="NO",Table_Shelter[[#This Row],[HH per Shelter]]*(Table_Shelter[[#This Row],['# of Temporary Shelter Units Built]]+Table_Shelter[[#This Row],['# of Temporary Shelter Under  Construction]]+Table_Shelter[[#This Row],['# of Permanent House Under Construction]]),0)</f>
        <v>4</v>
      </c>
      <c r="Q214" s="148">
        <v>5</v>
      </c>
      <c r="R214" s="222"/>
      <c r="S214" s="222" t="str">
        <f>IFERROR(VLOOKUP(Table_Shelter[[#This Row],[CampName]],CL,2,0),"")</f>
        <v>MMR001CMP059</v>
      </c>
      <c r="T214" s="222" t="str">
        <f>IFERROR(VLOOKUP(Table_Shelter[[#This Row],[CampName]],CL,3,0),"")</f>
        <v>Open</v>
      </c>
      <c r="U214" s="393">
        <f>IFERROR(Table_Shelter[[#This Row],[HH Covered]]/VLOOKUP(Table_Shelter[[#This Row],[CampName]],CL,4,0),"")</f>
        <v>0.16666666666666666</v>
      </c>
      <c r="V214" s="725" t="s">
        <v>1328</v>
      </c>
      <c r="W214" s="394"/>
    </row>
    <row r="215" spans="1:23" ht="15" customHeight="1" x14ac:dyDescent="0.25">
      <c r="A215" s="396"/>
      <c r="B215" s="220" t="s">
        <v>852</v>
      </c>
      <c r="C215" s="220"/>
      <c r="D215" s="223" t="s">
        <v>380</v>
      </c>
      <c r="E215" s="225" t="s">
        <v>185</v>
      </c>
      <c r="F215" s="220" t="s">
        <v>217</v>
      </c>
      <c r="G215" s="145">
        <v>1</v>
      </c>
      <c r="H215" s="149"/>
      <c r="I215" s="149"/>
      <c r="J215" s="149">
        <v>18</v>
      </c>
      <c r="K215" s="149">
        <v>18</v>
      </c>
      <c r="L215" s="222"/>
      <c r="M215" s="222"/>
      <c r="N215" s="222"/>
      <c r="O215" s="222"/>
      <c r="P215" s="148">
        <f>IF(V215="NO",Table_Shelter[[#This Row],[HH per Shelter]]*(Table_Shelter[[#This Row],['# of Temporary Shelter Units Built]]+Table_Shelter[[#This Row],['# of Temporary Shelter Under  Construction]]+Table_Shelter[[#This Row],['# of Permanent House Under Construction]]),0)</f>
        <v>18</v>
      </c>
      <c r="Q215" s="148"/>
      <c r="R215" s="222"/>
      <c r="S215" s="222" t="str">
        <f>IFERROR(VLOOKUP(Table_Shelter[[#This Row],[CampName]],CL,2,0),"")</f>
        <v>MMR001CMP059</v>
      </c>
      <c r="T215" s="222" t="str">
        <f>IFERROR(VLOOKUP(Table_Shelter[[#This Row],[CampName]],CL,3,0),"")</f>
        <v>Open</v>
      </c>
      <c r="U215" s="393">
        <f>IFERROR(Table_Shelter[[#This Row],[HH Covered]]/VLOOKUP(Table_Shelter[[#This Row],[CampName]],CL,4,0),"")</f>
        <v>0.75</v>
      </c>
      <c r="V215" s="725" t="s">
        <v>1328</v>
      </c>
      <c r="W215" s="394"/>
    </row>
    <row r="216" spans="1:23" ht="15" customHeight="1" x14ac:dyDescent="0.25">
      <c r="A216" s="396"/>
      <c r="B216" s="220" t="s">
        <v>454</v>
      </c>
      <c r="C216" s="220"/>
      <c r="D216" s="223" t="s">
        <v>380</v>
      </c>
      <c r="E216" s="225" t="s">
        <v>185</v>
      </c>
      <c r="F216" s="220" t="s">
        <v>217</v>
      </c>
      <c r="G216" s="145">
        <v>1</v>
      </c>
      <c r="H216" s="149"/>
      <c r="I216" s="149"/>
      <c r="J216" s="149">
        <v>9</v>
      </c>
      <c r="K216" s="149">
        <v>9</v>
      </c>
      <c r="L216" s="222"/>
      <c r="M216" s="222"/>
      <c r="N216" s="222"/>
      <c r="O216" s="222"/>
      <c r="P216" s="148">
        <f>IF(V216="NO",Table_Shelter[[#This Row],[HH per Shelter]]*(Table_Shelter[[#This Row],['# of Temporary Shelter Units Built]]+Table_Shelter[[#This Row],['# of Temporary Shelter Under  Construction]]+Table_Shelter[[#This Row],['# of Permanent House Under Construction]]),0)</f>
        <v>9</v>
      </c>
      <c r="Q216" s="148"/>
      <c r="R216" s="222"/>
      <c r="S216" s="222" t="str">
        <f>IFERROR(VLOOKUP(Table_Shelter[[#This Row],[CampName]],CL,2,0),"")</f>
        <v>MMR001CMP059</v>
      </c>
      <c r="T216" s="222" t="str">
        <f>IFERROR(VLOOKUP(Table_Shelter[[#This Row],[CampName]],CL,3,0),"")</f>
        <v>Open</v>
      </c>
      <c r="U216" s="393">
        <f>IFERROR(Table_Shelter[[#This Row],[HH Covered]]/VLOOKUP(Table_Shelter[[#This Row],[CampName]],CL,4,0),"")</f>
        <v>0.375</v>
      </c>
      <c r="V216" s="725" t="s">
        <v>1328</v>
      </c>
      <c r="W216" s="394"/>
    </row>
    <row r="217" spans="1:23" ht="15" customHeight="1" x14ac:dyDescent="0.25">
      <c r="A217" s="396"/>
      <c r="B217" s="220" t="s">
        <v>854</v>
      </c>
      <c r="C217" s="220" t="s">
        <v>462</v>
      </c>
      <c r="D217" s="223" t="s">
        <v>380</v>
      </c>
      <c r="E217" s="225" t="s">
        <v>237</v>
      </c>
      <c r="F217" s="220" t="s">
        <v>269</v>
      </c>
      <c r="G217" s="145">
        <v>1</v>
      </c>
      <c r="H217" s="149"/>
      <c r="I217" s="149"/>
      <c r="J217" s="149">
        <v>32</v>
      </c>
      <c r="K217" s="149">
        <v>32</v>
      </c>
      <c r="L217" s="222"/>
      <c r="M217" s="222"/>
      <c r="N217" s="222"/>
      <c r="O217" s="222"/>
      <c r="P217" s="148">
        <f>IF(V217="NO",Table_Shelter[[#This Row],[HH per Shelter]]*(Table_Shelter[[#This Row],['# of Temporary Shelter Units Built]]+Table_Shelter[[#This Row],['# of Temporary Shelter Under  Construction]]+Table_Shelter[[#This Row],['# of Permanent House Under Construction]]),0)</f>
        <v>32</v>
      </c>
      <c r="Q217" s="148"/>
      <c r="R217" s="222"/>
      <c r="S217" s="222" t="str">
        <f>IFERROR(VLOOKUP(Table_Shelter[[#This Row],[CampName]],CL,2,0),"")</f>
        <v>MMR001CMP002</v>
      </c>
      <c r="T217" s="222" t="str">
        <f>IFERROR(VLOOKUP(Table_Shelter[[#This Row],[CampName]],CL,3,0),"")</f>
        <v>Open</v>
      </c>
      <c r="U217" s="393">
        <f>IFERROR(Table_Shelter[[#This Row],[HH Covered]]/VLOOKUP(Table_Shelter[[#This Row],[CampName]],CL,4,0),"")</f>
        <v>0.56140350877192979</v>
      </c>
      <c r="V217" s="725" t="s">
        <v>1328</v>
      </c>
      <c r="W217" s="394"/>
    </row>
    <row r="218" spans="1:23" ht="15" customHeight="1" x14ac:dyDescent="0.25">
      <c r="A218" s="396"/>
      <c r="B218" s="220" t="s">
        <v>454</v>
      </c>
      <c r="C218" s="220" t="s">
        <v>462</v>
      </c>
      <c r="D218" s="223" t="s">
        <v>380</v>
      </c>
      <c r="E218" s="225" t="s">
        <v>237</v>
      </c>
      <c r="F218" s="220" t="s">
        <v>269</v>
      </c>
      <c r="G218" s="145">
        <v>1</v>
      </c>
      <c r="H218" s="149"/>
      <c r="I218" s="149"/>
      <c r="J218" s="149">
        <v>20</v>
      </c>
      <c r="K218" s="149">
        <v>20</v>
      </c>
      <c r="L218" s="222"/>
      <c r="M218" s="222"/>
      <c r="N218" s="222"/>
      <c r="O218" s="222"/>
      <c r="P218" s="148">
        <f>IF(V218="NO",Table_Shelter[[#This Row],[HH per Shelter]]*(Table_Shelter[[#This Row],['# of Temporary Shelter Units Built]]+Table_Shelter[[#This Row],['# of Temporary Shelter Under  Construction]]+Table_Shelter[[#This Row],['# of Permanent House Under Construction]]),0)</f>
        <v>20</v>
      </c>
      <c r="Q218" s="148"/>
      <c r="R218" s="222"/>
      <c r="S218" s="222" t="str">
        <f>IFERROR(VLOOKUP(Table_Shelter[[#This Row],[CampName]],CL,2,0),"")</f>
        <v>MMR001CMP002</v>
      </c>
      <c r="T218" s="222" t="str">
        <f>IFERROR(VLOOKUP(Table_Shelter[[#This Row],[CampName]],CL,3,0),"")</f>
        <v>Open</v>
      </c>
      <c r="U218" s="393">
        <f>IFERROR(Table_Shelter[[#This Row],[HH Covered]]/VLOOKUP(Table_Shelter[[#This Row],[CampName]],CL,4,0),"")</f>
        <v>0.35087719298245612</v>
      </c>
      <c r="V218" s="725" t="s">
        <v>1328</v>
      </c>
      <c r="W218" s="394"/>
    </row>
    <row r="219" spans="1:23" ht="15" customHeight="1" x14ac:dyDescent="0.25">
      <c r="A219" s="396"/>
      <c r="B219" s="220" t="s">
        <v>454</v>
      </c>
      <c r="C219" s="220"/>
      <c r="D219" s="223" t="s">
        <v>380</v>
      </c>
      <c r="E219" s="225" t="s">
        <v>185</v>
      </c>
      <c r="F219" s="220" t="s">
        <v>229</v>
      </c>
      <c r="G219" s="145">
        <v>1</v>
      </c>
      <c r="H219" s="149"/>
      <c r="I219" s="149"/>
      <c r="J219" s="149">
        <v>45</v>
      </c>
      <c r="K219" s="149">
        <v>45</v>
      </c>
      <c r="L219" s="222"/>
      <c r="M219" s="222"/>
      <c r="N219" s="222"/>
      <c r="O219" s="222"/>
      <c r="P219" s="148">
        <f>IF(V219="NO",Table_Shelter[[#This Row],[HH per Shelter]]*(Table_Shelter[[#This Row],['# of Temporary Shelter Units Built]]+Table_Shelter[[#This Row],['# of Temporary Shelter Under  Construction]]+Table_Shelter[[#This Row],['# of Permanent House Under Construction]]),0)</f>
        <v>45</v>
      </c>
      <c r="Q219" s="148"/>
      <c r="R219" s="222"/>
      <c r="S219" s="222" t="str">
        <f>IFERROR(VLOOKUP(Table_Shelter[[#This Row],[CampName]],CL,2,0),"")</f>
        <v>MMR001CMP072</v>
      </c>
      <c r="T219" s="222" t="str">
        <f>IFERROR(VLOOKUP(Table_Shelter[[#This Row],[CampName]],CL,3,0),"")</f>
        <v>Open</v>
      </c>
      <c r="U219" s="393">
        <f>IFERROR(Table_Shelter[[#This Row],[HH Covered]]/VLOOKUP(Table_Shelter[[#This Row],[CampName]],CL,4,0),"")</f>
        <v>0.9</v>
      </c>
      <c r="V219" s="725" t="s">
        <v>1328</v>
      </c>
      <c r="W219" s="394"/>
    </row>
    <row r="220" spans="1:23" ht="15" customHeight="1" x14ac:dyDescent="0.25">
      <c r="A220" s="395">
        <v>42416</v>
      </c>
      <c r="B220" s="220" t="s">
        <v>454</v>
      </c>
      <c r="C220" s="220" t="s">
        <v>508</v>
      </c>
      <c r="D220" s="223" t="s">
        <v>380</v>
      </c>
      <c r="E220" s="525" t="s">
        <v>237</v>
      </c>
      <c r="F220" s="220" t="s">
        <v>273</v>
      </c>
      <c r="G220" s="145">
        <v>1</v>
      </c>
      <c r="H220" s="149"/>
      <c r="I220" s="149"/>
      <c r="J220" s="149">
        <v>14</v>
      </c>
      <c r="K220" s="149">
        <v>14</v>
      </c>
      <c r="L220" s="222"/>
      <c r="M220" s="222"/>
      <c r="N220" s="222"/>
      <c r="O220" s="222"/>
      <c r="P220" s="148">
        <f>IF(V220="NO",Table_Shelter[[#This Row],[HH per Shelter]]*(Table_Shelter[[#This Row],['# of Temporary Shelter Units Built]]+Table_Shelter[[#This Row],['# of Temporary Shelter Under  Construction]]+Table_Shelter[[#This Row],['# of Permanent House Under Construction]]),0)</f>
        <v>14</v>
      </c>
      <c r="Q220" s="148"/>
      <c r="R220" s="222"/>
      <c r="S220" s="222" t="str">
        <f>IFERROR(VLOOKUP(Table_Shelter[[#This Row],[CampName]],CL,2,0),"")</f>
        <v>MMR001CMP162</v>
      </c>
      <c r="T220" s="222" t="str">
        <f>IFERROR(VLOOKUP(Table_Shelter[[#This Row],[CampName]],CL,3,0),"")</f>
        <v>Open</v>
      </c>
      <c r="U220" s="393">
        <f>IFERROR(Table_Shelter[[#This Row],[HH Covered]]/VLOOKUP(Table_Shelter[[#This Row],[CampName]],CL,4,0),"")</f>
        <v>0.31111111111111112</v>
      </c>
      <c r="V220" s="725" t="s">
        <v>1328</v>
      </c>
      <c r="W220" s="394"/>
    </row>
    <row r="221" spans="1:23" ht="15" customHeight="1" x14ac:dyDescent="0.25">
      <c r="A221" s="396"/>
      <c r="B221" s="220" t="s">
        <v>594</v>
      </c>
      <c r="C221" s="220" t="s">
        <v>508</v>
      </c>
      <c r="D221" s="223" t="s">
        <v>380</v>
      </c>
      <c r="E221" s="225" t="s">
        <v>237</v>
      </c>
      <c r="F221" s="220" t="s">
        <v>273</v>
      </c>
      <c r="G221" s="145">
        <v>1</v>
      </c>
      <c r="H221" s="149"/>
      <c r="I221" s="149"/>
      <c r="J221" s="149">
        <v>30</v>
      </c>
      <c r="K221" s="149">
        <v>30</v>
      </c>
      <c r="L221" s="222"/>
      <c r="M221" s="222"/>
      <c r="N221" s="222"/>
      <c r="O221" s="222"/>
      <c r="P221" s="148">
        <f>IF(V221="NO",Table_Shelter[[#This Row],[HH per Shelter]]*(Table_Shelter[[#This Row],['# of Temporary Shelter Units Built]]+Table_Shelter[[#This Row],['# of Temporary Shelter Under  Construction]]+Table_Shelter[[#This Row],['# of Permanent House Under Construction]]),0)</f>
        <v>30</v>
      </c>
      <c r="Q221" s="148"/>
      <c r="R221" s="222"/>
      <c r="S221" s="222" t="str">
        <f>IFERROR(VLOOKUP(Table_Shelter[[#This Row],[CampName]],CL,2,0),"")</f>
        <v>MMR001CMP162</v>
      </c>
      <c r="T221" s="222" t="str">
        <f>IFERROR(VLOOKUP(Table_Shelter[[#This Row],[CampName]],CL,3,0),"")</f>
        <v>Open</v>
      </c>
      <c r="U221" s="393">
        <f>IFERROR(Table_Shelter[[#This Row],[HH Covered]]/VLOOKUP(Table_Shelter[[#This Row],[CampName]],CL,4,0),"")</f>
        <v>0.66666666666666663</v>
      </c>
      <c r="V221" s="725" t="s">
        <v>1328</v>
      </c>
      <c r="W221" s="394"/>
    </row>
    <row r="222" spans="1:23" ht="15" customHeight="1" x14ac:dyDescent="0.25">
      <c r="A222" s="396">
        <v>41974</v>
      </c>
      <c r="B222" s="220" t="s">
        <v>455</v>
      </c>
      <c r="C222" s="220"/>
      <c r="D222" s="223" t="s">
        <v>380</v>
      </c>
      <c r="E222" s="225" t="s">
        <v>185</v>
      </c>
      <c r="F222" s="220" t="s">
        <v>219</v>
      </c>
      <c r="G222" s="145">
        <v>1</v>
      </c>
      <c r="H222" s="149"/>
      <c r="I222" s="149"/>
      <c r="J222" s="149">
        <v>394</v>
      </c>
      <c r="K222" s="149">
        <v>140</v>
      </c>
      <c r="L222" s="222"/>
      <c r="M222" s="222"/>
      <c r="N222" s="222"/>
      <c r="O222" s="222"/>
      <c r="P222" s="148">
        <f>IF(V222="NO",Table_Shelter[[#This Row],[HH per Shelter]]*(Table_Shelter[[#This Row],['# of Temporary Shelter Units Built]]+Table_Shelter[[#This Row],['# of Temporary Shelter Under  Construction]]+Table_Shelter[[#This Row],['# of Permanent House Under Construction]]),0)</f>
        <v>140</v>
      </c>
      <c r="Q222" s="148"/>
      <c r="R222" s="222"/>
      <c r="S222" s="222" t="str">
        <f>IFERROR(VLOOKUP(Table_Shelter[[#This Row],[CampName]],CL,2,0),"")</f>
        <v>MMR001CMP126</v>
      </c>
      <c r="T222" s="222" t="str">
        <f>IFERROR(VLOOKUP(Table_Shelter[[#This Row],[CampName]],CL,3,0),"")</f>
        <v>Open</v>
      </c>
      <c r="U222" s="393">
        <f>IFERROR(Table_Shelter[[#This Row],[HH Covered]]/VLOOKUP(Table_Shelter[[#This Row],[CampName]],CL,4,0),"")</f>
        <v>0.206794682422452</v>
      </c>
      <c r="V222" s="725" t="s">
        <v>1328</v>
      </c>
      <c r="W222" s="394"/>
    </row>
    <row r="223" spans="1:23" ht="15" customHeight="1" x14ac:dyDescent="0.25">
      <c r="A223" s="395">
        <v>42422</v>
      </c>
      <c r="B223" s="220" t="s">
        <v>455</v>
      </c>
      <c r="C223" s="220"/>
      <c r="D223" s="223" t="s">
        <v>380</v>
      </c>
      <c r="E223" s="525" t="s">
        <v>185</v>
      </c>
      <c r="F223" s="220" t="s">
        <v>219</v>
      </c>
      <c r="G223" s="145">
        <v>1</v>
      </c>
      <c r="H223" s="149"/>
      <c r="I223" s="149"/>
      <c r="J223" s="149">
        <v>254</v>
      </c>
      <c r="K223" s="149">
        <v>254</v>
      </c>
      <c r="L223" s="222"/>
      <c r="M223" s="222"/>
      <c r="N223" s="222"/>
      <c r="O223" s="222"/>
      <c r="P223" s="148">
        <f>IF(V223="NO",Table_Shelter[[#This Row],[HH per Shelter]]*(Table_Shelter[[#This Row],['# of Temporary Shelter Units Built]]+Table_Shelter[[#This Row],['# of Temporary Shelter Under  Construction]]+Table_Shelter[[#This Row],['# of Permanent House Under Construction]]),0)</f>
        <v>0</v>
      </c>
      <c r="Q223" s="148"/>
      <c r="R223" s="222"/>
      <c r="S223" s="222" t="str">
        <f>IFERROR(VLOOKUP(Table_Shelter[[#This Row],[CampName]],CL,2,0),"")</f>
        <v>MMR001CMP126</v>
      </c>
      <c r="T223" s="222" t="str">
        <f>IFERROR(VLOOKUP(Table_Shelter[[#This Row],[CampName]],CL,3,0),"")</f>
        <v>Open</v>
      </c>
      <c r="U223" s="393">
        <f>IFERROR(Table_Shelter[[#This Row],[HH Covered]]/VLOOKUP(Table_Shelter[[#This Row],[CampName]],CL,4,0),"")</f>
        <v>0</v>
      </c>
      <c r="V223" s="725" t="s">
        <v>1327</v>
      </c>
      <c r="W223" s="394"/>
    </row>
    <row r="224" spans="1:23" ht="15" customHeight="1" x14ac:dyDescent="0.25">
      <c r="A224" s="396"/>
      <c r="B224" s="220" t="s">
        <v>594</v>
      </c>
      <c r="C224" s="220" t="s">
        <v>574</v>
      </c>
      <c r="D224" s="223" t="s">
        <v>380</v>
      </c>
      <c r="E224" s="525" t="s">
        <v>185</v>
      </c>
      <c r="F224" s="220" t="s">
        <v>219</v>
      </c>
      <c r="G224" s="145">
        <v>1</v>
      </c>
      <c r="H224" s="149"/>
      <c r="I224" s="149"/>
      <c r="J224" s="149">
        <v>447</v>
      </c>
      <c r="K224" s="149">
        <v>447</v>
      </c>
      <c r="L224" s="222"/>
      <c r="M224" s="222"/>
      <c r="N224" s="222"/>
      <c r="O224" s="222"/>
      <c r="P224" s="148">
        <f>IF(V224="NO",Table_Shelter[[#This Row],[HH per Shelter]]*(Table_Shelter[[#This Row],['# of Temporary Shelter Units Built]]+Table_Shelter[[#This Row],['# of Temporary Shelter Under  Construction]]+Table_Shelter[[#This Row],['# of Permanent House Under Construction]]),0)</f>
        <v>447</v>
      </c>
      <c r="Q224" s="148"/>
      <c r="R224" s="222"/>
      <c r="S224" s="222" t="str">
        <f>IFERROR(VLOOKUP(Table_Shelter[[#This Row],[CampName]],CL,2,0),"")</f>
        <v>MMR001CMP126</v>
      </c>
      <c r="T224" s="222" t="str">
        <f>IFERROR(VLOOKUP(Table_Shelter[[#This Row],[CampName]],CL,3,0),"")</f>
        <v>Open</v>
      </c>
      <c r="U224" s="393">
        <f>IFERROR(Table_Shelter[[#This Row],[HH Covered]]/VLOOKUP(Table_Shelter[[#This Row],[CampName]],CL,4,0),"")</f>
        <v>0.66026587887740029</v>
      </c>
      <c r="V224" s="725" t="s">
        <v>1328</v>
      </c>
      <c r="W224" s="394"/>
    </row>
    <row r="225" spans="1:23" ht="15" customHeight="1" x14ac:dyDescent="0.25">
      <c r="A225" s="396"/>
      <c r="B225" s="220" t="s">
        <v>454</v>
      </c>
      <c r="C225" s="220" t="s">
        <v>461</v>
      </c>
      <c r="D225" s="223" t="s">
        <v>380</v>
      </c>
      <c r="E225" s="525" t="s">
        <v>185</v>
      </c>
      <c r="F225" s="220" t="s">
        <v>219</v>
      </c>
      <c r="G225" s="145">
        <v>1</v>
      </c>
      <c r="H225" s="149"/>
      <c r="I225" s="149"/>
      <c r="J225" s="149">
        <v>130</v>
      </c>
      <c r="K225" s="149">
        <v>130</v>
      </c>
      <c r="L225" s="222"/>
      <c r="M225" s="222"/>
      <c r="N225" s="222"/>
      <c r="O225" s="222"/>
      <c r="P225" s="148">
        <f>IF(V225="NO",Table_Shelter[[#This Row],[HH per Shelter]]*(Table_Shelter[[#This Row],['# of Temporary Shelter Units Built]]+Table_Shelter[[#This Row],['# of Temporary Shelter Under  Construction]]+Table_Shelter[[#This Row],['# of Permanent House Under Construction]]),0)</f>
        <v>130</v>
      </c>
      <c r="Q225" s="148"/>
      <c r="R225" s="222"/>
      <c r="S225" s="222" t="str">
        <f>IFERROR(VLOOKUP(Table_Shelter[[#This Row],[CampName]],CL,2,0),"")</f>
        <v>MMR001CMP126</v>
      </c>
      <c r="T225" s="222" t="str">
        <f>IFERROR(VLOOKUP(Table_Shelter[[#This Row],[CampName]],CL,3,0),"")</f>
        <v>Open</v>
      </c>
      <c r="U225" s="393">
        <f>IFERROR(Table_Shelter[[#This Row],[HH Covered]]/VLOOKUP(Table_Shelter[[#This Row],[CampName]],CL,4,0),"")</f>
        <v>0.19202363367799113</v>
      </c>
      <c r="V225" s="725" t="s">
        <v>1328</v>
      </c>
      <c r="W225" s="394"/>
    </row>
    <row r="226" spans="1:23" ht="15" customHeight="1" x14ac:dyDescent="0.25">
      <c r="A226" s="396">
        <v>41609</v>
      </c>
      <c r="B226" s="220" t="s">
        <v>454</v>
      </c>
      <c r="C226" s="220" t="s">
        <v>462</v>
      </c>
      <c r="D226" s="223" t="s">
        <v>380</v>
      </c>
      <c r="E226" s="525" t="s">
        <v>310</v>
      </c>
      <c r="F226" s="220" t="s">
        <v>1257</v>
      </c>
      <c r="G226" s="145">
        <v>1</v>
      </c>
      <c r="H226" s="149"/>
      <c r="I226" s="149"/>
      <c r="J226" s="149">
        <v>11</v>
      </c>
      <c r="K226" s="149">
        <v>11</v>
      </c>
      <c r="L226" s="222"/>
      <c r="M226" s="222"/>
      <c r="N226" s="222"/>
      <c r="O226" s="222"/>
      <c r="P226" s="148">
        <f>IF(V226="NO",Table_Shelter[[#This Row],[HH per Shelter]]*(Table_Shelter[[#This Row],['# of Temporary Shelter Units Built]]+Table_Shelter[[#This Row],['# of Temporary Shelter Under  Construction]]+Table_Shelter[[#This Row],['# of Permanent House Under Construction]]),0)</f>
        <v>11</v>
      </c>
      <c r="Q226" s="148"/>
      <c r="R226" s="148"/>
      <c r="S226" s="148" t="str">
        <f>IFERROR(VLOOKUP(Table_Shelter[[#This Row],[CampName]],CL,2,0),"")</f>
        <v>MMR001CMP120</v>
      </c>
      <c r="T226" s="148" t="str">
        <f>IFERROR(VLOOKUP(Table_Shelter[[#This Row],[CampName]],CL,3,0),"")</f>
        <v>Open</v>
      </c>
      <c r="U226" s="393">
        <f>IFERROR(Table_Shelter[[#This Row],[HH Covered]]/VLOOKUP(Table_Shelter[[#This Row],[CampName]],CL,4,0),"")</f>
        <v>5.7591623036649213E-2</v>
      </c>
      <c r="V226" s="725" t="s">
        <v>1328</v>
      </c>
      <c r="W226" s="397"/>
    </row>
    <row r="227" spans="1:23" ht="15" customHeight="1" x14ac:dyDescent="0.25">
      <c r="A227" s="396"/>
      <c r="B227" s="220" t="s">
        <v>454</v>
      </c>
      <c r="C227" s="220" t="s">
        <v>462</v>
      </c>
      <c r="D227" s="223" t="s">
        <v>380</v>
      </c>
      <c r="E227" s="525" t="s">
        <v>310</v>
      </c>
      <c r="F227" s="220" t="s">
        <v>1257</v>
      </c>
      <c r="G227" s="145">
        <v>1</v>
      </c>
      <c r="H227" s="149"/>
      <c r="I227" s="149"/>
      <c r="J227" s="149">
        <v>24</v>
      </c>
      <c r="K227" s="149">
        <v>24</v>
      </c>
      <c r="L227" s="222"/>
      <c r="M227" s="222"/>
      <c r="N227" s="222"/>
      <c r="O227" s="222"/>
      <c r="P227" s="148">
        <f>IF(V227="NO",Table_Shelter[[#This Row],[HH per Shelter]]*(Table_Shelter[[#This Row],['# of Temporary Shelter Units Built]]+Table_Shelter[[#This Row],['# of Temporary Shelter Under  Construction]]+Table_Shelter[[#This Row],['# of Permanent House Under Construction]]),0)</f>
        <v>24</v>
      </c>
      <c r="Q227" s="148"/>
      <c r="R227" s="222"/>
      <c r="S227" s="222" t="str">
        <f>IFERROR(VLOOKUP(Table_Shelter[[#This Row],[CampName]],CL,2,0),"")</f>
        <v>MMR001CMP120</v>
      </c>
      <c r="T227" s="222" t="str">
        <f>IFERROR(VLOOKUP(Table_Shelter[[#This Row],[CampName]],CL,3,0),"")</f>
        <v>Open</v>
      </c>
      <c r="U227" s="393">
        <f>IFERROR(Table_Shelter[[#This Row],[HH Covered]]/VLOOKUP(Table_Shelter[[#This Row],[CampName]],CL,4,0),"")</f>
        <v>0.1256544502617801</v>
      </c>
      <c r="V227" s="725" t="s">
        <v>1328</v>
      </c>
      <c r="W227" s="394"/>
    </row>
    <row r="228" spans="1:23" ht="15" customHeight="1" x14ac:dyDescent="0.25">
      <c r="A228" s="396"/>
      <c r="B228" s="220" t="s">
        <v>454</v>
      </c>
      <c r="C228" s="220" t="s">
        <v>508</v>
      </c>
      <c r="D228" s="223" t="s">
        <v>380</v>
      </c>
      <c r="E228" s="525" t="s">
        <v>27</v>
      </c>
      <c r="F228" s="220" t="s">
        <v>870</v>
      </c>
      <c r="G228" s="145">
        <v>1</v>
      </c>
      <c r="H228" s="149"/>
      <c r="I228" s="149"/>
      <c r="J228" s="149"/>
      <c r="K228" s="149"/>
      <c r="L228" s="222"/>
      <c r="M228" s="222"/>
      <c r="N228" s="222"/>
      <c r="O228" s="222"/>
      <c r="P228" s="148">
        <f>IF(V228="NO",Table_Shelter[[#This Row],[HH per Shelter]]*(Table_Shelter[[#This Row],['# of Temporary Shelter Units Built]]+Table_Shelter[[#This Row],['# of Temporary Shelter Under  Construction]]+Table_Shelter[[#This Row],['# of Permanent House Under Construction]]),0)</f>
        <v>0</v>
      </c>
      <c r="Q228" s="148">
        <v>40</v>
      </c>
      <c r="R228" s="222"/>
      <c r="S228" s="222" t="str">
        <f>IFERROR(VLOOKUP(Table_Shelter[[#This Row],[CampName]],CL,2,0),"")</f>
        <v>MMR001CMP210</v>
      </c>
      <c r="T228" s="222" t="str">
        <f>IFERROR(VLOOKUP(Table_Shelter[[#This Row],[CampName]],CL,3,0),"")</f>
        <v>Open</v>
      </c>
      <c r="U228" s="393">
        <f>IFERROR(Table_Shelter[[#This Row],[HH Covered]]/VLOOKUP(Table_Shelter[[#This Row],[CampName]],CL,4,0),"")</f>
        <v>0</v>
      </c>
      <c r="V228" s="725" t="s">
        <v>1328</v>
      </c>
      <c r="W228" s="394"/>
    </row>
    <row r="229" spans="1:23" ht="15" customHeight="1" x14ac:dyDescent="0.25">
      <c r="A229" s="396">
        <v>41609</v>
      </c>
      <c r="B229" s="220" t="s">
        <v>454</v>
      </c>
      <c r="C229" s="220" t="s">
        <v>462</v>
      </c>
      <c r="D229" s="223" t="s">
        <v>380</v>
      </c>
      <c r="E229" s="525" t="s">
        <v>5</v>
      </c>
      <c r="F229" s="220" t="s">
        <v>366</v>
      </c>
      <c r="G229" s="145">
        <v>1</v>
      </c>
      <c r="H229" s="149"/>
      <c r="I229" s="149"/>
      <c r="J229" s="149">
        <v>50</v>
      </c>
      <c r="K229" s="149">
        <v>50</v>
      </c>
      <c r="L229" s="222"/>
      <c r="M229" s="222"/>
      <c r="N229" s="222"/>
      <c r="O229" s="222"/>
      <c r="P229" s="148">
        <f>IF(V229="NO",Table_Shelter[[#This Row],[HH per Shelter]]*(Table_Shelter[[#This Row],['# of Temporary Shelter Units Built]]+Table_Shelter[[#This Row],['# of Temporary Shelter Under  Construction]]+Table_Shelter[[#This Row],['# of Permanent House Under Construction]]),0)</f>
        <v>50</v>
      </c>
      <c r="Q229" s="148"/>
      <c r="R229" s="222"/>
      <c r="S229" s="222" t="str">
        <f>IFERROR(VLOOKUP(Table_Shelter[[#This Row],[CampName]],CL,2,0),"")</f>
        <v>MMR001CMP193</v>
      </c>
      <c r="T229" s="222" t="str">
        <f>IFERROR(VLOOKUP(Table_Shelter[[#This Row],[CampName]],CL,3,0),"")</f>
        <v>Open</v>
      </c>
      <c r="U229" s="393">
        <f>IFERROR(Table_Shelter[[#This Row],[HH Covered]]/VLOOKUP(Table_Shelter[[#This Row],[CampName]],CL,4,0),"")</f>
        <v>0.31847133757961782</v>
      </c>
      <c r="V229" s="725" t="s">
        <v>1328</v>
      </c>
      <c r="W229" s="819"/>
    </row>
    <row r="230" spans="1:23" ht="15" customHeight="1" x14ac:dyDescent="0.25">
      <c r="A230" s="396">
        <v>41791</v>
      </c>
      <c r="B230" s="220" t="s">
        <v>454</v>
      </c>
      <c r="C230" s="220" t="s">
        <v>462</v>
      </c>
      <c r="D230" s="223" t="s">
        <v>380</v>
      </c>
      <c r="E230" s="525" t="s">
        <v>5</v>
      </c>
      <c r="F230" s="220" t="s">
        <v>366</v>
      </c>
      <c r="G230" s="145">
        <v>1</v>
      </c>
      <c r="H230" s="149"/>
      <c r="I230" s="149"/>
      <c r="J230" s="149">
        <v>10</v>
      </c>
      <c r="K230" s="149">
        <v>10</v>
      </c>
      <c r="L230" s="222"/>
      <c r="M230" s="222"/>
      <c r="N230" s="222"/>
      <c r="O230" s="222"/>
      <c r="P230" s="148">
        <f>IF(V230="NO",Table_Shelter[[#This Row],[HH per Shelter]]*(Table_Shelter[[#This Row],['# of Temporary Shelter Units Built]]+Table_Shelter[[#This Row],['# of Temporary Shelter Under  Construction]]+Table_Shelter[[#This Row],['# of Permanent House Under Construction]]),0)</f>
        <v>10</v>
      </c>
      <c r="Q230" s="148"/>
      <c r="R230" s="148"/>
      <c r="S230" s="148" t="str">
        <f>IFERROR(VLOOKUP(Table_Shelter[[#This Row],[CampName]],CL,2,0),"")</f>
        <v>MMR001CMP193</v>
      </c>
      <c r="T230" s="148" t="str">
        <f>IFERROR(VLOOKUP(Table_Shelter[[#This Row],[CampName]],CL,3,0),"")</f>
        <v>Open</v>
      </c>
      <c r="U230" s="393">
        <f>IFERROR(Table_Shelter[[#This Row],[HH Covered]]/VLOOKUP(Table_Shelter[[#This Row],[CampName]],CL,4,0),"")</f>
        <v>6.3694267515923567E-2</v>
      </c>
      <c r="V230" s="725" t="s">
        <v>1328</v>
      </c>
      <c r="W230" s="397"/>
    </row>
    <row r="231" spans="1:23" ht="15" customHeight="1" x14ac:dyDescent="0.25">
      <c r="A231" s="396"/>
      <c r="B231" s="220" t="s">
        <v>852</v>
      </c>
      <c r="C231" s="220"/>
      <c r="D231" s="223" t="s">
        <v>380</v>
      </c>
      <c r="E231" s="525" t="s">
        <v>5</v>
      </c>
      <c r="F231" s="220" t="s">
        <v>366</v>
      </c>
      <c r="G231" s="145">
        <v>1</v>
      </c>
      <c r="H231" s="149"/>
      <c r="I231" s="149"/>
      <c r="J231" s="149">
        <v>36</v>
      </c>
      <c r="K231" s="149">
        <v>36</v>
      </c>
      <c r="L231" s="222"/>
      <c r="M231" s="222"/>
      <c r="N231" s="222"/>
      <c r="O231" s="222"/>
      <c r="P231" s="148">
        <f>IF(V231="NO",Table_Shelter[[#This Row],[HH per Shelter]]*(Table_Shelter[[#This Row],['# of Temporary Shelter Units Built]]+Table_Shelter[[#This Row],['# of Temporary Shelter Under  Construction]]+Table_Shelter[[#This Row],['# of Permanent House Under Construction]]),0)</f>
        <v>36</v>
      </c>
      <c r="Q231" s="148"/>
      <c r="R231" s="222"/>
      <c r="S231" s="222" t="str">
        <f>IFERROR(VLOOKUP(Table_Shelter[[#This Row],[CampName]],CL,2,0),"")</f>
        <v>MMR001CMP193</v>
      </c>
      <c r="T231" s="222" t="str">
        <f>IFERROR(VLOOKUP(Table_Shelter[[#This Row],[CampName]],CL,3,0),"")</f>
        <v>Open</v>
      </c>
      <c r="U231" s="393">
        <f>IFERROR(Table_Shelter[[#This Row],[HH Covered]]/VLOOKUP(Table_Shelter[[#This Row],[CampName]],CL,4,0),"")</f>
        <v>0.22929936305732485</v>
      </c>
      <c r="V231" s="725" t="s">
        <v>1328</v>
      </c>
      <c r="W231" s="819"/>
    </row>
    <row r="232" spans="1:23" ht="15" customHeight="1" x14ac:dyDescent="0.25">
      <c r="A232" s="396"/>
      <c r="B232" s="220" t="s">
        <v>454</v>
      </c>
      <c r="C232" s="220"/>
      <c r="D232" s="223" t="s">
        <v>380</v>
      </c>
      <c r="E232" s="525" t="s">
        <v>5</v>
      </c>
      <c r="F232" s="220" t="s">
        <v>366</v>
      </c>
      <c r="G232" s="145">
        <v>1</v>
      </c>
      <c r="H232" s="149"/>
      <c r="I232" s="149"/>
      <c r="J232" s="149">
        <v>30</v>
      </c>
      <c r="K232" s="149">
        <v>30</v>
      </c>
      <c r="L232" s="222"/>
      <c r="M232" s="222"/>
      <c r="N232" s="222"/>
      <c r="O232" s="222"/>
      <c r="P232" s="148">
        <f>IF(V232="NO",Table_Shelter[[#This Row],[HH per Shelter]]*(Table_Shelter[[#This Row],['# of Temporary Shelter Units Built]]+Table_Shelter[[#This Row],['# of Temporary Shelter Under  Construction]]+Table_Shelter[[#This Row],['# of Permanent House Under Construction]]),0)</f>
        <v>30</v>
      </c>
      <c r="Q232" s="148"/>
      <c r="R232" s="222"/>
      <c r="S232" s="222" t="str">
        <f>IFERROR(VLOOKUP(Table_Shelter[[#This Row],[CampName]],CL,2,0),"")</f>
        <v>MMR001CMP193</v>
      </c>
      <c r="T232" s="222" t="str">
        <f>IFERROR(VLOOKUP(Table_Shelter[[#This Row],[CampName]],CL,3,0),"")</f>
        <v>Open</v>
      </c>
      <c r="U232" s="393">
        <f>IFERROR(Table_Shelter[[#This Row],[HH Covered]]/VLOOKUP(Table_Shelter[[#This Row],[CampName]],CL,4,0),"")</f>
        <v>0.19108280254777071</v>
      </c>
      <c r="V232" s="725" t="s">
        <v>1328</v>
      </c>
      <c r="W232" s="819"/>
    </row>
    <row r="233" spans="1:23" ht="15" customHeight="1" x14ac:dyDescent="0.25">
      <c r="A233" s="395">
        <v>42422</v>
      </c>
      <c r="B233" s="220" t="s">
        <v>455</v>
      </c>
      <c r="C233" s="220"/>
      <c r="D233" s="223" t="s">
        <v>380</v>
      </c>
      <c r="E233" s="525" t="s">
        <v>310</v>
      </c>
      <c r="F233" s="220" t="s">
        <v>355</v>
      </c>
      <c r="G233" s="145">
        <v>1</v>
      </c>
      <c r="H233" s="149"/>
      <c r="I233" s="149"/>
      <c r="J233" s="149">
        <v>66</v>
      </c>
      <c r="K233" s="149">
        <v>66</v>
      </c>
      <c r="L233" s="222"/>
      <c r="M233" s="222"/>
      <c r="N233" s="222"/>
      <c r="O233" s="222"/>
      <c r="P233" s="148">
        <f>IF(V233="NO",Table_Shelter[[#This Row],[HH per Shelter]]*(Table_Shelter[[#This Row],['# of Temporary Shelter Units Built]]+Table_Shelter[[#This Row],['# of Temporary Shelter Under  Construction]]+Table_Shelter[[#This Row],['# of Permanent House Under Construction]]),0)</f>
        <v>0</v>
      </c>
      <c r="Q233" s="148"/>
      <c r="R233" s="222"/>
      <c r="S233" s="222" t="str">
        <f>IFERROR(VLOOKUP(Table_Shelter[[#This Row],[CampName]],CL,2,0),"")</f>
        <v>MMR001CMP160</v>
      </c>
      <c r="T233" s="222" t="str">
        <f>IFERROR(VLOOKUP(Table_Shelter[[#This Row],[CampName]],CL,3,0),"")</f>
        <v>Open</v>
      </c>
      <c r="U233" s="393">
        <f>IFERROR(Table_Shelter[[#This Row],[HH Covered]]/VLOOKUP(Table_Shelter[[#This Row],[CampName]],CL,4,0),"")</f>
        <v>0</v>
      </c>
      <c r="V233" s="725" t="s">
        <v>1327</v>
      </c>
      <c r="W233" s="819"/>
    </row>
    <row r="234" spans="1:23" ht="15" customHeight="1" x14ac:dyDescent="0.25">
      <c r="A234" s="396"/>
      <c r="B234" s="220" t="s">
        <v>868</v>
      </c>
      <c r="C234" s="220"/>
      <c r="D234" s="223" t="s">
        <v>380</v>
      </c>
      <c r="E234" s="525" t="s">
        <v>310</v>
      </c>
      <c r="F234" s="220" t="s">
        <v>355</v>
      </c>
      <c r="G234" s="145">
        <v>1</v>
      </c>
      <c r="H234" s="149">
        <v>207</v>
      </c>
      <c r="I234" s="149">
        <v>207</v>
      </c>
      <c r="J234" s="149"/>
      <c r="K234" s="149"/>
      <c r="L234" s="222"/>
      <c r="M234" s="222"/>
      <c r="N234" s="222"/>
      <c r="O234" s="222"/>
      <c r="P234" s="148">
        <f>IF(V234="NO",Table_Shelter[[#This Row],[HH per Shelter]]*(Table_Shelter[[#This Row],['# of Temporary Shelter Units Built]]+Table_Shelter[[#This Row],['# of Temporary Shelter Under  Construction]]+Table_Shelter[[#This Row],['# of Permanent House Under Construction]]),0)</f>
        <v>0</v>
      </c>
      <c r="Q234" s="148"/>
      <c r="R234" s="222"/>
      <c r="S234" s="222" t="str">
        <f>IFERROR(VLOOKUP(Table_Shelter[[#This Row],[CampName]],CL,2,0),"")</f>
        <v>MMR001CMP160</v>
      </c>
      <c r="T234" s="222" t="str">
        <f>IFERROR(VLOOKUP(Table_Shelter[[#This Row],[CampName]],CL,3,0),"")</f>
        <v>Open</v>
      </c>
      <c r="U234" s="393">
        <f>IFERROR(Table_Shelter[[#This Row],[HH Covered]]/VLOOKUP(Table_Shelter[[#This Row],[CampName]],CL,4,0),"")</f>
        <v>0</v>
      </c>
      <c r="V234" s="725" t="s">
        <v>1328</v>
      </c>
      <c r="W234" s="394"/>
    </row>
    <row r="235" spans="1:23" ht="15" customHeight="1" x14ac:dyDescent="0.25">
      <c r="A235" s="396">
        <v>41609</v>
      </c>
      <c r="B235" s="220" t="s">
        <v>454</v>
      </c>
      <c r="C235" s="220" t="s">
        <v>507</v>
      </c>
      <c r="D235" s="223" t="s">
        <v>380</v>
      </c>
      <c r="E235" s="525" t="s">
        <v>310</v>
      </c>
      <c r="F235" s="220" t="s">
        <v>318</v>
      </c>
      <c r="G235" s="145">
        <v>1</v>
      </c>
      <c r="H235" s="149"/>
      <c r="I235" s="149"/>
      <c r="J235" s="149">
        <v>10</v>
      </c>
      <c r="K235" s="149">
        <v>10</v>
      </c>
      <c r="L235" s="222"/>
      <c r="M235" s="222"/>
      <c r="N235" s="222"/>
      <c r="O235" s="222"/>
      <c r="P235" s="148">
        <f>IF(V235="NO",Table_Shelter[[#This Row],[HH per Shelter]]*(Table_Shelter[[#This Row],['# of Temporary Shelter Units Built]]+Table_Shelter[[#This Row],['# of Temporary Shelter Under  Construction]]+Table_Shelter[[#This Row],['# of Permanent House Under Construction]]),0)</f>
        <v>10</v>
      </c>
      <c r="Q235" s="148"/>
      <c r="R235" s="148"/>
      <c r="S235" s="148" t="str">
        <f>IFERROR(VLOOKUP(Table_Shelter[[#This Row],[CampName]],CL,2,0),"")</f>
        <v>MMR001CMP032</v>
      </c>
      <c r="T235" s="148" t="str">
        <f>IFERROR(VLOOKUP(Table_Shelter[[#This Row],[CampName]],CL,3,0),"")</f>
        <v>Open</v>
      </c>
      <c r="U235" s="393">
        <f>IFERROR(Table_Shelter[[#This Row],[HH Covered]]/VLOOKUP(Table_Shelter[[#This Row],[CampName]],CL,4,0),"")</f>
        <v>0.10638297872340426</v>
      </c>
      <c r="V235" s="725" t="s">
        <v>1328</v>
      </c>
      <c r="W235" s="397"/>
    </row>
    <row r="236" spans="1:23" ht="15" customHeight="1" x14ac:dyDescent="0.25">
      <c r="A236" s="396">
        <v>41974</v>
      </c>
      <c r="B236" s="220" t="s">
        <v>454</v>
      </c>
      <c r="C236" s="220" t="s">
        <v>507</v>
      </c>
      <c r="D236" s="223" t="s">
        <v>380</v>
      </c>
      <c r="E236" s="525" t="s">
        <v>310</v>
      </c>
      <c r="F236" s="220" t="s">
        <v>318</v>
      </c>
      <c r="G236" s="145">
        <v>1</v>
      </c>
      <c r="H236" s="149"/>
      <c r="I236" s="149"/>
      <c r="J236" s="149">
        <v>21</v>
      </c>
      <c r="K236" s="149">
        <v>21</v>
      </c>
      <c r="L236" s="222"/>
      <c r="M236" s="222"/>
      <c r="N236" s="222"/>
      <c r="O236" s="222"/>
      <c r="P236" s="148">
        <f>IF(V236="NO",Table_Shelter[[#This Row],[HH per Shelter]]*(Table_Shelter[[#This Row],['# of Temporary Shelter Units Built]]+Table_Shelter[[#This Row],['# of Temporary Shelter Under  Construction]]+Table_Shelter[[#This Row],['# of Permanent House Under Construction]]),0)</f>
        <v>21</v>
      </c>
      <c r="Q236" s="148"/>
      <c r="R236" s="148"/>
      <c r="S236" s="148" t="str">
        <f>IFERROR(VLOOKUP(Table_Shelter[[#This Row],[CampName]],CL,2,0),"")</f>
        <v>MMR001CMP032</v>
      </c>
      <c r="T236" s="148" t="str">
        <f>IFERROR(VLOOKUP(Table_Shelter[[#This Row],[CampName]],CL,3,0),"")</f>
        <v>Open</v>
      </c>
      <c r="U236" s="393">
        <f>IFERROR(Table_Shelter[[#This Row],[HH Covered]]/VLOOKUP(Table_Shelter[[#This Row],[CampName]],CL,4,0),"")</f>
        <v>0.22340425531914893</v>
      </c>
      <c r="V236" s="725" t="s">
        <v>1328</v>
      </c>
      <c r="W236" s="397"/>
    </row>
    <row r="237" spans="1:23" ht="15" customHeight="1" x14ac:dyDescent="0.25">
      <c r="A237" s="396"/>
      <c r="B237" s="220" t="s">
        <v>454</v>
      </c>
      <c r="C237" s="220" t="s">
        <v>507</v>
      </c>
      <c r="D237" s="223" t="s">
        <v>380</v>
      </c>
      <c r="E237" s="525" t="s">
        <v>310</v>
      </c>
      <c r="F237" s="220" t="s">
        <v>318</v>
      </c>
      <c r="G237" s="145">
        <v>1</v>
      </c>
      <c r="H237" s="149"/>
      <c r="I237" s="149"/>
      <c r="J237" s="149">
        <v>45</v>
      </c>
      <c r="K237" s="149">
        <v>45</v>
      </c>
      <c r="L237" s="222"/>
      <c r="M237" s="222"/>
      <c r="N237" s="222"/>
      <c r="O237" s="222"/>
      <c r="P237" s="148">
        <f>IF(V237="NO",Table_Shelter[[#This Row],[HH per Shelter]]*(Table_Shelter[[#This Row],['# of Temporary Shelter Units Built]]+Table_Shelter[[#This Row],['# of Temporary Shelter Under  Construction]]+Table_Shelter[[#This Row],['# of Permanent House Under Construction]]),0)</f>
        <v>45</v>
      </c>
      <c r="Q237" s="148">
        <v>10</v>
      </c>
      <c r="R237" s="222"/>
      <c r="S237" s="222" t="str">
        <f>IFERROR(VLOOKUP(Table_Shelter[[#This Row],[CampName]],CL,2,0),"")</f>
        <v>MMR001CMP032</v>
      </c>
      <c r="T237" s="222" t="str">
        <f>IFERROR(VLOOKUP(Table_Shelter[[#This Row],[CampName]],CL,3,0),"")</f>
        <v>Open</v>
      </c>
      <c r="U237" s="393">
        <f>IFERROR(Table_Shelter[[#This Row],[HH Covered]]/VLOOKUP(Table_Shelter[[#This Row],[CampName]],CL,4,0),"")</f>
        <v>0.47872340425531917</v>
      </c>
      <c r="V237" s="725" t="s">
        <v>1328</v>
      </c>
      <c r="W237" s="394"/>
    </row>
    <row r="238" spans="1:23" ht="15" customHeight="1" x14ac:dyDescent="0.25">
      <c r="A238" s="396"/>
      <c r="B238" s="685" t="s">
        <v>454</v>
      </c>
      <c r="C238" s="685"/>
      <c r="D238" s="686" t="s">
        <v>380</v>
      </c>
      <c r="E238" s="525" t="s">
        <v>310</v>
      </c>
      <c r="F238" s="220" t="s">
        <v>318</v>
      </c>
      <c r="G238" s="145">
        <v>1</v>
      </c>
      <c r="H238" s="149"/>
      <c r="I238" s="149"/>
      <c r="J238" s="149">
        <v>5</v>
      </c>
      <c r="K238" s="149">
        <v>5</v>
      </c>
      <c r="L238" s="222"/>
      <c r="M238" s="222"/>
      <c r="N238" s="222"/>
      <c r="O238" s="222"/>
      <c r="P238" s="148">
        <f>IF(V238="NO",Table_Shelter[[#This Row],[HH per Shelter]]*(Table_Shelter[[#This Row],['# of Temporary Shelter Units Built]]+Table_Shelter[[#This Row],['# of Temporary Shelter Under  Construction]]+Table_Shelter[[#This Row],['# of Permanent House Under Construction]]),0)</f>
        <v>5</v>
      </c>
      <c r="Q238" s="148"/>
      <c r="R238" s="222"/>
      <c r="S238" s="222" t="str">
        <f>IFERROR(VLOOKUP(Table_Shelter[[#This Row],[CampName]],CL,2,0),"")</f>
        <v>MMR001CMP032</v>
      </c>
      <c r="T238" s="222" t="str">
        <f>IFERROR(VLOOKUP(Table_Shelter[[#This Row],[CampName]],CL,3,0),"")</f>
        <v>Open</v>
      </c>
      <c r="U238" s="393">
        <f>IFERROR(Table_Shelter[[#This Row],[HH Covered]]/VLOOKUP(Table_Shelter[[#This Row],[CampName]],CL,4,0),"")</f>
        <v>5.3191489361702128E-2</v>
      </c>
      <c r="V238" s="725" t="s">
        <v>1328</v>
      </c>
      <c r="W238" s="819"/>
    </row>
    <row r="239" spans="1:23" ht="15" customHeight="1" x14ac:dyDescent="0.25">
      <c r="A239" s="396"/>
      <c r="B239" s="220" t="s">
        <v>571</v>
      </c>
      <c r="C239" s="220"/>
      <c r="D239" s="223" t="s">
        <v>380</v>
      </c>
      <c r="E239" s="525" t="s">
        <v>310</v>
      </c>
      <c r="F239" s="220" t="s">
        <v>318</v>
      </c>
      <c r="G239" s="145">
        <v>1</v>
      </c>
      <c r="H239" s="149"/>
      <c r="I239" s="149"/>
      <c r="J239" s="149">
        <v>10</v>
      </c>
      <c r="K239" s="149">
        <v>10</v>
      </c>
      <c r="L239" s="222"/>
      <c r="M239" s="222"/>
      <c r="N239" s="222"/>
      <c r="O239" s="222"/>
      <c r="P239" s="148">
        <f>IF(V239="NO",Table_Shelter[[#This Row],[HH per Shelter]]*(Table_Shelter[[#This Row],['# of Temporary Shelter Units Built]]+Table_Shelter[[#This Row],['# of Temporary Shelter Under  Construction]]+Table_Shelter[[#This Row],['# of Permanent House Under Construction]]),0)</f>
        <v>10</v>
      </c>
      <c r="Q239" s="148"/>
      <c r="R239" s="222"/>
      <c r="S239" s="222" t="str">
        <f>IFERROR(VLOOKUP(Table_Shelter[[#This Row],[CampName]],CL,2,0),"")</f>
        <v>MMR001CMP032</v>
      </c>
      <c r="T239" s="222" t="str">
        <f>IFERROR(VLOOKUP(Table_Shelter[[#This Row],[CampName]],CL,3,0),"")</f>
        <v>Open</v>
      </c>
      <c r="U239" s="393">
        <f>IFERROR(Table_Shelter[[#This Row],[HH Covered]]/VLOOKUP(Table_Shelter[[#This Row],[CampName]],CL,4,0),"")</f>
        <v>0.10638297872340426</v>
      </c>
      <c r="V239" s="725" t="s">
        <v>1328</v>
      </c>
      <c r="W239" s="394"/>
    </row>
    <row r="240" spans="1:23" ht="15" customHeight="1" x14ac:dyDescent="0.25">
      <c r="A240" s="396"/>
      <c r="B240" s="220" t="s">
        <v>454</v>
      </c>
      <c r="C240" s="220" t="s">
        <v>507</v>
      </c>
      <c r="D240" s="228" t="s">
        <v>380</v>
      </c>
      <c r="E240" s="525" t="s">
        <v>310</v>
      </c>
      <c r="F240" s="220" t="s">
        <v>318</v>
      </c>
      <c r="G240" s="145">
        <v>1</v>
      </c>
      <c r="H240" s="149"/>
      <c r="I240" s="149"/>
      <c r="J240" s="149">
        <v>5</v>
      </c>
      <c r="K240" s="149">
        <v>5</v>
      </c>
      <c r="L240" s="222"/>
      <c r="M240" s="222"/>
      <c r="N240" s="222"/>
      <c r="O240" s="222"/>
      <c r="P240" s="148">
        <f>IF(V240="NO",Table_Shelter[[#This Row],[HH per Shelter]]*(Table_Shelter[[#This Row],['# of Temporary Shelter Units Built]]+Table_Shelter[[#This Row],['# of Temporary Shelter Under  Construction]]+Table_Shelter[[#This Row],['# of Permanent House Under Construction]]),0)</f>
        <v>5</v>
      </c>
      <c r="Q240" s="148"/>
      <c r="R240" s="148"/>
      <c r="S240" s="148" t="str">
        <f>IFERROR(VLOOKUP(Table_Shelter[[#This Row],[CampName]],CL,2,0),"")</f>
        <v>MMR001CMP032</v>
      </c>
      <c r="T240" s="148" t="str">
        <f>IFERROR(VLOOKUP(Table_Shelter[[#This Row],[CampName]],CL,3,0),"")</f>
        <v>Open</v>
      </c>
      <c r="U240" s="393">
        <f>IFERROR(Table_Shelter[[#This Row],[HH Covered]]/VLOOKUP(Table_Shelter[[#This Row],[CampName]],CL,4,0),"")</f>
        <v>5.3191489361702128E-2</v>
      </c>
      <c r="V240" s="725" t="s">
        <v>1328</v>
      </c>
      <c r="W240" s="397"/>
    </row>
    <row r="241" spans="1:23" x14ac:dyDescent="0.25">
      <c r="A241" s="396"/>
      <c r="B241" s="685" t="s">
        <v>853</v>
      </c>
      <c r="C241" s="685" t="s">
        <v>462</v>
      </c>
      <c r="D241" s="686" t="s">
        <v>380</v>
      </c>
      <c r="E241" s="687" t="s">
        <v>310</v>
      </c>
      <c r="F241" s="685" t="s">
        <v>342</v>
      </c>
      <c r="G241" s="146">
        <v>1</v>
      </c>
      <c r="H241" s="150"/>
      <c r="I241" s="150"/>
      <c r="J241" s="150">
        <v>8</v>
      </c>
      <c r="K241" s="150">
        <v>8</v>
      </c>
      <c r="L241" s="688"/>
      <c r="M241" s="688"/>
      <c r="N241" s="688"/>
      <c r="O241" s="688"/>
      <c r="P241" s="147">
        <f>IF(V241="NO",Table_Shelter[[#This Row],[HH per Shelter]]*(Table_Shelter[[#This Row],['# of Temporary Shelter Units Built]]+Table_Shelter[[#This Row],['# of Temporary Shelter Under  Construction]]+Table_Shelter[[#This Row],['# of Permanent House Under Construction]]),0)</f>
        <v>8</v>
      </c>
      <c r="Q241" s="147"/>
      <c r="R241" s="688"/>
      <c r="S241" s="688" t="str">
        <f>IFERROR(VLOOKUP(Table_Shelter[[#This Row],[CampName]],CL,2,0),"")</f>
        <v>MMR001CMP025</v>
      </c>
      <c r="T241" s="688" t="str">
        <f>IFERROR(VLOOKUP(Table_Shelter[[#This Row],[CampName]],CL,3,0),"")</f>
        <v>Open</v>
      </c>
      <c r="U241" s="689">
        <f>IFERROR(Table_Shelter[[#This Row],[HH Covered]]/VLOOKUP(Table_Shelter[[#This Row],[CampName]],CL,4,0),"")</f>
        <v>0.12307692307692308</v>
      </c>
      <c r="V241" s="725" t="s">
        <v>1328</v>
      </c>
      <c r="W241" s="690"/>
    </row>
    <row r="242" spans="1:23" ht="15" customHeight="1" x14ac:dyDescent="0.25">
      <c r="A242" s="396"/>
      <c r="B242" s="220" t="s">
        <v>454</v>
      </c>
      <c r="C242" s="220" t="s">
        <v>462</v>
      </c>
      <c r="D242" s="223" t="s">
        <v>380</v>
      </c>
      <c r="E242" s="525" t="s">
        <v>310</v>
      </c>
      <c r="F242" s="220" t="s">
        <v>342</v>
      </c>
      <c r="G242" s="145">
        <v>1</v>
      </c>
      <c r="H242" s="149"/>
      <c r="I242" s="149"/>
      <c r="J242" s="149">
        <v>10</v>
      </c>
      <c r="K242" s="149">
        <v>10</v>
      </c>
      <c r="L242" s="222"/>
      <c r="M242" s="222"/>
      <c r="N242" s="222"/>
      <c r="O242" s="222"/>
      <c r="P242" s="148">
        <f>IF(V242="NO",Table_Shelter[[#This Row],[HH per Shelter]]*(Table_Shelter[[#This Row],['# of Temporary Shelter Units Built]]+Table_Shelter[[#This Row],['# of Temporary Shelter Under  Construction]]+Table_Shelter[[#This Row],['# of Permanent House Under Construction]]),0)</f>
        <v>10</v>
      </c>
      <c r="Q242" s="148"/>
      <c r="R242" s="222"/>
      <c r="S242" s="222" t="str">
        <f>IFERROR(VLOOKUP(Table_Shelter[[#This Row],[CampName]],CL,2,0),"")</f>
        <v>MMR001CMP025</v>
      </c>
      <c r="T242" s="222" t="str">
        <f>IFERROR(VLOOKUP(Table_Shelter[[#This Row],[CampName]],CL,3,0),"")</f>
        <v>Open</v>
      </c>
      <c r="U242" s="393">
        <f>IFERROR(Table_Shelter[[#This Row],[HH Covered]]/VLOOKUP(Table_Shelter[[#This Row],[CampName]],CL,4,0),"")</f>
        <v>0.15384615384615385</v>
      </c>
      <c r="V242" s="725" t="s">
        <v>1328</v>
      </c>
      <c r="W242" s="394"/>
    </row>
    <row r="243" spans="1:23" ht="15" customHeight="1" x14ac:dyDescent="0.25">
      <c r="A243" s="396"/>
      <c r="B243" s="220" t="s">
        <v>454</v>
      </c>
      <c r="C243" s="220"/>
      <c r="D243" s="223" t="s">
        <v>380</v>
      </c>
      <c r="E243" s="525" t="s">
        <v>310</v>
      </c>
      <c r="F243" s="220" t="s">
        <v>342</v>
      </c>
      <c r="G243" s="145">
        <v>1</v>
      </c>
      <c r="H243" s="149"/>
      <c r="I243" s="149"/>
      <c r="J243" s="149">
        <v>20</v>
      </c>
      <c r="K243" s="149">
        <v>20</v>
      </c>
      <c r="L243" s="222"/>
      <c r="M243" s="222"/>
      <c r="N243" s="222"/>
      <c r="O243" s="222"/>
      <c r="P243" s="148">
        <f>IF(V243="NO",Table_Shelter[[#This Row],[HH per Shelter]]*(Table_Shelter[[#This Row],['# of Temporary Shelter Units Built]]+Table_Shelter[[#This Row],['# of Temporary Shelter Under  Construction]]+Table_Shelter[[#This Row],['# of Permanent House Under Construction]]),0)</f>
        <v>20</v>
      </c>
      <c r="Q243" s="148"/>
      <c r="R243" s="222"/>
      <c r="S243" s="222" t="str">
        <f>IFERROR(VLOOKUP(Table_Shelter[[#This Row],[CampName]],CL,2,0),"")</f>
        <v>MMR001CMP025</v>
      </c>
      <c r="T243" s="222" t="str">
        <f>IFERROR(VLOOKUP(Table_Shelter[[#This Row],[CampName]],CL,3,0),"")</f>
        <v>Open</v>
      </c>
      <c r="U243" s="393">
        <f>IFERROR(Table_Shelter[[#This Row],[HH Covered]]/VLOOKUP(Table_Shelter[[#This Row],[CampName]],CL,4,0),"")</f>
        <v>0.30769230769230771</v>
      </c>
      <c r="V243" s="725" t="s">
        <v>1328</v>
      </c>
      <c r="W243" s="819"/>
    </row>
    <row r="244" spans="1:23" ht="15" customHeight="1" x14ac:dyDescent="0.25">
      <c r="A244" s="396">
        <v>41609</v>
      </c>
      <c r="B244" s="220" t="s">
        <v>454</v>
      </c>
      <c r="C244" s="220" t="s">
        <v>507</v>
      </c>
      <c r="D244" s="686" t="s">
        <v>380</v>
      </c>
      <c r="E244" s="687" t="s">
        <v>310</v>
      </c>
      <c r="F244" s="685" t="s">
        <v>338</v>
      </c>
      <c r="G244" s="146">
        <v>1</v>
      </c>
      <c r="H244" s="150"/>
      <c r="I244" s="150"/>
      <c r="J244" s="150">
        <v>10</v>
      </c>
      <c r="K244" s="150">
        <v>10</v>
      </c>
      <c r="L244" s="688"/>
      <c r="M244" s="688"/>
      <c r="N244" s="688"/>
      <c r="O244" s="688"/>
      <c r="P244" s="147">
        <f>IF(V244="NO",Table_Shelter[[#This Row],[HH per Shelter]]*(Table_Shelter[[#This Row],['# of Temporary Shelter Units Built]]+Table_Shelter[[#This Row],['# of Temporary Shelter Under  Construction]]+Table_Shelter[[#This Row],['# of Permanent House Under Construction]]),0)</f>
        <v>10</v>
      </c>
      <c r="Q244" s="147"/>
      <c r="R244" s="147"/>
      <c r="S244" s="147" t="str">
        <f>IFERROR(VLOOKUP(Table_Shelter[[#This Row],[CampName]],CL,2,0),"")</f>
        <v>MMR001CMP030</v>
      </c>
      <c r="T244" s="147" t="str">
        <f>IFERROR(VLOOKUP(Table_Shelter[[#This Row],[CampName]],CL,3,0),"")</f>
        <v>Open</v>
      </c>
      <c r="U244" s="689">
        <f>IFERROR(Table_Shelter[[#This Row],[HH Covered]]/VLOOKUP(Table_Shelter[[#This Row],[CampName]],CL,4,0),"")</f>
        <v>0.32258064516129031</v>
      </c>
      <c r="V244" s="816" t="s">
        <v>1328</v>
      </c>
      <c r="W244" s="818"/>
    </row>
    <row r="245" spans="1:23" ht="15" customHeight="1" x14ac:dyDescent="0.25">
      <c r="A245" s="396">
        <v>41791</v>
      </c>
      <c r="B245" s="145" t="s">
        <v>454</v>
      </c>
      <c r="C245" s="145" t="s">
        <v>507</v>
      </c>
      <c r="D245" s="228" t="s">
        <v>380</v>
      </c>
      <c r="E245" s="229" t="s">
        <v>310</v>
      </c>
      <c r="F245" s="145" t="s">
        <v>338</v>
      </c>
      <c r="G245" s="145">
        <v>1</v>
      </c>
      <c r="H245" s="149"/>
      <c r="I245" s="149"/>
      <c r="J245" s="149">
        <v>3</v>
      </c>
      <c r="K245" s="149">
        <v>3</v>
      </c>
      <c r="L245" s="149"/>
      <c r="M245" s="149"/>
      <c r="N245" s="149"/>
      <c r="O245" s="149"/>
      <c r="P245" s="148">
        <f>IF(V245="NO",Table_Shelter[[#This Row],[HH per Shelter]]*(Table_Shelter[[#This Row],['# of Temporary Shelter Units Built]]+Table_Shelter[[#This Row],['# of Temporary Shelter Under  Construction]]+Table_Shelter[[#This Row],['# of Permanent House Under Construction]]),0)</f>
        <v>3</v>
      </c>
      <c r="Q245" s="148"/>
      <c r="R245" s="148"/>
      <c r="S245" s="148" t="str">
        <f>IFERROR(VLOOKUP(Table_Shelter[[#This Row],[CampName]],CL,2,0),"")</f>
        <v>MMR001CMP030</v>
      </c>
      <c r="T245" s="148" t="str">
        <f>IFERROR(VLOOKUP(Table_Shelter[[#This Row],[CampName]],CL,3,0),"")</f>
        <v>Open</v>
      </c>
      <c r="U245" s="399">
        <f>IFERROR(Table_Shelter[[#This Row],[HH Covered]]/VLOOKUP(Table_Shelter[[#This Row],[CampName]],CL,4,0),"")</f>
        <v>9.6774193548387094E-2</v>
      </c>
      <c r="V245" s="725" t="s">
        <v>1328</v>
      </c>
      <c r="W245" s="818"/>
    </row>
    <row r="246" spans="1:23" ht="15" customHeight="1" x14ac:dyDescent="0.25">
      <c r="A246" s="396"/>
      <c r="B246" s="220" t="s">
        <v>454</v>
      </c>
      <c r="C246" s="220" t="s">
        <v>507</v>
      </c>
      <c r="D246" s="223" t="s">
        <v>380</v>
      </c>
      <c r="E246" s="525" t="s">
        <v>310</v>
      </c>
      <c r="F246" s="220" t="s">
        <v>338</v>
      </c>
      <c r="G246" s="145">
        <v>1</v>
      </c>
      <c r="H246" s="149"/>
      <c r="I246" s="149"/>
      <c r="J246" s="149">
        <v>23</v>
      </c>
      <c r="K246" s="149">
        <v>23</v>
      </c>
      <c r="L246" s="222"/>
      <c r="M246" s="222"/>
      <c r="N246" s="222"/>
      <c r="O246" s="222"/>
      <c r="P246" s="148">
        <f>IF(V246="NO",Table_Shelter[[#This Row],[HH per Shelter]]*(Table_Shelter[[#This Row],['# of Temporary Shelter Units Built]]+Table_Shelter[[#This Row],['# of Temporary Shelter Under  Construction]]+Table_Shelter[[#This Row],['# of Permanent House Under Construction]]),0)</f>
        <v>23</v>
      </c>
      <c r="Q246" s="148"/>
      <c r="R246" s="222"/>
      <c r="S246" s="222" t="str">
        <f>IFERROR(VLOOKUP(Table_Shelter[[#This Row],[CampName]],CL,2,0),"")</f>
        <v>MMR001CMP030</v>
      </c>
      <c r="T246" s="222" t="str">
        <f>IFERROR(VLOOKUP(Table_Shelter[[#This Row],[CampName]],CL,3,0),"")</f>
        <v>Open</v>
      </c>
      <c r="U246" s="393">
        <f>IFERROR(Table_Shelter[[#This Row],[HH Covered]]/VLOOKUP(Table_Shelter[[#This Row],[CampName]],CL,4,0),"")</f>
        <v>0.74193548387096775</v>
      </c>
      <c r="V246" s="725" t="s">
        <v>1328</v>
      </c>
      <c r="W246" s="819"/>
    </row>
    <row r="247" spans="1:23" ht="15" customHeight="1" x14ac:dyDescent="0.25">
      <c r="A247" s="396"/>
      <c r="B247" s="145" t="s">
        <v>454</v>
      </c>
      <c r="C247" s="145" t="s">
        <v>507</v>
      </c>
      <c r="D247" s="228" t="s">
        <v>380</v>
      </c>
      <c r="E247" s="229" t="s">
        <v>310</v>
      </c>
      <c r="F247" s="145" t="s">
        <v>338</v>
      </c>
      <c r="G247" s="145">
        <v>1</v>
      </c>
      <c r="H247" s="149"/>
      <c r="I247" s="149"/>
      <c r="J247" s="149">
        <v>3</v>
      </c>
      <c r="K247" s="149">
        <v>3</v>
      </c>
      <c r="L247" s="149"/>
      <c r="M247" s="149"/>
      <c r="N247" s="149"/>
      <c r="O247" s="149"/>
      <c r="P247" s="148">
        <f>IF(V247="NO",Table_Shelter[[#This Row],[HH per Shelter]]*(Table_Shelter[[#This Row],['# of Temporary Shelter Units Built]]+Table_Shelter[[#This Row],['# of Temporary Shelter Under  Construction]]+Table_Shelter[[#This Row],['# of Permanent House Under Construction]]),0)</f>
        <v>3</v>
      </c>
      <c r="Q247" s="148"/>
      <c r="R247" s="148"/>
      <c r="S247" s="148" t="str">
        <f>IFERROR(VLOOKUP(Table_Shelter[[#This Row],[CampName]],CL,2,0),"")</f>
        <v>MMR001CMP030</v>
      </c>
      <c r="T247" s="148" t="str">
        <f>IFERROR(VLOOKUP(Table_Shelter[[#This Row],[CampName]],CL,3,0),"")</f>
        <v>Open</v>
      </c>
      <c r="U247" s="399">
        <f>IFERROR(Table_Shelter[[#This Row],[HH Covered]]/VLOOKUP(Table_Shelter[[#This Row],[CampName]],CL,4,0),"")</f>
        <v>9.6774193548387094E-2</v>
      </c>
      <c r="V247" s="725" t="s">
        <v>1328</v>
      </c>
      <c r="W247" s="397"/>
    </row>
    <row r="248" spans="1:23" ht="15" customHeight="1" x14ac:dyDescent="0.25">
      <c r="A248" s="396"/>
      <c r="B248" s="220" t="s">
        <v>454</v>
      </c>
      <c r="C248" s="220" t="s">
        <v>507</v>
      </c>
      <c r="D248" s="223" t="s">
        <v>380</v>
      </c>
      <c r="E248" s="525" t="s">
        <v>310</v>
      </c>
      <c r="F248" s="220" t="s">
        <v>351</v>
      </c>
      <c r="G248" s="145">
        <v>1</v>
      </c>
      <c r="H248" s="149"/>
      <c r="I248" s="149"/>
      <c r="J248" s="149">
        <v>100</v>
      </c>
      <c r="K248" s="149">
        <v>100</v>
      </c>
      <c r="L248" s="222"/>
      <c r="M248" s="222"/>
      <c r="N248" s="222"/>
      <c r="O248" s="222"/>
      <c r="P248" s="148">
        <f>IF(V248="NO",Table_Shelter[[#This Row],[HH per Shelter]]*(Table_Shelter[[#This Row],['# of Temporary Shelter Units Built]]+Table_Shelter[[#This Row],['# of Temporary Shelter Under  Construction]]+Table_Shelter[[#This Row],['# of Permanent House Under Construction]]),0)</f>
        <v>100</v>
      </c>
      <c r="Q248" s="148">
        <v>15</v>
      </c>
      <c r="R248" s="222"/>
      <c r="S248" s="222" t="str">
        <f>IFERROR(VLOOKUP(Table_Shelter[[#This Row],[CampName]],CL,2,0),"")</f>
        <v>MMR001CMP026</v>
      </c>
      <c r="T248" s="222" t="str">
        <f>IFERROR(VLOOKUP(Table_Shelter[[#This Row],[CampName]],CL,3,0),"")</f>
        <v>Open</v>
      </c>
      <c r="U248" s="393">
        <f>IFERROR(Table_Shelter[[#This Row],[HH Covered]]/VLOOKUP(Table_Shelter[[#This Row],[CampName]],CL,4,0),"")</f>
        <v>1.098901098901099</v>
      </c>
      <c r="V248" s="725" t="s">
        <v>1328</v>
      </c>
      <c r="W248" s="394"/>
    </row>
    <row r="249" spans="1:23" ht="15" customHeight="1" x14ac:dyDescent="0.25">
      <c r="A249" s="396">
        <v>41609</v>
      </c>
      <c r="B249" s="220" t="s">
        <v>454</v>
      </c>
      <c r="C249" s="220" t="s">
        <v>507</v>
      </c>
      <c r="D249" s="223" t="s">
        <v>380</v>
      </c>
      <c r="E249" s="525" t="s">
        <v>529</v>
      </c>
      <c r="F249" s="220" t="s">
        <v>118</v>
      </c>
      <c r="G249" s="145">
        <v>1</v>
      </c>
      <c r="H249" s="149"/>
      <c r="I249" s="149"/>
      <c r="J249" s="149">
        <v>10</v>
      </c>
      <c r="K249" s="149">
        <v>10</v>
      </c>
      <c r="L249" s="222"/>
      <c r="M249" s="222"/>
      <c r="N249" s="222"/>
      <c r="O249" s="222"/>
      <c r="P249" s="148">
        <f>IF(V249="NO",Table_Shelter[[#This Row],[HH per Shelter]]*(Table_Shelter[[#This Row],['# of Temporary Shelter Units Built]]+Table_Shelter[[#This Row],['# of Temporary Shelter Under  Construction]]+Table_Shelter[[#This Row],['# of Permanent House Under Construction]]),0)</f>
        <v>10</v>
      </c>
      <c r="Q249" s="148"/>
      <c r="R249" s="222"/>
      <c r="S249" s="222" t="str">
        <f>IFERROR(VLOOKUP(Table_Shelter[[#This Row],[CampName]],CL,2,0),"")</f>
        <v>MMR001CMP182</v>
      </c>
      <c r="T249" s="222" t="str">
        <f>IFERROR(VLOOKUP(Table_Shelter[[#This Row],[CampName]],CL,3,0),"")</f>
        <v>Open</v>
      </c>
      <c r="U249" s="393">
        <f>IFERROR(Table_Shelter[[#This Row],[HH Covered]]/VLOOKUP(Table_Shelter[[#This Row],[CampName]],CL,4,0),"")</f>
        <v>1</v>
      </c>
      <c r="V249" s="725" t="s">
        <v>1328</v>
      </c>
      <c r="W249" s="394"/>
    </row>
    <row r="250" spans="1:23" ht="15" customHeight="1" x14ac:dyDescent="0.25">
      <c r="A250" s="396"/>
      <c r="B250" s="220" t="s">
        <v>868</v>
      </c>
      <c r="C250" s="220"/>
      <c r="D250" s="223" t="s">
        <v>380</v>
      </c>
      <c r="E250" s="225" t="s">
        <v>529</v>
      </c>
      <c r="F250" s="220" t="s">
        <v>118</v>
      </c>
      <c r="G250" s="145">
        <v>1</v>
      </c>
      <c r="H250" s="149">
        <v>9</v>
      </c>
      <c r="I250" s="149">
        <v>9</v>
      </c>
      <c r="J250" s="149"/>
      <c r="K250" s="149"/>
      <c r="L250" s="222"/>
      <c r="M250" s="222"/>
      <c r="N250" s="222"/>
      <c r="O250" s="222"/>
      <c r="P250" s="148">
        <f>IF(V250="NO",Table_Shelter[[#This Row],[HH per Shelter]]*(Table_Shelter[[#This Row],['# of Temporary Shelter Units Built]]+Table_Shelter[[#This Row],['# of Temporary Shelter Under  Construction]]+Table_Shelter[[#This Row],['# of Permanent House Under Construction]]),0)</f>
        <v>0</v>
      </c>
      <c r="Q250" s="148"/>
      <c r="R250" s="222"/>
      <c r="S250" s="222" t="str">
        <f>IFERROR(VLOOKUP(Table_Shelter[[#This Row],[CampName]],CL,2,0),"")</f>
        <v>MMR001CMP182</v>
      </c>
      <c r="T250" s="222" t="str">
        <f>IFERROR(VLOOKUP(Table_Shelter[[#This Row],[CampName]],CL,3,0),"")</f>
        <v>Open</v>
      </c>
      <c r="U250" s="393">
        <f>IFERROR(Table_Shelter[[#This Row],[HH Covered]]/VLOOKUP(Table_Shelter[[#This Row],[CampName]],CL,4,0),"")</f>
        <v>0</v>
      </c>
      <c r="V250" s="725" t="s">
        <v>1328</v>
      </c>
      <c r="W250" s="394"/>
    </row>
    <row r="251" spans="1:23" ht="15" customHeight="1" x14ac:dyDescent="0.25">
      <c r="A251" s="396">
        <v>41609</v>
      </c>
      <c r="B251" s="220" t="s">
        <v>454</v>
      </c>
      <c r="C251" s="220" t="s">
        <v>462</v>
      </c>
      <c r="D251" s="223" t="s">
        <v>380</v>
      </c>
      <c r="E251" s="525" t="s">
        <v>5</v>
      </c>
      <c r="F251" s="220" t="s">
        <v>22</v>
      </c>
      <c r="G251" s="145">
        <v>1</v>
      </c>
      <c r="H251" s="149"/>
      <c r="I251" s="149"/>
      <c r="J251" s="149">
        <v>30</v>
      </c>
      <c r="K251" s="149">
        <v>30</v>
      </c>
      <c r="L251" s="222"/>
      <c r="M251" s="222"/>
      <c r="N251" s="222"/>
      <c r="O251" s="222"/>
      <c r="P251" s="148">
        <f>IF(V251="NO",Table_Shelter[[#This Row],[HH per Shelter]]*(Table_Shelter[[#This Row],['# of Temporary Shelter Units Built]]+Table_Shelter[[#This Row],['# of Temporary Shelter Under  Construction]]+Table_Shelter[[#This Row],['# of Permanent House Under Construction]]),0)</f>
        <v>30</v>
      </c>
      <c r="Q251" s="148"/>
      <c r="R251" s="222"/>
      <c r="S251" s="222" t="str">
        <f>IFERROR(VLOOKUP(Table_Shelter[[#This Row],[CampName]],CL,2,0),"")</f>
        <v>MMR001CMP047</v>
      </c>
      <c r="T251" s="222" t="str">
        <f>IFERROR(VLOOKUP(Table_Shelter[[#This Row],[CampName]],CL,3,0),"")</f>
        <v>Open</v>
      </c>
      <c r="U251" s="393">
        <f>IFERROR(Table_Shelter[[#This Row],[HH Covered]]/VLOOKUP(Table_Shelter[[#This Row],[CampName]],CL,4,0),"")</f>
        <v>4.6012269938650305E-2</v>
      </c>
      <c r="V251" s="725" t="s">
        <v>1328</v>
      </c>
      <c r="W251" s="394"/>
    </row>
    <row r="252" spans="1:23" ht="15" customHeight="1" x14ac:dyDescent="0.25">
      <c r="A252" s="396"/>
      <c r="B252" s="220" t="s">
        <v>853</v>
      </c>
      <c r="C252" s="220"/>
      <c r="D252" s="223" t="s">
        <v>380</v>
      </c>
      <c r="E252" s="525" t="s">
        <v>5</v>
      </c>
      <c r="F252" s="220" t="s">
        <v>22</v>
      </c>
      <c r="G252" s="145">
        <v>1</v>
      </c>
      <c r="H252" s="149"/>
      <c r="I252" s="149"/>
      <c r="J252" s="149">
        <v>162</v>
      </c>
      <c r="K252" s="149">
        <v>162</v>
      </c>
      <c r="L252" s="222"/>
      <c r="M252" s="222"/>
      <c r="N252" s="222"/>
      <c r="O252" s="222"/>
      <c r="P252" s="148">
        <f>IF(V252="NO",Table_Shelter[[#This Row],[HH per Shelter]]*(Table_Shelter[[#This Row],['# of Temporary Shelter Units Built]]+Table_Shelter[[#This Row],['# of Temporary Shelter Under  Construction]]+Table_Shelter[[#This Row],['# of Permanent House Under Construction]]),0)</f>
        <v>162</v>
      </c>
      <c r="Q252" s="148"/>
      <c r="R252" s="222"/>
      <c r="S252" s="222" t="str">
        <f>IFERROR(VLOOKUP(Table_Shelter[[#This Row],[CampName]],CL,2,0),"")</f>
        <v>MMR001CMP047</v>
      </c>
      <c r="T252" s="222" t="str">
        <f>IFERROR(VLOOKUP(Table_Shelter[[#This Row],[CampName]],CL,3,0),"")</f>
        <v>Open</v>
      </c>
      <c r="U252" s="393">
        <f>IFERROR(Table_Shelter[[#This Row],[HH Covered]]/VLOOKUP(Table_Shelter[[#This Row],[CampName]],CL,4,0),"")</f>
        <v>0.24846625766871167</v>
      </c>
      <c r="V252" s="725" t="s">
        <v>1328</v>
      </c>
      <c r="W252" s="394"/>
    </row>
    <row r="253" spans="1:23" ht="15" customHeight="1" x14ac:dyDescent="0.25">
      <c r="A253" s="396"/>
      <c r="B253" s="220" t="s">
        <v>852</v>
      </c>
      <c r="C253" s="220"/>
      <c r="D253" s="223" t="s">
        <v>380</v>
      </c>
      <c r="E253" s="225" t="s">
        <v>5</v>
      </c>
      <c r="F253" s="220" t="s">
        <v>22</v>
      </c>
      <c r="G253" s="145">
        <v>1</v>
      </c>
      <c r="H253" s="149"/>
      <c r="I253" s="149"/>
      <c r="J253" s="149">
        <v>163</v>
      </c>
      <c r="K253" s="149">
        <v>163</v>
      </c>
      <c r="L253" s="222"/>
      <c r="M253" s="222"/>
      <c r="N253" s="222"/>
      <c r="O253" s="222"/>
      <c r="P253" s="148">
        <f>IF(V253="NO",Table_Shelter[[#This Row],[HH per Shelter]]*(Table_Shelter[[#This Row],['# of Temporary Shelter Units Built]]+Table_Shelter[[#This Row],['# of Temporary Shelter Under  Construction]]+Table_Shelter[[#This Row],['# of Permanent House Under Construction]]),0)</f>
        <v>163</v>
      </c>
      <c r="Q253" s="148"/>
      <c r="R253" s="222"/>
      <c r="S253" s="222" t="str">
        <f>IFERROR(VLOOKUP(Table_Shelter[[#This Row],[CampName]],CL,2,0),"")</f>
        <v>MMR001CMP047</v>
      </c>
      <c r="T253" s="222" t="str">
        <f>IFERROR(VLOOKUP(Table_Shelter[[#This Row],[CampName]],CL,3,0),"")</f>
        <v>Open</v>
      </c>
      <c r="U253" s="393">
        <f>IFERROR(Table_Shelter[[#This Row],[HH Covered]]/VLOOKUP(Table_Shelter[[#This Row],[CampName]],CL,4,0),"")</f>
        <v>0.25</v>
      </c>
      <c r="V253" s="725" t="s">
        <v>1328</v>
      </c>
      <c r="W253" s="394"/>
    </row>
    <row r="254" spans="1:23" ht="15" customHeight="1" x14ac:dyDescent="0.25">
      <c r="A254" s="396"/>
      <c r="B254" s="220" t="s">
        <v>454</v>
      </c>
      <c r="C254" s="220"/>
      <c r="D254" s="223" t="s">
        <v>380</v>
      </c>
      <c r="E254" s="225" t="s">
        <v>5</v>
      </c>
      <c r="F254" s="220" t="s">
        <v>22</v>
      </c>
      <c r="G254" s="145">
        <v>1</v>
      </c>
      <c r="H254" s="149"/>
      <c r="I254" s="149"/>
      <c r="J254" s="149">
        <v>70</v>
      </c>
      <c r="K254" s="149">
        <v>70</v>
      </c>
      <c r="L254" s="222"/>
      <c r="M254" s="222"/>
      <c r="N254" s="222"/>
      <c r="O254" s="222"/>
      <c r="P254" s="148">
        <f>IF(V254="NO",Table_Shelter[[#This Row],[HH per Shelter]]*(Table_Shelter[[#This Row],['# of Temporary Shelter Units Built]]+Table_Shelter[[#This Row],['# of Temporary Shelter Under  Construction]]+Table_Shelter[[#This Row],['# of Permanent House Under Construction]]),0)</f>
        <v>70</v>
      </c>
      <c r="Q254" s="148"/>
      <c r="R254" s="222"/>
      <c r="S254" s="222" t="str">
        <f>IFERROR(VLOOKUP(Table_Shelter[[#This Row],[CampName]],CL,2,0),"")</f>
        <v>MMR001CMP047</v>
      </c>
      <c r="T254" s="222" t="str">
        <f>IFERROR(VLOOKUP(Table_Shelter[[#This Row],[CampName]],CL,3,0),"")</f>
        <v>Open</v>
      </c>
      <c r="U254" s="393">
        <f>IFERROR(Table_Shelter[[#This Row],[HH Covered]]/VLOOKUP(Table_Shelter[[#This Row],[CampName]],CL,4,0),"")</f>
        <v>0.10736196319018405</v>
      </c>
      <c r="V254" s="725" t="s">
        <v>1328</v>
      </c>
      <c r="W254" s="394"/>
    </row>
    <row r="255" spans="1:23" ht="15" customHeight="1" x14ac:dyDescent="0.25">
      <c r="A255" s="396"/>
      <c r="B255" s="220" t="s">
        <v>868</v>
      </c>
      <c r="C255" s="220"/>
      <c r="D255" s="223" t="s">
        <v>380</v>
      </c>
      <c r="E255" s="525" t="s">
        <v>237</v>
      </c>
      <c r="F255" s="220" t="s">
        <v>905</v>
      </c>
      <c r="G255" s="145">
        <v>1</v>
      </c>
      <c r="H255" s="149">
        <v>1</v>
      </c>
      <c r="I255" s="149">
        <v>1</v>
      </c>
      <c r="J255" s="149"/>
      <c r="K255" s="149"/>
      <c r="L255" s="222"/>
      <c r="M255" s="222"/>
      <c r="N255" s="222"/>
      <c r="O255" s="222"/>
      <c r="P255" s="148">
        <f>IF(V255="NO",Table_Shelter[[#This Row],[HH per Shelter]]*(Table_Shelter[[#This Row],['# of Temporary Shelter Units Built]]+Table_Shelter[[#This Row],['# of Temporary Shelter Under  Construction]]+Table_Shelter[[#This Row],['# of Permanent House Under Construction]]),0)</f>
        <v>0</v>
      </c>
      <c r="Q255" s="148"/>
      <c r="R255" s="222"/>
      <c r="S255" s="222" t="str">
        <f>IFERROR(VLOOKUP(Table_Shelter[[#This Row],[CampName]],CL,2,0),"")</f>
        <v/>
      </c>
      <c r="T255" s="222" t="str">
        <f>IFERROR(VLOOKUP(Table_Shelter[[#This Row],[CampName]],CL,3,0),"")</f>
        <v/>
      </c>
      <c r="U255" s="393" t="str">
        <f>IFERROR(Table_Shelter[[#This Row],[HH Covered]]/VLOOKUP(Table_Shelter[[#This Row],[CampName]],CL,4,0),"")</f>
        <v/>
      </c>
      <c r="V255" s="725" t="s">
        <v>1328</v>
      </c>
      <c r="W255" s="394"/>
    </row>
    <row r="256" spans="1:23" ht="15" customHeight="1" x14ac:dyDescent="0.25">
      <c r="A256" s="396">
        <v>41609</v>
      </c>
      <c r="B256" s="220" t="s">
        <v>454</v>
      </c>
      <c r="C256" s="220" t="s">
        <v>462</v>
      </c>
      <c r="D256" s="223" t="s">
        <v>380</v>
      </c>
      <c r="E256" s="225" t="s">
        <v>529</v>
      </c>
      <c r="F256" s="220" t="s">
        <v>124</v>
      </c>
      <c r="G256" s="145">
        <v>1</v>
      </c>
      <c r="H256" s="149"/>
      <c r="I256" s="149"/>
      <c r="J256" s="149">
        <v>5</v>
      </c>
      <c r="K256" s="149">
        <v>5</v>
      </c>
      <c r="L256" s="222"/>
      <c r="M256" s="222"/>
      <c r="N256" s="222"/>
      <c r="O256" s="222"/>
      <c r="P256" s="148">
        <f>IF(V256="NO",Table_Shelter[[#This Row],[HH per Shelter]]*(Table_Shelter[[#This Row],['# of Temporary Shelter Units Built]]+Table_Shelter[[#This Row],['# of Temporary Shelter Under  Construction]]+Table_Shelter[[#This Row],['# of Permanent House Under Construction]]),0)</f>
        <v>5</v>
      </c>
      <c r="Q256" s="148"/>
      <c r="R256" s="222"/>
      <c r="S256" s="222" t="str">
        <f>IFERROR(VLOOKUP(Table_Shelter[[#This Row],[CampName]],CL,2,0),"")</f>
        <v>MMR001CMP183</v>
      </c>
      <c r="T256" s="222" t="str">
        <f>IFERROR(VLOOKUP(Table_Shelter[[#This Row],[CampName]],CL,3,0),"")</f>
        <v>Open</v>
      </c>
      <c r="U256" s="393">
        <f>IFERROR(Table_Shelter[[#This Row],[HH Covered]]/VLOOKUP(Table_Shelter[[#This Row],[CampName]],CL,4,0),"")</f>
        <v>0.625</v>
      </c>
      <c r="V256" s="725" t="s">
        <v>1328</v>
      </c>
      <c r="W256" s="394"/>
    </row>
    <row r="257" spans="1:23" ht="15" customHeight="1" x14ac:dyDescent="0.25">
      <c r="A257" s="396"/>
      <c r="B257" s="220" t="s">
        <v>868</v>
      </c>
      <c r="C257" s="220"/>
      <c r="D257" s="223" t="s">
        <v>380</v>
      </c>
      <c r="E257" s="225" t="s">
        <v>529</v>
      </c>
      <c r="F257" s="220" t="s">
        <v>124</v>
      </c>
      <c r="G257" s="145">
        <v>1</v>
      </c>
      <c r="H257" s="149">
        <v>7</v>
      </c>
      <c r="I257" s="149">
        <v>7</v>
      </c>
      <c r="J257" s="149"/>
      <c r="K257" s="149"/>
      <c r="L257" s="222"/>
      <c r="M257" s="222"/>
      <c r="N257" s="222"/>
      <c r="O257" s="222"/>
      <c r="P257" s="148">
        <f>IF(V257="NO",Table_Shelter[[#This Row],[HH per Shelter]]*(Table_Shelter[[#This Row],['# of Temporary Shelter Units Built]]+Table_Shelter[[#This Row],['# of Temporary Shelter Under  Construction]]+Table_Shelter[[#This Row],['# of Permanent House Under Construction]]),0)</f>
        <v>0</v>
      </c>
      <c r="Q257" s="148"/>
      <c r="R257" s="222"/>
      <c r="S257" s="222" t="str">
        <f>IFERROR(VLOOKUP(Table_Shelter[[#This Row],[CampName]],CL,2,0),"")</f>
        <v>MMR001CMP183</v>
      </c>
      <c r="T257" s="222" t="str">
        <f>IFERROR(VLOOKUP(Table_Shelter[[#This Row],[CampName]],CL,3,0),"")</f>
        <v>Open</v>
      </c>
      <c r="U257" s="393">
        <f>IFERROR(Table_Shelter[[#This Row],[HH Covered]]/VLOOKUP(Table_Shelter[[#This Row],[CampName]],CL,4,0),"")</f>
        <v>0</v>
      </c>
      <c r="V257" s="725" t="s">
        <v>1328</v>
      </c>
      <c r="W257" s="394"/>
    </row>
    <row r="258" spans="1:23" ht="15" customHeight="1" x14ac:dyDescent="0.25">
      <c r="A258" s="395">
        <v>42422</v>
      </c>
      <c r="B258" s="220" t="s">
        <v>854</v>
      </c>
      <c r="C258" s="220"/>
      <c r="D258" s="220" t="s">
        <v>380</v>
      </c>
      <c r="E258" s="525" t="s">
        <v>173</v>
      </c>
      <c r="F258" s="220" t="s">
        <v>1297</v>
      </c>
      <c r="G258" s="145">
        <v>1</v>
      </c>
      <c r="H258" s="145"/>
      <c r="I258" s="145"/>
      <c r="J258" s="145">
        <v>40</v>
      </c>
      <c r="K258" s="145">
        <v>40</v>
      </c>
      <c r="L258" s="220"/>
      <c r="M258" s="220"/>
      <c r="N258" s="220"/>
      <c r="O258" s="220"/>
      <c r="P258" s="191">
        <f>IF(V258="NO",Table_Shelter[[#This Row],[HH per Shelter]]*(Table_Shelter[[#This Row],['# of Temporary Shelter Units Built]]+Table_Shelter[[#This Row],['# of Temporary Shelter Under  Construction]]+Table_Shelter[[#This Row],['# of Permanent House Under Construction]]),0)</f>
        <v>40</v>
      </c>
      <c r="Q258" s="144"/>
      <c r="R258" s="220"/>
      <c r="S258" s="221" t="str">
        <f>IFERROR(VLOOKUP(Table_Shelter[[#This Row],[CampName]],CL,2,0),"")</f>
        <v>MMR001CMP236</v>
      </c>
      <c r="T258" s="221" t="str">
        <f>IFERROR(VLOOKUP(Table_Shelter[[#This Row],[CampName]],CL,3,0),"")</f>
        <v>Open</v>
      </c>
      <c r="U258" s="393">
        <f>IFERROR(Table_Shelter[[#This Row],[HH Covered]]/VLOOKUP(Table_Shelter[[#This Row],[CampName]],CL,4,0),"")</f>
        <v>1.0256410256410255</v>
      </c>
      <c r="V258" s="725" t="s">
        <v>1328</v>
      </c>
      <c r="W258" s="394"/>
    </row>
    <row r="259" spans="1:23" ht="15" customHeight="1" x14ac:dyDescent="0.25">
      <c r="A259" s="396"/>
      <c r="B259" s="220" t="s">
        <v>454</v>
      </c>
      <c r="C259" s="220"/>
      <c r="D259" s="223" t="s">
        <v>380</v>
      </c>
      <c r="E259" s="225" t="s">
        <v>185</v>
      </c>
      <c r="F259" s="220" t="s">
        <v>225</v>
      </c>
      <c r="G259" s="145">
        <v>1</v>
      </c>
      <c r="H259" s="149"/>
      <c r="I259" s="149"/>
      <c r="J259" s="149">
        <v>40</v>
      </c>
      <c r="K259" s="149">
        <v>40</v>
      </c>
      <c r="L259" s="222"/>
      <c r="M259" s="222"/>
      <c r="N259" s="222"/>
      <c r="O259" s="222"/>
      <c r="P259" s="148">
        <f>IF(V259="NO",Table_Shelter[[#This Row],[HH per Shelter]]*(Table_Shelter[[#This Row],['# of Temporary Shelter Units Built]]+Table_Shelter[[#This Row],['# of Temporary Shelter Under  Construction]]+Table_Shelter[[#This Row],['# of Permanent House Under Construction]]),0)</f>
        <v>40</v>
      </c>
      <c r="Q259" s="148"/>
      <c r="R259" s="222"/>
      <c r="S259" s="222" t="str">
        <f>IFERROR(VLOOKUP(Table_Shelter[[#This Row],[CampName]],CL,2,0),"")</f>
        <v>MMR001CMP073</v>
      </c>
      <c r="T259" s="222" t="str">
        <f>IFERROR(VLOOKUP(Table_Shelter[[#This Row],[CampName]],CL,3,0),"")</f>
        <v>Open</v>
      </c>
      <c r="U259" s="393">
        <f>IFERROR(Table_Shelter[[#This Row],[HH Covered]]/VLOOKUP(Table_Shelter[[#This Row],[CampName]],CL,4,0),"")</f>
        <v>0.88888888888888884</v>
      </c>
      <c r="V259" s="725" t="s">
        <v>1328</v>
      </c>
      <c r="W259" s="394"/>
    </row>
    <row r="260" spans="1:23" ht="15" customHeight="1" x14ac:dyDescent="0.25">
      <c r="A260" s="396">
        <v>42416</v>
      </c>
      <c r="B260" s="220" t="s">
        <v>454</v>
      </c>
      <c r="C260" s="220" t="s">
        <v>462</v>
      </c>
      <c r="D260" s="223" t="s">
        <v>380</v>
      </c>
      <c r="E260" s="525" t="s">
        <v>237</v>
      </c>
      <c r="F260" s="220" t="s">
        <v>277</v>
      </c>
      <c r="G260" s="145">
        <v>1</v>
      </c>
      <c r="H260" s="149"/>
      <c r="I260" s="149"/>
      <c r="J260" s="149"/>
      <c r="K260" s="149"/>
      <c r="L260" s="222"/>
      <c r="M260" s="222"/>
      <c r="N260" s="222"/>
      <c r="O260" s="222"/>
      <c r="P260" s="148">
        <f>IF(V260="NO",Table_Shelter[[#This Row],[HH per Shelter]]*(Table_Shelter[[#This Row],['# of Temporary Shelter Units Built]]+Table_Shelter[[#This Row],['# of Temporary Shelter Under  Construction]]+Table_Shelter[[#This Row],['# of Permanent House Under Construction]]),0)</f>
        <v>0</v>
      </c>
      <c r="Q260" s="148">
        <v>30</v>
      </c>
      <c r="R260" s="148">
        <v>30</v>
      </c>
      <c r="S260" s="222" t="str">
        <f>IFERROR(VLOOKUP(Table_Shelter[[#This Row],[CampName]],CL,2,0),"")</f>
        <v>MMR001CMP006</v>
      </c>
      <c r="T260" s="222" t="str">
        <f>IFERROR(VLOOKUP(Table_Shelter[[#This Row],[CampName]],CL,3,0),"")</f>
        <v>Open</v>
      </c>
      <c r="U260" s="393">
        <f>IFERROR(Table_Shelter[[#This Row],[HH Covered]]/VLOOKUP(Table_Shelter[[#This Row],[CampName]],CL,4,0),"")</f>
        <v>0</v>
      </c>
      <c r="V260" s="394" t="s">
        <v>1328</v>
      </c>
      <c r="W260" s="817"/>
    </row>
    <row r="261" spans="1:23" ht="15" customHeight="1" x14ac:dyDescent="0.25">
      <c r="A261" s="396"/>
      <c r="B261" s="220" t="s">
        <v>853</v>
      </c>
      <c r="C261" s="220" t="s">
        <v>507</v>
      </c>
      <c r="D261" s="223" t="s">
        <v>380</v>
      </c>
      <c r="E261" s="225" t="s">
        <v>237</v>
      </c>
      <c r="F261" s="220" t="s">
        <v>277</v>
      </c>
      <c r="G261" s="145">
        <v>1</v>
      </c>
      <c r="H261" s="149"/>
      <c r="I261" s="149"/>
      <c r="J261" s="149">
        <v>14</v>
      </c>
      <c r="K261" s="149">
        <v>14</v>
      </c>
      <c r="L261" s="222"/>
      <c r="M261" s="222"/>
      <c r="N261" s="222"/>
      <c r="O261" s="222"/>
      <c r="P261" s="148">
        <f>IF(V261="NO",Table_Shelter[[#This Row],[HH per Shelter]]*(Table_Shelter[[#This Row],['# of Temporary Shelter Units Built]]+Table_Shelter[[#This Row],['# of Temporary Shelter Under  Construction]]+Table_Shelter[[#This Row],['# of Permanent House Under Construction]]),0)</f>
        <v>14</v>
      </c>
      <c r="Q261" s="148"/>
      <c r="R261" s="222"/>
      <c r="S261" s="222" t="str">
        <f>IFERROR(VLOOKUP(Table_Shelter[[#This Row],[CampName]],CL,2,0),"")</f>
        <v>MMR001CMP006</v>
      </c>
      <c r="T261" s="222" t="str">
        <f>IFERROR(VLOOKUP(Table_Shelter[[#This Row],[CampName]],CL,3,0),"")</f>
        <v>Open</v>
      </c>
      <c r="U261" s="393">
        <f>IFERROR(Table_Shelter[[#This Row],[HH Covered]]/VLOOKUP(Table_Shelter[[#This Row],[CampName]],CL,4,0),"")</f>
        <v>0.14736842105263157</v>
      </c>
      <c r="V261" s="725" t="s">
        <v>1328</v>
      </c>
      <c r="W261" s="394"/>
    </row>
    <row r="262" spans="1:23" ht="15" customHeight="1" x14ac:dyDescent="0.25">
      <c r="A262" s="396"/>
      <c r="B262" s="220" t="s">
        <v>454</v>
      </c>
      <c r="C262" s="220" t="s">
        <v>462</v>
      </c>
      <c r="D262" s="223" t="s">
        <v>380</v>
      </c>
      <c r="E262" s="225" t="s">
        <v>237</v>
      </c>
      <c r="F262" s="220" t="s">
        <v>277</v>
      </c>
      <c r="G262" s="145">
        <v>1</v>
      </c>
      <c r="H262" s="149"/>
      <c r="I262" s="149"/>
      <c r="J262" s="149">
        <v>10</v>
      </c>
      <c r="K262" s="149">
        <v>10</v>
      </c>
      <c r="L262" s="222"/>
      <c r="M262" s="222"/>
      <c r="N262" s="222"/>
      <c r="O262" s="222"/>
      <c r="P262" s="148">
        <f>IF(V262="NO",Table_Shelter[[#This Row],[HH per Shelter]]*(Table_Shelter[[#This Row],['# of Temporary Shelter Units Built]]+Table_Shelter[[#This Row],['# of Temporary Shelter Under  Construction]]+Table_Shelter[[#This Row],['# of Permanent House Under Construction]]),0)</f>
        <v>10</v>
      </c>
      <c r="Q262" s="148"/>
      <c r="R262" s="222"/>
      <c r="S262" s="222" t="str">
        <f>IFERROR(VLOOKUP(Table_Shelter[[#This Row],[CampName]],CL,2,0),"")</f>
        <v>MMR001CMP006</v>
      </c>
      <c r="T262" s="222" t="str">
        <f>IFERROR(VLOOKUP(Table_Shelter[[#This Row],[CampName]],CL,3,0),"")</f>
        <v>Open</v>
      </c>
      <c r="U262" s="393">
        <f>IFERROR(Table_Shelter[[#This Row],[HH Covered]]/VLOOKUP(Table_Shelter[[#This Row],[CampName]],CL,4,0),"")</f>
        <v>0.10526315789473684</v>
      </c>
      <c r="V262" s="725" t="s">
        <v>1328</v>
      </c>
      <c r="W262" s="394"/>
    </row>
    <row r="263" spans="1:23" ht="15" customHeight="1" x14ac:dyDescent="0.25">
      <c r="A263" s="396"/>
      <c r="B263" s="220" t="s">
        <v>454</v>
      </c>
      <c r="C263" s="220"/>
      <c r="D263" s="223" t="s">
        <v>380</v>
      </c>
      <c r="E263" s="225" t="s">
        <v>237</v>
      </c>
      <c r="F263" s="220" t="s">
        <v>277</v>
      </c>
      <c r="G263" s="145">
        <v>1</v>
      </c>
      <c r="H263" s="149"/>
      <c r="I263" s="149"/>
      <c r="J263" s="149">
        <v>40</v>
      </c>
      <c r="K263" s="149">
        <v>40</v>
      </c>
      <c r="L263" s="222"/>
      <c r="M263" s="222"/>
      <c r="N263" s="222"/>
      <c r="O263" s="222"/>
      <c r="P263" s="148">
        <f>IF(V263="NO",Table_Shelter[[#This Row],[HH per Shelter]]*(Table_Shelter[[#This Row],['# of Temporary Shelter Units Built]]+Table_Shelter[[#This Row],['# of Temporary Shelter Under  Construction]]+Table_Shelter[[#This Row],['# of Permanent House Under Construction]]),0)</f>
        <v>40</v>
      </c>
      <c r="Q263" s="148"/>
      <c r="R263" s="222"/>
      <c r="S263" s="222" t="str">
        <f>IFERROR(VLOOKUP(Table_Shelter[[#This Row],[CampName]],CL,2,0),"")</f>
        <v>MMR001CMP006</v>
      </c>
      <c r="T263" s="222" t="str">
        <f>IFERROR(VLOOKUP(Table_Shelter[[#This Row],[CampName]],CL,3,0),"")</f>
        <v>Open</v>
      </c>
      <c r="U263" s="393">
        <f>IFERROR(Table_Shelter[[#This Row],[HH Covered]]/VLOOKUP(Table_Shelter[[#This Row],[CampName]],CL,4,0),"")</f>
        <v>0.42105263157894735</v>
      </c>
      <c r="V263" s="725" t="s">
        <v>1328</v>
      </c>
      <c r="W263" s="394"/>
    </row>
    <row r="264" spans="1:23" ht="15" customHeight="1" x14ac:dyDescent="0.25">
      <c r="A264" s="396">
        <v>41609</v>
      </c>
      <c r="B264" s="220" t="s">
        <v>454</v>
      </c>
      <c r="C264" s="220" t="s">
        <v>462</v>
      </c>
      <c r="D264" s="223" t="s">
        <v>380</v>
      </c>
      <c r="E264" s="525" t="s">
        <v>310</v>
      </c>
      <c r="F264" s="220" t="s">
        <v>347</v>
      </c>
      <c r="G264" s="145">
        <v>1</v>
      </c>
      <c r="H264" s="149"/>
      <c r="I264" s="149"/>
      <c r="J264" s="149">
        <v>18</v>
      </c>
      <c r="K264" s="149">
        <v>18</v>
      </c>
      <c r="L264" s="222"/>
      <c r="M264" s="222"/>
      <c r="N264" s="222"/>
      <c r="O264" s="222"/>
      <c r="P264" s="148">
        <f>IF(V264="NO",Table_Shelter[[#This Row],[HH per Shelter]]*(Table_Shelter[[#This Row],['# of Temporary Shelter Units Built]]+Table_Shelter[[#This Row],['# of Temporary Shelter Under  Construction]]+Table_Shelter[[#This Row],['# of Permanent House Under Construction]]),0)</f>
        <v>18</v>
      </c>
      <c r="Q264" s="148"/>
      <c r="R264" s="148"/>
      <c r="S264" s="148" t="str">
        <f>IFERROR(VLOOKUP(Table_Shelter[[#This Row],[CampName]],CL,2,0),"")</f>
        <v>MMR001CMP041</v>
      </c>
      <c r="T264" s="148" t="str">
        <f>IFERROR(VLOOKUP(Table_Shelter[[#This Row],[CampName]],CL,3,0),"")</f>
        <v>Open</v>
      </c>
      <c r="U264" s="393">
        <f>IFERROR(Table_Shelter[[#This Row],[HH Covered]]/VLOOKUP(Table_Shelter[[#This Row],[CampName]],CL,4,0),"")</f>
        <v>9.8360655737704916E-2</v>
      </c>
      <c r="V264" s="725" t="s">
        <v>1328</v>
      </c>
      <c r="W264" s="397"/>
    </row>
    <row r="265" spans="1:23" ht="15" customHeight="1" x14ac:dyDescent="0.25">
      <c r="A265" s="396">
        <v>42003</v>
      </c>
      <c r="B265" s="220" t="s">
        <v>454</v>
      </c>
      <c r="C265" s="220" t="s">
        <v>462</v>
      </c>
      <c r="D265" s="223" t="s">
        <v>380</v>
      </c>
      <c r="E265" s="525" t="s">
        <v>310</v>
      </c>
      <c r="F265" s="220" t="s">
        <v>347</v>
      </c>
      <c r="G265" s="145">
        <v>1</v>
      </c>
      <c r="H265" s="149">
        <v>90</v>
      </c>
      <c r="I265" s="149"/>
      <c r="J265" s="149"/>
      <c r="K265" s="149"/>
      <c r="L265" s="222"/>
      <c r="M265" s="222"/>
      <c r="N265" s="222"/>
      <c r="O265" s="222"/>
      <c r="P265" s="148">
        <f>IF(V265="NO",Table_Shelter[[#This Row],[HH per Shelter]]*(Table_Shelter[[#This Row],['# of Temporary Shelter Units Built]]+Table_Shelter[[#This Row],['# of Temporary Shelter Under  Construction]]+Table_Shelter[[#This Row],['# of Permanent House Under Construction]]),0)</f>
        <v>0</v>
      </c>
      <c r="Q265" s="148"/>
      <c r="R265" s="222"/>
      <c r="S265" s="222" t="str">
        <f>IFERROR(VLOOKUP(Table_Shelter[[#This Row],[CampName]],CL,2,0),"")</f>
        <v>MMR001CMP041</v>
      </c>
      <c r="T265" s="222" t="str">
        <f>IFERROR(VLOOKUP(Table_Shelter[[#This Row],[CampName]],CL,3,0),"")</f>
        <v>Open</v>
      </c>
      <c r="U265" s="393">
        <f>IFERROR(Table_Shelter[[#This Row],[HH Covered]]/VLOOKUP(Table_Shelter[[#This Row],[CampName]],CL,4,0),"")</f>
        <v>0</v>
      </c>
      <c r="V265" s="725" t="s">
        <v>1328</v>
      </c>
      <c r="W265" s="394"/>
    </row>
    <row r="266" spans="1:23" ht="15" customHeight="1" x14ac:dyDescent="0.25">
      <c r="A266" s="395">
        <v>42416</v>
      </c>
      <c r="B266" s="220" t="s">
        <v>854</v>
      </c>
      <c r="C266" s="220"/>
      <c r="D266" s="223" t="s">
        <v>380</v>
      </c>
      <c r="E266" s="525" t="s">
        <v>310</v>
      </c>
      <c r="F266" s="220" t="s">
        <v>347</v>
      </c>
      <c r="G266" s="145">
        <v>1</v>
      </c>
      <c r="H266" s="149"/>
      <c r="I266" s="149"/>
      <c r="J266" s="149">
        <v>73</v>
      </c>
      <c r="K266" s="149">
        <v>73</v>
      </c>
      <c r="L266" s="222"/>
      <c r="M266" s="222"/>
      <c r="N266" s="222"/>
      <c r="O266" s="222"/>
      <c r="P266" s="148">
        <f>IF(V266="NO",Table_Shelter[[#This Row],[HH per Shelter]]*(Table_Shelter[[#This Row],['# of Temporary Shelter Units Built]]+Table_Shelter[[#This Row],['# of Temporary Shelter Under  Construction]]+Table_Shelter[[#This Row],['# of Permanent House Under Construction]]),0)</f>
        <v>73</v>
      </c>
      <c r="Q266" s="148"/>
      <c r="R266" s="148"/>
      <c r="S266" s="148" t="str">
        <f>IFERROR(VLOOKUP(Table_Shelter[[#This Row],[CampName]],CL,2,0),"")</f>
        <v>MMR001CMP041</v>
      </c>
      <c r="T266" s="148" t="str">
        <f>IFERROR(VLOOKUP(Table_Shelter[[#This Row],[CampName]],CL,3,0),"")</f>
        <v>Open</v>
      </c>
      <c r="U266" s="393">
        <f>IFERROR(Table_Shelter[[#This Row],[HH Covered]]/VLOOKUP(Table_Shelter[[#This Row],[CampName]],CL,4,0),"")</f>
        <v>0.39890710382513661</v>
      </c>
      <c r="V266" s="397" t="s">
        <v>1328</v>
      </c>
      <c r="W266" s="817"/>
    </row>
    <row r="267" spans="1:23" ht="15" customHeight="1" x14ac:dyDescent="0.25">
      <c r="A267" s="396"/>
      <c r="B267" s="220" t="s">
        <v>454</v>
      </c>
      <c r="C267" s="220" t="s">
        <v>462</v>
      </c>
      <c r="D267" s="223" t="s">
        <v>380</v>
      </c>
      <c r="E267" s="525" t="s">
        <v>310</v>
      </c>
      <c r="F267" s="220" t="s">
        <v>347</v>
      </c>
      <c r="G267" s="145">
        <v>1</v>
      </c>
      <c r="H267" s="149"/>
      <c r="I267" s="149"/>
      <c r="J267" s="149">
        <v>170</v>
      </c>
      <c r="K267" s="149">
        <v>170</v>
      </c>
      <c r="L267" s="222"/>
      <c r="M267" s="222"/>
      <c r="N267" s="222"/>
      <c r="O267" s="222"/>
      <c r="P267" s="148">
        <f>IF(V267="NO",Table_Shelter[[#This Row],[HH per Shelter]]*(Table_Shelter[[#This Row],['# of Temporary Shelter Units Built]]+Table_Shelter[[#This Row],['# of Temporary Shelter Under  Construction]]+Table_Shelter[[#This Row],['# of Permanent House Under Construction]]),0)</f>
        <v>170</v>
      </c>
      <c r="Q267" s="148"/>
      <c r="R267" s="222"/>
      <c r="S267" s="222" t="str">
        <f>IFERROR(VLOOKUP(Table_Shelter[[#This Row],[CampName]],CL,2,0),"")</f>
        <v>MMR001CMP041</v>
      </c>
      <c r="T267" s="222" t="str">
        <f>IFERROR(VLOOKUP(Table_Shelter[[#This Row],[CampName]],CL,3,0),"")</f>
        <v>Open</v>
      </c>
      <c r="U267" s="393">
        <f>IFERROR(Table_Shelter[[#This Row],[HH Covered]]/VLOOKUP(Table_Shelter[[#This Row],[CampName]],CL,4,0),"")</f>
        <v>0.92896174863387981</v>
      </c>
      <c r="V267" s="725" t="s">
        <v>1328</v>
      </c>
      <c r="W267" s="394"/>
    </row>
    <row r="268" spans="1:23" ht="15" customHeight="1" x14ac:dyDescent="0.25">
      <c r="A268" s="396"/>
      <c r="B268" s="220" t="s">
        <v>852</v>
      </c>
      <c r="C268" s="220"/>
      <c r="D268" s="223" t="s">
        <v>380</v>
      </c>
      <c r="E268" s="225" t="s">
        <v>302</v>
      </c>
      <c r="F268" s="220" t="s">
        <v>306</v>
      </c>
      <c r="G268" s="145">
        <v>1</v>
      </c>
      <c r="H268" s="149"/>
      <c r="I268" s="149"/>
      <c r="J268" s="149">
        <v>42</v>
      </c>
      <c r="K268" s="149">
        <v>42</v>
      </c>
      <c r="L268" s="222"/>
      <c r="M268" s="222"/>
      <c r="N268" s="222"/>
      <c r="O268" s="222"/>
      <c r="P268" s="148">
        <f>IF(V268="NO",Table_Shelter[[#This Row],[HH per Shelter]]*(Table_Shelter[[#This Row],['# of Temporary Shelter Units Built]]+Table_Shelter[[#This Row],['# of Temporary Shelter Under  Construction]]+Table_Shelter[[#This Row],['# of Permanent House Under Construction]]),0)</f>
        <v>42</v>
      </c>
      <c r="Q268" s="148"/>
      <c r="R268" s="222"/>
      <c r="S268" s="222" t="str">
        <f>IFERROR(VLOOKUP(Table_Shelter[[#This Row],[CampName]],CL,2,0),"")</f>
        <v>MMR001CMP067</v>
      </c>
      <c r="T268" s="222" t="str">
        <f>IFERROR(VLOOKUP(Table_Shelter[[#This Row],[CampName]],CL,3,0),"")</f>
        <v>Open</v>
      </c>
      <c r="U268" s="393">
        <f>IFERROR(Table_Shelter[[#This Row],[HH Covered]]/VLOOKUP(Table_Shelter[[#This Row],[CampName]],CL,4,0),"")</f>
        <v>0.50602409638554213</v>
      </c>
      <c r="V268" s="725" t="s">
        <v>1328</v>
      </c>
      <c r="W268" s="394"/>
    </row>
    <row r="269" spans="1:23" ht="15" customHeight="1" x14ac:dyDescent="0.25">
      <c r="A269" s="396"/>
      <c r="B269" s="220" t="s">
        <v>594</v>
      </c>
      <c r="C269" s="220" t="s">
        <v>461</v>
      </c>
      <c r="D269" s="223" t="s">
        <v>380</v>
      </c>
      <c r="E269" s="225" t="s">
        <v>302</v>
      </c>
      <c r="F269" s="220" t="s">
        <v>308</v>
      </c>
      <c r="G269" s="145">
        <v>1</v>
      </c>
      <c r="H269" s="149"/>
      <c r="I269" s="149"/>
      <c r="J269" s="149">
        <v>36</v>
      </c>
      <c r="K269" s="149">
        <v>36</v>
      </c>
      <c r="L269" s="222"/>
      <c r="M269" s="222"/>
      <c r="N269" s="222"/>
      <c r="O269" s="222"/>
      <c r="P269" s="148">
        <f>IF(V269="NO",Table_Shelter[[#This Row],[HH per Shelter]]*(Table_Shelter[[#This Row],['# of Temporary Shelter Units Built]]+Table_Shelter[[#This Row],['# of Temporary Shelter Under  Construction]]+Table_Shelter[[#This Row],['# of Permanent House Under Construction]]),0)</f>
        <v>36</v>
      </c>
      <c r="Q269" s="148"/>
      <c r="R269" s="222"/>
      <c r="S269" s="222" t="str">
        <f>IFERROR(VLOOKUP(Table_Shelter[[#This Row],[CampName]],CL,2,0),"")</f>
        <v>MMR001CMP068</v>
      </c>
      <c r="T269" s="222" t="str">
        <f>IFERROR(VLOOKUP(Table_Shelter[[#This Row],[CampName]],CL,3,0),"")</f>
        <v>Open</v>
      </c>
      <c r="U269" s="393">
        <f>IFERROR(Table_Shelter[[#This Row],[HH Covered]]/VLOOKUP(Table_Shelter[[#This Row],[CampName]],CL,4,0),"")</f>
        <v>0.87804878048780488</v>
      </c>
      <c r="V269" s="725" t="s">
        <v>1328</v>
      </c>
      <c r="W269" s="394"/>
    </row>
    <row r="270" spans="1:23" ht="15" customHeight="1" x14ac:dyDescent="0.25">
      <c r="A270" s="396"/>
      <c r="B270" s="220" t="s">
        <v>454</v>
      </c>
      <c r="C270" s="220" t="s">
        <v>461</v>
      </c>
      <c r="D270" s="223" t="s">
        <v>380</v>
      </c>
      <c r="E270" s="225" t="s">
        <v>302</v>
      </c>
      <c r="F270" s="220" t="s">
        <v>308</v>
      </c>
      <c r="G270" s="145">
        <v>1</v>
      </c>
      <c r="H270" s="149"/>
      <c r="I270" s="149"/>
      <c r="J270" s="149">
        <v>10</v>
      </c>
      <c r="K270" s="149">
        <v>10</v>
      </c>
      <c r="L270" s="222"/>
      <c r="M270" s="222"/>
      <c r="N270" s="222"/>
      <c r="O270" s="222"/>
      <c r="P270" s="148">
        <f>IF(V270="NO",Table_Shelter[[#This Row],[HH per Shelter]]*(Table_Shelter[[#This Row],['# of Temporary Shelter Units Built]]+Table_Shelter[[#This Row],['# of Temporary Shelter Under  Construction]]+Table_Shelter[[#This Row],['# of Permanent House Under Construction]]),0)</f>
        <v>10</v>
      </c>
      <c r="Q270" s="148"/>
      <c r="R270" s="222"/>
      <c r="S270" s="222" t="str">
        <f>IFERROR(VLOOKUP(Table_Shelter[[#This Row],[CampName]],CL,2,0),"")</f>
        <v>MMR001CMP068</v>
      </c>
      <c r="T270" s="222" t="str">
        <f>IFERROR(VLOOKUP(Table_Shelter[[#This Row],[CampName]],CL,3,0),"")</f>
        <v>Open</v>
      </c>
      <c r="U270" s="393">
        <f>IFERROR(Table_Shelter[[#This Row],[HH Covered]]/VLOOKUP(Table_Shelter[[#This Row],[CampName]],CL,4,0),"")</f>
        <v>0.24390243902439024</v>
      </c>
      <c r="V270" s="725" t="s">
        <v>1328</v>
      </c>
      <c r="W270" s="394"/>
    </row>
    <row r="271" spans="1:23" ht="15" customHeight="1" x14ac:dyDescent="0.25">
      <c r="A271" s="396">
        <v>42416</v>
      </c>
      <c r="B271" s="220" t="s">
        <v>454</v>
      </c>
      <c r="C271" s="220" t="s">
        <v>462</v>
      </c>
      <c r="D271" s="223" t="s">
        <v>380</v>
      </c>
      <c r="E271" s="525" t="s">
        <v>237</v>
      </c>
      <c r="F271" s="220" t="s">
        <v>281</v>
      </c>
      <c r="G271" s="145">
        <v>1</v>
      </c>
      <c r="H271" s="149"/>
      <c r="I271" s="149"/>
      <c r="J271" s="149"/>
      <c r="K271" s="149"/>
      <c r="L271" s="222"/>
      <c r="M271" s="222"/>
      <c r="N271" s="222"/>
      <c r="O271" s="222"/>
      <c r="P271" s="148">
        <f>IF(V271="NO",Table_Shelter[[#This Row],[HH per Shelter]]*(Table_Shelter[[#This Row],['# of Temporary Shelter Units Built]]+Table_Shelter[[#This Row],['# of Temporary Shelter Under  Construction]]+Table_Shelter[[#This Row],['# of Permanent House Under Construction]]),0)</f>
        <v>0</v>
      </c>
      <c r="Q271" s="148">
        <v>46</v>
      </c>
      <c r="R271" s="148">
        <v>46</v>
      </c>
      <c r="S271" s="222" t="str">
        <f>IFERROR(VLOOKUP(Table_Shelter[[#This Row],[CampName]],CL,2,0),"")</f>
        <v>MMR001CMP009</v>
      </c>
      <c r="T271" s="222" t="str">
        <f>IFERROR(VLOOKUP(Table_Shelter[[#This Row],[CampName]],CL,3,0),"")</f>
        <v>Open</v>
      </c>
      <c r="U271" s="393">
        <f>IFERROR(Table_Shelter[[#This Row],[HH Covered]]/VLOOKUP(Table_Shelter[[#This Row],[CampName]],CL,4,0),"")</f>
        <v>0</v>
      </c>
      <c r="V271" s="725" t="s">
        <v>1328</v>
      </c>
      <c r="W271" s="394"/>
    </row>
    <row r="272" spans="1:23" ht="15" customHeight="1" x14ac:dyDescent="0.25">
      <c r="A272" s="396"/>
      <c r="B272" s="220" t="s">
        <v>454</v>
      </c>
      <c r="C272" s="220" t="s">
        <v>462</v>
      </c>
      <c r="D272" s="223" t="s">
        <v>380</v>
      </c>
      <c r="E272" s="225" t="s">
        <v>237</v>
      </c>
      <c r="F272" s="220" t="s">
        <v>281</v>
      </c>
      <c r="G272" s="145">
        <v>1</v>
      </c>
      <c r="H272" s="149"/>
      <c r="I272" s="149"/>
      <c r="J272" s="149">
        <v>50</v>
      </c>
      <c r="K272" s="149">
        <v>50</v>
      </c>
      <c r="L272" s="222"/>
      <c r="M272" s="222"/>
      <c r="N272" s="222"/>
      <c r="O272" s="222"/>
      <c r="P272" s="148">
        <f>IF(V272="NO",Table_Shelter[[#This Row],[HH per Shelter]]*(Table_Shelter[[#This Row],['# of Temporary Shelter Units Built]]+Table_Shelter[[#This Row],['# of Temporary Shelter Under  Construction]]+Table_Shelter[[#This Row],['# of Permanent House Under Construction]]),0)</f>
        <v>50</v>
      </c>
      <c r="Q272" s="148"/>
      <c r="R272" s="222"/>
      <c r="S272" s="222" t="str">
        <f>IFERROR(VLOOKUP(Table_Shelter[[#This Row],[CampName]],CL,2,0),"")</f>
        <v>MMR001CMP009</v>
      </c>
      <c r="T272" s="222" t="str">
        <f>IFERROR(VLOOKUP(Table_Shelter[[#This Row],[CampName]],CL,3,0),"")</f>
        <v>Open</v>
      </c>
      <c r="U272" s="393">
        <f>IFERROR(Table_Shelter[[#This Row],[HH Covered]]/VLOOKUP(Table_Shelter[[#This Row],[CampName]],CL,4,0),"")</f>
        <v>0.55555555555555558</v>
      </c>
      <c r="V272" s="725" t="s">
        <v>1328</v>
      </c>
      <c r="W272" s="394"/>
    </row>
    <row r="273" spans="1:23" ht="15" customHeight="1" x14ac:dyDescent="0.25">
      <c r="A273" s="396"/>
      <c r="B273" s="220" t="s">
        <v>594</v>
      </c>
      <c r="C273" s="220" t="s">
        <v>508</v>
      </c>
      <c r="D273" s="223" t="s">
        <v>380</v>
      </c>
      <c r="E273" s="225" t="s">
        <v>180</v>
      </c>
      <c r="F273" s="220" t="s">
        <v>181</v>
      </c>
      <c r="G273" s="145">
        <v>1</v>
      </c>
      <c r="H273" s="149"/>
      <c r="I273" s="149"/>
      <c r="J273" s="149">
        <v>12</v>
      </c>
      <c r="K273" s="149">
        <v>12</v>
      </c>
      <c r="L273" s="222"/>
      <c r="M273" s="222"/>
      <c r="N273" s="222"/>
      <c r="O273" s="222"/>
      <c r="P273" s="148">
        <f>IF(V273="NO",Table_Shelter[[#This Row],[HH per Shelter]]*(Table_Shelter[[#This Row],['# of Temporary Shelter Units Built]]+Table_Shelter[[#This Row],['# of Temporary Shelter Under  Construction]]+Table_Shelter[[#This Row],['# of Permanent House Under Construction]]),0)</f>
        <v>12</v>
      </c>
      <c r="Q273" s="148"/>
      <c r="R273" s="222"/>
      <c r="S273" s="222" t="str">
        <f>IFERROR(VLOOKUP(Table_Shelter[[#This Row],[CampName]],CL,2,0),"")</f>
        <v>MMR001CMP080</v>
      </c>
      <c r="T273" s="222" t="str">
        <f>IFERROR(VLOOKUP(Table_Shelter[[#This Row],[CampName]],CL,3,0),"")</f>
        <v>Open</v>
      </c>
      <c r="U273" s="393">
        <f>IFERROR(Table_Shelter[[#This Row],[HH Covered]]/VLOOKUP(Table_Shelter[[#This Row],[CampName]],CL,4,0),"")</f>
        <v>1</v>
      </c>
      <c r="V273" s="725" t="s">
        <v>1328</v>
      </c>
      <c r="W273" s="394"/>
    </row>
    <row r="274" spans="1:23" ht="15" customHeight="1" x14ac:dyDescent="0.25">
      <c r="A274" s="396">
        <v>41609</v>
      </c>
      <c r="B274" s="220" t="s">
        <v>454</v>
      </c>
      <c r="C274" s="220" t="s">
        <v>507</v>
      </c>
      <c r="D274" s="223" t="s">
        <v>380</v>
      </c>
      <c r="E274" s="225" t="s">
        <v>5</v>
      </c>
      <c r="F274" s="220" t="s">
        <v>24</v>
      </c>
      <c r="G274" s="145">
        <v>1</v>
      </c>
      <c r="H274" s="149"/>
      <c r="I274" s="149"/>
      <c r="J274" s="149">
        <v>15</v>
      </c>
      <c r="K274" s="149">
        <v>15</v>
      </c>
      <c r="L274" s="222"/>
      <c r="M274" s="222"/>
      <c r="N274" s="222"/>
      <c r="O274" s="222"/>
      <c r="P274" s="148">
        <f>IF(V274="NO",Table_Shelter[[#This Row],[HH per Shelter]]*(Table_Shelter[[#This Row],['# of Temporary Shelter Units Built]]+Table_Shelter[[#This Row],['# of Temporary Shelter Under  Construction]]+Table_Shelter[[#This Row],['# of Permanent House Under Construction]]),0)</f>
        <v>15</v>
      </c>
      <c r="Q274" s="148">
        <v>10</v>
      </c>
      <c r="R274" s="222"/>
      <c r="S274" s="222" t="str">
        <f>IFERROR(VLOOKUP(Table_Shelter[[#This Row],[CampName]],CL,2,0),"")</f>
        <v>MMR001CMP055</v>
      </c>
      <c r="T274" s="222" t="str">
        <f>IFERROR(VLOOKUP(Table_Shelter[[#This Row],[CampName]],CL,3,0),"")</f>
        <v>Open</v>
      </c>
      <c r="U274" s="393">
        <f>IFERROR(Table_Shelter[[#This Row],[HH Covered]]/VLOOKUP(Table_Shelter[[#This Row],[CampName]],CL,4,0),"")</f>
        <v>0.6</v>
      </c>
      <c r="V274" s="725" t="s">
        <v>1328</v>
      </c>
      <c r="W274" s="394"/>
    </row>
    <row r="275" spans="1:23" ht="15" customHeight="1" x14ac:dyDescent="0.25">
      <c r="A275" s="396"/>
      <c r="B275" s="220" t="s">
        <v>454</v>
      </c>
      <c r="C275" s="220"/>
      <c r="D275" s="223" t="s">
        <v>380</v>
      </c>
      <c r="E275" s="225" t="s">
        <v>5</v>
      </c>
      <c r="F275" s="220" t="s">
        <v>24</v>
      </c>
      <c r="G275" s="145">
        <v>1</v>
      </c>
      <c r="H275" s="149"/>
      <c r="I275" s="149"/>
      <c r="J275" s="149">
        <v>40</v>
      </c>
      <c r="K275" s="149">
        <v>40</v>
      </c>
      <c r="L275" s="222"/>
      <c r="M275" s="222"/>
      <c r="N275" s="222"/>
      <c r="O275" s="222"/>
      <c r="P275" s="148">
        <f>IF(V275="NO",Table_Shelter[[#This Row],[HH per Shelter]]*(Table_Shelter[[#This Row],['# of Temporary Shelter Units Built]]+Table_Shelter[[#This Row],['# of Temporary Shelter Under  Construction]]+Table_Shelter[[#This Row],['# of Permanent House Under Construction]]),0)</f>
        <v>40</v>
      </c>
      <c r="Q275" s="148"/>
      <c r="R275" s="222"/>
      <c r="S275" s="222" t="str">
        <f>IFERROR(VLOOKUP(Table_Shelter[[#This Row],[CampName]],CL,2,0),"")</f>
        <v>MMR001CMP055</v>
      </c>
      <c r="T275" s="222" t="str">
        <f>IFERROR(VLOOKUP(Table_Shelter[[#This Row],[CampName]],CL,3,0),"")</f>
        <v>Open</v>
      </c>
      <c r="U275" s="393">
        <f>IFERROR(Table_Shelter[[#This Row],[HH Covered]]/VLOOKUP(Table_Shelter[[#This Row],[CampName]],CL,4,0),"")</f>
        <v>1.6</v>
      </c>
      <c r="V275" s="725" t="s">
        <v>1328</v>
      </c>
      <c r="W275" s="394"/>
    </row>
    <row r="276" spans="1:23" ht="15" customHeight="1" x14ac:dyDescent="0.25">
      <c r="A276" s="396">
        <v>42416</v>
      </c>
      <c r="B276" s="220" t="s">
        <v>454</v>
      </c>
      <c r="C276" s="220" t="s">
        <v>462</v>
      </c>
      <c r="D276" s="223" t="s">
        <v>380</v>
      </c>
      <c r="E276" s="525" t="s">
        <v>237</v>
      </c>
      <c r="F276" s="220" t="s">
        <v>238</v>
      </c>
      <c r="G276" s="145">
        <v>1</v>
      </c>
      <c r="H276" s="149"/>
      <c r="I276" s="149"/>
      <c r="J276" s="149"/>
      <c r="K276" s="149"/>
      <c r="L276" s="222"/>
      <c r="M276" s="222"/>
      <c r="N276" s="222"/>
      <c r="O276" s="222"/>
      <c r="P276" s="148">
        <f>IF(V276="NO",Table_Shelter[[#This Row],[HH per Shelter]]*(Table_Shelter[[#This Row],['# of Temporary Shelter Units Built]]+Table_Shelter[[#This Row],['# of Temporary Shelter Under  Construction]]+Table_Shelter[[#This Row],['# of Permanent House Under Construction]]),0)</f>
        <v>0</v>
      </c>
      <c r="Q276" s="148">
        <v>37</v>
      </c>
      <c r="R276" s="148">
        <v>37</v>
      </c>
      <c r="S276" s="222" t="str">
        <f>IFERROR(VLOOKUP(Table_Shelter[[#This Row],[CampName]],CL,2,0),"")</f>
        <v>MMR001CMP001</v>
      </c>
      <c r="T276" s="222" t="str">
        <f>IFERROR(VLOOKUP(Table_Shelter[[#This Row],[CampName]],CL,3,0),"")</f>
        <v>Open</v>
      </c>
      <c r="U276" s="393">
        <f>IFERROR(Table_Shelter[[#This Row],[HH Covered]]/VLOOKUP(Table_Shelter[[#This Row],[CampName]],CL,4,0),"")</f>
        <v>0</v>
      </c>
      <c r="V276" s="394" t="s">
        <v>1328</v>
      </c>
      <c r="W276" s="817"/>
    </row>
    <row r="277" spans="1:23" ht="15" customHeight="1" x14ac:dyDescent="0.25">
      <c r="A277" s="396"/>
      <c r="B277" s="220" t="s">
        <v>454</v>
      </c>
      <c r="C277" s="220" t="s">
        <v>462</v>
      </c>
      <c r="D277" s="223" t="s">
        <v>380</v>
      </c>
      <c r="E277" s="525" t="s">
        <v>237</v>
      </c>
      <c r="F277" s="220" t="s">
        <v>238</v>
      </c>
      <c r="G277" s="145">
        <v>1</v>
      </c>
      <c r="H277" s="149"/>
      <c r="I277" s="149"/>
      <c r="J277" s="149">
        <v>60</v>
      </c>
      <c r="K277" s="149">
        <v>60</v>
      </c>
      <c r="L277" s="222"/>
      <c r="M277" s="222"/>
      <c r="N277" s="222"/>
      <c r="O277" s="222"/>
      <c r="P277" s="148">
        <f>IF(V277="NO",Table_Shelter[[#This Row],[HH per Shelter]]*(Table_Shelter[[#This Row],['# of Temporary Shelter Units Built]]+Table_Shelter[[#This Row],['# of Temporary Shelter Under  Construction]]+Table_Shelter[[#This Row],['# of Permanent House Under Construction]]),0)</f>
        <v>60</v>
      </c>
      <c r="Q277" s="148"/>
      <c r="R277" s="222"/>
      <c r="S277" s="222" t="str">
        <f>IFERROR(VLOOKUP(Table_Shelter[[#This Row],[CampName]],CL,2,0),"")</f>
        <v>MMR001CMP001</v>
      </c>
      <c r="T277" s="222" t="str">
        <f>IFERROR(VLOOKUP(Table_Shelter[[#This Row],[CampName]],CL,3,0),"")</f>
        <v>Open</v>
      </c>
      <c r="U277" s="393">
        <f>IFERROR(Table_Shelter[[#This Row],[HH Covered]]/VLOOKUP(Table_Shelter[[#This Row],[CampName]],CL,4,0),"")</f>
        <v>0.8571428571428571</v>
      </c>
      <c r="V277" s="725" t="s">
        <v>1328</v>
      </c>
      <c r="W277" s="394"/>
    </row>
    <row r="278" spans="1:23" ht="15" customHeight="1" x14ac:dyDescent="0.25">
      <c r="A278" s="396">
        <v>41609</v>
      </c>
      <c r="B278" s="220" t="s">
        <v>454</v>
      </c>
      <c r="C278" s="220" t="s">
        <v>507</v>
      </c>
      <c r="D278" s="223" t="s">
        <v>380</v>
      </c>
      <c r="E278" s="525" t="s">
        <v>237</v>
      </c>
      <c r="F278" s="220" t="s">
        <v>1258</v>
      </c>
      <c r="G278" s="145">
        <v>1</v>
      </c>
      <c r="H278" s="149"/>
      <c r="I278" s="149"/>
      <c r="J278" s="149">
        <v>30</v>
      </c>
      <c r="K278" s="149">
        <v>30</v>
      </c>
      <c r="L278" s="222"/>
      <c r="M278" s="222"/>
      <c r="N278" s="222"/>
      <c r="O278" s="222"/>
      <c r="P278" s="148">
        <f>IF(V278="NO",Table_Shelter[[#This Row],[HH per Shelter]]*(Table_Shelter[[#This Row],['# of Temporary Shelter Units Built]]+Table_Shelter[[#This Row],['# of Temporary Shelter Under  Construction]]+Table_Shelter[[#This Row],['# of Permanent House Under Construction]]),0)</f>
        <v>30</v>
      </c>
      <c r="Q278" s="148"/>
      <c r="R278" s="148"/>
      <c r="S278" s="148" t="str">
        <f>IFERROR(VLOOKUP(Table_Shelter[[#This Row],[CampName]],CL,2,0),"")</f>
        <v>MMR001CMP023</v>
      </c>
      <c r="T278" s="148" t="str">
        <f>IFERROR(VLOOKUP(Table_Shelter[[#This Row],[CampName]],CL,3,0),"")</f>
        <v>Open</v>
      </c>
      <c r="U278" s="393">
        <f>IFERROR(Table_Shelter[[#This Row],[HH Covered]]/VLOOKUP(Table_Shelter[[#This Row],[CampName]],CL,4,0),"")</f>
        <v>0.44117647058823528</v>
      </c>
      <c r="V278" s="725" t="s">
        <v>1328</v>
      </c>
      <c r="W278" s="397"/>
    </row>
    <row r="279" spans="1:23" ht="15" customHeight="1" x14ac:dyDescent="0.25">
      <c r="A279" s="396">
        <v>41791</v>
      </c>
      <c r="B279" s="145" t="s">
        <v>454</v>
      </c>
      <c r="C279" s="145" t="s">
        <v>507</v>
      </c>
      <c r="D279" s="228" t="s">
        <v>380</v>
      </c>
      <c r="E279" s="229" t="s">
        <v>237</v>
      </c>
      <c r="F279" s="145" t="s">
        <v>1258</v>
      </c>
      <c r="G279" s="145">
        <v>1</v>
      </c>
      <c r="H279" s="149"/>
      <c r="I279" s="149"/>
      <c r="J279" s="149">
        <v>10</v>
      </c>
      <c r="K279" s="149">
        <v>10</v>
      </c>
      <c r="L279" s="149"/>
      <c r="M279" s="149"/>
      <c r="N279" s="149"/>
      <c r="O279" s="149"/>
      <c r="P279" s="148">
        <f>IF(V279="NO",Table_Shelter[[#This Row],[HH per Shelter]]*(Table_Shelter[[#This Row],['# of Temporary Shelter Units Built]]+Table_Shelter[[#This Row],['# of Temporary Shelter Under  Construction]]+Table_Shelter[[#This Row],['# of Permanent House Under Construction]]),0)</f>
        <v>10</v>
      </c>
      <c r="Q279" s="148"/>
      <c r="R279" s="148"/>
      <c r="S279" s="148" t="str">
        <f>IFERROR(VLOOKUP(Table_Shelter[[#This Row],[CampName]],CL,2,0),"")</f>
        <v>MMR001CMP023</v>
      </c>
      <c r="T279" s="148" t="str">
        <f>IFERROR(VLOOKUP(Table_Shelter[[#This Row],[CampName]],CL,3,0),"")</f>
        <v>Open</v>
      </c>
      <c r="U279" s="399">
        <f>IFERROR(Table_Shelter[[#This Row],[HH Covered]]/VLOOKUP(Table_Shelter[[#This Row],[CampName]],CL,4,0),"")</f>
        <v>0.14705882352941177</v>
      </c>
      <c r="V279" s="725" t="s">
        <v>1328</v>
      </c>
      <c r="W279" s="397"/>
    </row>
    <row r="280" spans="1:23" ht="15" customHeight="1" x14ac:dyDescent="0.25">
      <c r="A280" s="396">
        <v>41974</v>
      </c>
      <c r="B280" s="220" t="s">
        <v>454</v>
      </c>
      <c r="C280" s="220" t="s">
        <v>507</v>
      </c>
      <c r="D280" s="223" t="s">
        <v>380</v>
      </c>
      <c r="E280" s="525" t="s">
        <v>237</v>
      </c>
      <c r="F280" s="220" t="s">
        <v>1258</v>
      </c>
      <c r="G280" s="145">
        <v>1</v>
      </c>
      <c r="H280" s="149"/>
      <c r="I280" s="149"/>
      <c r="J280" s="149">
        <v>5</v>
      </c>
      <c r="K280" s="149">
        <v>5</v>
      </c>
      <c r="L280" s="222"/>
      <c r="M280" s="222"/>
      <c r="N280" s="222"/>
      <c r="O280" s="222"/>
      <c r="P280" s="148">
        <f>IF(V280="NO",Table_Shelter[[#This Row],[HH per Shelter]]*(Table_Shelter[[#This Row],['# of Temporary Shelter Units Built]]+Table_Shelter[[#This Row],['# of Temporary Shelter Under  Construction]]+Table_Shelter[[#This Row],['# of Permanent House Under Construction]]),0)</f>
        <v>5</v>
      </c>
      <c r="Q280" s="148"/>
      <c r="R280" s="148"/>
      <c r="S280" s="148" t="str">
        <f>IFERROR(VLOOKUP(Table_Shelter[[#This Row],[CampName]],CL,2,0),"")</f>
        <v>MMR001CMP023</v>
      </c>
      <c r="T280" s="148" t="str">
        <f>IFERROR(VLOOKUP(Table_Shelter[[#This Row],[CampName]],CL,3,0),"")</f>
        <v>Open</v>
      </c>
      <c r="U280" s="393">
        <f>IFERROR(Table_Shelter[[#This Row],[HH Covered]]/VLOOKUP(Table_Shelter[[#This Row],[CampName]],CL,4,0),"")</f>
        <v>7.3529411764705885E-2</v>
      </c>
      <c r="V280" s="725" t="s">
        <v>1328</v>
      </c>
      <c r="W280" s="397"/>
    </row>
    <row r="281" spans="1:23" ht="15" customHeight="1" x14ac:dyDescent="0.25">
      <c r="A281" s="395">
        <v>42416</v>
      </c>
      <c r="B281" s="220" t="s">
        <v>454</v>
      </c>
      <c r="C281" s="220" t="s">
        <v>507</v>
      </c>
      <c r="D281" s="223" t="s">
        <v>380</v>
      </c>
      <c r="E281" s="525" t="s">
        <v>237</v>
      </c>
      <c r="F281" s="220" t="s">
        <v>1258</v>
      </c>
      <c r="G281" s="145">
        <v>1</v>
      </c>
      <c r="H281" s="149"/>
      <c r="I281" s="149"/>
      <c r="J281" s="149">
        <v>10</v>
      </c>
      <c r="K281" s="149">
        <v>10</v>
      </c>
      <c r="L281" s="222"/>
      <c r="M281" s="222"/>
      <c r="N281" s="222"/>
      <c r="O281" s="222"/>
      <c r="P281" s="148">
        <f>IF(V281="NO",Table_Shelter[[#This Row],[HH per Shelter]]*(Table_Shelter[[#This Row],['# of Temporary Shelter Units Built]]+Table_Shelter[[#This Row],['# of Temporary Shelter Under  Construction]]+Table_Shelter[[#This Row],['# of Permanent House Under Construction]]),0)</f>
        <v>10</v>
      </c>
      <c r="Q281" s="148"/>
      <c r="R281" s="222"/>
      <c r="S281" s="222" t="str">
        <f>IFERROR(VLOOKUP(Table_Shelter[[#This Row],[CampName]],CL,2,0),"")</f>
        <v>MMR001CMP023</v>
      </c>
      <c r="T281" s="222" t="str">
        <f>IFERROR(VLOOKUP(Table_Shelter[[#This Row],[CampName]],CL,3,0),"")</f>
        <v>Open</v>
      </c>
      <c r="U281" s="393">
        <f>IFERROR(Table_Shelter[[#This Row],[HH Covered]]/VLOOKUP(Table_Shelter[[#This Row],[CampName]],CL,4,0),"")</f>
        <v>0.14705882352941177</v>
      </c>
      <c r="V281" s="725" t="s">
        <v>1328</v>
      </c>
      <c r="W281" s="394"/>
    </row>
    <row r="282" spans="1:23" ht="15" customHeight="1" x14ac:dyDescent="0.25">
      <c r="A282" s="396"/>
      <c r="B282" s="220" t="s">
        <v>855</v>
      </c>
      <c r="C282" s="220" t="s">
        <v>507</v>
      </c>
      <c r="D282" s="223" t="s">
        <v>380</v>
      </c>
      <c r="E282" s="525" t="s">
        <v>237</v>
      </c>
      <c r="F282" s="220" t="s">
        <v>1258</v>
      </c>
      <c r="G282" s="145">
        <v>1</v>
      </c>
      <c r="H282" s="149"/>
      <c r="I282" s="149"/>
      <c r="J282" s="149">
        <v>12</v>
      </c>
      <c r="K282" s="149">
        <v>12</v>
      </c>
      <c r="L282" s="222"/>
      <c r="M282" s="222"/>
      <c r="N282" s="222"/>
      <c r="O282" s="222"/>
      <c r="P282" s="148">
        <f>IF(V282="NO",Table_Shelter[[#This Row],[HH per Shelter]]*(Table_Shelter[[#This Row],['# of Temporary Shelter Units Built]]+Table_Shelter[[#This Row],['# of Temporary Shelter Under  Construction]]+Table_Shelter[[#This Row],['# of Permanent House Under Construction]]),0)</f>
        <v>12</v>
      </c>
      <c r="Q282" s="148"/>
      <c r="R282" s="222"/>
      <c r="S282" s="222" t="str">
        <f>IFERROR(VLOOKUP(Table_Shelter[[#This Row],[CampName]],CL,2,0),"")</f>
        <v>MMR001CMP023</v>
      </c>
      <c r="T282" s="222" t="str">
        <f>IFERROR(VLOOKUP(Table_Shelter[[#This Row],[CampName]],CL,3,0),"")</f>
        <v>Open</v>
      </c>
      <c r="U282" s="393">
        <f>IFERROR(Table_Shelter[[#This Row],[HH Covered]]/VLOOKUP(Table_Shelter[[#This Row],[CampName]],CL,4,0),"")</f>
        <v>0.17647058823529413</v>
      </c>
      <c r="V282" s="725" t="s">
        <v>1328</v>
      </c>
      <c r="W282" s="394"/>
    </row>
    <row r="283" spans="1:23" ht="15" customHeight="1" x14ac:dyDescent="0.25">
      <c r="A283" s="396"/>
      <c r="B283" s="220" t="s">
        <v>454</v>
      </c>
      <c r="C283" s="220" t="s">
        <v>507</v>
      </c>
      <c r="D283" s="223" t="s">
        <v>380</v>
      </c>
      <c r="E283" s="525" t="s">
        <v>237</v>
      </c>
      <c r="F283" s="220" t="s">
        <v>1258</v>
      </c>
      <c r="G283" s="145">
        <v>1</v>
      </c>
      <c r="H283" s="149"/>
      <c r="I283" s="149"/>
      <c r="J283" s="149">
        <v>40</v>
      </c>
      <c r="K283" s="149">
        <v>40</v>
      </c>
      <c r="L283" s="222"/>
      <c r="M283" s="222"/>
      <c r="N283" s="222"/>
      <c r="O283" s="222"/>
      <c r="P283" s="148">
        <f>IF(V283="NO",Table_Shelter[[#This Row],[HH per Shelter]]*(Table_Shelter[[#This Row],['# of Temporary Shelter Units Built]]+Table_Shelter[[#This Row],['# of Temporary Shelter Under  Construction]]+Table_Shelter[[#This Row],['# of Permanent House Under Construction]]),0)</f>
        <v>40</v>
      </c>
      <c r="Q283" s="148"/>
      <c r="R283" s="222"/>
      <c r="S283" s="222" t="str">
        <f>IFERROR(VLOOKUP(Table_Shelter[[#This Row],[CampName]],CL,2,0),"")</f>
        <v>MMR001CMP023</v>
      </c>
      <c r="T283" s="222" t="str">
        <f>IFERROR(VLOOKUP(Table_Shelter[[#This Row],[CampName]],CL,3,0),"")</f>
        <v>Open</v>
      </c>
      <c r="U283" s="393">
        <f>IFERROR(Table_Shelter[[#This Row],[HH Covered]]/VLOOKUP(Table_Shelter[[#This Row],[CampName]],CL,4,0),"")</f>
        <v>0.58823529411764708</v>
      </c>
      <c r="V283" s="725" t="s">
        <v>1328</v>
      </c>
      <c r="W283" s="394"/>
    </row>
    <row r="284" spans="1:23" ht="15" customHeight="1" x14ac:dyDescent="0.25">
      <c r="A284" s="396"/>
      <c r="B284" s="145" t="s">
        <v>454</v>
      </c>
      <c r="C284" s="145" t="s">
        <v>507</v>
      </c>
      <c r="D284" s="228" t="s">
        <v>380</v>
      </c>
      <c r="E284" s="229" t="s">
        <v>237</v>
      </c>
      <c r="F284" s="145" t="s">
        <v>1258</v>
      </c>
      <c r="G284" s="145">
        <v>1</v>
      </c>
      <c r="H284" s="149"/>
      <c r="I284" s="149"/>
      <c r="J284" s="149">
        <v>20</v>
      </c>
      <c r="K284" s="149">
        <v>20</v>
      </c>
      <c r="L284" s="149"/>
      <c r="M284" s="149"/>
      <c r="N284" s="149"/>
      <c r="O284" s="149"/>
      <c r="P284" s="148">
        <f>IF(V284="NO",Table_Shelter[[#This Row],[HH per Shelter]]*(Table_Shelter[[#This Row],['# of Temporary Shelter Units Built]]+Table_Shelter[[#This Row],['# of Temporary Shelter Under  Construction]]+Table_Shelter[[#This Row],['# of Permanent House Under Construction]]),0)</f>
        <v>20</v>
      </c>
      <c r="Q284" s="148"/>
      <c r="R284" s="148"/>
      <c r="S284" s="148" t="str">
        <f>IFERROR(VLOOKUP(Table_Shelter[[#This Row],[CampName]],CL,2,0),"")</f>
        <v>MMR001CMP023</v>
      </c>
      <c r="T284" s="148" t="str">
        <f>IFERROR(VLOOKUP(Table_Shelter[[#This Row],[CampName]],CL,3,0),"")</f>
        <v>Open</v>
      </c>
      <c r="U284" s="399">
        <f>IFERROR(Table_Shelter[[#This Row],[HH Covered]]/VLOOKUP(Table_Shelter[[#This Row],[CampName]],CL,4,0),"")</f>
        <v>0.29411764705882354</v>
      </c>
      <c r="V284" s="725" t="s">
        <v>1328</v>
      </c>
      <c r="W284" s="397"/>
    </row>
    <row r="285" spans="1:23" ht="15" customHeight="1" x14ac:dyDescent="0.25">
      <c r="A285" s="396"/>
      <c r="B285" s="220" t="s">
        <v>454</v>
      </c>
      <c r="C285" s="220" t="s">
        <v>507</v>
      </c>
      <c r="D285" s="223" t="s">
        <v>380</v>
      </c>
      <c r="E285" s="225" t="s">
        <v>237</v>
      </c>
      <c r="F285" s="220" t="s">
        <v>249</v>
      </c>
      <c r="G285" s="145">
        <v>1</v>
      </c>
      <c r="H285" s="149"/>
      <c r="I285" s="149"/>
      <c r="J285" s="149">
        <v>10</v>
      </c>
      <c r="K285" s="149">
        <v>10</v>
      </c>
      <c r="L285" s="222"/>
      <c r="M285" s="222"/>
      <c r="N285" s="222"/>
      <c r="O285" s="222"/>
      <c r="P285" s="148">
        <f>IF(V285="NO",Table_Shelter[[#This Row],[HH per Shelter]]*(Table_Shelter[[#This Row],['# of Temporary Shelter Units Built]]+Table_Shelter[[#This Row],['# of Temporary Shelter Under  Construction]]+Table_Shelter[[#This Row],['# of Permanent House Under Construction]]),0)</f>
        <v>10</v>
      </c>
      <c r="Q285" s="148"/>
      <c r="R285" s="222"/>
      <c r="S285" s="222" t="str">
        <f>IFERROR(VLOOKUP(Table_Shelter[[#This Row],[CampName]],CL,2,0),"")</f>
        <v>MMR001CMP004</v>
      </c>
      <c r="T285" s="222" t="str">
        <f>IFERROR(VLOOKUP(Table_Shelter[[#This Row],[CampName]],CL,3,0),"")</f>
        <v>Open</v>
      </c>
      <c r="U285" s="393">
        <f>IFERROR(Table_Shelter[[#This Row],[HH Covered]]/VLOOKUP(Table_Shelter[[#This Row],[CampName]],CL,4,0),"")</f>
        <v>0.83333333333333337</v>
      </c>
      <c r="V285" s="725" t="s">
        <v>1328</v>
      </c>
      <c r="W285" s="394"/>
    </row>
    <row r="286" spans="1:23" ht="15" customHeight="1" x14ac:dyDescent="0.25">
      <c r="A286" s="396"/>
      <c r="B286" s="220" t="s">
        <v>454</v>
      </c>
      <c r="C286" s="220"/>
      <c r="D286" s="223" t="s">
        <v>380</v>
      </c>
      <c r="E286" s="525" t="s">
        <v>237</v>
      </c>
      <c r="F286" s="220" t="s">
        <v>249</v>
      </c>
      <c r="G286" s="145">
        <v>1</v>
      </c>
      <c r="H286" s="149"/>
      <c r="I286" s="149"/>
      <c r="J286" s="149">
        <v>5</v>
      </c>
      <c r="K286" s="149">
        <v>5</v>
      </c>
      <c r="L286" s="222"/>
      <c r="M286" s="222"/>
      <c r="N286" s="222"/>
      <c r="O286" s="222"/>
      <c r="P286" s="148">
        <f>IF(V286="NO",Table_Shelter[[#This Row],[HH per Shelter]]*(Table_Shelter[[#This Row],['# of Temporary Shelter Units Built]]+Table_Shelter[[#This Row],['# of Temporary Shelter Under  Construction]]+Table_Shelter[[#This Row],['# of Permanent House Under Construction]]),0)</f>
        <v>5</v>
      </c>
      <c r="Q286" s="148"/>
      <c r="R286" s="222"/>
      <c r="S286" s="222" t="str">
        <f>IFERROR(VLOOKUP(Table_Shelter[[#This Row],[CampName]],CL,2,0),"")</f>
        <v>MMR001CMP004</v>
      </c>
      <c r="T286" s="222" t="str">
        <f>IFERROR(VLOOKUP(Table_Shelter[[#This Row],[CampName]],CL,3,0),"")</f>
        <v>Open</v>
      </c>
      <c r="U286" s="393">
        <f>IFERROR(Table_Shelter[[#This Row],[HH Covered]]/VLOOKUP(Table_Shelter[[#This Row],[CampName]],CL,4,0),"")</f>
        <v>0.41666666666666669</v>
      </c>
      <c r="V286" s="725" t="s">
        <v>1328</v>
      </c>
      <c r="W286" s="394"/>
    </row>
    <row r="287" spans="1:23" ht="15" customHeight="1" x14ac:dyDescent="0.25">
      <c r="A287" s="396"/>
      <c r="B287" s="220" t="s">
        <v>454</v>
      </c>
      <c r="C287" s="220" t="s">
        <v>462</v>
      </c>
      <c r="D287" s="223" t="s">
        <v>380</v>
      </c>
      <c r="E287" s="225" t="s">
        <v>237</v>
      </c>
      <c r="F287" s="220" t="s">
        <v>251</v>
      </c>
      <c r="G287" s="145">
        <v>1</v>
      </c>
      <c r="H287" s="149"/>
      <c r="I287" s="149"/>
      <c r="J287" s="149">
        <v>20</v>
      </c>
      <c r="K287" s="149">
        <v>20</v>
      </c>
      <c r="L287" s="222"/>
      <c r="M287" s="222"/>
      <c r="N287" s="222"/>
      <c r="O287" s="222"/>
      <c r="P287" s="148">
        <f>IF(V287="NO",Table_Shelter[[#This Row],[HH per Shelter]]*(Table_Shelter[[#This Row],['# of Temporary Shelter Units Built]]+Table_Shelter[[#This Row],['# of Temporary Shelter Under  Construction]]+Table_Shelter[[#This Row],['# of Permanent House Under Construction]]),0)</f>
        <v>20</v>
      </c>
      <c r="Q287" s="148"/>
      <c r="R287" s="222"/>
      <c r="S287" s="222" t="str">
        <f>IFERROR(VLOOKUP(Table_Shelter[[#This Row],[CampName]],CL,2,0),"")</f>
        <v>MMR001CMP003</v>
      </c>
      <c r="T287" s="222" t="str">
        <f>IFERROR(VLOOKUP(Table_Shelter[[#This Row],[CampName]],CL,3,0),"")</f>
        <v>Open</v>
      </c>
      <c r="U287" s="393">
        <f>IFERROR(Table_Shelter[[#This Row],[HH Covered]]/VLOOKUP(Table_Shelter[[#This Row],[CampName]],CL,4,0),"")</f>
        <v>0.625</v>
      </c>
      <c r="V287" s="725" t="s">
        <v>1328</v>
      </c>
      <c r="W287" s="394"/>
    </row>
    <row r="288" spans="1:23" ht="15" customHeight="1" x14ac:dyDescent="0.25">
      <c r="A288" s="396"/>
      <c r="B288" s="220" t="s">
        <v>853</v>
      </c>
      <c r="C288" s="220" t="s">
        <v>462</v>
      </c>
      <c r="D288" s="223" t="s">
        <v>380</v>
      </c>
      <c r="E288" s="225" t="s">
        <v>237</v>
      </c>
      <c r="F288" s="220" t="s">
        <v>275</v>
      </c>
      <c r="G288" s="145">
        <v>1</v>
      </c>
      <c r="H288" s="149"/>
      <c r="I288" s="149"/>
      <c r="J288" s="149">
        <v>14</v>
      </c>
      <c r="K288" s="149">
        <v>14</v>
      </c>
      <c r="L288" s="222"/>
      <c r="M288" s="222"/>
      <c r="N288" s="222"/>
      <c r="O288" s="222"/>
      <c r="P288" s="148">
        <f>IF(V288="NO",Table_Shelter[[#This Row],[HH per Shelter]]*(Table_Shelter[[#This Row],['# of Temporary Shelter Units Built]]+Table_Shelter[[#This Row],['# of Temporary Shelter Under  Construction]]+Table_Shelter[[#This Row],['# of Permanent House Under Construction]]),0)</f>
        <v>14</v>
      </c>
      <c r="Q288" s="148"/>
      <c r="R288" s="222"/>
      <c r="S288" s="222" t="str">
        <f>IFERROR(VLOOKUP(Table_Shelter[[#This Row],[CampName]],CL,2,0),"")</f>
        <v>MMR001CMP005</v>
      </c>
      <c r="T288" s="222" t="str">
        <f>IFERROR(VLOOKUP(Table_Shelter[[#This Row],[CampName]],CL,3,0),"")</f>
        <v>Open</v>
      </c>
      <c r="U288" s="393">
        <f>IFERROR(Table_Shelter[[#This Row],[HH Covered]]/VLOOKUP(Table_Shelter[[#This Row],[CampName]],CL,4,0),"")</f>
        <v>0.31818181818181818</v>
      </c>
      <c r="V288" s="725" t="s">
        <v>1328</v>
      </c>
      <c r="W288" s="394"/>
    </row>
    <row r="289" spans="1:23" ht="15" customHeight="1" x14ac:dyDescent="0.25">
      <c r="A289" s="396"/>
      <c r="B289" s="220" t="s">
        <v>454</v>
      </c>
      <c r="C289" s="220" t="s">
        <v>462</v>
      </c>
      <c r="D289" s="223" t="s">
        <v>380</v>
      </c>
      <c r="E289" s="225" t="s">
        <v>237</v>
      </c>
      <c r="F289" s="220" t="s">
        <v>275</v>
      </c>
      <c r="G289" s="145">
        <v>1</v>
      </c>
      <c r="H289" s="149"/>
      <c r="I289" s="149"/>
      <c r="J289" s="149">
        <v>10</v>
      </c>
      <c r="K289" s="149">
        <v>10</v>
      </c>
      <c r="L289" s="222"/>
      <c r="M289" s="222"/>
      <c r="N289" s="222"/>
      <c r="O289" s="222"/>
      <c r="P289" s="148">
        <f>IF(V289="NO",Table_Shelter[[#This Row],[HH per Shelter]]*(Table_Shelter[[#This Row],['# of Temporary Shelter Units Built]]+Table_Shelter[[#This Row],['# of Temporary Shelter Under  Construction]]+Table_Shelter[[#This Row],['# of Permanent House Under Construction]]),0)</f>
        <v>10</v>
      </c>
      <c r="Q289" s="148"/>
      <c r="R289" s="222"/>
      <c r="S289" s="222" t="str">
        <f>IFERROR(VLOOKUP(Table_Shelter[[#This Row],[CampName]],CL,2,0),"")</f>
        <v>MMR001CMP005</v>
      </c>
      <c r="T289" s="222" t="str">
        <f>IFERROR(VLOOKUP(Table_Shelter[[#This Row],[CampName]],CL,3,0),"")</f>
        <v>Open</v>
      </c>
      <c r="U289" s="393">
        <f>IFERROR(Table_Shelter[[#This Row],[HH Covered]]/VLOOKUP(Table_Shelter[[#This Row],[CampName]],CL,4,0),"")</f>
        <v>0.22727272727272727</v>
      </c>
      <c r="V289" s="725" t="s">
        <v>1328</v>
      </c>
      <c r="W289" s="394"/>
    </row>
    <row r="290" spans="1:23" ht="15" customHeight="1" x14ac:dyDescent="0.25">
      <c r="A290" s="396"/>
      <c r="B290" s="220" t="s">
        <v>454</v>
      </c>
      <c r="C290" s="220" t="s">
        <v>462</v>
      </c>
      <c r="D290" s="228" t="s">
        <v>380</v>
      </c>
      <c r="E290" s="229" t="s">
        <v>237</v>
      </c>
      <c r="F290" s="145" t="s">
        <v>275</v>
      </c>
      <c r="G290" s="145">
        <v>1</v>
      </c>
      <c r="H290" s="149"/>
      <c r="I290" s="149"/>
      <c r="J290" s="149">
        <v>8</v>
      </c>
      <c r="K290" s="149">
        <v>8</v>
      </c>
      <c r="L290" s="149"/>
      <c r="M290" s="149"/>
      <c r="N290" s="149"/>
      <c r="O290" s="149"/>
      <c r="P290" s="148">
        <f>IF(V290="NO",Table_Shelter[[#This Row],[HH per Shelter]]*(Table_Shelter[[#This Row],['# of Temporary Shelter Units Built]]+Table_Shelter[[#This Row],['# of Temporary Shelter Under  Construction]]+Table_Shelter[[#This Row],['# of Permanent House Under Construction]]),0)</f>
        <v>8</v>
      </c>
      <c r="Q290" s="148"/>
      <c r="R290" s="148"/>
      <c r="S290" s="148" t="str">
        <f>IFERROR(VLOOKUP(Table_Shelter[[#This Row],[CampName]],CL,2,0),"")</f>
        <v>MMR001CMP005</v>
      </c>
      <c r="T290" s="148" t="str">
        <f>IFERROR(VLOOKUP(Table_Shelter[[#This Row],[CampName]],CL,3,0),"")</f>
        <v>Open</v>
      </c>
      <c r="U290" s="399">
        <f>IFERROR(Table_Shelter[[#This Row],[HH Covered]]/VLOOKUP(Table_Shelter[[#This Row],[CampName]],CL,4,0),"")</f>
        <v>0.18181818181818182</v>
      </c>
      <c r="V290" s="725" t="s">
        <v>1328</v>
      </c>
      <c r="W290" s="397"/>
    </row>
    <row r="291" spans="1:23" ht="15" customHeight="1" x14ac:dyDescent="0.25">
      <c r="A291" s="396">
        <v>41609</v>
      </c>
      <c r="B291" s="220" t="s">
        <v>454</v>
      </c>
      <c r="C291" s="220" t="s">
        <v>507</v>
      </c>
      <c r="D291" s="223" t="s">
        <v>380</v>
      </c>
      <c r="E291" s="525" t="s">
        <v>310</v>
      </c>
      <c r="F291" s="220" t="s">
        <v>349</v>
      </c>
      <c r="G291" s="145">
        <v>1</v>
      </c>
      <c r="H291" s="149"/>
      <c r="I291" s="149"/>
      <c r="J291" s="149">
        <v>5</v>
      </c>
      <c r="K291" s="149">
        <v>5</v>
      </c>
      <c r="L291" s="222"/>
      <c r="M291" s="222"/>
      <c r="N291" s="222"/>
      <c r="O291" s="222"/>
      <c r="P291" s="148">
        <f>IF(V291="NO",Table_Shelter[[#This Row],[HH per Shelter]]*(Table_Shelter[[#This Row],['# of Temporary Shelter Units Built]]+Table_Shelter[[#This Row],['# of Temporary Shelter Under  Construction]]+Table_Shelter[[#This Row],['# of Permanent House Under Construction]]),0)</f>
        <v>5</v>
      </c>
      <c r="Q291" s="148"/>
      <c r="R291" s="148"/>
      <c r="S291" s="148" t="str">
        <f>IFERROR(VLOOKUP(Table_Shelter[[#This Row],[CampName]],CL,2,0),"")</f>
        <v>MMR001CMP037</v>
      </c>
      <c r="T291" s="148" t="str">
        <f>IFERROR(VLOOKUP(Table_Shelter[[#This Row],[CampName]],CL,3,0),"")</f>
        <v>Open</v>
      </c>
      <c r="U291" s="393">
        <f>IFERROR(Table_Shelter[[#This Row],[HH Covered]]/VLOOKUP(Table_Shelter[[#This Row],[CampName]],CL,4,0),"")</f>
        <v>0.11363636363636363</v>
      </c>
      <c r="V291" s="725" t="s">
        <v>1328</v>
      </c>
      <c r="W291" s="397"/>
    </row>
    <row r="292" spans="1:23" ht="15" customHeight="1" x14ac:dyDescent="0.25">
      <c r="A292" s="396">
        <v>41974</v>
      </c>
      <c r="B292" s="220" t="s">
        <v>454</v>
      </c>
      <c r="C292" s="220" t="s">
        <v>507</v>
      </c>
      <c r="D292" s="223" t="s">
        <v>380</v>
      </c>
      <c r="E292" s="525" t="s">
        <v>310</v>
      </c>
      <c r="F292" s="220" t="s">
        <v>349</v>
      </c>
      <c r="G292" s="145">
        <v>1</v>
      </c>
      <c r="H292" s="149"/>
      <c r="I292" s="149"/>
      <c r="J292" s="149">
        <v>5</v>
      </c>
      <c r="K292" s="149">
        <v>5</v>
      </c>
      <c r="L292" s="222"/>
      <c r="M292" s="222"/>
      <c r="N292" s="222"/>
      <c r="O292" s="222"/>
      <c r="P292" s="148">
        <f>IF(V292="NO",Table_Shelter[[#This Row],[HH per Shelter]]*(Table_Shelter[[#This Row],['# of Temporary Shelter Units Built]]+Table_Shelter[[#This Row],['# of Temporary Shelter Under  Construction]]+Table_Shelter[[#This Row],['# of Permanent House Under Construction]]),0)</f>
        <v>5</v>
      </c>
      <c r="Q292" s="148"/>
      <c r="R292" s="148"/>
      <c r="S292" s="148" t="str">
        <f>IFERROR(VLOOKUP(Table_Shelter[[#This Row],[CampName]],CL,2,0),"")</f>
        <v>MMR001CMP037</v>
      </c>
      <c r="T292" s="148" t="str">
        <f>IFERROR(VLOOKUP(Table_Shelter[[#This Row],[CampName]],CL,3,0),"")</f>
        <v>Open</v>
      </c>
      <c r="U292" s="393">
        <f>IFERROR(Table_Shelter[[#This Row],[HH Covered]]/VLOOKUP(Table_Shelter[[#This Row],[CampName]],CL,4,0),"")</f>
        <v>0.11363636363636363</v>
      </c>
      <c r="V292" s="725" t="s">
        <v>1328</v>
      </c>
      <c r="W292" s="397"/>
    </row>
    <row r="293" spans="1:23" ht="15" customHeight="1" x14ac:dyDescent="0.25">
      <c r="A293" s="396"/>
      <c r="B293" s="220" t="s">
        <v>454</v>
      </c>
      <c r="C293" s="220" t="s">
        <v>507</v>
      </c>
      <c r="D293" s="223" t="s">
        <v>380</v>
      </c>
      <c r="E293" s="525" t="s">
        <v>310</v>
      </c>
      <c r="F293" s="220" t="s">
        <v>349</v>
      </c>
      <c r="G293" s="145">
        <v>1</v>
      </c>
      <c r="H293" s="149"/>
      <c r="I293" s="149"/>
      <c r="J293" s="149">
        <v>45</v>
      </c>
      <c r="K293" s="149">
        <v>45</v>
      </c>
      <c r="L293" s="222"/>
      <c r="M293" s="222"/>
      <c r="N293" s="222"/>
      <c r="O293" s="222"/>
      <c r="P293" s="148">
        <f>IF(V293="NO",Table_Shelter[[#This Row],[HH per Shelter]]*(Table_Shelter[[#This Row],['# of Temporary Shelter Units Built]]+Table_Shelter[[#This Row],['# of Temporary Shelter Under  Construction]]+Table_Shelter[[#This Row],['# of Permanent House Under Construction]]),0)</f>
        <v>45</v>
      </c>
      <c r="Q293" s="148"/>
      <c r="R293" s="222"/>
      <c r="S293" s="222" t="str">
        <f>IFERROR(VLOOKUP(Table_Shelter[[#This Row],[CampName]],CL,2,0),"")</f>
        <v>MMR001CMP037</v>
      </c>
      <c r="T293" s="222" t="str">
        <f>IFERROR(VLOOKUP(Table_Shelter[[#This Row],[CampName]],CL,3,0),"")</f>
        <v>Open</v>
      </c>
      <c r="U293" s="393">
        <f>IFERROR(Table_Shelter[[#This Row],[HH Covered]]/VLOOKUP(Table_Shelter[[#This Row],[CampName]],CL,4,0),"")</f>
        <v>1.0227272727272727</v>
      </c>
      <c r="V293" s="725" t="s">
        <v>1328</v>
      </c>
      <c r="W293" s="394"/>
    </row>
    <row r="294" spans="1:23" ht="15" customHeight="1" x14ac:dyDescent="0.25">
      <c r="A294" s="396"/>
      <c r="B294" s="220" t="s">
        <v>571</v>
      </c>
      <c r="C294" s="220"/>
      <c r="D294" s="223" t="s">
        <v>380</v>
      </c>
      <c r="E294" s="525" t="s">
        <v>310</v>
      </c>
      <c r="F294" s="220" t="s">
        <v>349</v>
      </c>
      <c r="G294" s="145">
        <v>1</v>
      </c>
      <c r="H294" s="149"/>
      <c r="I294" s="149"/>
      <c r="J294" s="149">
        <v>24</v>
      </c>
      <c r="K294" s="149">
        <v>24</v>
      </c>
      <c r="L294" s="222"/>
      <c r="M294" s="222"/>
      <c r="N294" s="222"/>
      <c r="O294" s="222"/>
      <c r="P294" s="148">
        <f>IF(V294="NO",Table_Shelter[[#This Row],[HH per Shelter]]*(Table_Shelter[[#This Row],['# of Temporary Shelter Units Built]]+Table_Shelter[[#This Row],['# of Temporary Shelter Under  Construction]]+Table_Shelter[[#This Row],['# of Permanent House Under Construction]]),0)</f>
        <v>24</v>
      </c>
      <c r="Q294" s="148"/>
      <c r="R294" s="222"/>
      <c r="S294" s="222" t="str">
        <f>IFERROR(VLOOKUP(Table_Shelter[[#This Row],[CampName]],CL,2,0),"")</f>
        <v>MMR001CMP037</v>
      </c>
      <c r="T294" s="222" t="str">
        <f>IFERROR(VLOOKUP(Table_Shelter[[#This Row],[CampName]],CL,3,0),"")</f>
        <v>Open</v>
      </c>
      <c r="U294" s="393">
        <f>IFERROR(Table_Shelter[[#This Row],[HH Covered]]/VLOOKUP(Table_Shelter[[#This Row],[CampName]],CL,4,0),"")</f>
        <v>0.54545454545454541</v>
      </c>
      <c r="V294" s="725" t="s">
        <v>1328</v>
      </c>
      <c r="W294" s="394"/>
    </row>
    <row r="295" spans="1:23" ht="15" customHeight="1" x14ac:dyDescent="0.25">
      <c r="A295" s="396"/>
      <c r="B295" s="220" t="s">
        <v>454</v>
      </c>
      <c r="C295" s="220" t="s">
        <v>507</v>
      </c>
      <c r="D295" s="223" t="s">
        <v>380</v>
      </c>
      <c r="E295" s="525" t="s">
        <v>5</v>
      </c>
      <c r="F295" s="220" t="s">
        <v>1028</v>
      </c>
      <c r="G295" s="145">
        <v>1</v>
      </c>
      <c r="H295" s="149"/>
      <c r="I295" s="149"/>
      <c r="J295" s="149">
        <v>6</v>
      </c>
      <c r="K295" s="149"/>
      <c r="L295" s="222"/>
      <c r="M295" s="222"/>
      <c r="N295" s="222"/>
      <c r="O295" s="222"/>
      <c r="P295" s="148">
        <f>IF(V295="NO",Table_Shelter[[#This Row],[HH per Shelter]]*(Table_Shelter[[#This Row],['# of Temporary Shelter Units Built]]+Table_Shelter[[#This Row],['# of Temporary Shelter Under  Construction]]+Table_Shelter[[#This Row],['# of Permanent House Under Construction]]),0)</f>
        <v>0</v>
      </c>
      <c r="Q295" s="148"/>
      <c r="R295" s="222"/>
      <c r="S295" s="222" t="str">
        <f>IFERROR(VLOOKUP(Table_Shelter[[#This Row],[CampName]],CL,2,0),"")</f>
        <v>MMR001CMP224</v>
      </c>
      <c r="T295" s="222" t="str">
        <f>IFERROR(VLOOKUP(Table_Shelter[[#This Row],[CampName]],CL,3,0),"")</f>
        <v>Closed</v>
      </c>
      <c r="U295" s="393" t="str">
        <f>IFERROR(Table_Shelter[[#This Row],[HH Covered]]/VLOOKUP(Table_Shelter[[#This Row],[CampName]],CL,4,0),"")</f>
        <v/>
      </c>
      <c r="V295" s="725" t="s">
        <v>1328</v>
      </c>
      <c r="W295" s="394"/>
    </row>
    <row r="296" spans="1:23" ht="15" customHeight="1" x14ac:dyDescent="0.25">
      <c r="A296" s="396"/>
      <c r="B296" s="220" t="s">
        <v>454</v>
      </c>
      <c r="C296" s="220"/>
      <c r="D296" s="223" t="s">
        <v>380</v>
      </c>
      <c r="E296" s="525" t="s">
        <v>5</v>
      </c>
      <c r="F296" s="220" t="s">
        <v>1028</v>
      </c>
      <c r="G296" s="145">
        <v>1</v>
      </c>
      <c r="H296" s="149"/>
      <c r="I296" s="149"/>
      <c r="J296" s="149">
        <v>5</v>
      </c>
      <c r="K296" s="149"/>
      <c r="L296" s="222"/>
      <c r="M296" s="222"/>
      <c r="N296" s="222"/>
      <c r="O296" s="222"/>
      <c r="P296" s="148">
        <f>IF(V296="NO",Table_Shelter[[#This Row],[HH per Shelter]]*(Table_Shelter[[#This Row],['# of Temporary Shelter Units Built]]+Table_Shelter[[#This Row],['# of Temporary Shelter Under  Construction]]+Table_Shelter[[#This Row],['# of Permanent House Under Construction]]),0)</f>
        <v>0</v>
      </c>
      <c r="Q296" s="148"/>
      <c r="R296" s="222"/>
      <c r="S296" s="222" t="str">
        <f>IFERROR(VLOOKUP(Table_Shelter[[#This Row],[CampName]],CL,2,0),"")</f>
        <v>MMR001CMP224</v>
      </c>
      <c r="T296" s="222" t="str">
        <f>IFERROR(VLOOKUP(Table_Shelter[[#This Row],[CampName]],CL,3,0),"")</f>
        <v>Closed</v>
      </c>
      <c r="U296" s="393" t="str">
        <f>IFERROR(Table_Shelter[[#This Row],[HH Covered]]/VLOOKUP(Table_Shelter[[#This Row],[CampName]],CL,4,0),"")</f>
        <v/>
      </c>
      <c r="V296" s="725" t="s">
        <v>1328</v>
      </c>
      <c r="W296" s="394"/>
    </row>
    <row r="297" spans="1:23" ht="15" customHeight="1" x14ac:dyDescent="0.25">
      <c r="A297" s="396">
        <v>41609</v>
      </c>
      <c r="B297" s="220" t="s">
        <v>454</v>
      </c>
      <c r="C297" s="220" t="s">
        <v>507</v>
      </c>
      <c r="D297" s="223" t="s">
        <v>380</v>
      </c>
      <c r="E297" s="525" t="s">
        <v>310</v>
      </c>
      <c r="F297" s="220" t="s">
        <v>316</v>
      </c>
      <c r="G297" s="145">
        <v>1</v>
      </c>
      <c r="H297" s="149"/>
      <c r="I297" s="149"/>
      <c r="J297" s="149">
        <v>6</v>
      </c>
      <c r="K297" s="149">
        <v>6</v>
      </c>
      <c r="L297" s="222"/>
      <c r="M297" s="222"/>
      <c r="N297" s="222"/>
      <c r="O297" s="222"/>
      <c r="P297" s="148">
        <f>IF(V297="NO",Table_Shelter[[#This Row],[HH per Shelter]]*(Table_Shelter[[#This Row],['# of Temporary Shelter Units Built]]+Table_Shelter[[#This Row],['# of Temporary Shelter Under  Construction]]+Table_Shelter[[#This Row],['# of Permanent House Under Construction]]),0)</f>
        <v>6</v>
      </c>
      <c r="Q297" s="148"/>
      <c r="R297" s="148"/>
      <c r="S297" s="148" t="str">
        <f>IFERROR(VLOOKUP(Table_Shelter[[#This Row],[CampName]],CL,2,0),"")</f>
        <v>MMR001CMP038</v>
      </c>
      <c r="T297" s="148" t="str">
        <f>IFERROR(VLOOKUP(Table_Shelter[[#This Row],[CampName]],CL,3,0),"")</f>
        <v>Open</v>
      </c>
      <c r="U297" s="393">
        <f>IFERROR(Table_Shelter[[#This Row],[HH Covered]]/VLOOKUP(Table_Shelter[[#This Row],[CampName]],CL,4,0),"")</f>
        <v>6.6666666666666666E-2</v>
      </c>
      <c r="V297" s="725" t="s">
        <v>1328</v>
      </c>
      <c r="W297" s="397"/>
    </row>
    <row r="298" spans="1:23" ht="15" customHeight="1" x14ac:dyDescent="0.25">
      <c r="A298" s="396"/>
      <c r="B298" s="220" t="s">
        <v>454</v>
      </c>
      <c r="C298" s="220" t="s">
        <v>507</v>
      </c>
      <c r="D298" s="223" t="s">
        <v>380</v>
      </c>
      <c r="E298" s="525" t="s">
        <v>310</v>
      </c>
      <c r="F298" s="220" t="s">
        <v>316</v>
      </c>
      <c r="G298" s="145">
        <v>1</v>
      </c>
      <c r="H298" s="149"/>
      <c r="I298" s="149"/>
      <c r="J298" s="149">
        <v>34</v>
      </c>
      <c r="K298" s="149">
        <v>34</v>
      </c>
      <c r="L298" s="222"/>
      <c r="M298" s="222"/>
      <c r="N298" s="222"/>
      <c r="O298" s="222"/>
      <c r="P298" s="148">
        <f>IF(V298="NO",Table_Shelter[[#This Row],[HH per Shelter]]*(Table_Shelter[[#This Row],['# of Temporary Shelter Units Built]]+Table_Shelter[[#This Row],['# of Temporary Shelter Under  Construction]]+Table_Shelter[[#This Row],['# of Permanent House Under Construction]]),0)</f>
        <v>34</v>
      </c>
      <c r="Q298" s="148"/>
      <c r="R298" s="222"/>
      <c r="S298" s="222" t="str">
        <f>IFERROR(VLOOKUP(Table_Shelter[[#This Row],[CampName]],CL,2,0),"")</f>
        <v>MMR001CMP038</v>
      </c>
      <c r="T298" s="222" t="str">
        <f>IFERROR(VLOOKUP(Table_Shelter[[#This Row],[CampName]],CL,3,0),"")</f>
        <v>Open</v>
      </c>
      <c r="U298" s="393">
        <f>IFERROR(Table_Shelter[[#This Row],[HH Covered]]/VLOOKUP(Table_Shelter[[#This Row],[CampName]],CL,4,0),"")</f>
        <v>0.37777777777777777</v>
      </c>
      <c r="V298" s="725" t="s">
        <v>1328</v>
      </c>
      <c r="W298" s="394"/>
    </row>
    <row r="299" spans="1:23" ht="15" customHeight="1" x14ac:dyDescent="0.25">
      <c r="A299" s="396"/>
      <c r="B299" s="220" t="s">
        <v>571</v>
      </c>
      <c r="C299" s="220"/>
      <c r="D299" s="223" t="s">
        <v>380</v>
      </c>
      <c r="E299" s="525" t="s">
        <v>310</v>
      </c>
      <c r="F299" s="220" t="s">
        <v>316</v>
      </c>
      <c r="G299" s="145">
        <v>1</v>
      </c>
      <c r="H299" s="149"/>
      <c r="I299" s="149"/>
      <c r="J299" s="149">
        <v>15</v>
      </c>
      <c r="K299" s="149">
        <v>15</v>
      </c>
      <c r="L299" s="222"/>
      <c r="M299" s="222"/>
      <c r="N299" s="222"/>
      <c r="O299" s="222"/>
      <c r="P299" s="148">
        <f>IF(V299="NO",Table_Shelter[[#This Row],[HH per Shelter]]*(Table_Shelter[[#This Row],['# of Temporary Shelter Units Built]]+Table_Shelter[[#This Row],['# of Temporary Shelter Under  Construction]]+Table_Shelter[[#This Row],['# of Permanent House Under Construction]]),0)</f>
        <v>15</v>
      </c>
      <c r="Q299" s="148"/>
      <c r="R299" s="222"/>
      <c r="S299" s="222" t="str">
        <f>IFERROR(VLOOKUP(Table_Shelter[[#This Row],[CampName]],CL,2,0),"")</f>
        <v>MMR001CMP038</v>
      </c>
      <c r="T299" s="222" t="str">
        <f>IFERROR(VLOOKUP(Table_Shelter[[#This Row],[CampName]],CL,3,0),"")</f>
        <v>Open</v>
      </c>
      <c r="U299" s="393">
        <f>IFERROR(Table_Shelter[[#This Row],[HH Covered]]/VLOOKUP(Table_Shelter[[#This Row],[CampName]],CL,4,0),"")</f>
        <v>0.16666666666666666</v>
      </c>
      <c r="V299" s="725" t="s">
        <v>1328</v>
      </c>
      <c r="W299" s="394"/>
    </row>
    <row r="300" spans="1:23" ht="15" customHeight="1" x14ac:dyDescent="0.25">
      <c r="A300" s="396"/>
      <c r="B300" s="220" t="s">
        <v>454</v>
      </c>
      <c r="C300" s="220" t="s">
        <v>462</v>
      </c>
      <c r="D300" s="223" t="s">
        <v>380</v>
      </c>
      <c r="E300" s="225" t="s">
        <v>310</v>
      </c>
      <c r="F300" s="220" t="s">
        <v>311</v>
      </c>
      <c r="G300" s="145">
        <v>1</v>
      </c>
      <c r="H300" s="149"/>
      <c r="I300" s="149"/>
      <c r="J300" s="149">
        <v>10</v>
      </c>
      <c r="K300" s="149">
        <v>10</v>
      </c>
      <c r="L300" s="222"/>
      <c r="M300" s="222"/>
      <c r="N300" s="222"/>
      <c r="O300" s="222"/>
      <c r="P300" s="148">
        <f>IF(V300="NO",Table_Shelter[[#This Row],[HH per Shelter]]*(Table_Shelter[[#This Row],['# of Temporary Shelter Units Built]]+Table_Shelter[[#This Row],['# of Temporary Shelter Under  Construction]]+Table_Shelter[[#This Row],['# of Permanent House Under Construction]]),0)</f>
        <v>10</v>
      </c>
      <c r="Q300" s="148"/>
      <c r="R300" s="222"/>
      <c r="S300" s="222" t="str">
        <f>IFERROR(VLOOKUP(Table_Shelter[[#This Row],[CampName]],CL,2,0),"")</f>
        <v>MMR001CMP036</v>
      </c>
      <c r="T300" s="222" t="str">
        <f>IFERROR(VLOOKUP(Table_Shelter[[#This Row],[CampName]],CL,3,0),"")</f>
        <v>Closed</v>
      </c>
      <c r="U300" s="393" t="str">
        <f>IFERROR(Table_Shelter[[#This Row],[HH Covered]]/VLOOKUP(Table_Shelter[[#This Row],[CampName]],CL,4,0),"")</f>
        <v/>
      </c>
      <c r="V300" s="725" t="s">
        <v>1328</v>
      </c>
      <c r="W300" s="394"/>
    </row>
    <row r="301" spans="1:23" ht="15" customHeight="1" x14ac:dyDescent="0.25">
      <c r="A301" s="396"/>
      <c r="B301" s="220" t="s">
        <v>454</v>
      </c>
      <c r="C301" s="220"/>
      <c r="D301" s="223" t="s">
        <v>380</v>
      </c>
      <c r="E301" s="525" t="s">
        <v>310</v>
      </c>
      <c r="F301" s="220" t="s">
        <v>311</v>
      </c>
      <c r="G301" s="145">
        <v>1</v>
      </c>
      <c r="H301" s="149"/>
      <c r="I301" s="149"/>
      <c r="J301" s="149">
        <v>5</v>
      </c>
      <c r="K301" s="149">
        <v>5</v>
      </c>
      <c r="L301" s="222"/>
      <c r="M301" s="222"/>
      <c r="N301" s="222"/>
      <c r="O301" s="222"/>
      <c r="P301" s="148">
        <f>IF(V301="NO",Table_Shelter[[#This Row],[HH per Shelter]]*(Table_Shelter[[#This Row],['# of Temporary Shelter Units Built]]+Table_Shelter[[#This Row],['# of Temporary Shelter Under  Construction]]+Table_Shelter[[#This Row],['# of Permanent House Under Construction]]),0)</f>
        <v>5</v>
      </c>
      <c r="Q301" s="148"/>
      <c r="R301" s="222"/>
      <c r="S301" s="222" t="str">
        <f>IFERROR(VLOOKUP(Table_Shelter[[#This Row],[CampName]],CL,2,0),"")</f>
        <v>MMR001CMP036</v>
      </c>
      <c r="T301" s="222" t="str">
        <f>IFERROR(VLOOKUP(Table_Shelter[[#This Row],[CampName]],CL,3,0),"")</f>
        <v>Closed</v>
      </c>
      <c r="U301" s="393" t="str">
        <f>IFERROR(Table_Shelter[[#This Row],[HH Covered]]/VLOOKUP(Table_Shelter[[#This Row],[CampName]],CL,4,0),"")</f>
        <v/>
      </c>
      <c r="V301" s="725" t="s">
        <v>1328</v>
      </c>
      <c r="W301" s="394"/>
    </row>
    <row r="302" spans="1:23" ht="15" customHeight="1" x14ac:dyDescent="0.25">
      <c r="A302" s="396"/>
      <c r="B302" s="220" t="s">
        <v>571</v>
      </c>
      <c r="C302" s="220"/>
      <c r="D302" s="223" t="s">
        <v>380</v>
      </c>
      <c r="E302" s="525" t="s">
        <v>310</v>
      </c>
      <c r="F302" s="220" t="s">
        <v>311</v>
      </c>
      <c r="G302" s="145">
        <v>1</v>
      </c>
      <c r="H302" s="149"/>
      <c r="I302" s="149"/>
      <c r="J302" s="149">
        <v>10</v>
      </c>
      <c r="K302" s="149">
        <v>10</v>
      </c>
      <c r="L302" s="222"/>
      <c r="M302" s="222"/>
      <c r="N302" s="222"/>
      <c r="O302" s="222"/>
      <c r="P302" s="148">
        <f>IF(V302="NO",Table_Shelter[[#This Row],[HH per Shelter]]*(Table_Shelter[[#This Row],['# of Temporary Shelter Units Built]]+Table_Shelter[[#This Row],['# of Temporary Shelter Under  Construction]]+Table_Shelter[[#This Row],['# of Permanent House Under Construction]]),0)</f>
        <v>10</v>
      </c>
      <c r="Q302" s="148"/>
      <c r="R302" s="222"/>
      <c r="S302" s="222" t="str">
        <f>IFERROR(VLOOKUP(Table_Shelter[[#This Row],[CampName]],CL,2,0),"")</f>
        <v>MMR001CMP036</v>
      </c>
      <c r="T302" s="222" t="str">
        <f>IFERROR(VLOOKUP(Table_Shelter[[#This Row],[CampName]],CL,3,0),"")</f>
        <v>Closed</v>
      </c>
      <c r="U302" s="393" t="str">
        <f>IFERROR(Table_Shelter[[#This Row],[HH Covered]]/VLOOKUP(Table_Shelter[[#This Row],[CampName]],CL,4,0),"")</f>
        <v/>
      </c>
      <c r="V302" s="725" t="s">
        <v>1328</v>
      </c>
      <c r="W302" s="394"/>
    </row>
    <row r="303" spans="1:23" x14ac:dyDescent="0.25">
      <c r="A303" s="396"/>
      <c r="B303" s="220" t="s">
        <v>454</v>
      </c>
      <c r="C303" s="220" t="s">
        <v>508</v>
      </c>
      <c r="D303" s="223" t="s">
        <v>380</v>
      </c>
      <c r="E303" s="225" t="s">
        <v>529</v>
      </c>
      <c r="F303" s="220" t="s">
        <v>64</v>
      </c>
      <c r="G303" s="145">
        <v>1</v>
      </c>
      <c r="H303" s="149"/>
      <c r="I303" s="149"/>
      <c r="J303" s="149"/>
      <c r="K303" s="149"/>
      <c r="L303" s="222"/>
      <c r="M303" s="222"/>
      <c r="N303" s="222"/>
      <c r="O303" s="222"/>
      <c r="P303" s="148">
        <f>IF(V303="NO",Table_Shelter[[#This Row],[HH per Shelter]]*(Table_Shelter[[#This Row],['# of Temporary Shelter Units Built]]+Table_Shelter[[#This Row],['# of Temporary Shelter Under  Construction]]+Table_Shelter[[#This Row],['# of Permanent House Under Construction]]),0)</f>
        <v>0</v>
      </c>
      <c r="Q303" s="148">
        <v>14</v>
      </c>
      <c r="R303" s="222"/>
      <c r="S303" s="222" t="str">
        <f>IFERROR(VLOOKUP(Table_Shelter[[#This Row],[CampName]],CL,2,0),"")</f>
        <v>MMR001CMP185</v>
      </c>
      <c r="T303" s="222" t="str">
        <f>IFERROR(VLOOKUP(Table_Shelter[[#This Row],[CampName]],CL,3,0),"")</f>
        <v>Closed</v>
      </c>
      <c r="U303" s="393" t="str">
        <f>IFERROR(Table_Shelter[[#This Row],[HH Covered]]/VLOOKUP(Table_Shelter[[#This Row],[CampName]],CL,4,0),"")</f>
        <v/>
      </c>
      <c r="V303" s="725" t="s">
        <v>1328</v>
      </c>
      <c r="W303" s="394"/>
    </row>
    <row r="304" spans="1:23" x14ac:dyDescent="0.25">
      <c r="A304" s="396">
        <v>41609</v>
      </c>
      <c r="B304" s="220" t="s">
        <v>454</v>
      </c>
      <c r="C304" s="220" t="s">
        <v>462</v>
      </c>
      <c r="D304" s="223" t="s">
        <v>380</v>
      </c>
      <c r="E304" s="225" t="s">
        <v>529</v>
      </c>
      <c r="F304" s="220" t="s">
        <v>126</v>
      </c>
      <c r="G304" s="145">
        <v>1</v>
      </c>
      <c r="H304" s="149"/>
      <c r="I304" s="149"/>
      <c r="J304" s="149">
        <v>15</v>
      </c>
      <c r="K304" s="149">
        <v>15</v>
      </c>
      <c r="L304" s="222"/>
      <c r="M304" s="222"/>
      <c r="N304" s="222"/>
      <c r="O304" s="222"/>
      <c r="P304" s="148">
        <f>IF(V304="NO",Table_Shelter[[#This Row],[HH per Shelter]]*(Table_Shelter[[#This Row],['# of Temporary Shelter Units Built]]+Table_Shelter[[#This Row],['# of Temporary Shelter Under  Construction]]+Table_Shelter[[#This Row],['# of Permanent House Under Construction]]),0)</f>
        <v>15</v>
      </c>
      <c r="Q304" s="148"/>
      <c r="R304" s="222"/>
      <c r="S304" s="222" t="str">
        <f>IFERROR(VLOOKUP(Table_Shelter[[#This Row],[CampName]],CL,2,0),"")</f>
        <v>MMR001CMP184</v>
      </c>
      <c r="T304" s="222" t="str">
        <f>IFERROR(VLOOKUP(Table_Shelter[[#This Row],[CampName]],CL,3,0),"")</f>
        <v>Open</v>
      </c>
      <c r="U304" s="393">
        <f>IFERROR(Table_Shelter[[#This Row],[HH Covered]]/VLOOKUP(Table_Shelter[[#This Row],[CampName]],CL,4,0),"")</f>
        <v>0.36585365853658536</v>
      </c>
      <c r="V304" s="725" t="s">
        <v>1328</v>
      </c>
      <c r="W304" s="394"/>
    </row>
    <row r="305" spans="1:23" x14ac:dyDescent="0.25">
      <c r="A305" s="396"/>
      <c r="B305" s="220" t="s">
        <v>868</v>
      </c>
      <c r="C305" s="220"/>
      <c r="D305" s="223" t="s">
        <v>380</v>
      </c>
      <c r="E305" s="225" t="s">
        <v>529</v>
      </c>
      <c r="F305" s="220" t="s">
        <v>126</v>
      </c>
      <c r="G305" s="145">
        <v>1</v>
      </c>
      <c r="H305" s="149">
        <v>7</v>
      </c>
      <c r="I305" s="149">
        <v>7</v>
      </c>
      <c r="J305" s="149"/>
      <c r="K305" s="149"/>
      <c r="L305" s="222"/>
      <c r="M305" s="222"/>
      <c r="N305" s="222"/>
      <c r="O305" s="222"/>
      <c r="P305" s="148">
        <f>IF(V305="NO",Table_Shelter[[#This Row],[HH per Shelter]]*(Table_Shelter[[#This Row],['# of Temporary Shelter Units Built]]+Table_Shelter[[#This Row],['# of Temporary Shelter Under  Construction]]+Table_Shelter[[#This Row],['# of Permanent House Under Construction]]),0)</f>
        <v>0</v>
      </c>
      <c r="Q305" s="148"/>
      <c r="R305" s="222"/>
      <c r="S305" s="222" t="str">
        <f>IFERROR(VLOOKUP(Table_Shelter[[#This Row],[CampName]],CL,2,0),"")</f>
        <v>MMR001CMP184</v>
      </c>
      <c r="T305" s="222" t="str">
        <f>IFERROR(VLOOKUP(Table_Shelter[[#This Row],[CampName]],CL,3,0),"")</f>
        <v>Open</v>
      </c>
      <c r="U305" s="393">
        <f>IFERROR(Table_Shelter[[#This Row],[HH Covered]]/VLOOKUP(Table_Shelter[[#This Row],[CampName]],CL,4,0),"")</f>
        <v>0</v>
      </c>
      <c r="V305" s="725" t="s">
        <v>1328</v>
      </c>
      <c r="W305" s="394"/>
    </row>
    <row r="306" spans="1:23" x14ac:dyDescent="0.25">
      <c r="A306" s="396"/>
      <c r="B306" s="220" t="s">
        <v>868</v>
      </c>
      <c r="C306" s="220"/>
      <c r="D306" s="223" t="s">
        <v>380</v>
      </c>
      <c r="E306" s="225" t="s">
        <v>529</v>
      </c>
      <c r="F306" s="220" t="s">
        <v>906</v>
      </c>
      <c r="G306" s="145">
        <v>1</v>
      </c>
      <c r="H306" s="149">
        <v>47</v>
      </c>
      <c r="I306" s="149">
        <v>47</v>
      </c>
      <c r="J306" s="149"/>
      <c r="K306" s="149"/>
      <c r="L306" s="222"/>
      <c r="M306" s="222"/>
      <c r="N306" s="222"/>
      <c r="O306" s="222"/>
      <c r="P306" s="148">
        <f>IF(V306="NO",Table_Shelter[[#This Row],[HH per Shelter]]*(Table_Shelter[[#This Row],['# of Temporary Shelter Units Built]]+Table_Shelter[[#This Row],['# of Temporary Shelter Under  Construction]]+Table_Shelter[[#This Row],['# of Permanent House Under Construction]]),0)</f>
        <v>0</v>
      </c>
      <c r="Q306" s="148"/>
      <c r="R306" s="222"/>
      <c r="S306" s="222" t="str">
        <f>IFERROR(VLOOKUP(Table_Shelter[[#This Row],[CampName]],CL,2,0),"")</f>
        <v/>
      </c>
      <c r="T306" s="222" t="str">
        <f>IFERROR(VLOOKUP(Table_Shelter[[#This Row],[CampName]],CL,3,0),"")</f>
        <v/>
      </c>
      <c r="U306" s="393" t="str">
        <f>IFERROR(Table_Shelter[[#This Row],[HH Covered]]/VLOOKUP(Table_Shelter[[#This Row],[CampName]],CL,4,0),"")</f>
        <v/>
      </c>
      <c r="V306" s="725" t="s">
        <v>1328</v>
      </c>
      <c r="W306" s="394"/>
    </row>
    <row r="307" spans="1:23" x14ac:dyDescent="0.25">
      <c r="A307" s="396">
        <v>41609</v>
      </c>
      <c r="B307" s="220" t="s">
        <v>454</v>
      </c>
      <c r="C307" s="220" t="s">
        <v>508</v>
      </c>
      <c r="D307" s="223" t="s">
        <v>380</v>
      </c>
      <c r="E307" s="225" t="s">
        <v>310</v>
      </c>
      <c r="F307" s="220" t="s">
        <v>353</v>
      </c>
      <c r="G307" s="145">
        <v>1</v>
      </c>
      <c r="H307" s="149"/>
      <c r="I307" s="149"/>
      <c r="J307" s="149">
        <v>160</v>
      </c>
      <c r="K307" s="149">
        <v>160</v>
      </c>
      <c r="L307" s="222"/>
      <c r="M307" s="222"/>
      <c r="N307" s="222"/>
      <c r="O307" s="222"/>
      <c r="P307" s="148">
        <f>IF(V307="NO",Table_Shelter[[#This Row],[HH per Shelter]]*(Table_Shelter[[#This Row],['# of Temporary Shelter Units Built]]+Table_Shelter[[#This Row],['# of Temporary Shelter Under  Construction]]+Table_Shelter[[#This Row],['# of Permanent House Under Construction]]),0)</f>
        <v>160</v>
      </c>
      <c r="Q307" s="148"/>
      <c r="R307" s="222"/>
      <c r="S307" s="222" t="str">
        <f>IFERROR(VLOOKUP(Table_Shelter[[#This Row],[CampName]],CL,2,0),"")</f>
        <v>MMR001CMP116</v>
      </c>
      <c r="T307" s="222" t="str">
        <f>IFERROR(VLOOKUP(Table_Shelter[[#This Row],[CampName]],CL,3,0),"")</f>
        <v>Open</v>
      </c>
      <c r="U307" s="393">
        <f>IFERROR(Table_Shelter[[#This Row],[HH Covered]]/VLOOKUP(Table_Shelter[[#This Row],[CampName]],CL,4,0),"")</f>
        <v>0.11869436201780416</v>
      </c>
      <c r="V307" s="725" t="s">
        <v>1328</v>
      </c>
      <c r="W307" s="394"/>
    </row>
    <row r="308" spans="1:23" x14ac:dyDescent="0.25">
      <c r="A308" s="396"/>
      <c r="B308" s="220" t="s">
        <v>852</v>
      </c>
      <c r="C308" s="220"/>
      <c r="D308" s="223" t="s">
        <v>380</v>
      </c>
      <c r="E308" s="225" t="s">
        <v>310</v>
      </c>
      <c r="F308" s="220" t="s">
        <v>353</v>
      </c>
      <c r="G308" s="145">
        <v>1</v>
      </c>
      <c r="H308" s="149"/>
      <c r="I308" s="149"/>
      <c r="J308" s="149">
        <v>300</v>
      </c>
      <c r="K308" s="149"/>
      <c r="L308" s="222"/>
      <c r="M308" s="222"/>
      <c r="N308" s="222"/>
      <c r="O308" s="222"/>
      <c r="P308" s="148">
        <f>IF(V308="NO",Table_Shelter[[#This Row],[HH per Shelter]]*(Table_Shelter[[#This Row],['# of Temporary Shelter Units Built]]+Table_Shelter[[#This Row],['# of Temporary Shelter Under  Construction]]+Table_Shelter[[#This Row],['# of Permanent House Under Construction]]),0)</f>
        <v>0</v>
      </c>
      <c r="Q308" s="148"/>
      <c r="R308" s="222"/>
      <c r="S308" s="222" t="str">
        <f>IFERROR(VLOOKUP(Table_Shelter[[#This Row],[CampName]],CL,2,0),"")</f>
        <v>MMR001CMP116</v>
      </c>
      <c r="T308" s="222" t="str">
        <f>IFERROR(VLOOKUP(Table_Shelter[[#This Row],[CampName]],CL,3,0),"")</f>
        <v>Open</v>
      </c>
      <c r="U308" s="393">
        <f>IFERROR(Table_Shelter[[#This Row],[HH Covered]]/VLOOKUP(Table_Shelter[[#This Row],[CampName]],CL,4,0),"")</f>
        <v>0</v>
      </c>
      <c r="V308" s="725" t="s">
        <v>1328</v>
      </c>
      <c r="W308" s="394"/>
    </row>
    <row r="309" spans="1:23" x14ac:dyDescent="0.25">
      <c r="A309" s="396"/>
      <c r="B309" s="220" t="s">
        <v>454</v>
      </c>
      <c r="C309" s="220" t="s">
        <v>507</v>
      </c>
      <c r="D309" s="223" t="s">
        <v>380</v>
      </c>
      <c r="E309" s="525" t="s">
        <v>237</v>
      </c>
      <c r="F309" s="220" t="s">
        <v>283</v>
      </c>
      <c r="G309" s="145">
        <v>1</v>
      </c>
      <c r="H309" s="149"/>
      <c r="I309" s="149"/>
      <c r="J309" s="149">
        <v>24</v>
      </c>
      <c r="K309" s="149">
        <v>24</v>
      </c>
      <c r="L309" s="222"/>
      <c r="M309" s="222"/>
      <c r="N309" s="222"/>
      <c r="O309" s="222"/>
      <c r="P309" s="148">
        <f>IF(V309="NO",Table_Shelter[[#This Row],[HH per Shelter]]*(Table_Shelter[[#This Row],['# of Temporary Shelter Units Built]]+Table_Shelter[[#This Row],['# of Temporary Shelter Under  Construction]]+Table_Shelter[[#This Row],['# of Permanent House Under Construction]]),0)</f>
        <v>24</v>
      </c>
      <c r="Q309" s="148"/>
      <c r="R309" s="222"/>
      <c r="S309" s="222" t="str">
        <f>IFERROR(VLOOKUP(Table_Shelter[[#This Row],[CampName]],CL,2,0),"")</f>
        <v>MMR001CMP022</v>
      </c>
      <c r="T309" s="222" t="str">
        <f>IFERROR(VLOOKUP(Table_Shelter[[#This Row],[CampName]],CL,3,0),"")</f>
        <v>Open</v>
      </c>
      <c r="U309" s="393">
        <f>IFERROR(Table_Shelter[[#This Row],[HH Covered]]/VLOOKUP(Table_Shelter[[#This Row],[CampName]],CL,4,0),"")</f>
        <v>3.4285714285714284</v>
      </c>
      <c r="V309" s="725" t="s">
        <v>1328</v>
      </c>
      <c r="W309" s="394"/>
    </row>
    <row r="310" spans="1:23" x14ac:dyDescent="0.25">
      <c r="A310" s="396">
        <v>41609</v>
      </c>
      <c r="B310" s="220" t="s">
        <v>454</v>
      </c>
      <c r="C310" s="220"/>
      <c r="D310" s="223" t="s">
        <v>380</v>
      </c>
      <c r="E310" s="225" t="s">
        <v>5</v>
      </c>
      <c r="F310" s="220" t="s">
        <v>26</v>
      </c>
      <c r="G310" s="145">
        <v>1</v>
      </c>
      <c r="H310" s="149"/>
      <c r="I310" s="149"/>
      <c r="J310" s="149">
        <v>5</v>
      </c>
      <c r="K310" s="149">
        <v>5</v>
      </c>
      <c r="L310" s="222"/>
      <c r="M310" s="222"/>
      <c r="N310" s="222"/>
      <c r="O310" s="222"/>
      <c r="P310" s="148">
        <f>IF(V310="NO",Table_Shelter[[#This Row],[HH per Shelter]]*(Table_Shelter[[#This Row],['# of Temporary Shelter Units Built]]+Table_Shelter[[#This Row],['# of Temporary Shelter Under  Construction]]+Table_Shelter[[#This Row],['# of Permanent House Under Construction]]),0)</f>
        <v>5</v>
      </c>
      <c r="Q310" s="148"/>
      <c r="R310" s="148"/>
      <c r="S310" s="148" t="str">
        <f>IFERROR(VLOOKUP(Table_Shelter[[#This Row],[CampName]],CL,2,0),"")</f>
        <v>MMR001CMP053</v>
      </c>
      <c r="T310" s="148" t="str">
        <f>IFERROR(VLOOKUP(Table_Shelter[[#This Row],[CampName]],CL,3,0),"")</f>
        <v>Open</v>
      </c>
      <c r="U310" s="393">
        <f>IFERROR(Table_Shelter[[#This Row],[HH Covered]]/VLOOKUP(Table_Shelter[[#This Row],[CampName]],CL,4,0),"")</f>
        <v>0.33333333333333331</v>
      </c>
      <c r="V310" s="725" t="s">
        <v>1328</v>
      </c>
      <c r="W310" s="397"/>
    </row>
    <row r="311" spans="1:23" x14ac:dyDescent="0.25">
      <c r="A311" s="396"/>
      <c r="B311" s="220" t="s">
        <v>852</v>
      </c>
      <c r="C311" s="220"/>
      <c r="D311" s="223" t="s">
        <v>380</v>
      </c>
      <c r="E311" s="225" t="s">
        <v>5</v>
      </c>
      <c r="F311" s="220" t="s">
        <v>26</v>
      </c>
      <c r="G311" s="145">
        <v>1</v>
      </c>
      <c r="H311" s="149"/>
      <c r="I311" s="149"/>
      <c r="J311" s="149">
        <v>30</v>
      </c>
      <c r="K311" s="149">
        <v>30</v>
      </c>
      <c r="L311" s="222"/>
      <c r="M311" s="222"/>
      <c r="N311" s="222"/>
      <c r="O311" s="222"/>
      <c r="P311" s="148">
        <f>IF(V311="NO",Table_Shelter[[#This Row],[HH per Shelter]]*(Table_Shelter[[#This Row],['# of Temporary Shelter Units Built]]+Table_Shelter[[#This Row],['# of Temporary Shelter Under  Construction]]+Table_Shelter[[#This Row],['# of Permanent House Under Construction]]),0)</f>
        <v>30</v>
      </c>
      <c r="Q311" s="148"/>
      <c r="R311" s="222"/>
      <c r="S311" s="222" t="str">
        <f>IFERROR(VLOOKUP(Table_Shelter[[#This Row],[CampName]],CL,2,0),"")</f>
        <v>MMR001CMP053</v>
      </c>
      <c r="T311" s="222" t="str">
        <f>IFERROR(VLOOKUP(Table_Shelter[[#This Row],[CampName]],CL,3,0),"")</f>
        <v>Open</v>
      </c>
      <c r="U311" s="393">
        <f>IFERROR(Table_Shelter[[#This Row],[HH Covered]]/VLOOKUP(Table_Shelter[[#This Row],[CampName]],CL,4,0),"")</f>
        <v>2</v>
      </c>
      <c r="V311" s="725" t="s">
        <v>1328</v>
      </c>
      <c r="W311" s="394"/>
    </row>
    <row r="312" spans="1:23" x14ac:dyDescent="0.25">
      <c r="A312" s="396"/>
      <c r="B312" s="220" t="s">
        <v>454</v>
      </c>
      <c r="C312" s="220" t="s">
        <v>852</v>
      </c>
      <c r="D312" s="223" t="s">
        <v>380</v>
      </c>
      <c r="E312" s="225" t="s">
        <v>5</v>
      </c>
      <c r="F312" s="220" t="s">
        <v>26</v>
      </c>
      <c r="G312" s="145">
        <v>1</v>
      </c>
      <c r="H312" s="149"/>
      <c r="I312" s="149"/>
      <c r="J312" s="149">
        <v>12</v>
      </c>
      <c r="K312" s="149">
        <v>12</v>
      </c>
      <c r="L312" s="222"/>
      <c r="M312" s="222"/>
      <c r="N312" s="222"/>
      <c r="O312" s="222"/>
      <c r="P312" s="148">
        <f>IF(V312="NO",Table_Shelter[[#This Row],[HH per Shelter]]*(Table_Shelter[[#This Row],['# of Temporary Shelter Units Built]]+Table_Shelter[[#This Row],['# of Temporary Shelter Under  Construction]]+Table_Shelter[[#This Row],['# of Permanent House Under Construction]]),0)</f>
        <v>12</v>
      </c>
      <c r="Q312" s="148"/>
      <c r="R312" s="222"/>
      <c r="S312" s="222" t="str">
        <f>IFERROR(VLOOKUP(Table_Shelter[[#This Row],[CampName]],CL,2,0),"")</f>
        <v>MMR001CMP053</v>
      </c>
      <c r="T312" s="222" t="str">
        <f>IFERROR(VLOOKUP(Table_Shelter[[#This Row],[CampName]],CL,3,0),"")</f>
        <v>Open</v>
      </c>
      <c r="U312" s="393">
        <f>IFERROR(Table_Shelter[[#This Row],[HH Covered]]/VLOOKUP(Table_Shelter[[#This Row],[CampName]],CL,4,0),"")</f>
        <v>0.8</v>
      </c>
      <c r="V312" s="725" t="s">
        <v>1328</v>
      </c>
      <c r="W312" s="394"/>
    </row>
    <row r="313" spans="1:23" x14ac:dyDescent="0.25">
      <c r="A313" s="396"/>
      <c r="B313" s="220" t="s">
        <v>454</v>
      </c>
      <c r="C313" s="220" t="s">
        <v>507</v>
      </c>
      <c r="D313" s="223" t="s">
        <v>380</v>
      </c>
      <c r="E313" s="225" t="s">
        <v>5</v>
      </c>
      <c r="F313" s="220" t="s">
        <v>26</v>
      </c>
      <c r="G313" s="145">
        <v>1</v>
      </c>
      <c r="H313" s="149"/>
      <c r="I313" s="149"/>
      <c r="J313" s="149">
        <v>10</v>
      </c>
      <c r="K313" s="149">
        <v>10</v>
      </c>
      <c r="L313" s="222"/>
      <c r="M313" s="222"/>
      <c r="N313" s="222"/>
      <c r="O313" s="222"/>
      <c r="P313" s="148">
        <f>IF(V313="NO",Table_Shelter[[#This Row],[HH per Shelter]]*(Table_Shelter[[#This Row],['# of Temporary Shelter Units Built]]+Table_Shelter[[#This Row],['# of Temporary Shelter Under  Construction]]+Table_Shelter[[#This Row],['# of Permanent House Under Construction]]),0)</f>
        <v>10</v>
      </c>
      <c r="Q313" s="148"/>
      <c r="R313" s="222"/>
      <c r="S313" s="222" t="str">
        <f>IFERROR(VLOOKUP(Table_Shelter[[#This Row],[CampName]],CL,2,0),"")</f>
        <v>MMR001CMP053</v>
      </c>
      <c r="T313" s="222" t="str">
        <f>IFERROR(VLOOKUP(Table_Shelter[[#This Row],[CampName]],CL,3,0),"")</f>
        <v>Open</v>
      </c>
      <c r="U313" s="393">
        <f>IFERROR(Table_Shelter[[#This Row],[HH Covered]]/VLOOKUP(Table_Shelter[[#This Row],[CampName]],CL,4,0),"")</f>
        <v>0.66666666666666663</v>
      </c>
      <c r="V313" s="725" t="s">
        <v>1328</v>
      </c>
      <c r="W313" s="394"/>
    </row>
    <row r="314" spans="1:23" x14ac:dyDescent="0.25">
      <c r="A314" s="396"/>
      <c r="B314" s="220" t="s">
        <v>454</v>
      </c>
      <c r="C314" s="220"/>
      <c r="D314" s="223" t="s">
        <v>380</v>
      </c>
      <c r="E314" s="225" t="s">
        <v>5</v>
      </c>
      <c r="F314" s="220" t="s">
        <v>26</v>
      </c>
      <c r="G314" s="145">
        <v>1</v>
      </c>
      <c r="H314" s="149"/>
      <c r="I314" s="149"/>
      <c r="J314" s="149">
        <v>6</v>
      </c>
      <c r="K314" s="149"/>
      <c r="L314" s="222"/>
      <c r="M314" s="222"/>
      <c r="N314" s="222"/>
      <c r="O314" s="222"/>
      <c r="P314" s="148">
        <f>IF(V314="NO",Table_Shelter[[#This Row],[HH per Shelter]]*(Table_Shelter[[#This Row],['# of Temporary Shelter Units Built]]+Table_Shelter[[#This Row],['# of Temporary Shelter Under  Construction]]+Table_Shelter[[#This Row],['# of Permanent House Under Construction]]),0)</f>
        <v>0</v>
      </c>
      <c r="Q314" s="148"/>
      <c r="R314" s="222"/>
      <c r="S314" s="222" t="str">
        <f>IFERROR(VLOOKUP(Table_Shelter[[#This Row],[CampName]],CL,2,0),"")</f>
        <v>MMR001CMP053</v>
      </c>
      <c r="T314" s="222" t="str">
        <f>IFERROR(VLOOKUP(Table_Shelter[[#This Row],[CampName]],CL,3,0),"")</f>
        <v>Open</v>
      </c>
      <c r="U314" s="393">
        <f>IFERROR(Table_Shelter[[#This Row],[HH Covered]]/VLOOKUP(Table_Shelter[[#This Row],[CampName]],CL,4,0),"")</f>
        <v>0</v>
      </c>
      <c r="V314" s="725" t="s">
        <v>1328</v>
      </c>
      <c r="W314" s="394"/>
    </row>
    <row r="315" spans="1:23" x14ac:dyDescent="0.25">
      <c r="A315" s="396"/>
      <c r="B315" s="220" t="s">
        <v>454</v>
      </c>
      <c r="C315" s="220" t="s">
        <v>507</v>
      </c>
      <c r="D315" s="223" t="s">
        <v>380</v>
      </c>
      <c r="E315" s="225" t="s">
        <v>529</v>
      </c>
      <c r="F315" s="220" t="s">
        <v>140</v>
      </c>
      <c r="G315" s="145">
        <v>1</v>
      </c>
      <c r="H315" s="149"/>
      <c r="I315" s="149"/>
      <c r="J315" s="149">
        <v>10</v>
      </c>
      <c r="K315" s="149">
        <v>10</v>
      </c>
      <c r="L315" s="222"/>
      <c r="M315" s="222"/>
      <c r="N315" s="222"/>
      <c r="O315" s="222"/>
      <c r="P315" s="148">
        <f>IF(V315="NO",Table_Shelter[[#This Row],[HH per Shelter]]*(Table_Shelter[[#This Row],['# of Temporary Shelter Units Built]]+Table_Shelter[[#This Row],['# of Temporary Shelter Under  Construction]]+Table_Shelter[[#This Row],['# of Permanent House Under Construction]]),0)</f>
        <v>10</v>
      </c>
      <c r="Q315" s="148"/>
      <c r="R315" s="222"/>
      <c r="S315" s="222" t="str">
        <f>IFERROR(VLOOKUP(Table_Shelter[[#This Row],[CampName]],CL,2,0),"")</f>
        <v>MMR001CMP105</v>
      </c>
      <c r="T315" s="222" t="str">
        <f>IFERROR(VLOOKUP(Table_Shelter[[#This Row],[CampName]],CL,3,0),"")</f>
        <v>Open</v>
      </c>
      <c r="U315" s="393">
        <f>IFERROR(Table_Shelter[[#This Row],[HH Covered]]/VLOOKUP(Table_Shelter[[#This Row],[CampName]],CL,4,0),"")</f>
        <v>0.5</v>
      </c>
      <c r="V315" s="725" t="s">
        <v>1328</v>
      </c>
      <c r="W315" s="394"/>
    </row>
    <row r="316" spans="1:23" x14ac:dyDescent="0.25">
      <c r="A316" s="396">
        <v>41609</v>
      </c>
      <c r="B316" s="220" t="s">
        <v>454</v>
      </c>
      <c r="C316" s="220" t="s">
        <v>462</v>
      </c>
      <c r="D316" s="223" t="s">
        <v>380</v>
      </c>
      <c r="E316" s="525" t="s">
        <v>310</v>
      </c>
      <c r="F316" s="220" t="s">
        <v>1259</v>
      </c>
      <c r="G316" s="145">
        <v>1</v>
      </c>
      <c r="H316" s="149"/>
      <c r="I316" s="149"/>
      <c r="J316" s="149">
        <v>76</v>
      </c>
      <c r="K316" s="149">
        <v>76</v>
      </c>
      <c r="L316" s="222"/>
      <c r="M316" s="222"/>
      <c r="N316" s="222"/>
      <c r="O316" s="222"/>
      <c r="P316" s="148">
        <f>IF(V316="NO",Table_Shelter[[#This Row],[HH per Shelter]]*(Table_Shelter[[#This Row],['# of Temporary Shelter Units Built]]+Table_Shelter[[#This Row],['# of Temporary Shelter Under  Construction]]+Table_Shelter[[#This Row],['# of Permanent House Under Construction]]),0)</f>
        <v>76</v>
      </c>
      <c r="Q316" s="148"/>
      <c r="R316" s="148"/>
      <c r="S316" s="148" t="str">
        <f>IFERROR(VLOOKUP(Table_Shelter[[#This Row],[CampName]],CL,2,0),"")</f>
        <v>MMR001CMP111</v>
      </c>
      <c r="T316" s="148" t="str">
        <f>IFERROR(VLOOKUP(Table_Shelter[[#This Row],[CampName]],CL,3,0),"")</f>
        <v>Open</v>
      </c>
      <c r="U316" s="393">
        <f>IFERROR(Table_Shelter[[#This Row],[HH Covered]]/VLOOKUP(Table_Shelter[[#This Row],[CampName]],CL,4,0),"")</f>
        <v>0.12258064516129032</v>
      </c>
      <c r="V316" s="725" t="s">
        <v>1328</v>
      </c>
      <c r="W316" s="397"/>
    </row>
    <row r="317" spans="1:23" x14ac:dyDescent="0.25">
      <c r="A317" s="396">
        <v>42416</v>
      </c>
      <c r="B317" s="220" t="s">
        <v>454</v>
      </c>
      <c r="C317" s="220" t="s">
        <v>462</v>
      </c>
      <c r="D317" s="223" t="s">
        <v>380</v>
      </c>
      <c r="E317" s="225" t="s">
        <v>310</v>
      </c>
      <c r="F317" s="220" t="s">
        <v>1259</v>
      </c>
      <c r="G317" s="145">
        <v>1</v>
      </c>
      <c r="H317" s="149"/>
      <c r="I317" s="149"/>
      <c r="J317" s="149"/>
      <c r="K317" s="149"/>
      <c r="L317" s="222"/>
      <c r="M317" s="222"/>
      <c r="N317" s="222"/>
      <c r="O317" s="222"/>
      <c r="P317" s="148">
        <f>IF(V317="NO",Table_Shelter[[#This Row],[HH per Shelter]]*(Table_Shelter[[#This Row],['# of Temporary Shelter Units Built]]+Table_Shelter[[#This Row],['# of Temporary Shelter Under  Construction]]+Table_Shelter[[#This Row],['# of Permanent House Under Construction]]),0)</f>
        <v>0</v>
      </c>
      <c r="Q317" s="148">
        <v>8</v>
      </c>
      <c r="R317" s="148">
        <v>8</v>
      </c>
      <c r="S317" s="222" t="str">
        <f>IFERROR(VLOOKUP(Table_Shelter[[#This Row],[CampName]],CL,2,0),"")</f>
        <v>MMR001CMP111</v>
      </c>
      <c r="T317" s="222" t="str">
        <f>IFERROR(VLOOKUP(Table_Shelter[[#This Row],[CampName]],CL,3,0),"")</f>
        <v>Open</v>
      </c>
      <c r="U317" s="393">
        <f>IFERROR(Table_Shelter[[#This Row],[HH Covered]]/VLOOKUP(Table_Shelter[[#This Row],[CampName]],CL,4,0),"")</f>
        <v>0</v>
      </c>
      <c r="V317" s="394" t="s">
        <v>1328</v>
      </c>
      <c r="W317" s="817"/>
    </row>
    <row r="318" spans="1:23" x14ac:dyDescent="0.25">
      <c r="A318" s="396"/>
      <c r="B318" s="220" t="s">
        <v>572</v>
      </c>
      <c r="C318" s="220" t="s">
        <v>462</v>
      </c>
      <c r="D318" s="223" t="s">
        <v>380</v>
      </c>
      <c r="E318" s="225" t="s">
        <v>310</v>
      </c>
      <c r="F318" s="220" t="s">
        <v>1259</v>
      </c>
      <c r="G318" s="145">
        <v>1</v>
      </c>
      <c r="H318" s="149"/>
      <c r="I318" s="149"/>
      <c r="J318" s="149">
        <v>220</v>
      </c>
      <c r="K318" s="149">
        <v>220</v>
      </c>
      <c r="L318" s="222"/>
      <c r="M318" s="222"/>
      <c r="N318" s="222"/>
      <c r="O318" s="222"/>
      <c r="P318" s="148">
        <f>IF(V318="NO",Table_Shelter[[#This Row],[HH per Shelter]]*(Table_Shelter[[#This Row],['# of Temporary Shelter Units Built]]+Table_Shelter[[#This Row],['# of Temporary Shelter Under  Construction]]+Table_Shelter[[#This Row],['# of Permanent House Under Construction]]),0)</f>
        <v>220</v>
      </c>
      <c r="Q318" s="148"/>
      <c r="R318" s="222"/>
      <c r="S318" s="222" t="str">
        <f>IFERROR(VLOOKUP(Table_Shelter[[#This Row],[CampName]],CL,2,0),"")</f>
        <v>MMR001CMP111</v>
      </c>
      <c r="T318" s="222" t="str">
        <f>IFERROR(VLOOKUP(Table_Shelter[[#This Row],[CampName]],CL,3,0),"")</f>
        <v>Open</v>
      </c>
      <c r="U318" s="393">
        <f>IFERROR(Table_Shelter[[#This Row],[HH Covered]]/VLOOKUP(Table_Shelter[[#This Row],[CampName]],CL,4,0),"")</f>
        <v>0.35483870967741937</v>
      </c>
      <c r="V318" s="725" t="s">
        <v>1328</v>
      </c>
      <c r="W318" s="394"/>
    </row>
    <row r="319" spans="1:23" x14ac:dyDescent="0.25">
      <c r="A319" s="396"/>
      <c r="B319" s="220" t="s">
        <v>454</v>
      </c>
      <c r="C319" s="220" t="s">
        <v>462</v>
      </c>
      <c r="D319" s="223" t="s">
        <v>380</v>
      </c>
      <c r="E319" s="225" t="s">
        <v>310</v>
      </c>
      <c r="F319" s="220" t="s">
        <v>1259</v>
      </c>
      <c r="G319" s="145">
        <v>1</v>
      </c>
      <c r="H319" s="149"/>
      <c r="I319" s="149"/>
      <c r="J319" s="149">
        <v>325</v>
      </c>
      <c r="K319" s="149">
        <v>325</v>
      </c>
      <c r="L319" s="222"/>
      <c r="M319" s="222"/>
      <c r="N319" s="222"/>
      <c r="O319" s="222"/>
      <c r="P319" s="148">
        <f>IF(V319="NO",Table_Shelter[[#This Row],[HH per Shelter]]*(Table_Shelter[[#This Row],['# of Temporary Shelter Units Built]]+Table_Shelter[[#This Row],['# of Temporary Shelter Under  Construction]]+Table_Shelter[[#This Row],['# of Permanent House Under Construction]]),0)</f>
        <v>325</v>
      </c>
      <c r="Q319" s="148"/>
      <c r="R319" s="222"/>
      <c r="S319" s="222" t="str">
        <f>IFERROR(VLOOKUP(Table_Shelter[[#This Row],[CampName]],CL,2,0),"")</f>
        <v>MMR001CMP111</v>
      </c>
      <c r="T319" s="222" t="str">
        <f>IFERROR(VLOOKUP(Table_Shelter[[#This Row],[CampName]],CL,3,0),"")</f>
        <v>Open</v>
      </c>
      <c r="U319" s="393">
        <f>IFERROR(Table_Shelter[[#This Row],[HH Covered]]/VLOOKUP(Table_Shelter[[#This Row],[CampName]],CL,4,0),"")</f>
        <v>0.52419354838709675</v>
      </c>
      <c r="V319" s="725" t="s">
        <v>1328</v>
      </c>
      <c r="W319" s="394"/>
    </row>
    <row r="320" spans="1:23" x14ac:dyDescent="0.25">
      <c r="A320" s="395">
        <v>42416</v>
      </c>
      <c r="B320" s="220" t="s">
        <v>852</v>
      </c>
      <c r="C320" s="220"/>
      <c r="D320" s="223" t="s">
        <v>555</v>
      </c>
      <c r="E320" s="525" t="s">
        <v>146</v>
      </c>
      <c r="F320" s="220" t="s">
        <v>373</v>
      </c>
      <c r="G320" s="145">
        <v>1</v>
      </c>
      <c r="H320" s="149"/>
      <c r="I320" s="149"/>
      <c r="J320" s="149">
        <v>16</v>
      </c>
      <c r="K320" s="149">
        <v>16</v>
      </c>
      <c r="L320" s="222"/>
      <c r="M320" s="222"/>
      <c r="N320" s="222"/>
      <c r="O320" s="222"/>
      <c r="P320" s="148">
        <f>IF(V320="NO",Table_Shelter[[#This Row],[HH per Shelter]]*(Table_Shelter[[#This Row],['# of Temporary Shelter Units Built]]+Table_Shelter[[#This Row],['# of Temporary Shelter Under  Construction]]+Table_Shelter[[#This Row],['# of Permanent House Under Construction]]),0)</f>
        <v>16</v>
      </c>
      <c r="Q320" s="148"/>
      <c r="R320" s="222"/>
      <c r="S320" s="222" t="str">
        <f>IFERROR(VLOOKUP(Table_Shelter[[#This Row],[CampName]],CL,2,0),"")</f>
        <v>MMR015CMP020</v>
      </c>
      <c r="T320" s="222" t="str">
        <f>IFERROR(VLOOKUP(Table_Shelter[[#This Row],[CampName]],CL,3,0),"")</f>
        <v>Open</v>
      </c>
      <c r="U320" s="393">
        <f>IFERROR(Table_Shelter[[#This Row],[HH Covered]]/VLOOKUP(Table_Shelter[[#This Row],[CampName]],CL,4,0),"")</f>
        <v>8.4656084656084651E-2</v>
      </c>
      <c r="V320" s="394" t="s">
        <v>1328</v>
      </c>
      <c r="W320" s="817"/>
    </row>
    <row r="321" spans="1:23" x14ac:dyDescent="0.25">
      <c r="A321" s="400"/>
      <c r="B321" s="685" t="s">
        <v>1104</v>
      </c>
      <c r="C321" s="685" t="s">
        <v>951</v>
      </c>
      <c r="D321" s="686" t="s">
        <v>555</v>
      </c>
      <c r="E321" s="687" t="s">
        <v>146</v>
      </c>
      <c r="F321" s="685" t="s">
        <v>373</v>
      </c>
      <c r="G321" s="146">
        <v>1</v>
      </c>
      <c r="H321" s="150"/>
      <c r="I321" s="150"/>
      <c r="J321" s="150">
        <v>85</v>
      </c>
      <c r="K321" s="150">
        <v>85</v>
      </c>
      <c r="L321" s="688"/>
      <c r="M321" s="688"/>
      <c r="N321" s="688"/>
      <c r="O321" s="688"/>
      <c r="P321" s="147">
        <f>IF(V321="NO",Table_Shelter[[#This Row],[HH per Shelter]]*(Table_Shelter[[#This Row],['# of Temporary Shelter Units Built]]+Table_Shelter[[#This Row],['# of Temporary Shelter Under  Construction]]+Table_Shelter[[#This Row],['# of Permanent House Under Construction]]),0)</f>
        <v>85</v>
      </c>
      <c r="Q321" s="147"/>
      <c r="R321" s="688"/>
      <c r="S321" s="688" t="str">
        <f>IFERROR(VLOOKUP(Table_Shelter[[#This Row],[CampName]],CL,2,0),"")</f>
        <v>MMR015CMP020</v>
      </c>
      <c r="T321" s="688" t="str">
        <f>IFERROR(VLOOKUP(Table_Shelter[[#This Row],[CampName]],CL,3,0),"")</f>
        <v>Open</v>
      </c>
      <c r="U321" s="689">
        <f>IFERROR(Table_Shelter[[#This Row],[HH Covered]]/VLOOKUP(Table_Shelter[[#This Row],[CampName]],CL,4,0),"")</f>
        <v>0.44973544973544971</v>
      </c>
      <c r="V321" s="725" t="s">
        <v>1328</v>
      </c>
      <c r="W321" s="690"/>
    </row>
    <row r="322" spans="1:23" x14ac:dyDescent="0.25">
      <c r="A322" s="400"/>
      <c r="B322" s="685" t="s">
        <v>454</v>
      </c>
      <c r="C322" s="685"/>
      <c r="D322" s="686" t="s">
        <v>380</v>
      </c>
      <c r="E322" s="687" t="s">
        <v>529</v>
      </c>
      <c r="F322" s="685"/>
      <c r="G322" s="146">
        <v>1</v>
      </c>
      <c r="H322" s="150">
        <v>30</v>
      </c>
      <c r="I322" s="150">
        <v>30</v>
      </c>
      <c r="J322" s="150"/>
      <c r="K322" s="150"/>
      <c r="L322" s="688"/>
      <c r="M322" s="688"/>
      <c r="N322" s="688"/>
      <c r="O322" s="688"/>
      <c r="P322" s="147">
        <f>IF(V322="NO",Table_Shelter[[#This Row],[HH per Shelter]]*(Table_Shelter[[#This Row],['# of Temporary Shelter Units Built]]+Table_Shelter[[#This Row],['# of Temporary Shelter Under  Construction]]+Table_Shelter[[#This Row],['# of Permanent House Under Construction]]),0)</f>
        <v>0</v>
      </c>
      <c r="Q322" s="147"/>
      <c r="R322" s="688"/>
      <c r="S322" s="688" t="str">
        <f>IFERROR(VLOOKUP(Table_Shelter[[#This Row],[CampName]],CL,2,0),"")</f>
        <v/>
      </c>
      <c r="T322" s="688" t="str">
        <f>IFERROR(VLOOKUP(Table_Shelter[[#This Row],[CampName]],CL,3,0),"")</f>
        <v/>
      </c>
      <c r="U322" s="689" t="str">
        <f>IFERROR(Table_Shelter[[#This Row],[HH Covered]]/VLOOKUP(Table_Shelter[[#This Row],[CampName]],CL,4,0),"")</f>
        <v/>
      </c>
      <c r="V322" s="725" t="s">
        <v>1328</v>
      </c>
      <c r="W322" s="690"/>
    </row>
    <row r="323" spans="1:23" x14ac:dyDescent="0.25">
      <c r="A323" s="400"/>
      <c r="B323" s="685" t="s">
        <v>572</v>
      </c>
      <c r="C323" s="685" t="s">
        <v>462</v>
      </c>
      <c r="D323" s="686" t="s">
        <v>380</v>
      </c>
      <c r="E323" s="687" t="s">
        <v>237</v>
      </c>
      <c r="F323" s="685"/>
      <c r="G323" s="146">
        <v>1</v>
      </c>
      <c r="H323" s="150"/>
      <c r="I323" s="150"/>
      <c r="J323" s="150">
        <v>15</v>
      </c>
      <c r="K323" s="150">
        <v>15</v>
      </c>
      <c r="L323" s="688"/>
      <c r="M323" s="688"/>
      <c r="N323" s="688"/>
      <c r="O323" s="688"/>
      <c r="P323" s="147">
        <f>IF(V323="NO",Table_Shelter[[#This Row],[HH per Shelter]]*(Table_Shelter[[#This Row],['# of Temporary Shelter Units Built]]+Table_Shelter[[#This Row],['# of Temporary Shelter Under  Construction]]+Table_Shelter[[#This Row],['# of Permanent House Under Construction]]),0)</f>
        <v>15</v>
      </c>
      <c r="Q323" s="147"/>
      <c r="R323" s="688"/>
      <c r="S323" s="688" t="str">
        <f>IFERROR(VLOOKUP(Table_Shelter[[#This Row],[CampName]],CL,2,0),"")</f>
        <v/>
      </c>
      <c r="T323" s="688" t="str">
        <f>IFERROR(VLOOKUP(Table_Shelter[[#This Row],[CampName]],CL,3,0),"")</f>
        <v/>
      </c>
      <c r="U323" s="689" t="str">
        <f>IFERROR(Table_Shelter[[#This Row],[HH Covered]]/VLOOKUP(Table_Shelter[[#This Row],[CampName]],CL,4,0),"")</f>
        <v/>
      </c>
      <c r="V323" s="725" t="s">
        <v>1328</v>
      </c>
      <c r="W323" s="690"/>
    </row>
    <row r="324" spans="1:23" x14ac:dyDescent="0.25">
      <c r="A324" s="400"/>
      <c r="B324" s="685" t="s">
        <v>454</v>
      </c>
      <c r="C324" s="685"/>
      <c r="D324" s="686" t="s">
        <v>380</v>
      </c>
      <c r="E324" s="687" t="s">
        <v>300</v>
      </c>
      <c r="F324" s="685"/>
      <c r="G324" s="146">
        <v>1</v>
      </c>
      <c r="H324" s="150">
        <v>55</v>
      </c>
      <c r="I324" s="150">
        <v>55</v>
      </c>
      <c r="J324" s="150"/>
      <c r="K324" s="150"/>
      <c r="L324" s="688"/>
      <c r="M324" s="688"/>
      <c r="N324" s="688"/>
      <c r="O324" s="688"/>
      <c r="P324" s="147">
        <f>IF(V324="NO",Table_Shelter[[#This Row],[HH per Shelter]]*(Table_Shelter[[#This Row],['# of Temporary Shelter Units Built]]+Table_Shelter[[#This Row],['# of Temporary Shelter Under  Construction]]+Table_Shelter[[#This Row],['# of Permanent House Under Construction]]),0)</f>
        <v>0</v>
      </c>
      <c r="Q324" s="147"/>
      <c r="R324" s="688"/>
      <c r="S324" s="688" t="str">
        <f>IFERROR(VLOOKUP(Table_Shelter[[#This Row],[CampName]],CL,2,0),"")</f>
        <v/>
      </c>
      <c r="T324" s="688" t="str">
        <f>IFERROR(VLOOKUP(Table_Shelter[[#This Row],[CampName]],CL,3,0),"")</f>
        <v/>
      </c>
      <c r="U324" s="689" t="str">
        <f>IFERROR(Table_Shelter[[#This Row],[HH Covered]]/VLOOKUP(Table_Shelter[[#This Row],[CampName]],CL,4,0),"")</f>
        <v/>
      </c>
      <c r="V324" s="725" t="s">
        <v>1328</v>
      </c>
      <c r="W324" s="690"/>
    </row>
  </sheetData>
  <mergeCells count="2">
    <mergeCell ref="A2:C2"/>
    <mergeCell ref="A3:P3"/>
  </mergeCells>
  <conditionalFormatting sqref="R1:R3 T4:T67 R149:R211 T247:T324 R247:R1048576 T95:T211 T224 R224 T69:T93 T213:T222 R213:R222">
    <cfRule type="containsText" dxfId="926" priority="107" operator="containsText" text="close">
      <formula>NOT(ISERROR(SEARCH("close",R1)))</formula>
    </cfRule>
    <cfRule type="containsText" dxfId="925" priority="108" operator="containsText" text="open">
      <formula>NOT(ISERROR(SEARCH("open",R1)))</formula>
    </cfRule>
  </conditionalFormatting>
  <conditionalFormatting sqref="R16:R67 R95:R148 R69:R93">
    <cfRule type="containsText" dxfId="924" priority="105" operator="containsText" text="close">
      <formula>NOT(ISERROR(SEARCH("close",R16)))</formula>
    </cfRule>
    <cfRule type="containsText" dxfId="923" priority="106" operator="containsText" text="open">
      <formula>NOT(ISERROR(SEARCH("open",R16)))</formula>
    </cfRule>
  </conditionalFormatting>
  <conditionalFormatting sqref="R241 T241">
    <cfRule type="containsText" dxfId="922" priority="51" operator="containsText" text="close">
      <formula>NOT(ISERROR(SEARCH("close",R241)))</formula>
    </cfRule>
    <cfRule type="containsText" dxfId="921" priority="52" operator="containsText" text="open">
      <formula>NOT(ISERROR(SEARCH("open",R241)))</formula>
    </cfRule>
  </conditionalFormatting>
  <conditionalFormatting sqref="T225 R225">
    <cfRule type="containsText" dxfId="920" priority="103" operator="containsText" text="close">
      <formula>NOT(ISERROR(SEARCH("close",R225)))</formula>
    </cfRule>
    <cfRule type="containsText" dxfId="919" priority="104" operator="containsText" text="open">
      <formula>NOT(ISERROR(SEARCH("open",R225)))</formula>
    </cfRule>
  </conditionalFormatting>
  <conditionalFormatting sqref="T226">
    <cfRule type="containsText" dxfId="918" priority="101" operator="containsText" text="close">
      <formula>NOT(ISERROR(SEARCH("close",T226)))</formula>
    </cfRule>
    <cfRule type="containsText" dxfId="917" priority="102" operator="containsText" text="open">
      <formula>NOT(ISERROR(SEARCH("open",T226)))</formula>
    </cfRule>
  </conditionalFormatting>
  <conditionalFormatting sqref="T227">
    <cfRule type="containsText" dxfId="916" priority="99" operator="containsText" text="close">
      <formula>NOT(ISERROR(SEARCH("close",T227)))</formula>
    </cfRule>
    <cfRule type="containsText" dxfId="915" priority="100" operator="containsText" text="open">
      <formula>NOT(ISERROR(SEARCH("open",T227)))</formula>
    </cfRule>
  </conditionalFormatting>
  <conditionalFormatting sqref="R227">
    <cfRule type="containsText" dxfId="914" priority="97" operator="containsText" text="close">
      <formula>NOT(ISERROR(SEARCH("close",R227)))</formula>
    </cfRule>
    <cfRule type="containsText" dxfId="913" priority="98" operator="containsText" text="open">
      <formula>NOT(ISERROR(SEARCH("open",R227)))</formula>
    </cfRule>
  </conditionalFormatting>
  <conditionalFormatting sqref="T228">
    <cfRule type="containsText" dxfId="912" priority="91" operator="containsText" text="close">
      <formula>NOT(ISERROR(SEARCH("close",T228)))</formula>
    </cfRule>
    <cfRule type="containsText" dxfId="911" priority="92" operator="containsText" text="open">
      <formula>NOT(ISERROR(SEARCH("open",T228)))</formula>
    </cfRule>
  </conditionalFormatting>
  <conditionalFormatting sqref="R228">
    <cfRule type="containsText" dxfId="910" priority="89" operator="containsText" text="close">
      <formula>NOT(ISERROR(SEARCH("close",R228)))</formula>
    </cfRule>
    <cfRule type="containsText" dxfId="909" priority="90" operator="containsText" text="open">
      <formula>NOT(ISERROR(SEARCH("open",R228)))</formula>
    </cfRule>
  </conditionalFormatting>
  <conditionalFormatting sqref="T229">
    <cfRule type="containsText" dxfId="908" priority="87" operator="containsText" text="close">
      <formula>NOT(ISERROR(SEARCH("close",T229)))</formula>
    </cfRule>
    <cfRule type="containsText" dxfId="907" priority="88" operator="containsText" text="open">
      <formula>NOT(ISERROR(SEARCH("open",T229)))</formula>
    </cfRule>
  </conditionalFormatting>
  <conditionalFormatting sqref="R229">
    <cfRule type="containsText" dxfId="906" priority="85" operator="containsText" text="close">
      <formula>NOT(ISERROR(SEARCH("close",R229)))</formula>
    </cfRule>
    <cfRule type="containsText" dxfId="905" priority="86" operator="containsText" text="open">
      <formula>NOT(ISERROR(SEARCH("open",R229)))</formula>
    </cfRule>
  </conditionalFormatting>
  <conditionalFormatting sqref="T230 R230">
    <cfRule type="containsText" dxfId="904" priority="83" operator="containsText" text="close">
      <formula>NOT(ISERROR(SEARCH("close",R230)))</formula>
    </cfRule>
    <cfRule type="containsText" dxfId="903" priority="84" operator="containsText" text="open">
      <formula>NOT(ISERROR(SEARCH("open",R230)))</formula>
    </cfRule>
  </conditionalFormatting>
  <conditionalFormatting sqref="T231 R231">
    <cfRule type="containsText" dxfId="902" priority="79" operator="containsText" text="close">
      <formula>NOT(ISERROR(SEARCH("close",R231)))</formula>
    </cfRule>
    <cfRule type="containsText" dxfId="901" priority="80" operator="containsText" text="open">
      <formula>NOT(ISERROR(SEARCH("open",R231)))</formula>
    </cfRule>
  </conditionalFormatting>
  <conditionalFormatting sqref="T232 R232">
    <cfRule type="containsText" dxfId="900" priority="77" operator="containsText" text="close">
      <formula>NOT(ISERROR(SEARCH("close",R232)))</formula>
    </cfRule>
    <cfRule type="containsText" dxfId="899" priority="78" operator="containsText" text="open">
      <formula>NOT(ISERROR(SEARCH("open",R232)))</formula>
    </cfRule>
  </conditionalFormatting>
  <conditionalFormatting sqref="T233 R233">
    <cfRule type="containsText" dxfId="898" priority="75" operator="containsText" text="close">
      <formula>NOT(ISERROR(SEARCH("close",R233)))</formula>
    </cfRule>
    <cfRule type="containsText" dxfId="897" priority="76" operator="containsText" text="open">
      <formula>NOT(ISERROR(SEARCH("open",R233)))</formula>
    </cfRule>
  </conditionalFormatting>
  <conditionalFormatting sqref="T235">
    <cfRule type="containsText" dxfId="896" priority="71" operator="containsText" text="close">
      <formula>NOT(ISERROR(SEARCH("close",T235)))</formula>
    </cfRule>
    <cfRule type="containsText" dxfId="895" priority="72" operator="containsText" text="open">
      <formula>NOT(ISERROR(SEARCH("open",T235)))</formula>
    </cfRule>
  </conditionalFormatting>
  <conditionalFormatting sqref="R235">
    <cfRule type="containsText" dxfId="894" priority="69" operator="containsText" text="close">
      <formula>NOT(ISERROR(SEARCH("close",R235)))</formula>
    </cfRule>
    <cfRule type="containsText" dxfId="893" priority="70" operator="containsText" text="open">
      <formula>NOT(ISERROR(SEARCH("open",R235)))</formula>
    </cfRule>
  </conditionalFormatting>
  <conditionalFormatting sqref="T236">
    <cfRule type="containsText" dxfId="892" priority="67" operator="containsText" text="close">
      <formula>NOT(ISERROR(SEARCH("close",T236)))</formula>
    </cfRule>
    <cfRule type="containsText" dxfId="891" priority="68" operator="containsText" text="open">
      <formula>NOT(ISERROR(SEARCH("open",T236)))</formula>
    </cfRule>
  </conditionalFormatting>
  <conditionalFormatting sqref="R237 T237">
    <cfRule type="containsText" dxfId="890" priority="61" operator="containsText" text="close">
      <formula>NOT(ISERROR(SEARCH("close",R237)))</formula>
    </cfRule>
    <cfRule type="containsText" dxfId="889" priority="62" operator="containsText" text="open">
      <formula>NOT(ISERROR(SEARCH("open",R237)))</formula>
    </cfRule>
  </conditionalFormatting>
  <conditionalFormatting sqref="T239">
    <cfRule type="containsText" dxfId="888" priority="59" operator="containsText" text="close">
      <formula>NOT(ISERROR(SEARCH("close",T239)))</formula>
    </cfRule>
    <cfRule type="containsText" dxfId="887" priority="60" operator="containsText" text="open">
      <formula>NOT(ISERROR(SEARCH("open",T239)))</formula>
    </cfRule>
  </conditionalFormatting>
  <conditionalFormatting sqref="R239">
    <cfRule type="containsText" dxfId="886" priority="57" operator="containsText" text="close">
      <formula>NOT(ISERROR(SEARCH("close",R239)))</formula>
    </cfRule>
    <cfRule type="containsText" dxfId="885" priority="58" operator="containsText" text="open">
      <formula>NOT(ISERROR(SEARCH("open",R239)))</formula>
    </cfRule>
  </conditionalFormatting>
  <conditionalFormatting sqref="T240">
    <cfRule type="containsText" dxfId="884" priority="55" operator="containsText" text="close">
      <formula>NOT(ISERROR(SEARCH("close",T240)))</formula>
    </cfRule>
    <cfRule type="containsText" dxfId="883" priority="56" operator="containsText" text="open">
      <formula>NOT(ISERROR(SEARCH("open",T240)))</formula>
    </cfRule>
  </conditionalFormatting>
  <conditionalFormatting sqref="R240">
    <cfRule type="containsText" dxfId="882" priority="53" operator="containsText" text="close">
      <formula>NOT(ISERROR(SEARCH("close",R240)))</formula>
    </cfRule>
    <cfRule type="containsText" dxfId="881" priority="54" operator="containsText" text="open">
      <formula>NOT(ISERROR(SEARCH("open",R240)))</formula>
    </cfRule>
  </conditionalFormatting>
  <conditionalFormatting sqref="T238 R238">
    <cfRule type="containsText" dxfId="880" priority="39" operator="containsText" text="close">
      <formula>NOT(ISERROR(SEARCH("close",R238)))</formula>
    </cfRule>
    <cfRule type="containsText" dxfId="879" priority="40" operator="containsText" text="open">
      <formula>NOT(ISERROR(SEARCH("open",R238)))</formula>
    </cfRule>
  </conditionalFormatting>
  <conditionalFormatting sqref="R242 T242">
    <cfRule type="containsText" dxfId="878" priority="33" operator="containsText" text="close">
      <formula>NOT(ISERROR(SEARCH("close",R242)))</formula>
    </cfRule>
    <cfRule type="containsText" dxfId="877" priority="34" operator="containsText" text="open">
      <formula>NOT(ISERROR(SEARCH("open",R242)))</formula>
    </cfRule>
  </conditionalFormatting>
  <conditionalFormatting sqref="T244 R244">
    <cfRule type="containsText" dxfId="876" priority="21" operator="containsText" text="close">
      <formula>NOT(ISERROR(SEARCH("close",R244)))</formula>
    </cfRule>
    <cfRule type="containsText" dxfId="875" priority="22" operator="containsText" text="open">
      <formula>NOT(ISERROR(SEARCH("open",R244)))</formula>
    </cfRule>
  </conditionalFormatting>
  <conditionalFormatting sqref="T243 R243">
    <cfRule type="containsText" dxfId="874" priority="23" operator="containsText" text="close">
      <formula>NOT(ISERROR(SEARCH("close",R243)))</formula>
    </cfRule>
    <cfRule type="containsText" dxfId="873" priority="24" operator="containsText" text="open">
      <formula>NOT(ISERROR(SEARCH("open",R243)))</formula>
    </cfRule>
  </conditionalFormatting>
  <conditionalFormatting sqref="T245 R245">
    <cfRule type="containsText" dxfId="872" priority="19" operator="containsText" text="close">
      <formula>NOT(ISERROR(SEARCH("close",R245)))</formula>
    </cfRule>
    <cfRule type="containsText" dxfId="871" priority="20" operator="containsText" text="open">
      <formula>NOT(ISERROR(SEARCH("open",R245)))</formula>
    </cfRule>
  </conditionalFormatting>
  <conditionalFormatting sqref="T246 R246">
    <cfRule type="containsText" dxfId="870" priority="17" operator="containsText" text="close">
      <formula>NOT(ISERROR(SEARCH("close",R246)))</formula>
    </cfRule>
    <cfRule type="containsText" dxfId="869" priority="18" operator="containsText" text="open">
      <formula>NOT(ISERROR(SEARCH("open",R246)))</formula>
    </cfRule>
  </conditionalFormatting>
  <conditionalFormatting sqref="T94">
    <cfRule type="containsText" dxfId="868" priority="15" operator="containsText" text="close">
      <formula>NOT(ISERROR(SEARCH("close",T94)))</formula>
    </cfRule>
    <cfRule type="containsText" dxfId="867" priority="16" operator="containsText" text="open">
      <formula>NOT(ISERROR(SEARCH("open",T94)))</formula>
    </cfRule>
  </conditionalFormatting>
  <conditionalFormatting sqref="R94">
    <cfRule type="containsText" dxfId="866" priority="13" operator="containsText" text="close">
      <formula>NOT(ISERROR(SEARCH("close",R94)))</formula>
    </cfRule>
    <cfRule type="containsText" dxfId="865" priority="14" operator="containsText" text="open">
      <formula>NOT(ISERROR(SEARCH("open",R94)))</formula>
    </cfRule>
  </conditionalFormatting>
  <conditionalFormatting sqref="T223 R223">
    <cfRule type="containsText" dxfId="864" priority="11" operator="containsText" text="close">
      <formula>NOT(ISERROR(SEARCH("close",R223)))</formula>
    </cfRule>
    <cfRule type="containsText" dxfId="863" priority="12" operator="containsText" text="open">
      <formula>NOT(ISERROR(SEARCH("open",R223)))</formula>
    </cfRule>
  </conditionalFormatting>
  <conditionalFormatting sqref="T68">
    <cfRule type="containsText" dxfId="862" priority="9" operator="containsText" text="close">
      <formula>NOT(ISERROR(SEARCH("close",T68)))</formula>
    </cfRule>
    <cfRule type="containsText" dxfId="861" priority="10" operator="containsText" text="open">
      <formula>NOT(ISERROR(SEARCH("open",T68)))</formula>
    </cfRule>
  </conditionalFormatting>
  <conditionalFormatting sqref="R68">
    <cfRule type="containsText" dxfId="860" priority="7" operator="containsText" text="close">
      <formula>NOT(ISERROR(SEARCH("close",R68)))</formula>
    </cfRule>
    <cfRule type="containsText" dxfId="859" priority="8" operator="containsText" text="open">
      <formula>NOT(ISERROR(SEARCH("open",R68)))</formula>
    </cfRule>
  </conditionalFormatting>
  <conditionalFormatting sqref="T234">
    <cfRule type="containsText" dxfId="858" priority="5" operator="containsText" text="close">
      <formula>NOT(ISERROR(SEARCH("close",T234)))</formula>
    </cfRule>
    <cfRule type="containsText" dxfId="857" priority="6" operator="containsText" text="open">
      <formula>NOT(ISERROR(SEARCH("open",T234)))</formula>
    </cfRule>
  </conditionalFormatting>
  <conditionalFormatting sqref="R234">
    <cfRule type="containsText" dxfId="856" priority="3" operator="containsText" text="close">
      <formula>NOT(ISERROR(SEARCH("close",R234)))</formula>
    </cfRule>
    <cfRule type="containsText" dxfId="855" priority="4" operator="containsText" text="open">
      <formula>NOT(ISERROR(SEARCH("open",R234)))</formula>
    </cfRule>
  </conditionalFormatting>
  <conditionalFormatting sqref="T212 R212">
    <cfRule type="containsText" dxfId="854" priority="1" operator="containsText" text="close">
      <formula>NOT(ISERROR(SEARCH("close",R212)))</formula>
    </cfRule>
    <cfRule type="containsText" dxfId="853" priority="2" operator="containsText" text="open">
      <formula>NOT(ISERROR(SEARCH("open",R212)))</formula>
    </cfRule>
  </conditionalFormatting>
  <dataValidations count="3">
    <dataValidation type="list" allowBlank="1" showInputMessage="1" showErrorMessage="1" sqref="D5:D324">
      <formula1>State</formula1>
    </dataValidation>
    <dataValidation type="list" allowBlank="1" showInputMessage="1" showErrorMessage="1" sqref="F5:F324">
      <formula1>OFFSET(TCL_T1,MATCH(E5,TCL_T,0)-1,1,COUNTIF(TCL_T,E5),1)</formula1>
    </dataValidation>
    <dataValidation type="list" showInputMessage="1" showErrorMessage="1" sqref="E5:E324">
      <formula1>INDIRECT(D5)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Definition!$S$2:$S$3</xm:f>
          </x14:formula1>
          <xm:sqref>V247:V324 V230 V234:V237 V239:V242 V5:V228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G100"/>
  <sheetViews>
    <sheetView showZeros="0" zoomScale="80" zoomScaleNormal="80" workbookViewId="0">
      <pane ySplit="2" topLeftCell="A3" activePane="bottomLeft" state="frozen"/>
      <selection activeCell="AS915" sqref="AS915"/>
      <selection pane="bottomLeft" activeCell="R18" sqref="R18"/>
    </sheetView>
  </sheetViews>
  <sheetFormatPr defaultRowHeight="15" x14ac:dyDescent="0.25"/>
  <cols>
    <col min="1" max="2" width="18.85546875" customWidth="1"/>
    <col min="3" max="3" width="17.85546875" customWidth="1"/>
    <col min="4" max="4" width="13.7109375" customWidth="1"/>
    <col min="5" max="6" width="12.140625" customWidth="1"/>
    <col min="7" max="7" width="11.5703125" customWidth="1"/>
    <col min="8" max="9" width="18.85546875" customWidth="1"/>
    <col min="10" max="10" width="11.7109375" customWidth="1"/>
    <col min="11" max="11" width="11.85546875" customWidth="1"/>
    <col min="12" max="12" width="18.42578125" customWidth="1"/>
    <col min="13" max="13" width="11.7109375" customWidth="1"/>
    <col min="14" max="14" width="8.85546875" customWidth="1"/>
    <col min="15" max="15" width="12.42578125" style="50" customWidth="1"/>
    <col min="16" max="16" width="11.85546875" hidden="1" customWidth="1"/>
    <col min="17" max="17" width="12.42578125" customWidth="1"/>
  </cols>
  <sheetData>
    <row r="1" spans="1:59" s="1" customFormat="1" ht="36" x14ac:dyDescent="0.25">
      <c r="A1" s="303"/>
      <c r="B1" s="304"/>
      <c r="C1" s="304"/>
      <c r="D1" s="304"/>
      <c r="E1" s="304"/>
      <c r="F1" s="304"/>
      <c r="G1" s="304"/>
      <c r="H1" s="304"/>
      <c r="I1" s="304"/>
      <c r="J1" s="304"/>
      <c r="K1" s="304"/>
      <c r="L1" s="304"/>
      <c r="M1" s="304"/>
      <c r="N1" s="304"/>
      <c r="O1" s="305"/>
      <c r="P1" s="58"/>
      <c r="Q1" s="50"/>
      <c r="R1" s="50"/>
      <c r="S1" s="50"/>
      <c r="T1" s="50"/>
      <c r="U1" s="50"/>
      <c r="BF1" s="59"/>
      <c r="BG1" s="59"/>
    </row>
    <row r="2" spans="1:59" s="1" customFormat="1" ht="36" x14ac:dyDescent="0.25">
      <c r="A2" s="855" t="s">
        <v>426</v>
      </c>
      <c r="B2" s="856"/>
      <c r="C2" s="856"/>
      <c r="D2" s="58"/>
      <c r="E2" s="58"/>
      <c r="F2" s="58"/>
      <c r="G2" s="58"/>
      <c r="H2" s="58"/>
      <c r="I2" s="58"/>
      <c r="J2" s="58"/>
      <c r="K2" s="58"/>
      <c r="L2" s="58"/>
      <c r="M2" s="58"/>
      <c r="N2" s="58"/>
      <c r="O2" s="318"/>
      <c r="P2" s="58"/>
      <c r="Q2" s="50"/>
      <c r="R2" s="50"/>
      <c r="S2" s="50"/>
      <c r="T2" s="50"/>
      <c r="U2" s="50"/>
      <c r="BF2" s="59"/>
      <c r="BG2" s="59"/>
    </row>
    <row r="3" spans="1:59" s="18" customFormat="1" ht="36" x14ac:dyDescent="0.25">
      <c r="A3" s="319">
        <f>Report_Date</f>
        <v>42370</v>
      </c>
      <c r="B3" s="320"/>
      <c r="C3" s="320"/>
      <c r="D3" s="321"/>
      <c r="E3" s="321"/>
      <c r="F3" s="321"/>
      <c r="G3" s="321"/>
      <c r="H3" s="321"/>
      <c r="I3" s="321"/>
      <c r="J3" s="321"/>
      <c r="K3" s="322"/>
      <c r="L3" s="321"/>
      <c r="M3" s="321"/>
      <c r="N3" s="321"/>
      <c r="O3" s="323"/>
      <c r="P3" s="45"/>
      <c r="Q3" s="45"/>
      <c r="R3" s="45"/>
      <c r="S3" s="60"/>
      <c r="T3" s="45"/>
      <c r="U3" s="45"/>
      <c r="BF3" s="60"/>
      <c r="BG3" s="60"/>
    </row>
    <row r="4" spans="1:59" x14ac:dyDescent="0.25">
      <c r="P4" s="35"/>
    </row>
    <row r="5" spans="1:59" ht="31.5" x14ac:dyDescent="0.5">
      <c r="A5" s="55" t="s">
        <v>380</v>
      </c>
      <c r="B5" s="56"/>
      <c r="C5" s="56"/>
      <c r="D5" s="56"/>
      <c r="E5" s="56"/>
      <c r="F5" s="56"/>
      <c r="G5" s="56"/>
      <c r="H5" s="56"/>
      <c r="I5" s="56"/>
      <c r="J5" s="56"/>
      <c r="K5" s="56"/>
      <c r="L5" s="56"/>
      <c r="M5" s="56"/>
      <c r="N5" s="56"/>
      <c r="O5" s="56"/>
      <c r="P5" s="35"/>
    </row>
    <row r="6" spans="1:59" ht="38.25" x14ac:dyDescent="0.25">
      <c r="A6" s="7" t="s">
        <v>0</v>
      </c>
      <c r="B6" s="7" t="s">
        <v>845</v>
      </c>
      <c r="C6" s="7" t="s">
        <v>846</v>
      </c>
      <c r="D6" s="7" t="s">
        <v>430</v>
      </c>
      <c r="E6" s="7" t="s">
        <v>424</v>
      </c>
      <c r="F6" s="7" t="s">
        <v>425</v>
      </c>
      <c r="G6" s="7" t="s">
        <v>423</v>
      </c>
      <c r="H6" s="7" t="s">
        <v>431</v>
      </c>
      <c r="I6" s="7" t="s">
        <v>432</v>
      </c>
      <c r="J6" s="7" t="s">
        <v>433</v>
      </c>
      <c r="K6" s="7" t="s">
        <v>434</v>
      </c>
      <c r="L6" s="7" t="s">
        <v>429</v>
      </c>
      <c r="M6" s="13" t="s">
        <v>505</v>
      </c>
      <c r="N6" s="13" t="s">
        <v>504</v>
      </c>
      <c r="O6" s="13" t="s">
        <v>506</v>
      </c>
      <c r="P6" s="35"/>
    </row>
    <row r="7" spans="1:59" x14ac:dyDescent="0.25">
      <c r="A7" s="26" t="s">
        <v>5</v>
      </c>
      <c r="B7" s="34">
        <f>SUMIFS(Camplist_HH,Camplist_Township,'Shelter Progress'!$A7,Camplist_Type_Of_Acc,"Camp")</f>
        <v>1337</v>
      </c>
      <c r="C7" s="34">
        <f>SUMIFS(Camplist_Popl,Camplist_Township,'Shelter Progress'!$A7,Camplist_Type_Of_Acc,"Camp")</f>
        <v>7121</v>
      </c>
      <c r="D7" s="53">
        <f t="shared" ref="D7:D27" si="0">SUMIF(Col_Shelter_Township,$A7,Col_Shelter_Tent_Dist)</f>
        <v>0</v>
      </c>
      <c r="E7" s="53">
        <f t="shared" ref="E7:E27" si="1">SUMIF(Col_Shelter_Township,$A7,Col_Shelter_Temp_B)</f>
        <v>1043</v>
      </c>
      <c r="F7" s="53">
        <f t="shared" ref="F7:F27" si="2">SUMIF(Col_Shelter_Township,$A7,Col_Shelter_Temp_U)</f>
        <v>0</v>
      </c>
      <c r="G7" s="53">
        <f>SUMIF(Col_Shelter_Township,$A7,Col_Shelter_Temp_P)</f>
        <v>1065</v>
      </c>
      <c r="H7" s="53">
        <f t="shared" ref="H7:H27" si="3">SUMIF(Col_Shelter_Township,$A7,Col_Shelter_Perm_B)</f>
        <v>0</v>
      </c>
      <c r="I7" s="53">
        <f t="shared" ref="I7:I27" si="4">SUMIF(Col_Shelter_Township,$A7,Col_Shelter_Perm_U)</f>
        <v>0</v>
      </c>
      <c r="J7" s="53">
        <f t="shared" ref="J7:J27" si="5">SUMIF(Col_Shelter_Township,$A7,Col_Shelter_Perm_P)</f>
        <v>0</v>
      </c>
      <c r="K7" s="53">
        <f>SUMIF(Col_Shelter_Township,$A7,Shelter_HH_Covered)</f>
        <v>1043</v>
      </c>
      <c r="L7" s="724">
        <f>K7*P7</f>
        <v>5555.1256544502621</v>
      </c>
      <c r="M7" s="417">
        <f>B7-K7</f>
        <v>294</v>
      </c>
      <c r="N7" s="418">
        <f>IFERROR(K7/B7,0)</f>
        <v>0.78010471204188481</v>
      </c>
      <c r="O7" s="419">
        <f>MAX(0,C7-L7)</f>
        <v>1565.8743455497379</v>
      </c>
      <c r="P7" s="35">
        <f>IF(B7=0,5,C7/B7)</f>
        <v>5.3261032161555724</v>
      </c>
    </row>
    <row r="8" spans="1:59" x14ac:dyDescent="0.25">
      <c r="A8" s="26" t="s">
        <v>27</v>
      </c>
      <c r="B8" s="34">
        <f>SUMIFS(Camplist_HH,Camplist_Township,'Shelter Progress'!$A8,Camplist_Type_Of_Acc,"Camp")</f>
        <v>501</v>
      </c>
      <c r="C8" s="34">
        <f>SUMIFS(Camplist_Popl,Camplist_Township,'Shelter Progress'!$A8,Camplist_Type_Of_Acc,"Camp")</f>
        <v>2570</v>
      </c>
      <c r="D8" s="53">
        <f t="shared" si="0"/>
        <v>0</v>
      </c>
      <c r="E8" s="53">
        <f t="shared" si="1"/>
        <v>180</v>
      </c>
      <c r="F8" s="53">
        <f t="shared" si="2"/>
        <v>0</v>
      </c>
      <c r="G8" s="53">
        <f>SUMIF(Col_Shelter_Township,$A8,Col_Shelter_Temp_P)</f>
        <v>180</v>
      </c>
      <c r="H8" s="53">
        <f t="shared" si="3"/>
        <v>0</v>
      </c>
      <c r="I8" s="53">
        <f t="shared" si="4"/>
        <v>0</v>
      </c>
      <c r="J8" s="53">
        <f t="shared" si="5"/>
        <v>0</v>
      </c>
      <c r="K8" s="53">
        <f t="shared" ref="K8:K27" si="6">SUMIF(Col_Shelter_Township,$A8,Shelter_HH_Covered)</f>
        <v>180</v>
      </c>
      <c r="L8" s="724">
        <f t="shared" ref="L8:L27" si="7">K8*P8</f>
        <v>923.35329341317367</v>
      </c>
      <c r="M8" s="417">
        <f t="shared" ref="M8:M13" si="8">B8-K8</f>
        <v>321</v>
      </c>
      <c r="N8" s="418">
        <f>IFERROR(K8/B8,0)</f>
        <v>0.3592814371257485</v>
      </c>
      <c r="O8" s="419">
        <f>MAX(0,C8-L8)</f>
        <v>1646.6467065868264</v>
      </c>
      <c r="P8" s="35">
        <f t="shared" ref="P8:P27" si="9">IF(B8=0,5,C8/B8)</f>
        <v>5.1297405189620759</v>
      </c>
    </row>
    <row r="9" spans="1:59" x14ac:dyDescent="0.25">
      <c r="A9" s="420" t="s">
        <v>529</v>
      </c>
      <c r="B9" s="34">
        <f>SUMIFS(Camplist_HH,Camplist_Township,'Shelter Progress'!$A9,Camplist_Type_Of_Acc,"Camp")</f>
        <v>724</v>
      </c>
      <c r="C9" s="34">
        <f>SUMIFS(Camplist_Popl,Camplist_Township,'Shelter Progress'!$A9,Camplist_Type_Of_Acc,"Camp")</f>
        <v>3566</v>
      </c>
      <c r="D9" s="53">
        <f t="shared" si="0"/>
        <v>228</v>
      </c>
      <c r="E9" s="53">
        <f t="shared" si="1"/>
        <v>548</v>
      </c>
      <c r="F9" s="53">
        <f t="shared" si="2"/>
        <v>0</v>
      </c>
      <c r="G9" s="53">
        <f>SUMIF(Col_Shelter_Township,$A9,Col_Shelter_Temp_P)</f>
        <v>548</v>
      </c>
      <c r="H9" s="53">
        <f t="shared" si="3"/>
        <v>0</v>
      </c>
      <c r="I9" s="53">
        <f t="shared" si="4"/>
        <v>0</v>
      </c>
      <c r="J9" s="53">
        <f t="shared" si="5"/>
        <v>0</v>
      </c>
      <c r="K9" s="53">
        <f t="shared" si="6"/>
        <v>548</v>
      </c>
      <c r="L9" s="724">
        <f t="shared" si="7"/>
        <v>2699.1270718232045</v>
      </c>
      <c r="M9" s="417">
        <f t="shared" si="8"/>
        <v>176</v>
      </c>
      <c r="N9" s="418">
        <f>IFERROR(K9/B9,0)</f>
        <v>0.75690607734806625</v>
      </c>
      <c r="O9" s="419">
        <f>MAX(0,C9-L9)</f>
        <v>866.87292817679554</v>
      </c>
      <c r="P9" s="35">
        <f t="shared" si="9"/>
        <v>4.9254143646408837</v>
      </c>
    </row>
    <row r="10" spans="1:59" x14ac:dyDescent="0.25">
      <c r="A10" s="26" t="s">
        <v>784</v>
      </c>
      <c r="B10" s="34">
        <f>SUMIFS(Camplist_HH,Camplist_Township,'Shelter Progress'!$A10,Camplist_Type_Of_Acc,"Camp")</f>
        <v>44</v>
      </c>
      <c r="C10" s="34">
        <f>SUMIFS(Camplist_Popl,Camplist_Township,'Shelter Progress'!$A10,Camplist_Type_Of_Acc,"Camp")</f>
        <v>273</v>
      </c>
      <c r="D10" s="53">
        <f t="shared" si="0"/>
        <v>0</v>
      </c>
      <c r="E10" s="53">
        <f t="shared" si="1"/>
        <v>35</v>
      </c>
      <c r="F10" s="53">
        <f>SUMIF(Col_Shelter_Township,$A10,Col_Shelter_Temp_U)</f>
        <v>0</v>
      </c>
      <c r="G10" s="53">
        <f t="shared" ref="G10:G26" si="10">SUMIF(Col_Shelter_Township,$A10,Col_Shelter_Temp_P)</f>
        <v>35</v>
      </c>
      <c r="H10" s="53">
        <f t="shared" si="3"/>
        <v>0</v>
      </c>
      <c r="I10" s="53">
        <f t="shared" si="4"/>
        <v>0</v>
      </c>
      <c r="J10" s="53">
        <f t="shared" si="5"/>
        <v>0</v>
      </c>
      <c r="K10" s="53">
        <f t="shared" si="6"/>
        <v>35</v>
      </c>
      <c r="L10" s="724">
        <f t="shared" si="7"/>
        <v>217.15909090909091</v>
      </c>
      <c r="M10" s="417">
        <f t="shared" si="8"/>
        <v>9</v>
      </c>
      <c r="N10" s="418">
        <f t="shared" ref="N10:N26" si="11">IFERROR(K10/B10,0)</f>
        <v>0.79545454545454541</v>
      </c>
      <c r="O10" s="419">
        <f t="shared" ref="O10:O18" si="12">MAX(0,C10-L10)</f>
        <v>55.840909090909093</v>
      </c>
      <c r="P10" s="35">
        <f t="shared" si="9"/>
        <v>6.2045454545454541</v>
      </c>
    </row>
    <row r="11" spans="1:59" x14ac:dyDescent="0.25">
      <c r="A11" s="20" t="s">
        <v>363</v>
      </c>
      <c r="B11" s="34">
        <f>SUMIFS(Camplist_HH,Camplist_Township,'Shelter Progress'!$A11,Camplist_Type_Of_Acc,"Camp")</f>
        <v>0</v>
      </c>
      <c r="C11" s="34">
        <f>SUMIFS(Camplist_Popl,Camplist_Township,'Shelter Progress'!$A11,Camplist_Type_Of_Acc,"Camp")</f>
        <v>0</v>
      </c>
      <c r="D11" s="53">
        <f t="shared" si="0"/>
        <v>0</v>
      </c>
      <c r="E11" s="53">
        <f t="shared" si="1"/>
        <v>0</v>
      </c>
      <c r="F11" s="53">
        <f t="shared" si="2"/>
        <v>0</v>
      </c>
      <c r="G11" s="53">
        <f t="shared" si="10"/>
        <v>0</v>
      </c>
      <c r="H11" s="53">
        <f t="shared" si="3"/>
        <v>0</v>
      </c>
      <c r="I11" s="53">
        <f t="shared" si="4"/>
        <v>0</v>
      </c>
      <c r="J11" s="53">
        <f t="shared" si="5"/>
        <v>0</v>
      </c>
      <c r="K11" s="53">
        <f t="shared" si="6"/>
        <v>0</v>
      </c>
      <c r="L11" s="724">
        <f t="shared" si="7"/>
        <v>0</v>
      </c>
      <c r="M11" s="417">
        <f t="shared" si="8"/>
        <v>0</v>
      </c>
      <c r="N11" s="418">
        <f t="shared" si="11"/>
        <v>0</v>
      </c>
      <c r="O11" s="419">
        <f t="shared" si="12"/>
        <v>0</v>
      </c>
      <c r="P11" s="35">
        <f t="shared" si="9"/>
        <v>5</v>
      </c>
    </row>
    <row r="12" spans="1:59" x14ac:dyDescent="0.25">
      <c r="A12" s="26" t="s">
        <v>144</v>
      </c>
      <c r="B12" s="34">
        <f>SUMIFS(Camplist_HH,Camplist_Township,'Shelter Progress'!$A12,Camplist_Type_Of_Acc,"Camp")</f>
        <v>11</v>
      </c>
      <c r="C12" s="34">
        <f>SUMIFS(Camplist_Popl,Camplist_Township,'Shelter Progress'!$A12,Camplist_Type_Of_Acc,"Camp")</f>
        <v>17</v>
      </c>
      <c r="D12" s="53">
        <f t="shared" si="0"/>
        <v>0</v>
      </c>
      <c r="E12" s="53">
        <f t="shared" si="1"/>
        <v>0</v>
      </c>
      <c r="F12" s="53">
        <f t="shared" si="2"/>
        <v>0</v>
      </c>
      <c r="G12" s="53">
        <f t="shared" si="10"/>
        <v>0</v>
      </c>
      <c r="H12" s="53">
        <f t="shared" si="3"/>
        <v>0</v>
      </c>
      <c r="I12" s="53">
        <f t="shared" si="4"/>
        <v>0</v>
      </c>
      <c r="J12" s="53">
        <f t="shared" si="5"/>
        <v>0</v>
      </c>
      <c r="K12" s="53">
        <f t="shared" si="6"/>
        <v>0</v>
      </c>
      <c r="L12" s="724">
        <f t="shared" si="7"/>
        <v>0</v>
      </c>
      <c r="M12" s="417">
        <f t="shared" si="8"/>
        <v>11</v>
      </c>
      <c r="N12" s="418">
        <f>IFERROR(K12/B12,0)</f>
        <v>0</v>
      </c>
      <c r="O12" s="419">
        <f>MAX(0,C12-L12)</f>
        <v>17</v>
      </c>
      <c r="P12" s="35">
        <f t="shared" si="9"/>
        <v>1.5454545454545454</v>
      </c>
    </row>
    <row r="13" spans="1:59" x14ac:dyDescent="0.25">
      <c r="A13" s="26" t="s">
        <v>146</v>
      </c>
      <c r="B13" s="34">
        <f>SUMIFS(Camplist_HH,Camplist_Township,'Shelter Progress'!$A13,Camplist_Type_Of_Acc,"Camp")</f>
        <v>700</v>
      </c>
      <c r="C13" s="34">
        <f>SUMIFS(Camplist_Popl,Camplist_Township,'Shelter Progress'!$A13,Camplist_Type_Of_Acc,"Camp")</f>
        <v>3409</v>
      </c>
      <c r="D13" s="53">
        <f t="shared" si="0"/>
        <v>0</v>
      </c>
      <c r="E13" s="53">
        <f t="shared" si="1"/>
        <v>444</v>
      </c>
      <c r="F13" s="53">
        <f t="shared" si="2"/>
        <v>0</v>
      </c>
      <c r="G13" s="53">
        <f>SUMIF(Col_Shelter_Township,$A13,Col_Shelter_Temp_P)</f>
        <v>444</v>
      </c>
      <c r="H13" s="53">
        <f t="shared" si="3"/>
        <v>0</v>
      </c>
      <c r="I13" s="53">
        <f t="shared" si="4"/>
        <v>0</v>
      </c>
      <c r="J13" s="53">
        <f t="shared" si="5"/>
        <v>0</v>
      </c>
      <c r="K13" s="53">
        <f t="shared" si="6"/>
        <v>444</v>
      </c>
      <c r="L13" s="724">
        <f t="shared" si="7"/>
        <v>2162.2800000000002</v>
      </c>
      <c r="M13" s="417">
        <f t="shared" si="8"/>
        <v>256</v>
      </c>
      <c r="N13" s="418">
        <f>IFERROR(K13/B13,0)</f>
        <v>0.63428571428571423</v>
      </c>
      <c r="O13" s="419">
        <f>MAX(0,C13-L13)</f>
        <v>1246.7199999999998</v>
      </c>
      <c r="P13" s="35">
        <f t="shared" si="9"/>
        <v>4.87</v>
      </c>
    </row>
    <row r="14" spans="1:59" x14ac:dyDescent="0.25">
      <c r="A14" s="26" t="s">
        <v>899</v>
      </c>
      <c r="B14" s="34">
        <f>SUMIFS(Camplist_HH,Camplist_Township,'Shelter Progress'!$A14,Camplist_Type_Of_Acc,"Camp")</f>
        <v>0</v>
      </c>
      <c r="C14" s="34">
        <f>SUMIFS(Camplist_Popl,Camplist_Township,'Shelter Progress'!$A14,Camplist_Type_Of_Acc,"Camp")</f>
        <v>0</v>
      </c>
      <c r="D14" s="53">
        <f t="shared" si="0"/>
        <v>0</v>
      </c>
      <c r="E14" s="53">
        <f t="shared" si="1"/>
        <v>0</v>
      </c>
      <c r="F14" s="53">
        <f t="shared" si="2"/>
        <v>0</v>
      </c>
      <c r="G14" s="53">
        <f t="shared" si="10"/>
        <v>0</v>
      </c>
      <c r="H14" s="53">
        <f t="shared" si="3"/>
        <v>0</v>
      </c>
      <c r="I14" s="53">
        <f t="shared" si="4"/>
        <v>0</v>
      </c>
      <c r="J14" s="53">
        <f t="shared" si="5"/>
        <v>0</v>
      </c>
      <c r="K14" s="53">
        <f t="shared" si="6"/>
        <v>0</v>
      </c>
      <c r="L14" s="724">
        <f t="shared" si="7"/>
        <v>0</v>
      </c>
      <c r="M14" s="417">
        <f t="shared" ref="M14:M27" si="13">B14-K14</f>
        <v>0</v>
      </c>
      <c r="N14" s="418">
        <f t="shared" si="11"/>
        <v>0</v>
      </c>
      <c r="O14" s="419">
        <f>MAX(0,C14-L14)</f>
        <v>0</v>
      </c>
      <c r="P14" s="35">
        <f t="shared" si="9"/>
        <v>5</v>
      </c>
    </row>
    <row r="15" spans="1:59" x14ac:dyDescent="0.25">
      <c r="A15" s="26" t="s">
        <v>151</v>
      </c>
      <c r="B15" s="34">
        <f>SUMIFS(Camplist_HH,Camplist_Township,'Shelter Progress'!$A15,Camplist_Type_Of_Acc,"Camp")</f>
        <v>2534</v>
      </c>
      <c r="C15" s="34">
        <f>SUMIFS(Camplist_Popl,Camplist_Township,'Shelter Progress'!$A15,Camplist_Type_Of_Acc,"Camp")</f>
        <v>11468</v>
      </c>
      <c r="D15" s="53">
        <f t="shared" si="0"/>
        <v>400</v>
      </c>
      <c r="E15" s="53">
        <f t="shared" si="1"/>
        <v>1777</v>
      </c>
      <c r="F15" s="53">
        <f t="shared" si="2"/>
        <v>0</v>
      </c>
      <c r="G15" s="53">
        <f>SUMIF(Col_Shelter_Township,$A15,Col_Shelter_Temp_P)</f>
        <v>2104</v>
      </c>
      <c r="H15" s="53">
        <f t="shared" si="3"/>
        <v>0</v>
      </c>
      <c r="I15" s="53">
        <f t="shared" si="4"/>
        <v>0</v>
      </c>
      <c r="J15" s="53">
        <f t="shared" si="5"/>
        <v>0</v>
      </c>
      <c r="K15" s="53">
        <f t="shared" si="6"/>
        <v>1777</v>
      </c>
      <c r="L15" s="724">
        <f t="shared" si="7"/>
        <v>8042.0820836621942</v>
      </c>
      <c r="M15" s="417">
        <f t="shared" si="13"/>
        <v>757</v>
      </c>
      <c r="N15" s="418">
        <f t="shared" ref="N15:N23" si="14">IFERROR(K15/B15,0)</f>
        <v>0.70126282557221786</v>
      </c>
      <c r="O15" s="419">
        <f>MAX(0,C15-L15)</f>
        <v>3425.9179163378058</v>
      </c>
      <c r="P15" s="35">
        <f>IF(B15=0,5,C15/B15)</f>
        <v>4.5256511444356748</v>
      </c>
    </row>
    <row r="16" spans="1:59" x14ac:dyDescent="0.25">
      <c r="A16" s="26" t="s">
        <v>166</v>
      </c>
      <c r="B16" s="34">
        <f>SUMIFS(Camplist_HH,Camplist_Township,'Shelter Progress'!$A16,Camplist_Type_Of_Acc,"Camp")</f>
        <v>69</v>
      </c>
      <c r="C16" s="34">
        <f>SUMIFS(Camplist_Popl,Camplist_Township,'Shelter Progress'!$A16,Camplist_Type_Of_Acc,"Camp")</f>
        <v>347</v>
      </c>
      <c r="D16" s="53">
        <f t="shared" si="0"/>
        <v>0</v>
      </c>
      <c r="E16" s="53">
        <f t="shared" si="1"/>
        <v>80</v>
      </c>
      <c r="F16" s="53">
        <f t="shared" si="2"/>
        <v>0</v>
      </c>
      <c r="G16" s="53">
        <f>SUMIF(Col_Shelter_Township,$A16,Col_Shelter_Temp_P)</f>
        <v>80</v>
      </c>
      <c r="H16" s="53">
        <f t="shared" si="3"/>
        <v>0</v>
      </c>
      <c r="I16" s="53">
        <f t="shared" si="4"/>
        <v>0</v>
      </c>
      <c r="J16" s="53">
        <f t="shared" si="5"/>
        <v>0</v>
      </c>
      <c r="K16" s="53">
        <f t="shared" si="6"/>
        <v>80</v>
      </c>
      <c r="L16" s="724">
        <f t="shared" si="7"/>
        <v>402.31884057971013</v>
      </c>
      <c r="M16" s="417">
        <f>B16-K16</f>
        <v>-11</v>
      </c>
      <c r="N16" s="418">
        <f>IFERROR(K16/B16,0)</f>
        <v>1.1594202898550725</v>
      </c>
      <c r="O16" s="419">
        <f>MAX(0,C16-L16)</f>
        <v>0</v>
      </c>
      <c r="P16" s="35">
        <f t="shared" si="9"/>
        <v>5.0289855072463769</v>
      </c>
    </row>
    <row r="17" spans="1:16" x14ac:dyDescent="0.25">
      <c r="A17" s="26" t="s">
        <v>173</v>
      </c>
      <c r="B17" s="34">
        <f>SUMIFS(Camplist_HH,Camplist_Township,'Shelter Progress'!$A17,Camplist_Type_Of_Acc,"Camp")</f>
        <v>57</v>
      </c>
      <c r="C17" s="34">
        <f>SUMIFS(Camplist_Popl,Camplist_Township,'Shelter Progress'!$A17,Camplist_Type_Of_Acc,"Camp")</f>
        <v>231</v>
      </c>
      <c r="D17" s="53">
        <f t="shared" si="0"/>
        <v>0</v>
      </c>
      <c r="E17" s="53">
        <f t="shared" si="1"/>
        <v>80</v>
      </c>
      <c r="F17" s="53">
        <f t="shared" si="2"/>
        <v>0</v>
      </c>
      <c r="G17" s="53">
        <f>SUMIF(Col_Shelter_Township,$A17,Col_Shelter_Temp_P)</f>
        <v>80</v>
      </c>
      <c r="H17" s="53">
        <f t="shared" si="3"/>
        <v>0</v>
      </c>
      <c r="I17" s="53">
        <f t="shared" si="4"/>
        <v>0</v>
      </c>
      <c r="J17" s="53">
        <f t="shared" si="5"/>
        <v>0</v>
      </c>
      <c r="K17" s="53">
        <f t="shared" si="6"/>
        <v>80</v>
      </c>
      <c r="L17" s="724">
        <f t="shared" si="7"/>
        <v>324.21052631578948</v>
      </c>
      <c r="M17" s="417">
        <f t="shared" si="13"/>
        <v>-23</v>
      </c>
      <c r="N17" s="418">
        <f>IFERROR(K17/B17,0)</f>
        <v>1.4035087719298245</v>
      </c>
      <c r="O17" s="419">
        <f t="shared" si="12"/>
        <v>0</v>
      </c>
      <c r="P17" s="35">
        <f t="shared" si="9"/>
        <v>4.0526315789473681</v>
      </c>
    </row>
    <row r="18" spans="1:16" x14ac:dyDescent="0.25">
      <c r="A18" s="26" t="s">
        <v>180</v>
      </c>
      <c r="B18" s="34">
        <f>SUMIFS(Camplist_HH,Camplist_Township,'Shelter Progress'!$A18,Camplist_Type_Of_Acc,"Camp")</f>
        <v>30</v>
      </c>
      <c r="C18" s="34">
        <f>SUMIFS(Camplist_Popl,Camplist_Township,'Shelter Progress'!$A18,Camplist_Type_Of_Acc,"Camp")</f>
        <v>196</v>
      </c>
      <c r="D18" s="53">
        <f t="shared" si="0"/>
        <v>0</v>
      </c>
      <c r="E18" s="53">
        <f t="shared" si="1"/>
        <v>42</v>
      </c>
      <c r="F18" s="53">
        <f t="shared" si="2"/>
        <v>0</v>
      </c>
      <c r="G18" s="53">
        <f t="shared" si="10"/>
        <v>42</v>
      </c>
      <c r="H18" s="53">
        <f t="shared" si="3"/>
        <v>0</v>
      </c>
      <c r="I18" s="53">
        <f t="shared" si="4"/>
        <v>0</v>
      </c>
      <c r="J18" s="53">
        <f t="shared" si="5"/>
        <v>0</v>
      </c>
      <c r="K18" s="53">
        <f t="shared" si="6"/>
        <v>42</v>
      </c>
      <c r="L18" s="724">
        <f t="shared" si="7"/>
        <v>274.39999999999998</v>
      </c>
      <c r="M18" s="417">
        <f t="shared" si="13"/>
        <v>-12</v>
      </c>
      <c r="N18" s="418">
        <f>IFERROR(K18/B18,0)</f>
        <v>1.4</v>
      </c>
      <c r="O18" s="419">
        <f t="shared" si="12"/>
        <v>0</v>
      </c>
      <c r="P18" s="35">
        <f t="shared" si="9"/>
        <v>6.5333333333333332</v>
      </c>
    </row>
    <row r="19" spans="1:16" x14ac:dyDescent="0.25">
      <c r="A19" s="26" t="s">
        <v>185</v>
      </c>
      <c r="B19" s="34">
        <f>SUMIFS(Camplist_HH,Camplist_Township,'Shelter Progress'!$A19,Camplist_Type_Of_Acc,"Camp")</f>
        <v>4405</v>
      </c>
      <c r="C19" s="34">
        <f>SUMIFS(Camplist_Popl,Camplist_Township,'Shelter Progress'!$A19,Camplist_Type_Of_Acc,"Camp")</f>
        <v>22966</v>
      </c>
      <c r="D19" s="53">
        <f t="shared" si="0"/>
        <v>0</v>
      </c>
      <c r="E19" s="53">
        <f t="shared" si="1"/>
        <v>4650</v>
      </c>
      <c r="F19" s="53">
        <f t="shared" si="2"/>
        <v>0</v>
      </c>
      <c r="G19" s="53">
        <f>SUMIF(Col_Shelter_Township,$A19,Col_Shelter_Temp_P)</f>
        <v>4852</v>
      </c>
      <c r="H19" s="53">
        <f t="shared" si="3"/>
        <v>0</v>
      </c>
      <c r="I19" s="53">
        <f t="shared" si="4"/>
        <v>0</v>
      </c>
      <c r="J19" s="53">
        <f t="shared" si="5"/>
        <v>0</v>
      </c>
      <c r="K19" s="53">
        <f t="shared" si="6"/>
        <v>4108</v>
      </c>
      <c r="L19" s="724">
        <f t="shared" si="7"/>
        <v>21417.554597048806</v>
      </c>
      <c r="M19" s="417">
        <f>B19-K19</f>
        <v>297</v>
      </c>
      <c r="N19" s="418">
        <f t="shared" si="14"/>
        <v>0.93257661748013621</v>
      </c>
      <c r="O19" s="419">
        <f t="shared" ref="O19:O27" si="15">MAX(0,C19-L19)</f>
        <v>1548.4454029511944</v>
      </c>
      <c r="P19" s="35">
        <f t="shared" si="9"/>
        <v>5.2136208853575479</v>
      </c>
    </row>
    <row r="20" spans="1:16" x14ac:dyDescent="0.25">
      <c r="A20" s="26" t="s">
        <v>230</v>
      </c>
      <c r="B20" s="34">
        <f>SUMIFS(Camplist_HH,Camplist_Township,'Shelter Progress'!$A20,Camplist_Type_Of_Acc,"Camp")</f>
        <v>90</v>
      </c>
      <c r="C20" s="34">
        <f>SUMIFS(Camplist_Popl,Camplist_Township,'Shelter Progress'!$A20,Camplist_Type_Of_Acc,"Camp")</f>
        <v>400</v>
      </c>
      <c r="D20" s="53">
        <f t="shared" si="0"/>
        <v>110</v>
      </c>
      <c r="E20" s="53">
        <f t="shared" si="1"/>
        <v>93</v>
      </c>
      <c r="F20" s="53">
        <f t="shared" si="2"/>
        <v>0</v>
      </c>
      <c r="G20" s="53">
        <f t="shared" si="10"/>
        <v>93</v>
      </c>
      <c r="H20" s="53">
        <f t="shared" si="3"/>
        <v>0</v>
      </c>
      <c r="I20" s="53">
        <f t="shared" si="4"/>
        <v>0</v>
      </c>
      <c r="J20" s="53">
        <f t="shared" si="5"/>
        <v>0</v>
      </c>
      <c r="K20" s="53">
        <f t="shared" si="6"/>
        <v>93</v>
      </c>
      <c r="L20" s="724">
        <f t="shared" si="7"/>
        <v>413.33333333333337</v>
      </c>
      <c r="M20" s="417">
        <f t="shared" si="13"/>
        <v>-3</v>
      </c>
      <c r="N20" s="418">
        <f t="shared" si="14"/>
        <v>1.0333333333333334</v>
      </c>
      <c r="O20" s="419">
        <f t="shared" si="15"/>
        <v>0</v>
      </c>
      <c r="P20" s="35">
        <f t="shared" si="9"/>
        <v>4.4444444444444446</v>
      </c>
    </row>
    <row r="21" spans="1:16" x14ac:dyDescent="0.25">
      <c r="A21" s="26" t="s">
        <v>237</v>
      </c>
      <c r="B21" s="34">
        <f>SUMIFS(Camplist_HH,Camplist_Township,'Shelter Progress'!$A21,Camplist_Type_Of_Acc,"Camp")</f>
        <v>1511</v>
      </c>
      <c r="C21" s="34">
        <f>SUMIFS(Camplist_Popl,Camplist_Township,'Shelter Progress'!$A21,Camplist_Type_Of_Acc,"Camp")</f>
        <v>7415</v>
      </c>
      <c r="D21" s="53">
        <f t="shared" si="0"/>
        <v>2</v>
      </c>
      <c r="E21" s="53">
        <f t="shared" si="1"/>
        <v>1127</v>
      </c>
      <c r="F21" s="53">
        <f t="shared" si="2"/>
        <v>0</v>
      </c>
      <c r="G21" s="53">
        <f t="shared" si="10"/>
        <v>1127</v>
      </c>
      <c r="H21" s="53">
        <f t="shared" si="3"/>
        <v>0</v>
      </c>
      <c r="I21" s="53">
        <f t="shared" si="4"/>
        <v>0</v>
      </c>
      <c r="J21" s="53">
        <f t="shared" si="5"/>
        <v>0</v>
      </c>
      <c r="K21" s="53">
        <f t="shared" si="6"/>
        <v>1127</v>
      </c>
      <c r="L21" s="724">
        <f t="shared" si="7"/>
        <v>5530.5790866975512</v>
      </c>
      <c r="M21" s="417">
        <f t="shared" si="13"/>
        <v>384</v>
      </c>
      <c r="N21" s="418">
        <f t="shared" si="14"/>
        <v>0.74586366644606217</v>
      </c>
      <c r="O21" s="419">
        <f t="shared" si="15"/>
        <v>1884.4209133024488</v>
      </c>
      <c r="P21" s="35">
        <f>IF(B21=0,5,C21/B21)</f>
        <v>4.9073461283917936</v>
      </c>
    </row>
    <row r="22" spans="1:16" x14ac:dyDescent="0.25">
      <c r="A22" s="26" t="s">
        <v>289</v>
      </c>
      <c r="B22" s="34">
        <f>SUMIFS(Camplist_HH,Camplist_Township,'Shelter Progress'!$A22,Camplist_Type_Of_Acc,"Camp")</f>
        <v>380</v>
      </c>
      <c r="C22" s="34">
        <f>SUMIFS(Camplist_Popl,Camplist_Township,'Shelter Progress'!$A22,Camplist_Type_Of_Acc,"Camp")</f>
        <v>1896</v>
      </c>
      <c r="D22" s="53">
        <f t="shared" si="0"/>
        <v>0</v>
      </c>
      <c r="E22" s="53">
        <f t="shared" si="1"/>
        <v>237</v>
      </c>
      <c r="F22" s="53">
        <f t="shared" si="2"/>
        <v>0</v>
      </c>
      <c r="G22" s="53">
        <f>SUMIF(Col_Shelter_Township,$A22,Col_Shelter_Temp_P)</f>
        <v>263</v>
      </c>
      <c r="H22" s="53">
        <f t="shared" si="3"/>
        <v>0</v>
      </c>
      <c r="I22" s="53">
        <f t="shared" si="4"/>
        <v>0</v>
      </c>
      <c r="J22" s="53">
        <f t="shared" si="5"/>
        <v>0</v>
      </c>
      <c r="K22" s="53">
        <f t="shared" si="6"/>
        <v>237</v>
      </c>
      <c r="L22" s="724">
        <f t="shared" si="7"/>
        <v>1182.5052631578949</v>
      </c>
      <c r="M22" s="417">
        <f t="shared" si="13"/>
        <v>143</v>
      </c>
      <c r="N22" s="418">
        <f t="shared" si="14"/>
        <v>0.62368421052631584</v>
      </c>
      <c r="O22" s="419">
        <f t="shared" si="15"/>
        <v>713.49473684210511</v>
      </c>
      <c r="P22" s="35">
        <f t="shared" si="9"/>
        <v>4.9894736842105267</v>
      </c>
    </row>
    <row r="23" spans="1:16" x14ac:dyDescent="0.25">
      <c r="A23" s="26" t="s">
        <v>298</v>
      </c>
      <c r="B23" s="34">
        <f>SUMIFS(Camplist_HH,Camplist_Township,'Shelter Progress'!$A23,Camplist_Type_Of_Acc,"Camp")</f>
        <v>10</v>
      </c>
      <c r="C23" s="34">
        <f>SUMIFS(Camplist_Popl,Camplist_Township,'Shelter Progress'!$A23,Camplist_Type_Of_Acc,"Camp")</f>
        <v>41</v>
      </c>
      <c r="D23" s="53">
        <f t="shared" si="0"/>
        <v>0</v>
      </c>
      <c r="E23" s="53">
        <f t="shared" si="1"/>
        <v>10</v>
      </c>
      <c r="F23" s="53">
        <f t="shared" si="2"/>
        <v>0</v>
      </c>
      <c r="G23" s="53">
        <f t="shared" si="10"/>
        <v>10</v>
      </c>
      <c r="H23" s="53">
        <f t="shared" si="3"/>
        <v>0</v>
      </c>
      <c r="I23" s="53">
        <f t="shared" si="4"/>
        <v>0</v>
      </c>
      <c r="J23" s="53">
        <f t="shared" si="5"/>
        <v>0</v>
      </c>
      <c r="K23" s="53">
        <f t="shared" si="6"/>
        <v>10</v>
      </c>
      <c r="L23" s="724">
        <f t="shared" si="7"/>
        <v>41</v>
      </c>
      <c r="M23" s="417">
        <f t="shared" si="13"/>
        <v>0</v>
      </c>
      <c r="N23" s="418">
        <f t="shared" si="14"/>
        <v>1</v>
      </c>
      <c r="O23" s="419">
        <f t="shared" si="15"/>
        <v>0</v>
      </c>
      <c r="P23" s="35">
        <f t="shared" si="9"/>
        <v>4.0999999999999996</v>
      </c>
    </row>
    <row r="24" spans="1:16" s="82" customFormat="1" x14ac:dyDescent="0.25">
      <c r="A24" s="26" t="s">
        <v>300</v>
      </c>
      <c r="B24" s="34">
        <f>SUMIFS(Camplist_HH,Camplist_Township,'Shelter Progress'!$A24,Camplist_Type_Of_Acc,"Camp")</f>
        <v>58</v>
      </c>
      <c r="C24" s="34">
        <f>SUMIFS(Camplist_Popl,Camplist_Township,'Shelter Progress'!$A24,Camplist_Type_Of_Acc,"Camp")</f>
        <v>224</v>
      </c>
      <c r="D24" s="53">
        <f t="shared" si="0"/>
        <v>55</v>
      </c>
      <c r="E24" s="53">
        <f t="shared" si="1"/>
        <v>60</v>
      </c>
      <c r="F24" s="53">
        <f t="shared" si="2"/>
        <v>0</v>
      </c>
      <c r="G24" s="53">
        <f t="shared" si="10"/>
        <v>60</v>
      </c>
      <c r="H24" s="53">
        <f t="shared" si="3"/>
        <v>0</v>
      </c>
      <c r="I24" s="53">
        <f t="shared" si="4"/>
        <v>0</v>
      </c>
      <c r="J24" s="53">
        <f t="shared" si="5"/>
        <v>0</v>
      </c>
      <c r="K24" s="53">
        <f t="shared" si="6"/>
        <v>60</v>
      </c>
      <c r="L24" s="724">
        <f t="shared" si="7"/>
        <v>231.72413793103451</v>
      </c>
      <c r="M24" s="417">
        <f t="shared" si="13"/>
        <v>-2</v>
      </c>
      <c r="N24" s="418">
        <f t="shared" si="11"/>
        <v>1.0344827586206897</v>
      </c>
      <c r="O24" s="419">
        <f t="shared" si="15"/>
        <v>0</v>
      </c>
      <c r="P24" s="35">
        <f t="shared" si="9"/>
        <v>3.8620689655172415</v>
      </c>
    </row>
    <row r="25" spans="1:16" s="82" customFormat="1" x14ac:dyDescent="0.25">
      <c r="A25" s="26" t="s">
        <v>302</v>
      </c>
      <c r="B25" s="34">
        <f>SUMIFS(Camplist_HH,Camplist_Township,'Shelter Progress'!$A25,Camplist_Type_Of_Acc,"Camp")</f>
        <v>124</v>
      </c>
      <c r="C25" s="34">
        <f>SUMIFS(Camplist_Popl,Camplist_Township,'Shelter Progress'!$A25,Camplist_Type_Of_Acc,"Camp")</f>
        <v>445</v>
      </c>
      <c r="D25" s="53">
        <f t="shared" si="0"/>
        <v>0</v>
      </c>
      <c r="E25" s="53">
        <f t="shared" si="1"/>
        <v>88</v>
      </c>
      <c r="F25" s="53">
        <f t="shared" si="2"/>
        <v>0</v>
      </c>
      <c r="G25" s="53">
        <f>SUMIF(Col_Shelter_Township,$A25,Col_Shelter_Temp_P)</f>
        <v>88</v>
      </c>
      <c r="H25" s="53">
        <f t="shared" si="3"/>
        <v>0</v>
      </c>
      <c r="I25" s="53">
        <f t="shared" si="4"/>
        <v>0</v>
      </c>
      <c r="J25" s="53">
        <f t="shared" si="5"/>
        <v>0</v>
      </c>
      <c r="K25" s="53">
        <f t="shared" si="6"/>
        <v>88</v>
      </c>
      <c r="L25" s="724">
        <f t="shared" si="7"/>
        <v>315.80645161290323</v>
      </c>
      <c r="M25" s="417">
        <f t="shared" si="13"/>
        <v>36</v>
      </c>
      <c r="N25" s="418">
        <f>IFERROR(K25/B25,0)</f>
        <v>0.70967741935483875</v>
      </c>
      <c r="O25" s="419">
        <f t="shared" si="15"/>
        <v>129.19354838709677</v>
      </c>
      <c r="P25" s="35">
        <f t="shared" si="9"/>
        <v>3.588709677419355</v>
      </c>
    </row>
    <row r="26" spans="1:16" x14ac:dyDescent="0.25">
      <c r="A26" s="26" t="s">
        <v>813</v>
      </c>
      <c r="B26" s="34">
        <f>SUMIFS(Camplist_HH,Camplist_Township,'Shelter Progress'!$A26,Camplist_Type_Of_Acc,"Camp")</f>
        <v>166</v>
      </c>
      <c r="C26" s="34">
        <f>SUMIFS(Camplist_Popl,Camplist_Township,'Shelter Progress'!$A26,Camplist_Type_Of_Acc,"Camp")</f>
        <v>1232</v>
      </c>
      <c r="D26" s="53">
        <f t="shared" si="0"/>
        <v>0</v>
      </c>
      <c r="E26" s="53">
        <f t="shared" si="1"/>
        <v>0</v>
      </c>
      <c r="F26" s="53">
        <f t="shared" si="2"/>
        <v>0</v>
      </c>
      <c r="G26" s="53">
        <f t="shared" si="10"/>
        <v>0</v>
      </c>
      <c r="H26" s="53">
        <f t="shared" si="3"/>
        <v>0</v>
      </c>
      <c r="I26" s="53">
        <f t="shared" si="4"/>
        <v>0</v>
      </c>
      <c r="J26" s="53">
        <f t="shared" si="5"/>
        <v>0</v>
      </c>
      <c r="K26" s="53">
        <f t="shared" si="6"/>
        <v>0</v>
      </c>
      <c r="L26" s="724">
        <f t="shared" si="7"/>
        <v>0</v>
      </c>
      <c r="M26" s="417">
        <f>B26-K26</f>
        <v>166</v>
      </c>
      <c r="N26" s="418">
        <f t="shared" si="11"/>
        <v>0</v>
      </c>
      <c r="O26" s="419">
        <f t="shared" si="15"/>
        <v>1232</v>
      </c>
      <c r="P26" s="35">
        <f t="shared" si="9"/>
        <v>7.4216867469879517</v>
      </c>
    </row>
    <row r="27" spans="1:16" s="50" customFormat="1" x14ac:dyDescent="0.25">
      <c r="A27" s="26" t="s">
        <v>310</v>
      </c>
      <c r="B27" s="34">
        <f>SUMIFS(Camplist_HH,Camplist_Township,'Shelter Progress'!$A27,Camplist_Type_Of_Acc,"Camp")</f>
        <v>4774</v>
      </c>
      <c r="C27" s="34">
        <f>SUMIFS(Camplist_Popl,Camplist_Township,'Shelter Progress'!$A27,Camplist_Type_Of_Acc,"Camp")</f>
        <v>23349</v>
      </c>
      <c r="D27" s="53">
        <f t="shared" si="0"/>
        <v>248</v>
      </c>
      <c r="E27" s="53">
        <f t="shared" si="1"/>
        <v>3482</v>
      </c>
      <c r="F27" s="53">
        <f t="shared" si="2"/>
        <v>0</v>
      </c>
      <c r="G27" s="53">
        <f>SUMIF(Col_Shelter_Township,$A27,Col_Shelter_Temp_P)</f>
        <v>3777</v>
      </c>
      <c r="H27" s="53">
        <f t="shared" si="3"/>
        <v>0</v>
      </c>
      <c r="I27" s="53">
        <f t="shared" si="4"/>
        <v>0</v>
      </c>
      <c r="J27" s="53">
        <f t="shared" si="5"/>
        <v>0</v>
      </c>
      <c r="K27" s="53">
        <f t="shared" si="6"/>
        <v>3416</v>
      </c>
      <c r="L27" s="724">
        <f t="shared" si="7"/>
        <v>16707.202346041056</v>
      </c>
      <c r="M27" s="417">
        <f t="shared" si="13"/>
        <v>1358</v>
      </c>
      <c r="N27" s="418">
        <f>IFERROR(K27/B27,0)</f>
        <v>0.71554252199413493</v>
      </c>
      <c r="O27" s="419">
        <f t="shared" si="15"/>
        <v>6641.7976539589436</v>
      </c>
      <c r="P27" s="35">
        <f t="shared" si="9"/>
        <v>4.8908671973188103</v>
      </c>
    </row>
    <row r="28" spans="1:16" s="50" customFormat="1" x14ac:dyDescent="0.25">
      <c r="A28" s="412" t="s">
        <v>3</v>
      </c>
      <c r="B28" s="413">
        <f t="shared" ref="B28:J28" si="16">SUM(B7:B27)</f>
        <v>17525</v>
      </c>
      <c r="C28" s="413">
        <f t="shared" si="16"/>
        <v>87166</v>
      </c>
      <c r="D28" s="413">
        <f t="shared" si="16"/>
        <v>1043</v>
      </c>
      <c r="E28" s="413">
        <f t="shared" si="16"/>
        <v>13976</v>
      </c>
      <c r="F28" s="413">
        <f t="shared" si="16"/>
        <v>0</v>
      </c>
      <c r="G28" s="413">
        <f t="shared" si="16"/>
        <v>14848</v>
      </c>
      <c r="H28" s="413">
        <f t="shared" si="16"/>
        <v>0</v>
      </c>
      <c r="I28" s="413">
        <f t="shared" si="16"/>
        <v>0</v>
      </c>
      <c r="J28" s="413">
        <f t="shared" si="16"/>
        <v>0</v>
      </c>
      <c r="K28" s="413">
        <f>SUM(K7:K27)</f>
        <v>13368</v>
      </c>
      <c r="L28" s="414">
        <f>SUM(L7:L27)</f>
        <v>66439.761776976011</v>
      </c>
      <c r="M28" s="415">
        <f>SUM(M7:M27)</f>
        <v>4157</v>
      </c>
      <c r="N28" s="52">
        <f>IFERROR(K28/B28,0)</f>
        <v>0.76279600570613404</v>
      </c>
      <c r="O28" s="416">
        <f>SUM(O7:O27)</f>
        <v>20974.225061183861</v>
      </c>
      <c r="P28" s="82"/>
    </row>
    <row r="29" spans="1:16" ht="271.5" hidden="1" customHeight="1" x14ac:dyDescent="0.25">
      <c r="A29" s="18" t="s">
        <v>510</v>
      </c>
      <c r="B29" s="1" t="s">
        <v>510</v>
      </c>
      <c r="C29" s="1"/>
      <c r="D29" s="1"/>
      <c r="E29" s="1"/>
      <c r="F29" s="1"/>
      <c r="G29" s="1"/>
      <c r="H29" s="1"/>
      <c r="I29" s="1"/>
      <c r="J29" s="1"/>
      <c r="K29" s="1"/>
      <c r="L29" s="1"/>
      <c r="M29" s="1"/>
      <c r="N29" s="1"/>
      <c r="O29" s="1"/>
    </row>
    <row r="30" spans="1:16" s="50" customFormat="1" hidden="1" x14ac:dyDescent="0.25">
      <c r="A30" s="18"/>
      <c r="P30" s="35"/>
    </row>
    <row r="31" spans="1:16" hidden="1" x14ac:dyDescent="0.25">
      <c r="A31" s="18" t="s">
        <v>509</v>
      </c>
      <c r="B31" t="s">
        <v>510</v>
      </c>
    </row>
    <row r="32" spans="1:16" ht="31.5" hidden="1" x14ac:dyDescent="0.5">
      <c r="A32" s="55" t="s">
        <v>381</v>
      </c>
      <c r="B32" s="56"/>
      <c r="C32" s="56"/>
      <c r="D32" s="56"/>
      <c r="E32" s="56"/>
      <c r="F32" s="56"/>
      <c r="G32" s="56"/>
      <c r="H32" s="56"/>
      <c r="I32" s="56"/>
      <c r="J32" s="56"/>
      <c r="K32" s="56"/>
      <c r="L32" s="56"/>
      <c r="M32" s="56"/>
      <c r="N32" s="56"/>
      <c r="O32" s="56"/>
    </row>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1:16" s="50" customFormat="1" hidden="1" x14ac:dyDescent="0.25">
      <c r="A49"/>
      <c r="B49"/>
      <c r="C49"/>
      <c r="D49"/>
      <c r="E49"/>
      <c r="F49"/>
      <c r="G49"/>
      <c r="H49"/>
      <c r="I49"/>
      <c r="J49"/>
      <c r="K49"/>
      <c r="L49"/>
      <c r="M49"/>
      <c r="N49"/>
    </row>
    <row r="50" spans="1:16" hidden="1" x14ac:dyDescent="0.25"/>
    <row r="51" spans="1:16" hidden="1" x14ac:dyDescent="0.25">
      <c r="A51" s="50"/>
      <c r="B51" s="50"/>
      <c r="C51" s="50"/>
      <c r="D51" s="50"/>
      <c r="E51" s="50"/>
      <c r="F51" s="50"/>
      <c r="G51" s="50"/>
      <c r="H51" s="50"/>
      <c r="I51" s="50"/>
      <c r="J51" s="50"/>
      <c r="K51" s="50"/>
      <c r="L51" s="50"/>
      <c r="M51" s="50"/>
      <c r="N51" s="50"/>
    </row>
    <row r="52" spans="1:16" hidden="1" x14ac:dyDescent="0.25"/>
    <row r="53" spans="1:16" hidden="1" x14ac:dyDescent="0.25"/>
    <row r="54" spans="1:16" hidden="1" x14ac:dyDescent="0.25"/>
    <row r="55" spans="1:16" s="50" customFormat="1" x14ac:dyDescent="0.25">
      <c r="A55"/>
      <c r="B55"/>
      <c r="C55"/>
      <c r="D55"/>
      <c r="E55"/>
      <c r="F55"/>
      <c r="G55"/>
      <c r="H55"/>
      <c r="I55"/>
      <c r="J55"/>
      <c r="K55"/>
      <c r="L55"/>
      <c r="M55"/>
      <c r="N55"/>
      <c r="P55" s="35"/>
    </row>
    <row r="56" spans="1:16" hidden="1" x14ac:dyDescent="0.25"/>
    <row r="57" spans="1:16" ht="31.5" x14ac:dyDescent="0.5">
      <c r="A57" s="55" t="s">
        <v>380</v>
      </c>
      <c r="B57" s="56"/>
      <c r="C57" s="56"/>
      <c r="D57" s="56"/>
      <c r="E57" s="56"/>
      <c r="F57" s="56"/>
      <c r="G57" s="56"/>
      <c r="H57" s="56"/>
      <c r="I57" s="56"/>
      <c r="J57" s="56"/>
      <c r="K57" s="56"/>
      <c r="L57" s="56"/>
      <c r="M57" s="56"/>
      <c r="N57" s="56"/>
      <c r="O57" s="56"/>
    </row>
    <row r="77" hidden="1" x14ac:dyDescent="0.25"/>
    <row r="78" hidden="1" x14ac:dyDescent="0.25"/>
    <row r="79" hidden="1" x14ac:dyDescent="0.25"/>
    <row r="80" hidden="1" x14ac:dyDescent="0.25"/>
    <row r="81" spans="1:15" x14ac:dyDescent="0.25">
      <c r="A81" s="421" t="s">
        <v>396</v>
      </c>
      <c r="B81" s="26" t="s">
        <v>598</v>
      </c>
      <c r="H81" s="421" t="s">
        <v>396</v>
      </c>
      <c r="I81" s="26" t="s">
        <v>598</v>
      </c>
      <c r="J81" s="50"/>
      <c r="O81"/>
    </row>
    <row r="82" spans="1:15" x14ac:dyDescent="0.25">
      <c r="H82" s="50"/>
      <c r="I82" s="50"/>
      <c r="J82" s="50"/>
      <c r="O82"/>
    </row>
    <row r="83" spans="1:15" x14ac:dyDescent="0.25">
      <c r="A83" s="421" t="s">
        <v>415</v>
      </c>
      <c r="B83" s="26" t="s">
        <v>1316</v>
      </c>
      <c r="H83" s="26"/>
      <c r="I83" s="26" t="s">
        <v>1316</v>
      </c>
      <c r="O83"/>
    </row>
    <row r="84" spans="1:15" x14ac:dyDescent="0.25">
      <c r="A84" s="420" t="s">
        <v>455</v>
      </c>
      <c r="B84" s="422">
        <v>2368</v>
      </c>
      <c r="H84" s="420" t="s">
        <v>455</v>
      </c>
      <c r="I84" s="422">
        <v>2368</v>
      </c>
      <c r="O84"/>
    </row>
    <row r="85" spans="1:15" x14ac:dyDescent="0.25">
      <c r="A85" s="420" t="s">
        <v>454</v>
      </c>
      <c r="B85" s="422">
        <v>7200</v>
      </c>
      <c r="H85" s="420" t="s">
        <v>454</v>
      </c>
      <c r="I85" s="422">
        <v>7200</v>
      </c>
      <c r="O85"/>
    </row>
    <row r="86" spans="1:15" x14ac:dyDescent="0.25">
      <c r="A86" s="420" t="s">
        <v>571</v>
      </c>
      <c r="B86" s="422">
        <v>87</v>
      </c>
      <c r="H86" s="420" t="s">
        <v>571</v>
      </c>
      <c r="I86" s="422">
        <v>87</v>
      </c>
      <c r="O86"/>
    </row>
    <row r="87" spans="1:15" x14ac:dyDescent="0.25">
      <c r="A87" s="420" t="s">
        <v>572</v>
      </c>
      <c r="B87" s="422">
        <v>420</v>
      </c>
      <c r="H87" s="420" t="s">
        <v>572</v>
      </c>
      <c r="I87" s="422">
        <v>420</v>
      </c>
      <c r="O87"/>
    </row>
    <row r="88" spans="1:15" x14ac:dyDescent="0.25">
      <c r="A88" s="420" t="s">
        <v>574</v>
      </c>
      <c r="B88" s="422">
        <v>32</v>
      </c>
      <c r="H88" s="420" t="s">
        <v>574</v>
      </c>
      <c r="I88" s="422">
        <v>32</v>
      </c>
      <c r="O88"/>
    </row>
    <row r="89" spans="1:15" x14ac:dyDescent="0.25">
      <c r="A89" s="420" t="s">
        <v>594</v>
      </c>
      <c r="B89" s="422">
        <v>1041</v>
      </c>
      <c r="H89" s="420" t="s">
        <v>594</v>
      </c>
      <c r="I89" s="422">
        <v>1041</v>
      </c>
      <c r="O89"/>
    </row>
    <row r="90" spans="1:15" x14ac:dyDescent="0.25">
      <c r="A90" s="420" t="s">
        <v>852</v>
      </c>
      <c r="B90" s="422">
        <v>933</v>
      </c>
      <c r="H90" s="420" t="s">
        <v>852</v>
      </c>
      <c r="I90" s="422">
        <v>933</v>
      </c>
      <c r="O90"/>
    </row>
    <row r="91" spans="1:15" x14ac:dyDescent="0.25">
      <c r="A91" s="420" t="s">
        <v>853</v>
      </c>
      <c r="B91" s="422">
        <v>289</v>
      </c>
      <c r="H91" s="420" t="s">
        <v>853</v>
      </c>
      <c r="I91" s="422">
        <v>289</v>
      </c>
      <c r="O91"/>
    </row>
    <row r="92" spans="1:15" x14ac:dyDescent="0.25">
      <c r="A92" s="420" t="s">
        <v>854</v>
      </c>
      <c r="B92" s="422">
        <v>205</v>
      </c>
      <c r="H92" s="420" t="s">
        <v>854</v>
      </c>
      <c r="I92" s="422">
        <v>205</v>
      </c>
      <c r="O92"/>
    </row>
    <row r="93" spans="1:15" x14ac:dyDescent="0.25">
      <c r="A93" s="420" t="s">
        <v>855</v>
      </c>
      <c r="B93" s="422">
        <v>12</v>
      </c>
      <c r="H93" s="420" t="s">
        <v>855</v>
      </c>
      <c r="I93" s="422">
        <v>12</v>
      </c>
      <c r="O93"/>
    </row>
    <row r="94" spans="1:15" x14ac:dyDescent="0.25">
      <c r="A94" s="420" t="s">
        <v>856</v>
      </c>
      <c r="B94" s="422">
        <v>10</v>
      </c>
      <c r="H94" s="420" t="s">
        <v>856</v>
      </c>
      <c r="I94" s="422">
        <v>10</v>
      </c>
      <c r="O94"/>
    </row>
    <row r="95" spans="1:15" x14ac:dyDescent="0.25">
      <c r="A95" s="420" t="s">
        <v>868</v>
      </c>
      <c r="B95" s="422">
        <v>0</v>
      </c>
      <c r="H95" s="420" t="s">
        <v>868</v>
      </c>
      <c r="I95" s="422">
        <v>0</v>
      </c>
    </row>
    <row r="96" spans="1:15" x14ac:dyDescent="0.25">
      <c r="A96" s="420" t="s">
        <v>865</v>
      </c>
      <c r="B96" s="422">
        <v>132</v>
      </c>
      <c r="H96" s="420" t="s">
        <v>865</v>
      </c>
      <c r="I96" s="422">
        <v>132</v>
      </c>
    </row>
    <row r="97" spans="1:9" x14ac:dyDescent="0.25">
      <c r="A97" s="420" t="s">
        <v>1106</v>
      </c>
      <c r="B97" s="422">
        <v>20</v>
      </c>
      <c r="H97" s="420" t="s">
        <v>1106</v>
      </c>
      <c r="I97" s="422">
        <v>20</v>
      </c>
    </row>
    <row r="98" spans="1:9" x14ac:dyDescent="0.25">
      <c r="A98" s="420" t="s">
        <v>1104</v>
      </c>
      <c r="B98" s="422">
        <v>269</v>
      </c>
      <c r="H98" s="420" t="s">
        <v>1104</v>
      </c>
      <c r="I98" s="422">
        <v>269</v>
      </c>
    </row>
    <row r="99" spans="1:9" x14ac:dyDescent="0.25">
      <c r="A99" s="420" t="s">
        <v>908</v>
      </c>
      <c r="B99" s="422">
        <v>350</v>
      </c>
      <c r="H99" s="420" t="s">
        <v>908</v>
      </c>
      <c r="I99" s="422">
        <v>350</v>
      </c>
    </row>
    <row r="100" spans="1:9" x14ac:dyDescent="0.25">
      <c r="A100" s="420" t="s">
        <v>416</v>
      </c>
      <c r="B100" s="422">
        <v>13368</v>
      </c>
      <c r="H100" s="420" t="s">
        <v>416</v>
      </c>
      <c r="I100" s="422">
        <v>13368</v>
      </c>
    </row>
  </sheetData>
  <sortState ref="A23:O41">
    <sortCondition ref="A22"/>
  </sortState>
  <mergeCells count="1">
    <mergeCell ref="A2:C2"/>
  </mergeCells>
  <conditionalFormatting sqref="N7:N28">
    <cfRule type="colorScale" priority="42">
      <colorScale>
        <cfvo type="percent" val="0"/>
        <cfvo type="percent" val="100"/>
        <color rgb="FFFF0000"/>
        <color rgb="FF00FF00"/>
      </colorScale>
    </cfRule>
    <cfRule type="colorScale" priority="43">
      <colorScale>
        <cfvo type="min"/>
        <cfvo type="percentile" val="50"/>
        <cfvo type="max"/>
        <color rgb="FFF8696B"/>
        <color rgb="FFFFEB84"/>
        <color rgb="FF63BE7B"/>
      </colorScale>
    </cfRule>
  </conditionalFormatting>
  <pageMargins left="0.7" right="0.7" top="0.75" bottom="0.75" header="0.3" footer="0.3"/>
  <pageSetup scale="40" fitToHeight="2" orientation="landscape" r:id="rId3"/>
  <rowBreaks count="2" manualBreakCount="2">
    <brk id="27" max="16383" man="1"/>
    <brk id="28" max="16383"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BG205"/>
  <sheetViews>
    <sheetView showZeros="0" zoomScale="80" zoomScaleNormal="80" workbookViewId="0">
      <selection activeCell="H13" sqref="H13"/>
    </sheetView>
  </sheetViews>
  <sheetFormatPr defaultColWidth="23.85546875" defaultRowHeight="15" x14ac:dyDescent="0.25"/>
  <cols>
    <col min="1" max="1" width="20.85546875" style="40" customWidth="1"/>
    <col min="2" max="2" width="22.42578125" style="40" customWidth="1"/>
    <col min="3" max="5" width="25.140625" style="40" customWidth="1"/>
    <col min="6" max="16384" width="23.85546875" style="40"/>
  </cols>
  <sheetData>
    <row r="1" spans="1:59" s="1" customFormat="1" ht="36" x14ac:dyDescent="0.25">
      <c r="A1" s="303"/>
      <c r="B1" s="304"/>
      <c r="C1" s="304"/>
      <c r="D1" s="304"/>
      <c r="E1" s="304"/>
      <c r="F1" s="305"/>
      <c r="BF1" s="59"/>
      <c r="BG1" s="59"/>
    </row>
    <row r="2" spans="1:59" s="1" customFormat="1" ht="67.5" customHeight="1" x14ac:dyDescent="0.25">
      <c r="A2" s="855" t="s">
        <v>463</v>
      </c>
      <c r="B2" s="856"/>
      <c r="C2" s="856"/>
      <c r="D2" s="58"/>
      <c r="E2" s="58"/>
      <c r="F2" s="318"/>
      <c r="BF2" s="59"/>
      <c r="BG2" s="59"/>
    </row>
    <row r="3" spans="1:59" s="18" customFormat="1" ht="18" customHeight="1" x14ac:dyDescent="0.25">
      <c r="A3" s="857">
        <f>Report_Date</f>
        <v>42370</v>
      </c>
      <c r="B3" s="858"/>
      <c r="C3" s="858"/>
      <c r="D3" s="858"/>
      <c r="E3" s="858"/>
      <c r="F3" s="859"/>
      <c r="G3" s="45"/>
      <c r="H3" s="45"/>
      <c r="I3" s="45"/>
      <c r="J3" s="45"/>
      <c r="L3" s="45"/>
      <c r="M3" s="45"/>
      <c r="N3" s="45"/>
      <c r="O3" s="45"/>
      <c r="P3" s="45"/>
      <c r="Q3" s="45"/>
      <c r="R3" s="45"/>
      <c r="S3" s="60"/>
      <c r="T3" s="45"/>
      <c r="U3" s="45"/>
      <c r="BF3" s="60"/>
      <c r="BG3" s="60"/>
    </row>
    <row r="4" spans="1:59" ht="15" customHeight="1" x14ac:dyDescent="0.25"/>
    <row r="5" spans="1:59" x14ac:dyDescent="0.25">
      <c r="A5" s="669" t="s">
        <v>396</v>
      </c>
      <c r="B5" s="669" t="s">
        <v>598</v>
      </c>
      <c r="C5" s="383" t="s">
        <v>422</v>
      </c>
      <c r="E5" s="615" t="s">
        <v>396</v>
      </c>
      <c r="F5" s="616" t="s">
        <v>598</v>
      </c>
      <c r="G5"/>
    </row>
    <row r="6" spans="1:59" x14ac:dyDescent="0.25">
      <c r="E6" s="51"/>
      <c r="F6" s="51"/>
    </row>
    <row r="7" spans="1:59" x14ac:dyDescent="0.25">
      <c r="A7" s="615" t="s">
        <v>415</v>
      </c>
      <c r="B7" s="604" t="s">
        <v>1317</v>
      </c>
      <c r="C7" s="605" t="s">
        <v>1318</v>
      </c>
      <c r="D7"/>
      <c r="E7" s="615" t="s">
        <v>415</v>
      </c>
      <c r="F7" s="616" t="s">
        <v>1316</v>
      </c>
      <c r="H7"/>
      <c r="I7"/>
    </row>
    <row r="8" spans="1:59" x14ac:dyDescent="0.25">
      <c r="A8" s="643" t="s">
        <v>594</v>
      </c>
      <c r="B8" s="645">
        <v>1041</v>
      </c>
      <c r="C8" s="665"/>
      <c r="D8"/>
      <c r="E8" s="643" t="s">
        <v>594</v>
      </c>
      <c r="F8" s="645">
        <v>1041</v>
      </c>
      <c r="H8"/>
      <c r="I8"/>
    </row>
    <row r="9" spans="1:59" x14ac:dyDescent="0.25">
      <c r="A9" s="674" t="s">
        <v>853</v>
      </c>
      <c r="B9" s="700">
        <v>289</v>
      </c>
      <c r="C9" s="654"/>
      <c r="D9"/>
      <c r="E9" s="674" t="s">
        <v>853</v>
      </c>
      <c r="F9" s="700">
        <v>289</v>
      </c>
      <c r="G9"/>
      <c r="H9"/>
      <c r="I9"/>
      <c r="J9"/>
      <c r="K9"/>
      <c r="L9"/>
      <c r="M9"/>
      <c r="N9"/>
      <c r="O9"/>
      <c r="P9"/>
      <c r="Q9"/>
    </row>
    <row r="10" spans="1:59" x14ac:dyDescent="0.25">
      <c r="A10" s="674" t="s">
        <v>1106</v>
      </c>
      <c r="B10" s="700">
        <v>20</v>
      </c>
      <c r="C10" s="654"/>
      <c r="D10"/>
      <c r="E10" s="674" t="s">
        <v>1106</v>
      </c>
      <c r="F10" s="700">
        <v>20</v>
      </c>
      <c r="G10"/>
      <c r="H10"/>
      <c r="I10"/>
      <c r="J10"/>
      <c r="K10"/>
      <c r="L10"/>
      <c r="M10"/>
      <c r="N10"/>
      <c r="O10"/>
      <c r="P10"/>
      <c r="Q10"/>
    </row>
    <row r="11" spans="1:59" x14ac:dyDescent="0.25">
      <c r="A11" s="674" t="s">
        <v>908</v>
      </c>
      <c r="B11" s="700">
        <v>350</v>
      </c>
      <c r="C11" s="654"/>
      <c r="D11"/>
      <c r="E11" s="674" t="s">
        <v>908</v>
      </c>
      <c r="F11" s="700">
        <v>350</v>
      </c>
      <c r="G11"/>
      <c r="H11"/>
      <c r="I11"/>
      <c r="J11"/>
      <c r="K11"/>
      <c r="L11"/>
      <c r="M11"/>
      <c r="N11"/>
      <c r="O11"/>
      <c r="P11"/>
      <c r="Q11"/>
    </row>
    <row r="12" spans="1:59" x14ac:dyDescent="0.25">
      <c r="A12" s="674" t="s">
        <v>455</v>
      </c>
      <c r="B12" s="700">
        <v>2976</v>
      </c>
      <c r="C12" s="654"/>
      <c r="D12"/>
      <c r="E12" s="674" t="s">
        <v>455</v>
      </c>
      <c r="F12" s="700">
        <v>2368</v>
      </c>
      <c r="H12"/>
      <c r="I12"/>
    </row>
    <row r="13" spans="1:59" s="50" customFormat="1" x14ac:dyDescent="0.25">
      <c r="A13" s="674" t="s">
        <v>1104</v>
      </c>
      <c r="B13" s="700">
        <v>269</v>
      </c>
      <c r="C13" s="654"/>
      <c r="D13"/>
      <c r="E13" s="674" t="s">
        <v>1104</v>
      </c>
      <c r="F13" s="700">
        <v>269</v>
      </c>
    </row>
    <row r="14" spans="1:59" x14ac:dyDescent="0.25">
      <c r="A14" s="674" t="s">
        <v>574</v>
      </c>
      <c r="B14" s="700">
        <v>32</v>
      </c>
      <c r="C14" s="654"/>
      <c r="D14"/>
      <c r="E14" s="674" t="s">
        <v>574</v>
      </c>
      <c r="F14" s="700">
        <v>32</v>
      </c>
      <c r="H14"/>
      <c r="I14"/>
    </row>
    <row r="15" spans="1:59" x14ac:dyDescent="0.25">
      <c r="A15" s="674" t="s">
        <v>854</v>
      </c>
      <c r="B15" s="700">
        <v>205</v>
      </c>
      <c r="C15" s="654"/>
      <c r="D15"/>
      <c r="E15" s="674" t="s">
        <v>854</v>
      </c>
      <c r="F15" s="700">
        <v>205</v>
      </c>
      <c r="H15"/>
      <c r="I15"/>
    </row>
    <row r="16" spans="1:59" x14ac:dyDescent="0.25">
      <c r="A16" s="674" t="s">
        <v>852</v>
      </c>
      <c r="B16" s="700">
        <v>933</v>
      </c>
      <c r="C16" s="654"/>
      <c r="D16"/>
      <c r="E16" s="674" t="s">
        <v>852</v>
      </c>
      <c r="F16" s="700">
        <v>933</v>
      </c>
      <c r="H16"/>
      <c r="I16"/>
    </row>
    <row r="17" spans="1:9" x14ac:dyDescent="0.25">
      <c r="A17" s="674" t="s">
        <v>855</v>
      </c>
      <c r="B17" s="700">
        <v>12</v>
      </c>
      <c r="C17" s="654"/>
      <c r="D17"/>
      <c r="E17" s="674" t="s">
        <v>855</v>
      </c>
      <c r="F17" s="700">
        <v>12</v>
      </c>
      <c r="H17"/>
      <c r="I17"/>
    </row>
    <row r="18" spans="1:9" x14ac:dyDescent="0.25">
      <c r="A18" s="674" t="s">
        <v>572</v>
      </c>
      <c r="B18" s="700">
        <v>420</v>
      </c>
      <c r="C18" s="654"/>
      <c r="D18"/>
      <c r="E18" s="674" t="s">
        <v>572</v>
      </c>
      <c r="F18" s="700">
        <v>420</v>
      </c>
      <c r="H18"/>
      <c r="I18"/>
    </row>
    <row r="19" spans="1:9" x14ac:dyDescent="0.25">
      <c r="A19" s="674" t="s">
        <v>454</v>
      </c>
      <c r="B19" s="700">
        <v>7200</v>
      </c>
      <c r="C19" s="654"/>
      <c r="D19"/>
      <c r="E19" s="674" t="s">
        <v>454</v>
      </c>
      <c r="F19" s="700">
        <v>7200</v>
      </c>
    </row>
    <row r="20" spans="1:9" x14ac:dyDescent="0.25">
      <c r="A20" s="674" t="s">
        <v>571</v>
      </c>
      <c r="B20" s="700">
        <v>87</v>
      </c>
      <c r="C20" s="654"/>
      <c r="D20"/>
      <c r="E20" s="674" t="s">
        <v>571</v>
      </c>
      <c r="F20" s="700">
        <v>87</v>
      </c>
    </row>
    <row r="21" spans="1:9" x14ac:dyDescent="0.25">
      <c r="A21" s="674" t="s">
        <v>856</v>
      </c>
      <c r="B21" s="700">
        <v>10</v>
      </c>
      <c r="C21" s="654"/>
      <c r="D21"/>
      <c r="E21" s="674" t="s">
        <v>856</v>
      </c>
      <c r="F21" s="700">
        <v>10</v>
      </c>
    </row>
    <row r="22" spans="1:9" x14ac:dyDescent="0.25">
      <c r="A22" s="643" t="s">
        <v>416</v>
      </c>
      <c r="B22" s="645">
        <v>13844</v>
      </c>
      <c r="C22" s="665"/>
      <c r="D22"/>
      <c r="E22" s="643" t="s">
        <v>416</v>
      </c>
      <c r="F22" s="645">
        <v>13236</v>
      </c>
    </row>
    <row r="23" spans="1:9" x14ac:dyDescent="0.25">
      <c r="A23"/>
      <c r="B23"/>
      <c r="C23"/>
      <c r="D23"/>
      <c r="E23"/>
      <c r="F23"/>
      <c r="G23"/>
    </row>
    <row r="24" spans="1:9" x14ac:dyDescent="0.25">
      <c r="A24"/>
      <c r="B24"/>
      <c r="C24"/>
      <c r="D24"/>
      <c r="E24"/>
      <c r="F24"/>
      <c r="G24"/>
    </row>
    <row r="25" spans="1:9" x14ac:dyDescent="0.25">
      <c r="A25"/>
      <c r="B25"/>
      <c r="C25"/>
      <c r="D25"/>
      <c r="E25"/>
      <c r="F25"/>
      <c r="G25"/>
    </row>
    <row r="26" spans="1:9" x14ac:dyDescent="0.25">
      <c r="A26"/>
      <c r="B26"/>
      <c r="C26"/>
      <c r="D26"/>
      <c r="E26"/>
      <c r="F26"/>
      <c r="G26"/>
    </row>
    <row r="27" spans="1:9" x14ac:dyDescent="0.25">
      <c r="A27"/>
      <c r="B27"/>
      <c r="C27"/>
      <c r="D27"/>
      <c r="E27"/>
      <c r="F27"/>
      <c r="G27"/>
    </row>
    <row r="28" spans="1:9" x14ac:dyDescent="0.25">
      <c r="A28"/>
      <c r="B28"/>
      <c r="C28"/>
      <c r="D28"/>
      <c r="E28"/>
      <c r="F28"/>
      <c r="G28"/>
    </row>
    <row r="29" spans="1:9" hidden="1" x14ac:dyDescent="0.25">
      <c r="A29"/>
      <c r="B29"/>
      <c r="C29"/>
      <c r="D29"/>
      <c r="E29"/>
      <c r="F29"/>
      <c r="G29"/>
    </row>
    <row r="30" spans="1:9" hidden="1" x14ac:dyDescent="0.25">
      <c r="A30"/>
      <c r="B30"/>
      <c r="C30"/>
      <c r="D30"/>
      <c r="E30"/>
      <c r="F30"/>
      <c r="G30"/>
    </row>
    <row r="31" spans="1:9" x14ac:dyDescent="0.25">
      <c r="A31"/>
      <c r="B31"/>
      <c r="C31"/>
      <c r="D31"/>
      <c r="E31" s="51"/>
      <c r="F31"/>
      <c r="G31"/>
    </row>
    <row r="32" spans="1:9" x14ac:dyDescent="0.25">
      <c r="A32"/>
      <c r="B32"/>
      <c r="C32"/>
      <c r="D32"/>
      <c r="E32" s="51"/>
      <c r="F32"/>
      <c r="G32"/>
    </row>
    <row r="33" spans="1:7" x14ac:dyDescent="0.25">
      <c r="A33"/>
      <c r="B33"/>
      <c r="C33"/>
      <c r="D33"/>
      <c r="E33"/>
      <c r="F33"/>
      <c r="G33"/>
    </row>
    <row r="34" spans="1:7" x14ac:dyDescent="0.25">
      <c r="A34"/>
      <c r="B34"/>
      <c r="C34"/>
      <c r="D34"/>
      <c r="E34"/>
      <c r="F34"/>
      <c r="G34"/>
    </row>
    <row r="35" spans="1:7" x14ac:dyDescent="0.25">
      <c r="A35"/>
      <c r="B35"/>
      <c r="C35"/>
      <c r="D35"/>
      <c r="E35"/>
      <c r="F35"/>
      <c r="G35"/>
    </row>
    <row r="36" spans="1:7" x14ac:dyDescent="0.25">
      <c r="A36"/>
      <c r="B36"/>
      <c r="C36"/>
      <c r="D36"/>
      <c r="E36"/>
      <c r="F36"/>
      <c r="G36"/>
    </row>
    <row r="37" spans="1:7" x14ac:dyDescent="0.25">
      <c r="A37"/>
      <c r="B37"/>
      <c r="C37"/>
      <c r="D37"/>
      <c r="E37"/>
      <c r="F37"/>
      <c r="G37"/>
    </row>
    <row r="38" spans="1:7" x14ac:dyDescent="0.25">
      <c r="A38"/>
      <c r="B38"/>
      <c r="C38"/>
      <c r="D38"/>
      <c r="E38"/>
      <c r="F38"/>
      <c r="G38"/>
    </row>
    <row r="39" spans="1:7" x14ac:dyDescent="0.25">
      <c r="A39"/>
      <c r="B39"/>
      <c r="C39"/>
      <c r="D39"/>
      <c r="E39"/>
      <c r="F39"/>
      <c r="G39"/>
    </row>
    <row r="40" spans="1:7" x14ac:dyDescent="0.25">
      <c r="A40"/>
      <c r="B40"/>
      <c r="C40"/>
      <c r="D40"/>
      <c r="E40"/>
      <c r="F40"/>
      <c r="G40"/>
    </row>
    <row r="41" spans="1:7" x14ac:dyDescent="0.25">
      <c r="A41"/>
      <c r="B41"/>
      <c r="C41"/>
      <c r="D41"/>
      <c r="E41"/>
      <c r="F41"/>
      <c r="G41"/>
    </row>
    <row r="42" spans="1:7" x14ac:dyDescent="0.25">
      <c r="A42"/>
      <c r="B42"/>
      <c r="C42"/>
      <c r="D42"/>
      <c r="E42"/>
      <c r="F42"/>
      <c r="G42"/>
    </row>
    <row r="43" spans="1:7" x14ac:dyDescent="0.25">
      <c r="A43"/>
      <c r="B43"/>
      <c r="C43"/>
      <c r="D43"/>
      <c r="E43"/>
      <c r="F43"/>
    </row>
    <row r="44" spans="1:7" x14ac:dyDescent="0.25">
      <c r="A44"/>
      <c r="B44"/>
      <c r="C44"/>
      <c r="D44"/>
      <c r="E44"/>
      <c r="F44"/>
    </row>
    <row r="45" spans="1:7" x14ac:dyDescent="0.25">
      <c r="A45"/>
      <c r="B45"/>
      <c r="C45"/>
      <c r="D45"/>
      <c r="E45"/>
      <c r="F45"/>
    </row>
    <row r="46" spans="1:7" x14ac:dyDescent="0.25">
      <c r="A46"/>
      <c r="B46"/>
      <c r="C46"/>
      <c r="D46"/>
      <c r="E46"/>
      <c r="F46"/>
    </row>
    <row r="47" spans="1:7" x14ac:dyDescent="0.25">
      <c r="A47"/>
      <c r="B47"/>
      <c r="C47"/>
      <c r="D47"/>
      <c r="E47"/>
      <c r="F47"/>
    </row>
    <row r="48" spans="1:7" x14ac:dyDescent="0.25">
      <c r="A48"/>
      <c r="B48"/>
      <c r="C48"/>
      <c r="D48"/>
      <c r="E48"/>
      <c r="F48"/>
    </row>
    <row r="49" spans="1:6" x14ac:dyDescent="0.25">
      <c r="A49"/>
      <c r="B49"/>
      <c r="C49"/>
      <c r="D49"/>
      <c r="E49"/>
      <c r="F49"/>
    </row>
    <row r="50" spans="1:6" x14ac:dyDescent="0.25">
      <c r="A50"/>
      <c r="B50"/>
      <c r="C50"/>
      <c r="D50"/>
      <c r="E50"/>
      <c r="F50"/>
    </row>
    <row r="51" spans="1:6" x14ac:dyDescent="0.25">
      <c r="A51"/>
      <c r="B51"/>
      <c r="C51"/>
      <c r="D51"/>
      <c r="E51"/>
      <c r="F51"/>
    </row>
    <row r="52" spans="1:6" x14ac:dyDescent="0.25">
      <c r="A52"/>
      <c r="B52"/>
      <c r="C52"/>
      <c r="D52"/>
      <c r="E52"/>
      <c r="F52"/>
    </row>
    <row r="53" spans="1:6" x14ac:dyDescent="0.25">
      <c r="A53"/>
      <c r="B53"/>
      <c r="C53"/>
      <c r="D53"/>
      <c r="E53"/>
      <c r="F53"/>
    </row>
    <row r="54" spans="1:6" x14ac:dyDescent="0.25">
      <c r="A54"/>
      <c r="B54"/>
      <c r="C54"/>
      <c r="D54"/>
      <c r="E54"/>
      <c r="F54"/>
    </row>
    <row r="55" spans="1:6" x14ac:dyDescent="0.25">
      <c r="A55"/>
      <c r="B55"/>
      <c r="C55"/>
      <c r="D55"/>
      <c r="E55"/>
      <c r="F55"/>
    </row>
    <row r="56" spans="1:6" hidden="1" x14ac:dyDescent="0.25">
      <c r="A56"/>
      <c r="B56"/>
      <c r="C56"/>
      <c r="D56"/>
      <c r="E56"/>
      <c r="F56"/>
    </row>
    <row r="57" spans="1:6" hidden="1" x14ac:dyDescent="0.25">
      <c r="A57"/>
      <c r="B57"/>
      <c r="C57"/>
      <c r="D57"/>
      <c r="E57"/>
      <c r="F57"/>
    </row>
    <row r="58" spans="1:6" x14ac:dyDescent="0.25">
      <c r="A58"/>
      <c r="B58"/>
      <c r="C58"/>
      <c r="D58"/>
      <c r="E58"/>
      <c r="F58"/>
    </row>
    <row r="59" spans="1:6" x14ac:dyDescent="0.25">
      <c r="A59" s="669" t="s">
        <v>396</v>
      </c>
      <c r="B59" s="669" t="s">
        <v>598</v>
      </c>
      <c r="C59" s="254"/>
      <c r="D59"/>
      <c r="E59"/>
      <c r="F59"/>
    </row>
    <row r="60" spans="1:6" x14ac:dyDescent="0.25">
      <c r="A60" s="691" t="s">
        <v>0</v>
      </c>
      <c r="B60" s="669" t="s">
        <v>5</v>
      </c>
      <c r="C60" s="255"/>
      <c r="D60"/>
      <c r="E60"/>
      <c r="F60"/>
    </row>
    <row r="61" spans="1:6" x14ac:dyDescent="0.25">
      <c r="A61" s="669" t="s">
        <v>500</v>
      </c>
      <c r="B61" s="669" t="s">
        <v>1130</v>
      </c>
      <c r="C61" s="258" t="s">
        <v>422</v>
      </c>
      <c r="D61"/>
      <c r="E61"/>
    </row>
    <row r="62" spans="1:6" x14ac:dyDescent="0.25">
      <c r="A62" s="129"/>
      <c r="B62" s="129"/>
      <c r="C62" s="129"/>
      <c r="D62"/>
      <c r="E62"/>
    </row>
    <row r="63" spans="1:6" x14ac:dyDescent="0.25">
      <c r="A63" s="421" t="s">
        <v>415</v>
      </c>
      <c r="B63" s="26" t="s">
        <v>1256</v>
      </c>
      <c r="C63"/>
      <c r="D63"/>
      <c r="E63"/>
    </row>
    <row r="64" spans="1:6" x14ac:dyDescent="0.25">
      <c r="A64" s="420" t="s">
        <v>6</v>
      </c>
      <c r="B64" s="701">
        <v>0.20681265206812652</v>
      </c>
      <c r="C64"/>
      <c r="D64"/>
      <c r="E64"/>
    </row>
    <row r="65" spans="1:5" x14ac:dyDescent="0.25">
      <c r="A65" s="420" t="s">
        <v>514</v>
      </c>
      <c r="B65" s="701">
        <v>1.75</v>
      </c>
      <c r="C65"/>
      <c r="D65"/>
      <c r="E65"/>
    </row>
    <row r="66" spans="1:5" x14ac:dyDescent="0.25">
      <c r="A66" s="420" t="s">
        <v>14</v>
      </c>
      <c r="B66" s="701">
        <v>0.44186046511627908</v>
      </c>
      <c r="C66"/>
      <c r="D66"/>
      <c r="E66"/>
    </row>
    <row r="67" spans="1:5" x14ac:dyDescent="0.25">
      <c r="A67" s="420" t="s">
        <v>18</v>
      </c>
      <c r="B67" s="701">
        <v>0.12561576354679804</v>
      </c>
      <c r="C67"/>
      <c r="D67"/>
      <c r="E67"/>
    </row>
    <row r="68" spans="1:5" x14ac:dyDescent="0.25">
      <c r="A68" s="420" t="s">
        <v>8</v>
      </c>
      <c r="B68" s="701">
        <v>0.39130434782608692</v>
      </c>
      <c r="C68"/>
      <c r="D68"/>
      <c r="E68"/>
    </row>
    <row r="69" spans="1:5" x14ac:dyDescent="0.25">
      <c r="A69" s="420" t="s">
        <v>20</v>
      </c>
      <c r="B69" s="701">
        <v>0.5</v>
      </c>
      <c r="C69"/>
      <c r="D69"/>
      <c r="E69"/>
    </row>
    <row r="70" spans="1:5" x14ac:dyDescent="0.25">
      <c r="A70" s="420" t="s">
        <v>366</v>
      </c>
      <c r="B70" s="701">
        <v>0.20063694267515925</v>
      </c>
      <c r="C70"/>
      <c r="D70"/>
      <c r="E70"/>
    </row>
    <row r="71" spans="1:5" x14ac:dyDescent="0.25">
      <c r="A71" s="420" t="s">
        <v>22</v>
      </c>
      <c r="B71" s="701">
        <v>0.16296012269938648</v>
      </c>
      <c r="C71"/>
      <c r="D71"/>
      <c r="E71"/>
    </row>
    <row r="72" spans="1:5" x14ac:dyDescent="0.25">
      <c r="A72" s="420" t="s">
        <v>24</v>
      </c>
      <c r="B72" s="701">
        <v>1.1000000000000001</v>
      </c>
      <c r="C72"/>
      <c r="D72"/>
      <c r="E72"/>
    </row>
    <row r="73" spans="1:5" x14ac:dyDescent="0.25">
      <c r="A73" s="420" t="s">
        <v>26</v>
      </c>
      <c r="B73" s="701">
        <v>0.76</v>
      </c>
      <c r="C73"/>
      <c r="D73"/>
      <c r="E73"/>
    </row>
    <row r="74" spans="1:5" x14ac:dyDescent="0.25">
      <c r="A74" s="420" t="s">
        <v>416</v>
      </c>
      <c r="B74" s="701">
        <v>0.45688956838796507</v>
      </c>
      <c r="C74"/>
      <c r="D74"/>
    </row>
    <row r="75" spans="1:5" x14ac:dyDescent="0.25">
      <c r="A75"/>
      <c r="B75"/>
      <c r="C75"/>
      <c r="D75"/>
    </row>
    <row r="76" spans="1:5" x14ac:dyDescent="0.25">
      <c r="A76"/>
      <c r="B76"/>
      <c r="C76"/>
      <c r="D76"/>
    </row>
    <row r="77" spans="1:5" x14ac:dyDescent="0.25">
      <c r="A77"/>
      <c r="B77"/>
      <c r="C77"/>
      <c r="D77"/>
    </row>
    <row r="78" spans="1:5" x14ac:dyDescent="0.25">
      <c r="A78"/>
      <c r="B78"/>
      <c r="C78"/>
      <c r="D78"/>
    </row>
    <row r="79" spans="1:5" x14ac:dyDescent="0.25">
      <c r="A79"/>
      <c r="B79"/>
      <c r="C79"/>
      <c r="D79"/>
    </row>
    <row r="80" spans="1:5" x14ac:dyDescent="0.25">
      <c r="A80"/>
      <c r="B80"/>
      <c r="C80"/>
      <c r="D80"/>
    </row>
    <row r="81" spans="1:4" x14ac:dyDescent="0.25">
      <c r="A81"/>
      <c r="B81"/>
      <c r="C81"/>
      <c r="D81"/>
    </row>
    <row r="82" spans="1:4" x14ac:dyDescent="0.25">
      <c r="A82"/>
      <c r="B82"/>
      <c r="C82"/>
      <c r="D82"/>
    </row>
    <row r="83" spans="1:4" x14ac:dyDescent="0.25">
      <c r="A83"/>
      <c r="B83"/>
      <c r="C83"/>
      <c r="D83"/>
    </row>
    <row r="84" spans="1:4" x14ac:dyDescent="0.25">
      <c r="A84"/>
      <c r="B84"/>
      <c r="C84"/>
      <c r="D84"/>
    </row>
    <row r="85" spans="1:4" x14ac:dyDescent="0.25">
      <c r="A85"/>
      <c r="B85"/>
      <c r="C85"/>
      <c r="D85"/>
    </row>
    <row r="86" spans="1:4" x14ac:dyDescent="0.25">
      <c r="A86"/>
      <c r="B86"/>
      <c r="C86"/>
      <c r="D86"/>
    </row>
    <row r="87" spans="1:4" x14ac:dyDescent="0.25">
      <c r="A87"/>
      <c r="B87"/>
      <c r="C87"/>
      <c r="D87"/>
    </row>
    <row r="88" spans="1:4" x14ac:dyDescent="0.25">
      <c r="A88"/>
      <c r="B88"/>
      <c r="C88"/>
      <c r="D88"/>
    </row>
    <row r="89" spans="1:4" x14ac:dyDescent="0.25">
      <c r="A89"/>
      <c r="B89"/>
      <c r="C89"/>
      <c r="D89"/>
    </row>
    <row r="90" spans="1:4" x14ac:dyDescent="0.25">
      <c r="A90"/>
      <c r="B90"/>
      <c r="C90"/>
      <c r="D90"/>
    </row>
    <row r="91" spans="1:4" x14ac:dyDescent="0.25">
      <c r="A91"/>
      <c r="B91"/>
      <c r="C91"/>
      <c r="D91"/>
    </row>
    <row r="92" spans="1:4" x14ac:dyDescent="0.25">
      <c r="A92"/>
      <c r="B92"/>
      <c r="C92"/>
      <c r="D92"/>
    </row>
    <row r="93" spans="1:4" x14ac:dyDescent="0.25">
      <c r="A93"/>
      <c r="B93"/>
      <c r="C93"/>
      <c r="D93"/>
    </row>
    <row r="94" spans="1:4" x14ac:dyDescent="0.25">
      <c r="A94"/>
      <c r="B94"/>
      <c r="C94"/>
      <c r="D94"/>
    </row>
    <row r="95" spans="1:4" x14ac:dyDescent="0.25">
      <c r="A95"/>
      <c r="B95"/>
      <c r="C95"/>
      <c r="D95"/>
    </row>
    <row r="96" spans="1:4" x14ac:dyDescent="0.25">
      <c r="A96"/>
      <c r="B96"/>
      <c r="C96"/>
      <c r="D96"/>
    </row>
    <row r="97" spans="1:4" x14ac:dyDescent="0.25">
      <c r="A97"/>
      <c r="B97"/>
      <c r="C97"/>
      <c r="D97"/>
    </row>
    <row r="98" spans="1:4" x14ac:dyDescent="0.25">
      <c r="A98"/>
      <c r="B98"/>
      <c r="C98"/>
      <c r="D98"/>
    </row>
    <row r="99" spans="1:4" x14ac:dyDescent="0.25">
      <c r="A99"/>
      <c r="B99"/>
      <c r="C99"/>
      <c r="D99"/>
    </row>
    <row r="100" spans="1:4" x14ac:dyDescent="0.25">
      <c r="A100"/>
      <c r="B100"/>
      <c r="C100"/>
      <c r="D100"/>
    </row>
    <row r="101" spans="1:4" x14ac:dyDescent="0.25">
      <c r="A101"/>
      <c r="B101"/>
      <c r="C101"/>
      <c r="D101"/>
    </row>
    <row r="102" spans="1:4" x14ac:dyDescent="0.25">
      <c r="A102"/>
      <c r="B102"/>
      <c r="C102"/>
      <c r="D102"/>
    </row>
    <row r="103" spans="1:4" x14ac:dyDescent="0.25">
      <c r="A103"/>
      <c r="B103"/>
      <c r="C103"/>
      <c r="D103"/>
    </row>
    <row r="104" spans="1:4" x14ac:dyDescent="0.25">
      <c r="A104"/>
      <c r="B104"/>
      <c r="C104"/>
      <c r="D104"/>
    </row>
    <row r="105" spans="1:4" x14ac:dyDescent="0.25">
      <c r="A105"/>
      <c r="B105"/>
      <c r="C105"/>
      <c r="D105"/>
    </row>
    <row r="106" spans="1:4" x14ac:dyDescent="0.25">
      <c r="A106"/>
      <c r="B106"/>
      <c r="C106"/>
      <c r="D106"/>
    </row>
    <row r="107" spans="1:4" x14ac:dyDescent="0.25">
      <c r="A107"/>
      <c r="B107"/>
      <c r="C107"/>
      <c r="D107"/>
    </row>
    <row r="108" spans="1:4" x14ac:dyDescent="0.25">
      <c r="A108"/>
      <c r="B108"/>
      <c r="C108"/>
      <c r="D108"/>
    </row>
    <row r="109" spans="1:4" x14ac:dyDescent="0.25">
      <c r="A109"/>
      <c r="B109"/>
      <c r="C109"/>
      <c r="D109"/>
    </row>
    <row r="110" spans="1:4" x14ac:dyDescent="0.25">
      <c r="A110"/>
      <c r="B110"/>
      <c r="C110"/>
      <c r="D110"/>
    </row>
    <row r="111" spans="1:4" x14ac:dyDescent="0.25">
      <c r="A111"/>
      <c r="B111"/>
      <c r="C111"/>
      <c r="D111"/>
    </row>
    <row r="112" spans="1:4" x14ac:dyDescent="0.25">
      <c r="A112"/>
      <c r="B112"/>
      <c r="C112"/>
      <c r="D112"/>
    </row>
    <row r="113" spans="1:4" x14ac:dyDescent="0.25">
      <c r="A113"/>
      <c r="B113"/>
      <c r="C113"/>
      <c r="D113"/>
    </row>
    <row r="114" spans="1:4" x14ac:dyDescent="0.25">
      <c r="A114"/>
      <c r="B114"/>
      <c r="C114"/>
      <c r="D114"/>
    </row>
    <row r="115" spans="1:4" x14ac:dyDescent="0.25">
      <c r="A115"/>
      <c r="B115"/>
      <c r="C115"/>
      <c r="D115"/>
    </row>
    <row r="116" spans="1:4" x14ac:dyDescent="0.25">
      <c r="A116"/>
      <c r="B116"/>
      <c r="C116"/>
      <c r="D116"/>
    </row>
    <row r="117" spans="1:4" x14ac:dyDescent="0.25">
      <c r="A117"/>
      <c r="B117"/>
      <c r="C117"/>
      <c r="D117"/>
    </row>
    <row r="118" spans="1:4" x14ac:dyDescent="0.25">
      <c r="A118"/>
      <c r="B118"/>
      <c r="C118"/>
      <c r="D118"/>
    </row>
    <row r="119" spans="1:4" x14ac:dyDescent="0.25">
      <c r="A119"/>
      <c r="B119"/>
      <c r="C119"/>
      <c r="D119"/>
    </row>
    <row r="120" spans="1:4" x14ac:dyDescent="0.25">
      <c r="A120"/>
      <c r="B120"/>
      <c r="C120"/>
      <c r="D120"/>
    </row>
    <row r="121" spans="1:4" x14ac:dyDescent="0.25">
      <c r="A121"/>
      <c r="B121"/>
      <c r="C121"/>
      <c r="D121"/>
    </row>
    <row r="122" spans="1:4" x14ac:dyDescent="0.25">
      <c r="A122"/>
      <c r="B122"/>
      <c r="C122"/>
      <c r="D122"/>
    </row>
    <row r="123" spans="1:4" x14ac:dyDescent="0.25">
      <c r="A123"/>
      <c r="B123"/>
      <c r="C123"/>
      <c r="D123"/>
    </row>
    <row r="124" spans="1:4" x14ac:dyDescent="0.25">
      <c r="A124"/>
      <c r="B124"/>
      <c r="C124"/>
      <c r="D124"/>
    </row>
    <row r="125" spans="1:4" x14ac:dyDescent="0.25">
      <c r="A125"/>
      <c r="B125"/>
      <c r="C125"/>
      <c r="D125"/>
    </row>
    <row r="126" spans="1:4" x14ac:dyDescent="0.25">
      <c r="A126"/>
      <c r="B126"/>
      <c r="C126"/>
      <c r="D126"/>
    </row>
    <row r="127" spans="1:4" x14ac:dyDescent="0.25">
      <c r="A127"/>
      <c r="B127"/>
      <c r="C127"/>
      <c r="D127"/>
    </row>
    <row r="128" spans="1:4" x14ac:dyDescent="0.25">
      <c r="A128"/>
      <c r="B128"/>
      <c r="C128"/>
      <c r="D128"/>
    </row>
    <row r="129" spans="1:4" x14ac:dyDescent="0.25">
      <c r="A129"/>
      <c r="B129"/>
      <c r="C129"/>
      <c r="D129"/>
    </row>
    <row r="130" spans="1:4" x14ac:dyDescent="0.25">
      <c r="A130"/>
      <c r="B130"/>
      <c r="C130"/>
      <c r="D130"/>
    </row>
    <row r="131" spans="1:4" x14ac:dyDescent="0.25">
      <c r="A131"/>
      <c r="B131"/>
      <c r="C131"/>
      <c r="D131"/>
    </row>
    <row r="132" spans="1:4" x14ac:dyDescent="0.25">
      <c r="A132"/>
      <c r="B132"/>
      <c r="C132"/>
      <c r="D132"/>
    </row>
    <row r="133" spans="1:4" x14ac:dyDescent="0.25">
      <c r="A133"/>
      <c r="B133"/>
      <c r="C133"/>
      <c r="D133"/>
    </row>
    <row r="134" spans="1:4" x14ac:dyDescent="0.25">
      <c r="A134"/>
      <c r="B134"/>
      <c r="C134"/>
      <c r="D134"/>
    </row>
    <row r="135" spans="1:4" x14ac:dyDescent="0.25">
      <c r="A135"/>
      <c r="B135"/>
      <c r="C135"/>
      <c r="D135"/>
    </row>
    <row r="136" spans="1:4" x14ac:dyDescent="0.25">
      <c r="A136"/>
      <c r="B136"/>
      <c r="C136"/>
      <c r="D136"/>
    </row>
    <row r="137" spans="1:4" x14ac:dyDescent="0.25">
      <c r="A137"/>
      <c r="B137"/>
      <c r="C137"/>
      <c r="D137"/>
    </row>
    <row r="138" spans="1:4" x14ac:dyDescent="0.25">
      <c r="A138"/>
      <c r="B138"/>
      <c r="C138"/>
      <c r="D138"/>
    </row>
    <row r="139" spans="1:4" x14ac:dyDescent="0.25">
      <c r="A139"/>
      <c r="B139"/>
      <c r="C139"/>
      <c r="D139"/>
    </row>
    <row r="140" spans="1:4" x14ac:dyDescent="0.25">
      <c r="A140"/>
      <c r="B140"/>
      <c r="C140"/>
      <c r="D140"/>
    </row>
    <row r="141" spans="1:4" x14ac:dyDescent="0.25">
      <c r="A141"/>
      <c r="B141"/>
      <c r="C141"/>
      <c r="D141"/>
    </row>
    <row r="142" spans="1:4" x14ac:dyDescent="0.25">
      <c r="A142"/>
      <c r="B142"/>
      <c r="C142"/>
      <c r="D142"/>
    </row>
    <row r="143" spans="1:4" x14ac:dyDescent="0.25">
      <c r="A143"/>
      <c r="B143"/>
      <c r="C143"/>
      <c r="D143"/>
    </row>
    <row r="144" spans="1:4" x14ac:dyDescent="0.25">
      <c r="A144"/>
      <c r="B144"/>
      <c r="C144"/>
      <c r="D144"/>
    </row>
    <row r="145" spans="1:4" x14ac:dyDescent="0.25">
      <c r="A145"/>
      <c r="B145"/>
      <c r="C145"/>
      <c r="D145"/>
    </row>
    <row r="146" spans="1:4" x14ac:dyDescent="0.25">
      <c r="A146"/>
      <c r="B146"/>
      <c r="C146"/>
      <c r="D146"/>
    </row>
    <row r="147" spans="1:4" x14ac:dyDescent="0.25">
      <c r="A147"/>
      <c r="B147"/>
      <c r="C147"/>
      <c r="D147"/>
    </row>
    <row r="148" spans="1:4" x14ac:dyDescent="0.25">
      <c r="A148"/>
      <c r="B148"/>
      <c r="C148"/>
      <c r="D148"/>
    </row>
    <row r="149" spans="1:4" x14ac:dyDescent="0.25">
      <c r="A149"/>
      <c r="B149"/>
      <c r="C149"/>
      <c r="D149"/>
    </row>
    <row r="150" spans="1:4" x14ac:dyDescent="0.25">
      <c r="A150"/>
      <c r="B150"/>
      <c r="C150"/>
      <c r="D150"/>
    </row>
    <row r="151" spans="1:4" x14ac:dyDescent="0.25">
      <c r="A151"/>
      <c r="B151"/>
      <c r="C151"/>
      <c r="D151"/>
    </row>
    <row r="152" spans="1:4" x14ac:dyDescent="0.25">
      <c r="A152"/>
      <c r="B152"/>
      <c r="C152"/>
      <c r="D152"/>
    </row>
    <row r="153" spans="1:4" x14ac:dyDescent="0.25">
      <c r="A153"/>
      <c r="B153"/>
      <c r="C153"/>
      <c r="D153"/>
    </row>
    <row r="154" spans="1:4" x14ac:dyDescent="0.25">
      <c r="A154"/>
      <c r="B154"/>
      <c r="C154"/>
      <c r="D154"/>
    </row>
    <row r="155" spans="1:4" x14ac:dyDescent="0.25">
      <c r="A155"/>
      <c r="B155"/>
      <c r="C155"/>
      <c r="D155"/>
    </row>
    <row r="156" spans="1:4" x14ac:dyDescent="0.25">
      <c r="A156"/>
      <c r="B156"/>
      <c r="C156"/>
      <c r="D156"/>
    </row>
    <row r="157" spans="1:4" x14ac:dyDescent="0.25">
      <c r="A157"/>
      <c r="B157"/>
      <c r="C157"/>
      <c r="D157"/>
    </row>
    <row r="158" spans="1:4" x14ac:dyDescent="0.25">
      <c r="A158"/>
      <c r="B158"/>
      <c r="C158"/>
      <c r="D158"/>
    </row>
    <row r="159" spans="1:4" x14ac:dyDescent="0.25">
      <c r="A159"/>
      <c r="B159"/>
      <c r="C159"/>
      <c r="D159"/>
    </row>
    <row r="160" spans="1:4" x14ac:dyDescent="0.25">
      <c r="A160"/>
      <c r="B160"/>
      <c r="C160"/>
      <c r="D160"/>
    </row>
    <row r="161" spans="1:4" x14ac:dyDescent="0.25">
      <c r="A161"/>
      <c r="B161"/>
      <c r="C161"/>
      <c r="D161"/>
    </row>
    <row r="162" spans="1:4" x14ac:dyDescent="0.25">
      <c r="A162"/>
      <c r="B162"/>
      <c r="C162"/>
      <c r="D162"/>
    </row>
    <row r="163" spans="1:4" x14ac:dyDescent="0.25">
      <c r="A163"/>
      <c r="B163"/>
      <c r="C163"/>
      <c r="D163"/>
    </row>
    <row r="164" spans="1:4" x14ac:dyDescent="0.25">
      <c r="A164"/>
      <c r="B164"/>
      <c r="C164"/>
      <c r="D164"/>
    </row>
    <row r="165" spans="1:4" x14ac:dyDescent="0.25">
      <c r="A165"/>
      <c r="B165"/>
      <c r="C165"/>
      <c r="D165"/>
    </row>
    <row r="166" spans="1:4" x14ac:dyDescent="0.25">
      <c r="A166"/>
      <c r="B166"/>
      <c r="C166"/>
      <c r="D166"/>
    </row>
    <row r="167" spans="1:4" x14ac:dyDescent="0.25">
      <c r="A167"/>
      <c r="B167"/>
      <c r="C167"/>
      <c r="D167"/>
    </row>
    <row r="168" spans="1:4" x14ac:dyDescent="0.25">
      <c r="A168"/>
      <c r="B168"/>
      <c r="C168"/>
      <c r="D168"/>
    </row>
    <row r="169" spans="1:4" x14ac:dyDescent="0.25">
      <c r="A169"/>
      <c r="B169"/>
      <c r="C169"/>
      <c r="D169"/>
    </row>
    <row r="170" spans="1:4" x14ac:dyDescent="0.25">
      <c r="A170"/>
      <c r="B170"/>
      <c r="C170"/>
      <c r="D170"/>
    </row>
    <row r="171" spans="1:4" x14ac:dyDescent="0.25">
      <c r="A171"/>
      <c r="B171"/>
      <c r="C171"/>
      <c r="D171"/>
    </row>
    <row r="172" spans="1:4" x14ac:dyDescent="0.25">
      <c r="A172"/>
      <c r="B172"/>
      <c r="C172"/>
      <c r="D172"/>
    </row>
    <row r="173" spans="1:4" x14ac:dyDescent="0.25">
      <c r="A173"/>
      <c r="B173"/>
      <c r="C173"/>
      <c r="D173"/>
    </row>
    <row r="174" spans="1:4" x14ac:dyDescent="0.25">
      <c r="A174"/>
      <c r="B174"/>
      <c r="C174"/>
      <c r="D174"/>
    </row>
    <row r="175" spans="1:4" x14ac:dyDescent="0.25">
      <c r="A175"/>
      <c r="B175"/>
      <c r="C175"/>
      <c r="D175"/>
    </row>
    <row r="176" spans="1:4" x14ac:dyDescent="0.25">
      <c r="A176"/>
      <c r="B176"/>
      <c r="C176"/>
      <c r="D176"/>
    </row>
    <row r="177" spans="1:4" x14ac:dyDescent="0.25">
      <c r="A177"/>
      <c r="B177"/>
      <c r="C177"/>
      <c r="D177"/>
    </row>
    <row r="178" spans="1:4" x14ac:dyDescent="0.25">
      <c r="A178"/>
      <c r="B178"/>
      <c r="C178"/>
      <c r="D178"/>
    </row>
    <row r="179" spans="1:4" x14ac:dyDescent="0.25">
      <c r="A179"/>
      <c r="B179"/>
      <c r="C179"/>
      <c r="D179"/>
    </row>
    <row r="180" spans="1:4" x14ac:dyDescent="0.25">
      <c r="A180"/>
      <c r="B180"/>
      <c r="C180"/>
      <c r="D180"/>
    </row>
    <row r="181" spans="1:4" x14ac:dyDescent="0.25">
      <c r="A181"/>
      <c r="B181"/>
      <c r="C181"/>
      <c r="D181"/>
    </row>
    <row r="182" spans="1:4" x14ac:dyDescent="0.25">
      <c r="A182"/>
      <c r="B182"/>
      <c r="C182"/>
      <c r="D182"/>
    </row>
    <row r="183" spans="1:4" x14ac:dyDescent="0.25">
      <c r="A183"/>
      <c r="B183"/>
      <c r="C183"/>
      <c r="D183"/>
    </row>
    <row r="184" spans="1:4" x14ac:dyDescent="0.25">
      <c r="A184"/>
      <c r="B184"/>
      <c r="C184"/>
      <c r="D184"/>
    </row>
    <row r="185" spans="1:4" x14ac:dyDescent="0.25">
      <c r="A185"/>
      <c r="B185"/>
      <c r="C185"/>
      <c r="D185"/>
    </row>
    <row r="186" spans="1:4" x14ac:dyDescent="0.25">
      <c r="A186"/>
      <c r="B186"/>
      <c r="C186"/>
      <c r="D186"/>
    </row>
    <row r="187" spans="1:4" x14ac:dyDescent="0.25">
      <c r="A187"/>
      <c r="B187"/>
      <c r="C187"/>
      <c r="D187"/>
    </row>
    <row r="188" spans="1:4" x14ac:dyDescent="0.25">
      <c r="A188"/>
      <c r="B188"/>
      <c r="C188"/>
      <c r="D188"/>
    </row>
    <row r="189" spans="1:4" x14ac:dyDescent="0.25">
      <c r="A189"/>
      <c r="B189"/>
      <c r="C189"/>
      <c r="D189"/>
    </row>
    <row r="190" spans="1:4" x14ac:dyDescent="0.25">
      <c r="A190"/>
      <c r="B190"/>
      <c r="C190"/>
      <c r="D190"/>
    </row>
    <row r="191" spans="1:4" x14ac:dyDescent="0.25">
      <c r="A191"/>
      <c r="B191"/>
      <c r="C191"/>
      <c r="D191"/>
    </row>
    <row r="192" spans="1:4" x14ac:dyDescent="0.25">
      <c r="A192"/>
      <c r="B192"/>
      <c r="C192"/>
      <c r="D192"/>
    </row>
    <row r="193" spans="1:4" x14ac:dyDescent="0.25">
      <c r="A193"/>
      <c r="B193"/>
      <c r="C193"/>
      <c r="D193"/>
    </row>
    <row r="194" spans="1:4" x14ac:dyDescent="0.25">
      <c r="A194"/>
      <c r="B194"/>
      <c r="C194"/>
      <c r="D194"/>
    </row>
    <row r="195" spans="1:4" x14ac:dyDescent="0.25">
      <c r="A195"/>
      <c r="B195"/>
      <c r="C195"/>
      <c r="D195"/>
    </row>
    <row r="196" spans="1:4" x14ac:dyDescent="0.25">
      <c r="A196"/>
      <c r="B196"/>
      <c r="C196"/>
      <c r="D196"/>
    </row>
    <row r="197" spans="1:4" x14ac:dyDescent="0.25">
      <c r="A197"/>
      <c r="B197"/>
      <c r="C197"/>
      <c r="D197"/>
    </row>
    <row r="198" spans="1:4" x14ac:dyDescent="0.25">
      <c r="A198"/>
      <c r="B198"/>
      <c r="C198"/>
      <c r="D198"/>
    </row>
    <row r="199" spans="1:4" x14ac:dyDescent="0.25">
      <c r="A199"/>
    </row>
    <row r="200" spans="1:4" x14ac:dyDescent="0.25">
      <c r="A200"/>
    </row>
    <row r="201" spans="1:4" x14ac:dyDescent="0.25">
      <c r="A201"/>
    </row>
    <row r="202" spans="1:4" x14ac:dyDescent="0.25">
      <c r="A202"/>
    </row>
    <row r="203" spans="1:4" x14ac:dyDescent="0.25">
      <c r="A203"/>
    </row>
    <row r="204" spans="1:4" x14ac:dyDescent="0.25">
      <c r="A204"/>
    </row>
    <row r="205" spans="1:4" x14ac:dyDescent="0.25">
      <c r="A205"/>
    </row>
  </sheetData>
  <mergeCells count="2">
    <mergeCell ref="A2:C2"/>
    <mergeCell ref="A3:F3"/>
  </mergeCells>
  <pageMargins left="0.7" right="0.7" top="0.75" bottom="0.75" header="0.3" footer="0.3"/>
  <pageSetup paperSize="9" scale="62" orientation="portrait"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M227"/>
  <sheetViews>
    <sheetView zoomScale="90" zoomScaleNormal="90" workbookViewId="0">
      <selection activeCell="C23" sqref="C23"/>
    </sheetView>
  </sheetViews>
  <sheetFormatPr defaultRowHeight="15" x14ac:dyDescent="0.25"/>
  <cols>
    <col min="1" max="1" width="14.28515625" customWidth="1"/>
    <col min="2" max="2" width="25.28515625" style="103" customWidth="1"/>
    <col min="3" max="3" width="47.28515625" customWidth="1"/>
    <col min="4" max="4" width="16" customWidth="1"/>
    <col min="6" max="7" width="0" hidden="1" customWidth="1"/>
    <col min="8" max="8" width="52.7109375" customWidth="1"/>
    <col min="9" max="9" width="10.140625" customWidth="1"/>
    <col min="10" max="10" width="18.28515625" customWidth="1"/>
    <col min="11" max="11" width="22.28515625" customWidth="1"/>
    <col min="12" max="12" width="7.7109375" customWidth="1"/>
    <col min="13" max="13" width="13.7109375" customWidth="1"/>
  </cols>
  <sheetData>
    <row r="1" spans="1:13" x14ac:dyDescent="0.25">
      <c r="A1" s="421" t="s">
        <v>500</v>
      </c>
      <c r="B1" s="26" t="s">
        <v>1130</v>
      </c>
      <c r="H1" s="615" t="s">
        <v>500</v>
      </c>
      <c r="I1" s="616" t="s">
        <v>502</v>
      </c>
    </row>
    <row r="2" spans="1:13" x14ac:dyDescent="0.25">
      <c r="H2" s="615" t="s">
        <v>402</v>
      </c>
      <c r="I2" s="616" t="s">
        <v>556</v>
      </c>
    </row>
    <row r="3" spans="1:13" x14ac:dyDescent="0.25">
      <c r="A3" s="638" t="s">
        <v>0</v>
      </c>
      <c r="B3" s="639" t="s">
        <v>560</v>
      </c>
      <c r="C3" s="430" t="s">
        <v>512</v>
      </c>
      <c r="D3" s="428" t="s">
        <v>1013</v>
      </c>
    </row>
    <row r="4" spans="1:13" x14ac:dyDescent="0.25">
      <c r="A4" s="655" t="s">
        <v>5</v>
      </c>
      <c r="B4" s="655" t="s">
        <v>21</v>
      </c>
      <c r="C4" s="26" t="s">
        <v>22</v>
      </c>
      <c r="D4" s="692">
        <v>0.65184049079754613</v>
      </c>
      <c r="H4" s="638" t="s">
        <v>415</v>
      </c>
      <c r="I4" s="655" t="s">
        <v>874</v>
      </c>
      <c r="J4" s="604" t="s">
        <v>1135</v>
      </c>
      <c r="K4" s="655" t="s">
        <v>1133</v>
      </c>
      <c r="L4" s="604" t="s">
        <v>1136</v>
      </c>
      <c r="M4" s="655" t="s">
        <v>1137</v>
      </c>
    </row>
    <row r="5" spans="1:13" x14ac:dyDescent="0.25">
      <c r="A5" s="426"/>
      <c r="B5" s="426" t="s">
        <v>17</v>
      </c>
      <c r="C5" s="26" t="s">
        <v>18</v>
      </c>
      <c r="D5" s="693">
        <v>0.87931034482758619</v>
      </c>
      <c r="H5" s="674" t="s">
        <v>5</v>
      </c>
      <c r="I5" s="654"/>
      <c r="J5" s="671"/>
      <c r="K5" s="654"/>
      <c r="L5" s="672"/>
      <c r="M5" s="678"/>
    </row>
    <row r="6" spans="1:13" x14ac:dyDescent="0.25">
      <c r="A6" s="426"/>
      <c r="B6" s="426" t="s">
        <v>4</v>
      </c>
      <c r="C6" s="26" t="s">
        <v>6</v>
      </c>
      <c r="D6" s="693">
        <v>0.62043795620437958</v>
      </c>
      <c r="H6" s="675" t="s">
        <v>5</v>
      </c>
      <c r="I6" s="654">
        <v>1337</v>
      </c>
      <c r="J6" s="671">
        <v>396</v>
      </c>
      <c r="K6" s="654">
        <v>312</v>
      </c>
      <c r="L6" s="672">
        <v>0.29618548990276738</v>
      </c>
      <c r="M6" s="678">
        <v>0.23335826477187735</v>
      </c>
    </row>
    <row r="7" spans="1:13" x14ac:dyDescent="0.25">
      <c r="A7" s="426"/>
      <c r="B7" s="426" t="s">
        <v>13</v>
      </c>
      <c r="C7" s="26" t="s">
        <v>14</v>
      </c>
      <c r="D7" s="693">
        <v>0.88372093023255816</v>
      </c>
      <c r="H7" s="676" t="s">
        <v>22</v>
      </c>
      <c r="I7" s="663">
        <v>652</v>
      </c>
      <c r="J7" s="673">
        <v>227</v>
      </c>
      <c r="K7" s="663">
        <v>227</v>
      </c>
      <c r="L7" s="661">
        <v>0.34815950920245398</v>
      </c>
      <c r="M7" s="666">
        <v>0.34815950920245398</v>
      </c>
    </row>
    <row r="8" spans="1:13" x14ac:dyDescent="0.25">
      <c r="A8" s="426"/>
      <c r="B8" s="426" t="s">
        <v>25</v>
      </c>
      <c r="C8" s="26" t="s">
        <v>26</v>
      </c>
      <c r="D8" s="693">
        <v>3.8000000000000003</v>
      </c>
      <c r="H8" s="657" t="s">
        <v>6</v>
      </c>
      <c r="I8" s="664">
        <v>274</v>
      </c>
      <c r="J8" s="658">
        <v>104</v>
      </c>
      <c r="K8" s="664">
        <v>20</v>
      </c>
      <c r="L8" s="656">
        <v>0.37956204379562042</v>
      </c>
      <c r="M8" s="667">
        <v>7.2992700729927001E-2</v>
      </c>
    </row>
    <row r="9" spans="1:13" x14ac:dyDescent="0.25">
      <c r="A9" s="426"/>
      <c r="B9" s="426" t="s">
        <v>19</v>
      </c>
      <c r="C9" s="26" t="s">
        <v>20</v>
      </c>
      <c r="D9" s="693">
        <v>0.5</v>
      </c>
      <c r="H9" s="659" t="s">
        <v>366</v>
      </c>
      <c r="I9" s="664">
        <v>157</v>
      </c>
      <c r="J9" s="534">
        <v>31</v>
      </c>
      <c r="K9" s="664">
        <v>31</v>
      </c>
      <c r="L9" s="656">
        <v>0.19745222929936307</v>
      </c>
      <c r="M9" s="667">
        <v>0.19745222929936307</v>
      </c>
    </row>
    <row r="10" spans="1:13" x14ac:dyDescent="0.25">
      <c r="A10" s="426"/>
      <c r="B10" s="426" t="s">
        <v>23</v>
      </c>
      <c r="C10" s="26" t="s">
        <v>24</v>
      </c>
      <c r="D10" s="693">
        <v>2.2000000000000002</v>
      </c>
      <c r="H10" s="659" t="s">
        <v>18</v>
      </c>
      <c r="I10" s="664">
        <v>116</v>
      </c>
      <c r="J10" s="534">
        <v>14</v>
      </c>
      <c r="K10" s="664">
        <v>14</v>
      </c>
      <c r="L10" s="656">
        <v>0.1206896551724138</v>
      </c>
      <c r="M10" s="667">
        <v>0.1206896551724138</v>
      </c>
    </row>
    <row r="11" spans="1:13" x14ac:dyDescent="0.25">
      <c r="A11" s="426"/>
      <c r="B11" s="426" t="s">
        <v>376</v>
      </c>
      <c r="C11" s="26" t="s">
        <v>366</v>
      </c>
      <c r="D11" s="693">
        <v>0.80254777070063699</v>
      </c>
      <c r="H11" s="659" t="s">
        <v>20</v>
      </c>
      <c r="I11" s="664">
        <v>20</v>
      </c>
      <c r="J11" s="534">
        <v>10</v>
      </c>
      <c r="K11" s="664">
        <v>10</v>
      </c>
      <c r="L11" s="656">
        <v>0.5</v>
      </c>
      <c r="M11" s="667">
        <v>0.5</v>
      </c>
    </row>
    <row r="12" spans="1:13" x14ac:dyDescent="0.25">
      <c r="A12" s="426"/>
      <c r="B12" s="426" t="s">
        <v>7</v>
      </c>
      <c r="C12" s="26" t="s">
        <v>8</v>
      </c>
      <c r="D12" s="693">
        <v>0.78260869565217384</v>
      </c>
      <c r="H12" s="659" t="s">
        <v>14</v>
      </c>
      <c r="I12" s="664">
        <v>43</v>
      </c>
      <c r="J12" s="534">
        <v>5</v>
      </c>
      <c r="K12" s="664">
        <v>5</v>
      </c>
      <c r="L12" s="656">
        <v>0.11627906976744186</v>
      </c>
      <c r="M12" s="667">
        <v>0.11627906976744186</v>
      </c>
    </row>
    <row r="13" spans="1:13" x14ac:dyDescent="0.25">
      <c r="A13" s="427"/>
      <c r="B13" s="427" t="s">
        <v>377</v>
      </c>
      <c r="C13" s="26" t="s">
        <v>514</v>
      </c>
      <c r="D13" s="694">
        <v>3.5</v>
      </c>
      <c r="H13" s="659" t="s">
        <v>8</v>
      </c>
      <c r="I13" s="664">
        <v>23</v>
      </c>
      <c r="J13" s="534">
        <v>5</v>
      </c>
      <c r="K13" s="664">
        <v>5</v>
      </c>
      <c r="L13" s="656">
        <v>0.21739130434782608</v>
      </c>
      <c r="M13" s="667">
        <v>0.21739130434782608</v>
      </c>
    </row>
    <row r="14" spans="1:13" x14ac:dyDescent="0.25">
      <c r="A14" s="426" t="s">
        <v>27</v>
      </c>
      <c r="B14" s="426" t="s">
        <v>30</v>
      </c>
      <c r="C14" s="427" t="s">
        <v>1110</v>
      </c>
      <c r="D14" s="693">
        <v>0.9907407407407407</v>
      </c>
      <c r="H14" s="659" t="s">
        <v>514</v>
      </c>
      <c r="I14" s="664">
        <v>12</v>
      </c>
      <c r="J14" s="534">
        <v>0</v>
      </c>
      <c r="K14" s="664">
        <v>0</v>
      </c>
      <c r="L14" s="656">
        <v>0</v>
      </c>
      <c r="M14" s="667">
        <v>0</v>
      </c>
    </row>
    <row r="15" spans="1:13" x14ac:dyDescent="0.25">
      <c r="A15" s="426"/>
      <c r="B15" s="426" t="s">
        <v>378</v>
      </c>
      <c r="C15" s="427" t="s">
        <v>365</v>
      </c>
      <c r="D15" s="693">
        <v>0.50694444444444442</v>
      </c>
      <c r="H15" s="659" t="s">
        <v>26</v>
      </c>
      <c r="I15" s="664">
        <v>15</v>
      </c>
      <c r="J15" s="534">
        <v>0</v>
      </c>
      <c r="K15" s="664">
        <v>0</v>
      </c>
      <c r="L15" s="656">
        <v>0</v>
      </c>
      <c r="M15" s="667">
        <v>0</v>
      </c>
    </row>
    <row r="16" spans="1:13" x14ac:dyDescent="0.25">
      <c r="A16" s="427"/>
      <c r="B16" s="427" t="s">
        <v>869</v>
      </c>
      <c r="C16" s="427" t="s">
        <v>870</v>
      </c>
      <c r="D16" s="694">
        <v>0</v>
      </c>
      <c r="H16" s="662" t="s">
        <v>24</v>
      </c>
      <c r="I16" s="665">
        <v>25</v>
      </c>
      <c r="J16" s="644">
        <v>0</v>
      </c>
      <c r="K16" s="665">
        <v>0</v>
      </c>
      <c r="L16" s="660">
        <v>0</v>
      </c>
      <c r="M16" s="668">
        <v>0</v>
      </c>
    </row>
    <row r="17" spans="1:13" x14ac:dyDescent="0.25">
      <c r="A17" s="426" t="s">
        <v>529</v>
      </c>
      <c r="B17" s="426" t="s">
        <v>1014</v>
      </c>
      <c r="C17" s="426" t="s">
        <v>906</v>
      </c>
      <c r="D17" s="693">
        <v>0</v>
      </c>
      <c r="H17" s="643" t="s">
        <v>27</v>
      </c>
      <c r="I17" s="665"/>
      <c r="J17" s="644"/>
      <c r="K17" s="665"/>
      <c r="L17" s="660"/>
      <c r="M17" s="668"/>
    </row>
    <row r="18" spans="1:13" x14ac:dyDescent="0.25">
      <c r="A18" s="426"/>
      <c r="B18" s="426"/>
      <c r="C18" s="427" t="s">
        <v>865</v>
      </c>
      <c r="D18" s="693">
        <v>0</v>
      </c>
      <c r="H18" s="677" t="s">
        <v>27</v>
      </c>
      <c r="I18" s="665">
        <v>501</v>
      </c>
      <c r="J18" s="644">
        <v>321</v>
      </c>
      <c r="K18" s="665">
        <v>321</v>
      </c>
      <c r="L18" s="660">
        <v>0.64071856287425155</v>
      </c>
      <c r="M18" s="668">
        <v>0.64071856287425155</v>
      </c>
    </row>
    <row r="19" spans="1:13" x14ac:dyDescent="0.25">
      <c r="A19" s="426"/>
      <c r="B19" s="426" t="s">
        <v>99</v>
      </c>
      <c r="C19" s="427" t="s">
        <v>100</v>
      </c>
      <c r="D19" s="693">
        <v>2</v>
      </c>
      <c r="H19" s="657" t="s">
        <v>364</v>
      </c>
      <c r="I19" s="664">
        <v>154</v>
      </c>
      <c r="J19" s="658">
        <v>154</v>
      </c>
      <c r="K19" s="664">
        <v>154</v>
      </c>
      <c r="L19" s="656">
        <v>1</v>
      </c>
      <c r="M19" s="667">
        <v>1</v>
      </c>
    </row>
    <row r="20" spans="1:13" x14ac:dyDescent="0.25">
      <c r="A20" s="426"/>
      <c r="B20" s="426" t="s">
        <v>107</v>
      </c>
      <c r="C20" s="427" t="s">
        <v>108</v>
      </c>
      <c r="D20" s="693">
        <v>1.0185185185185186</v>
      </c>
      <c r="H20" s="659" t="s">
        <v>365</v>
      </c>
      <c r="I20" s="664">
        <v>144</v>
      </c>
      <c r="J20" s="534">
        <v>71</v>
      </c>
      <c r="K20" s="664">
        <v>71</v>
      </c>
      <c r="L20" s="656">
        <v>0.49305555555555558</v>
      </c>
      <c r="M20" s="667">
        <v>0.49305555555555558</v>
      </c>
    </row>
    <row r="21" spans="1:13" x14ac:dyDescent="0.25">
      <c r="A21" s="426"/>
      <c r="B21" s="426" t="s">
        <v>139</v>
      </c>
      <c r="C21" s="427" t="s">
        <v>140</v>
      </c>
      <c r="D21" s="693">
        <v>0.5</v>
      </c>
      <c r="H21" s="659" t="s">
        <v>870</v>
      </c>
      <c r="I21" s="664">
        <v>65</v>
      </c>
      <c r="J21" s="534">
        <v>65</v>
      </c>
      <c r="K21" s="664">
        <v>65</v>
      </c>
      <c r="L21" s="656">
        <v>1</v>
      </c>
      <c r="M21" s="667">
        <v>1</v>
      </c>
    </row>
    <row r="22" spans="1:13" x14ac:dyDescent="0.25">
      <c r="A22" s="426"/>
      <c r="B22" s="426" t="s">
        <v>71</v>
      </c>
      <c r="C22" s="427" t="s">
        <v>72</v>
      </c>
      <c r="D22" s="693">
        <v>1</v>
      </c>
      <c r="H22" s="659" t="s">
        <v>1026</v>
      </c>
      <c r="I22" s="664">
        <v>30</v>
      </c>
      <c r="J22" s="534">
        <v>30</v>
      </c>
      <c r="K22" s="664">
        <v>30</v>
      </c>
      <c r="L22" s="656">
        <v>1</v>
      </c>
      <c r="M22" s="667">
        <v>1</v>
      </c>
    </row>
    <row r="23" spans="1:13" x14ac:dyDescent="0.25">
      <c r="A23" s="426"/>
      <c r="B23" s="426" t="s">
        <v>51</v>
      </c>
      <c r="C23" s="427" t="s">
        <v>52</v>
      </c>
      <c r="D23" s="693">
        <v>0.5714285714285714</v>
      </c>
      <c r="H23" s="662" t="s">
        <v>28</v>
      </c>
      <c r="I23" s="665">
        <v>108</v>
      </c>
      <c r="J23" s="644">
        <v>1</v>
      </c>
      <c r="K23" s="665">
        <v>1</v>
      </c>
      <c r="L23" s="660">
        <v>9.2592592592592587E-3</v>
      </c>
      <c r="M23" s="668">
        <v>9.2592592592592587E-3</v>
      </c>
    </row>
    <row r="24" spans="1:13" x14ac:dyDescent="0.25">
      <c r="A24" s="426"/>
      <c r="B24" s="426" t="s">
        <v>75</v>
      </c>
      <c r="C24" s="427" t="s">
        <v>76</v>
      </c>
      <c r="D24" s="693">
        <v>1.1538461538461537</v>
      </c>
      <c r="H24" s="643" t="s">
        <v>529</v>
      </c>
      <c r="I24" s="665"/>
      <c r="J24" s="644"/>
      <c r="K24" s="665"/>
      <c r="L24" s="660"/>
      <c r="M24" s="668"/>
    </row>
    <row r="25" spans="1:13" x14ac:dyDescent="0.25">
      <c r="A25" s="426"/>
      <c r="B25" s="426" t="s">
        <v>40</v>
      </c>
      <c r="C25" s="427" t="s">
        <v>41</v>
      </c>
      <c r="D25" s="693">
        <v>0.89552238805970152</v>
      </c>
      <c r="H25" s="677" t="s">
        <v>529</v>
      </c>
      <c r="I25" s="665">
        <v>724</v>
      </c>
      <c r="J25" s="644">
        <v>314</v>
      </c>
      <c r="K25" s="665">
        <v>314</v>
      </c>
      <c r="L25" s="660">
        <v>0.43370165745856354</v>
      </c>
      <c r="M25" s="668">
        <v>0.43370165745856354</v>
      </c>
    </row>
    <row r="26" spans="1:13" x14ac:dyDescent="0.25">
      <c r="A26" s="426"/>
      <c r="B26" s="426" t="s">
        <v>61</v>
      </c>
      <c r="C26" s="427" t="s">
        <v>62</v>
      </c>
      <c r="D26" s="693">
        <v>0.26315789473684209</v>
      </c>
      <c r="H26" s="659" t="s">
        <v>1072</v>
      </c>
      <c r="I26" s="664">
        <v>116</v>
      </c>
      <c r="J26" s="534">
        <v>116</v>
      </c>
      <c r="K26" s="664">
        <v>116</v>
      </c>
      <c r="L26" s="656">
        <v>1</v>
      </c>
      <c r="M26" s="667">
        <v>1</v>
      </c>
    </row>
    <row r="27" spans="1:13" x14ac:dyDescent="0.25">
      <c r="A27" s="426"/>
      <c r="B27" s="426" t="s">
        <v>89</v>
      </c>
      <c r="C27" s="427" t="s">
        <v>90</v>
      </c>
      <c r="D27" s="693">
        <v>1</v>
      </c>
      <c r="H27" s="659" t="s">
        <v>120</v>
      </c>
      <c r="I27" s="664">
        <v>75</v>
      </c>
      <c r="J27" s="534">
        <v>63</v>
      </c>
      <c r="K27" s="664">
        <v>63</v>
      </c>
      <c r="L27" s="656">
        <v>0.84</v>
      </c>
      <c r="M27" s="667">
        <v>0.84</v>
      </c>
    </row>
    <row r="28" spans="1:13" x14ac:dyDescent="0.25">
      <c r="A28" s="426"/>
      <c r="B28" s="426" t="s">
        <v>117</v>
      </c>
      <c r="C28" s="427" t="s">
        <v>118</v>
      </c>
      <c r="D28" s="693">
        <v>1</v>
      </c>
      <c r="H28" s="659" t="s">
        <v>62</v>
      </c>
      <c r="I28" s="664">
        <v>76</v>
      </c>
      <c r="J28" s="534">
        <v>56</v>
      </c>
      <c r="K28" s="664">
        <v>56</v>
      </c>
      <c r="L28" s="656">
        <v>0.73684210526315785</v>
      </c>
      <c r="M28" s="667">
        <v>0.73684210526315785</v>
      </c>
    </row>
    <row r="29" spans="1:13" x14ac:dyDescent="0.25">
      <c r="A29" s="426"/>
      <c r="B29" s="426" t="s">
        <v>123</v>
      </c>
      <c r="C29" s="427" t="s">
        <v>124</v>
      </c>
      <c r="D29" s="693">
        <v>0.625</v>
      </c>
      <c r="H29" s="657" t="s">
        <v>126</v>
      </c>
      <c r="I29" s="664">
        <v>41</v>
      </c>
      <c r="J29" s="658">
        <v>26</v>
      </c>
      <c r="K29" s="664">
        <v>26</v>
      </c>
      <c r="L29" s="656">
        <v>0.63414634146341464</v>
      </c>
      <c r="M29" s="667">
        <v>0.63414634146341464</v>
      </c>
    </row>
    <row r="30" spans="1:13" x14ac:dyDescent="0.25">
      <c r="A30" s="426"/>
      <c r="B30" s="426" t="s">
        <v>125</v>
      </c>
      <c r="C30" s="427" t="s">
        <v>126</v>
      </c>
      <c r="D30" s="693">
        <v>0.36585365853658536</v>
      </c>
      <c r="H30" s="659" t="s">
        <v>52</v>
      </c>
      <c r="I30" s="664">
        <v>35</v>
      </c>
      <c r="J30" s="534">
        <v>15</v>
      </c>
      <c r="K30" s="664">
        <v>15</v>
      </c>
      <c r="L30" s="656">
        <v>0.42857142857142855</v>
      </c>
      <c r="M30" s="667">
        <v>0.42857142857142855</v>
      </c>
    </row>
    <row r="31" spans="1:13" x14ac:dyDescent="0.25">
      <c r="A31" s="426"/>
      <c r="B31" s="426" t="s">
        <v>45</v>
      </c>
      <c r="C31" s="427" t="s">
        <v>44</v>
      </c>
      <c r="D31" s="693">
        <v>1.153846153846154</v>
      </c>
      <c r="H31" s="659" t="s">
        <v>88</v>
      </c>
      <c r="I31" s="664">
        <v>12</v>
      </c>
      <c r="J31" s="534">
        <v>12</v>
      </c>
      <c r="K31" s="664">
        <v>12</v>
      </c>
      <c r="L31" s="656">
        <v>1</v>
      </c>
      <c r="M31" s="667">
        <v>1</v>
      </c>
    </row>
    <row r="32" spans="1:13" x14ac:dyDescent="0.25">
      <c r="A32" s="426"/>
      <c r="B32" s="426" t="s">
        <v>46</v>
      </c>
      <c r="C32" s="427" t="s">
        <v>613</v>
      </c>
      <c r="D32" s="693">
        <v>0.88235294117647056</v>
      </c>
      <c r="H32" s="659" t="s">
        <v>140</v>
      </c>
      <c r="I32" s="664">
        <v>20</v>
      </c>
      <c r="J32" s="534">
        <v>10</v>
      </c>
      <c r="K32" s="664">
        <v>10</v>
      </c>
      <c r="L32" s="656">
        <v>0.5</v>
      </c>
      <c r="M32" s="667">
        <v>0.5</v>
      </c>
    </row>
    <row r="33" spans="1:13" x14ac:dyDescent="0.25">
      <c r="A33" s="426"/>
      <c r="B33" s="426" t="s">
        <v>42</v>
      </c>
      <c r="C33" s="427" t="s">
        <v>43</v>
      </c>
      <c r="D33" s="693">
        <v>0.7142857142857143</v>
      </c>
      <c r="H33" s="659" t="s">
        <v>41</v>
      </c>
      <c r="I33" s="664">
        <v>67</v>
      </c>
      <c r="J33" s="534">
        <v>7</v>
      </c>
      <c r="K33" s="664">
        <v>7</v>
      </c>
      <c r="L33" s="656">
        <v>0.1044776119402985</v>
      </c>
      <c r="M33" s="667">
        <v>0.1044776119402985</v>
      </c>
    </row>
    <row r="34" spans="1:13" x14ac:dyDescent="0.25">
      <c r="A34" s="426"/>
      <c r="B34" s="427" t="s">
        <v>91</v>
      </c>
      <c r="C34" s="427" t="s">
        <v>92</v>
      </c>
      <c r="D34" s="694">
        <v>1</v>
      </c>
      <c r="H34" s="659" t="s">
        <v>43</v>
      </c>
      <c r="I34" s="664">
        <v>14</v>
      </c>
      <c r="J34" s="534">
        <v>4</v>
      </c>
      <c r="K34" s="664">
        <v>4</v>
      </c>
      <c r="L34" s="656">
        <v>0.2857142857142857</v>
      </c>
      <c r="M34" s="667">
        <v>0.2857142857142857</v>
      </c>
    </row>
    <row r="35" spans="1:13" x14ac:dyDescent="0.25">
      <c r="A35" s="426"/>
      <c r="B35" s="493" t="s">
        <v>1128</v>
      </c>
      <c r="C35" s="493" t="s">
        <v>1127</v>
      </c>
      <c r="D35" s="429">
        <v>1</v>
      </c>
      <c r="H35" s="659" t="s">
        <v>124</v>
      </c>
      <c r="I35" s="664">
        <v>8</v>
      </c>
      <c r="J35" s="534">
        <v>3</v>
      </c>
      <c r="K35" s="664">
        <v>3</v>
      </c>
      <c r="L35" s="656">
        <v>0.375</v>
      </c>
      <c r="M35" s="667">
        <v>0.375</v>
      </c>
    </row>
    <row r="36" spans="1:13" x14ac:dyDescent="0.25">
      <c r="A36" s="427"/>
      <c r="B36" s="493" t="s">
        <v>119</v>
      </c>
      <c r="C36" s="493" t="s">
        <v>120</v>
      </c>
      <c r="D36" s="429">
        <v>0.16</v>
      </c>
      <c r="H36" s="659" t="s">
        <v>613</v>
      </c>
      <c r="I36" s="664">
        <v>17</v>
      </c>
      <c r="J36" s="534">
        <v>2</v>
      </c>
      <c r="K36" s="664">
        <v>2</v>
      </c>
      <c r="L36" s="656">
        <v>0.11764705882352941</v>
      </c>
      <c r="M36" s="667">
        <v>0.11764705882352941</v>
      </c>
    </row>
    <row r="37" spans="1:13" x14ac:dyDescent="0.25">
      <c r="A37" s="426" t="s">
        <v>146</v>
      </c>
      <c r="B37" s="426" t="s">
        <v>148</v>
      </c>
      <c r="C37" s="427" t="s">
        <v>149</v>
      </c>
      <c r="D37" s="693">
        <v>0.36619718309859156</v>
      </c>
      <c r="H37" s="659" t="s">
        <v>44</v>
      </c>
      <c r="I37" s="664">
        <v>13</v>
      </c>
      <c r="J37" s="534">
        <v>0</v>
      </c>
      <c r="K37" s="664">
        <v>0</v>
      </c>
      <c r="L37" s="656">
        <v>0</v>
      </c>
      <c r="M37" s="667">
        <v>0</v>
      </c>
    </row>
    <row r="38" spans="1:13" x14ac:dyDescent="0.25">
      <c r="A38" s="426"/>
      <c r="B38" s="426" t="s">
        <v>383</v>
      </c>
      <c r="C38" s="427" t="s">
        <v>369</v>
      </c>
      <c r="D38" s="693">
        <v>1.25</v>
      </c>
      <c r="H38" s="659" t="s">
        <v>76</v>
      </c>
      <c r="I38" s="664">
        <v>65</v>
      </c>
      <c r="J38" s="534">
        <v>0</v>
      </c>
      <c r="K38" s="664">
        <v>0</v>
      </c>
      <c r="L38" s="656">
        <v>0</v>
      </c>
      <c r="M38" s="667">
        <v>0</v>
      </c>
    </row>
    <row r="39" spans="1:13" x14ac:dyDescent="0.25">
      <c r="A39" s="426"/>
      <c r="B39" s="426" t="s">
        <v>384</v>
      </c>
      <c r="C39" s="427" t="s">
        <v>370</v>
      </c>
      <c r="D39" s="693">
        <v>1.5483870967741935</v>
      </c>
      <c r="H39" s="659" t="s">
        <v>108</v>
      </c>
      <c r="I39" s="664">
        <v>54</v>
      </c>
      <c r="J39" s="534">
        <v>0</v>
      </c>
      <c r="K39" s="664">
        <v>0</v>
      </c>
      <c r="L39" s="656">
        <v>0</v>
      </c>
      <c r="M39" s="667">
        <v>0</v>
      </c>
    </row>
    <row r="40" spans="1:13" x14ac:dyDescent="0.25">
      <c r="A40" s="426"/>
      <c r="B40" s="426" t="s">
        <v>382</v>
      </c>
      <c r="C40" s="427" t="s">
        <v>372</v>
      </c>
      <c r="D40" s="693">
        <v>1.3908045977011494</v>
      </c>
      <c r="H40" s="659" t="s">
        <v>118</v>
      </c>
      <c r="I40" s="664">
        <v>10</v>
      </c>
      <c r="J40" s="534">
        <v>0</v>
      </c>
      <c r="K40" s="664">
        <v>0</v>
      </c>
      <c r="L40" s="656">
        <v>0</v>
      </c>
      <c r="M40" s="667">
        <v>0</v>
      </c>
    </row>
    <row r="41" spans="1:13" x14ac:dyDescent="0.25">
      <c r="A41" s="426"/>
      <c r="B41" s="426" t="s">
        <v>385</v>
      </c>
      <c r="C41" s="427" t="s">
        <v>368</v>
      </c>
      <c r="D41" s="693">
        <v>0.79746835443037978</v>
      </c>
      <c r="H41" s="659" t="s">
        <v>90</v>
      </c>
      <c r="I41" s="664">
        <v>25</v>
      </c>
      <c r="J41" s="534">
        <v>0</v>
      </c>
      <c r="K41" s="664">
        <v>0</v>
      </c>
      <c r="L41" s="656">
        <v>0</v>
      </c>
      <c r="M41" s="667">
        <v>0</v>
      </c>
    </row>
    <row r="42" spans="1:13" x14ac:dyDescent="0.25">
      <c r="A42" s="426"/>
      <c r="B42" s="426" t="s">
        <v>387</v>
      </c>
      <c r="C42" s="427" t="s">
        <v>373</v>
      </c>
      <c r="D42" s="693">
        <v>0.53439153439153442</v>
      </c>
      <c r="H42" s="659" t="s">
        <v>72</v>
      </c>
      <c r="I42" s="664">
        <v>6</v>
      </c>
      <c r="J42" s="534">
        <v>0</v>
      </c>
      <c r="K42" s="664">
        <v>0</v>
      </c>
      <c r="L42" s="656">
        <v>0</v>
      </c>
      <c r="M42" s="667">
        <v>0</v>
      </c>
    </row>
    <row r="43" spans="1:13" x14ac:dyDescent="0.25">
      <c r="A43" s="427"/>
      <c r="B43" s="427" t="s">
        <v>147</v>
      </c>
      <c r="C43" s="427" t="s">
        <v>371</v>
      </c>
      <c r="D43" s="694">
        <v>9.8039215686274508E-2</v>
      </c>
      <c r="H43" s="659" t="s">
        <v>92</v>
      </c>
      <c r="I43" s="664">
        <v>15</v>
      </c>
      <c r="J43" s="534">
        <v>0</v>
      </c>
      <c r="K43" s="664">
        <v>0</v>
      </c>
      <c r="L43" s="656">
        <v>0</v>
      </c>
      <c r="M43" s="667">
        <v>0</v>
      </c>
    </row>
    <row r="44" spans="1:13" x14ac:dyDescent="0.25">
      <c r="A44" s="426" t="s">
        <v>151</v>
      </c>
      <c r="B44" s="426" t="s">
        <v>150</v>
      </c>
      <c r="C44" s="427" t="s">
        <v>152</v>
      </c>
      <c r="D44" s="693">
        <v>0.47511312217194568</v>
      </c>
      <c r="H44" s="659" t="s">
        <v>100</v>
      </c>
      <c r="I44" s="664">
        <v>5</v>
      </c>
      <c r="J44" s="534">
        <v>0</v>
      </c>
      <c r="K44" s="664">
        <v>0</v>
      </c>
      <c r="L44" s="656">
        <v>0</v>
      </c>
      <c r="M44" s="667">
        <v>0</v>
      </c>
    </row>
    <row r="45" spans="1:13" x14ac:dyDescent="0.25">
      <c r="A45" s="426"/>
      <c r="B45" s="426" t="s">
        <v>197</v>
      </c>
      <c r="C45" s="427" t="s">
        <v>198</v>
      </c>
      <c r="D45" s="693">
        <v>0.9064220183486239</v>
      </c>
      <c r="H45" s="662" t="s">
        <v>1127</v>
      </c>
      <c r="I45" s="665">
        <v>50</v>
      </c>
      <c r="J45" s="644">
        <v>0</v>
      </c>
      <c r="K45" s="665">
        <v>0</v>
      </c>
      <c r="L45" s="660">
        <v>0</v>
      </c>
      <c r="M45" s="668">
        <v>0</v>
      </c>
    </row>
    <row r="46" spans="1:13" x14ac:dyDescent="0.25">
      <c r="A46" s="426"/>
      <c r="B46" s="426" t="s">
        <v>153</v>
      </c>
      <c r="C46" s="427" t="s">
        <v>154</v>
      </c>
      <c r="D46" s="693">
        <v>0.4366812227074236</v>
      </c>
      <c r="H46" s="643" t="s">
        <v>784</v>
      </c>
      <c r="I46" s="665"/>
      <c r="J46" s="644"/>
      <c r="K46" s="665"/>
      <c r="L46" s="660"/>
      <c r="M46" s="668"/>
    </row>
    <row r="47" spans="1:13" x14ac:dyDescent="0.25">
      <c r="A47" s="426"/>
      <c r="B47" s="426" t="s">
        <v>159</v>
      </c>
      <c r="C47" s="427" t="s">
        <v>160</v>
      </c>
      <c r="D47" s="693">
        <v>0.64912280701754388</v>
      </c>
      <c r="H47" s="677" t="s">
        <v>784</v>
      </c>
      <c r="I47" s="665">
        <v>44</v>
      </c>
      <c r="J47" s="644">
        <v>9</v>
      </c>
      <c r="K47" s="665">
        <v>9</v>
      </c>
      <c r="L47" s="660">
        <v>0.20454545454545456</v>
      </c>
      <c r="M47" s="668">
        <v>0.20454545454545456</v>
      </c>
    </row>
    <row r="48" spans="1:13" x14ac:dyDescent="0.25">
      <c r="A48" s="426"/>
      <c r="B48" s="426" t="s">
        <v>892</v>
      </c>
      <c r="C48" s="427" t="s">
        <v>891</v>
      </c>
      <c r="D48" s="693">
        <v>0.60215053763440862</v>
      </c>
      <c r="H48" s="662" t="s">
        <v>1295</v>
      </c>
      <c r="I48" s="665">
        <v>44</v>
      </c>
      <c r="J48" s="644">
        <v>9</v>
      </c>
      <c r="K48" s="665">
        <v>9</v>
      </c>
      <c r="L48" s="660">
        <v>0.20454545454545456</v>
      </c>
      <c r="M48" s="668">
        <v>0.20454545454545456</v>
      </c>
    </row>
    <row r="49" spans="1:13" x14ac:dyDescent="0.25">
      <c r="A49" s="426"/>
      <c r="B49" s="426" t="s">
        <v>187</v>
      </c>
      <c r="C49" s="427" t="s">
        <v>188</v>
      </c>
      <c r="D49" s="693">
        <v>0.77551020408163263</v>
      </c>
      <c r="H49" s="643" t="s">
        <v>1195</v>
      </c>
      <c r="I49" s="665"/>
      <c r="J49" s="644"/>
      <c r="K49" s="665"/>
      <c r="L49" s="660"/>
      <c r="M49" s="668"/>
    </row>
    <row r="50" spans="1:13" x14ac:dyDescent="0.25">
      <c r="A50" s="426"/>
      <c r="B50" s="426" t="s">
        <v>948</v>
      </c>
      <c r="C50" s="427" t="s">
        <v>949</v>
      </c>
      <c r="D50" s="693">
        <v>0.4065040650406504</v>
      </c>
      <c r="H50" s="677" t="s">
        <v>813</v>
      </c>
      <c r="I50" s="665">
        <v>166</v>
      </c>
      <c r="J50" s="644">
        <v>166</v>
      </c>
      <c r="K50" s="665">
        <v>166</v>
      </c>
      <c r="L50" s="660">
        <v>1</v>
      </c>
      <c r="M50" s="668">
        <v>1</v>
      </c>
    </row>
    <row r="51" spans="1:13" x14ac:dyDescent="0.25">
      <c r="A51" s="427"/>
      <c r="B51" s="427" t="s">
        <v>1042</v>
      </c>
      <c r="C51" s="427" t="s">
        <v>1041</v>
      </c>
      <c r="D51" s="694">
        <v>0.54794520547945202</v>
      </c>
      <c r="H51" s="659" t="s">
        <v>1320</v>
      </c>
      <c r="I51" s="664">
        <v>161</v>
      </c>
      <c r="J51" s="534">
        <v>161</v>
      </c>
      <c r="K51" s="664">
        <v>161</v>
      </c>
      <c r="L51" s="656">
        <v>1</v>
      </c>
      <c r="M51" s="667">
        <v>1</v>
      </c>
    </row>
    <row r="52" spans="1:13" x14ac:dyDescent="0.25">
      <c r="A52" s="426" t="s">
        <v>166</v>
      </c>
      <c r="B52" s="426" t="s">
        <v>165</v>
      </c>
      <c r="C52" s="427" t="s">
        <v>167</v>
      </c>
      <c r="D52" s="693">
        <v>1.0526315789473684</v>
      </c>
      <c r="H52" s="659" t="s">
        <v>813</v>
      </c>
      <c r="I52" s="665">
        <v>5</v>
      </c>
      <c r="J52" s="644">
        <v>5</v>
      </c>
      <c r="K52" s="665">
        <v>5</v>
      </c>
      <c r="L52" s="660">
        <v>1</v>
      </c>
      <c r="M52" s="668">
        <v>1</v>
      </c>
    </row>
    <row r="53" spans="1:13" x14ac:dyDescent="0.25">
      <c r="A53" s="426"/>
      <c r="B53" s="426" t="s">
        <v>168</v>
      </c>
      <c r="C53" s="427" t="s">
        <v>169</v>
      </c>
      <c r="D53" s="693">
        <v>0.3125</v>
      </c>
      <c r="H53" s="659" t="s">
        <v>1323</v>
      </c>
      <c r="I53" s="664"/>
      <c r="J53" s="534">
        <v>0</v>
      </c>
      <c r="K53" s="664">
        <v>0</v>
      </c>
      <c r="L53" s="656" t="e">
        <v>#DIV/0!</v>
      </c>
      <c r="M53" s="667" t="e">
        <v>#DIV/0!</v>
      </c>
    </row>
    <row r="54" spans="1:13" x14ac:dyDescent="0.25">
      <c r="A54" s="427"/>
      <c r="B54" s="427" t="s">
        <v>829</v>
      </c>
      <c r="C54" s="427" t="s">
        <v>828</v>
      </c>
      <c r="D54" s="694">
        <v>0.967741935483871</v>
      </c>
      <c r="H54" s="677" t="s">
        <v>302</v>
      </c>
      <c r="I54" s="665">
        <v>124</v>
      </c>
      <c r="J54" s="644">
        <v>41</v>
      </c>
      <c r="K54" s="665">
        <v>41</v>
      </c>
      <c r="L54" s="660">
        <v>0.33064516129032256</v>
      </c>
      <c r="M54" s="668">
        <v>0.33064516129032256</v>
      </c>
    </row>
    <row r="55" spans="1:13" x14ac:dyDescent="0.25">
      <c r="A55" s="426" t="s">
        <v>173</v>
      </c>
      <c r="B55" s="426" t="s">
        <v>175</v>
      </c>
      <c r="C55" s="427" t="s">
        <v>176</v>
      </c>
      <c r="D55" s="693">
        <v>0.55555555555555558</v>
      </c>
      <c r="H55" s="659" t="s">
        <v>306</v>
      </c>
      <c r="I55" s="664">
        <v>83</v>
      </c>
      <c r="J55" s="534">
        <v>41</v>
      </c>
      <c r="K55" s="664">
        <v>41</v>
      </c>
      <c r="L55" s="656">
        <v>0.49397590361445781</v>
      </c>
      <c r="M55" s="667">
        <v>0.49397590361445781</v>
      </c>
    </row>
    <row r="56" spans="1:13" x14ac:dyDescent="0.25">
      <c r="A56" s="426"/>
      <c r="B56" s="426" t="s">
        <v>172</v>
      </c>
      <c r="C56" s="427" t="s">
        <v>174</v>
      </c>
      <c r="D56" s="693">
        <v>0.9375</v>
      </c>
      <c r="H56" s="659" t="s">
        <v>308</v>
      </c>
      <c r="I56" s="665">
        <v>41</v>
      </c>
      <c r="J56" s="644">
        <v>0</v>
      </c>
      <c r="K56" s="665">
        <v>0</v>
      </c>
      <c r="L56" s="660">
        <v>0</v>
      </c>
      <c r="M56" s="668">
        <v>0</v>
      </c>
    </row>
    <row r="57" spans="1:13" x14ac:dyDescent="0.25">
      <c r="A57" s="426"/>
      <c r="B57" s="427" t="s">
        <v>177</v>
      </c>
      <c r="C57" s="427" t="s">
        <v>178</v>
      </c>
      <c r="D57" s="694">
        <v>1.0714285714285714</v>
      </c>
      <c r="H57" s="677" t="s">
        <v>230</v>
      </c>
      <c r="I57" s="665">
        <v>90</v>
      </c>
      <c r="J57" s="644">
        <v>20</v>
      </c>
      <c r="K57" s="665">
        <v>20</v>
      </c>
      <c r="L57" s="660">
        <v>0.22222222222222221</v>
      </c>
      <c r="M57" s="668">
        <v>0.22222222222222221</v>
      </c>
    </row>
    <row r="58" spans="1:13" x14ac:dyDescent="0.25">
      <c r="A58" s="427"/>
      <c r="B58" s="493" t="s">
        <v>1290</v>
      </c>
      <c r="C58" s="493" t="s">
        <v>1297</v>
      </c>
      <c r="D58" s="429">
        <v>1.0256410256410255</v>
      </c>
      <c r="H58" s="659" t="s">
        <v>1060</v>
      </c>
      <c r="I58" s="664">
        <v>55</v>
      </c>
      <c r="J58" s="534">
        <v>11</v>
      </c>
      <c r="K58" s="664">
        <v>11</v>
      </c>
      <c r="L58" s="656">
        <v>0.2</v>
      </c>
      <c r="M58" s="667">
        <v>0.2</v>
      </c>
    </row>
    <row r="59" spans="1:13" x14ac:dyDescent="0.25">
      <c r="A59" s="426" t="s">
        <v>180</v>
      </c>
      <c r="B59" s="426" t="s">
        <v>179</v>
      </c>
      <c r="C59" s="427" t="s">
        <v>181</v>
      </c>
      <c r="D59" s="693">
        <v>1</v>
      </c>
      <c r="H59" s="659" t="s">
        <v>233</v>
      </c>
      <c r="I59" s="664">
        <v>9</v>
      </c>
      <c r="J59" s="534">
        <v>9</v>
      </c>
      <c r="K59" s="664">
        <v>9</v>
      </c>
      <c r="L59" s="656">
        <v>1</v>
      </c>
      <c r="M59" s="667">
        <v>1</v>
      </c>
    </row>
    <row r="60" spans="1:13" x14ac:dyDescent="0.25">
      <c r="A60" s="427"/>
      <c r="B60" s="427" t="s">
        <v>286</v>
      </c>
      <c r="C60" s="427" t="s">
        <v>287</v>
      </c>
      <c r="D60" s="694">
        <v>1.6666666666666667</v>
      </c>
      <c r="H60" s="662" t="s">
        <v>1070</v>
      </c>
      <c r="I60" s="665">
        <v>26</v>
      </c>
      <c r="J60" s="644">
        <v>0</v>
      </c>
      <c r="K60" s="665">
        <v>0</v>
      </c>
      <c r="L60" s="660">
        <v>0</v>
      </c>
      <c r="M60" s="668">
        <v>0</v>
      </c>
    </row>
    <row r="61" spans="1:13" x14ac:dyDescent="0.25">
      <c r="A61" s="426" t="s">
        <v>185</v>
      </c>
      <c r="B61" s="426" t="s">
        <v>208</v>
      </c>
      <c r="C61" s="427" t="s">
        <v>209</v>
      </c>
      <c r="D61" s="693">
        <v>1.3333333333333333</v>
      </c>
      <c r="H61" s="677" t="s">
        <v>166</v>
      </c>
      <c r="I61" s="665">
        <v>69</v>
      </c>
      <c r="J61" s="644">
        <v>1</v>
      </c>
      <c r="K61" s="665">
        <v>1</v>
      </c>
      <c r="L61" s="660">
        <v>1.4492753623188406E-2</v>
      </c>
      <c r="M61" s="668">
        <v>1.4492753623188406E-2</v>
      </c>
    </row>
    <row r="62" spans="1:13" x14ac:dyDescent="0.25">
      <c r="A62" s="426"/>
      <c r="B62" s="426" t="s">
        <v>216</v>
      </c>
      <c r="C62" s="427" t="s">
        <v>217</v>
      </c>
      <c r="D62" s="693">
        <v>1.2916666666666665</v>
      </c>
      <c r="H62" s="659" t="s">
        <v>828</v>
      </c>
      <c r="I62" s="664">
        <v>31</v>
      </c>
      <c r="J62" s="534">
        <v>1</v>
      </c>
      <c r="K62" s="664">
        <v>1</v>
      </c>
      <c r="L62" s="656">
        <v>3.2258064516129031E-2</v>
      </c>
      <c r="M62" s="667">
        <v>3.2258064516129031E-2</v>
      </c>
    </row>
    <row r="63" spans="1:13" x14ac:dyDescent="0.25">
      <c r="A63" s="426"/>
      <c r="B63" s="426" t="s">
        <v>201</v>
      </c>
      <c r="C63" s="427" t="s">
        <v>202</v>
      </c>
      <c r="D63" s="693">
        <v>0.58620689655172409</v>
      </c>
      <c r="H63" s="659" t="s">
        <v>167</v>
      </c>
      <c r="I63" s="665">
        <v>38</v>
      </c>
      <c r="J63" s="644">
        <v>0</v>
      </c>
      <c r="K63" s="665">
        <v>0</v>
      </c>
      <c r="L63" s="660">
        <v>0</v>
      </c>
      <c r="M63" s="668">
        <v>0</v>
      </c>
    </row>
    <row r="64" spans="1:13" x14ac:dyDescent="0.25">
      <c r="A64" s="426"/>
      <c r="B64" s="426" t="s">
        <v>222</v>
      </c>
      <c r="C64" s="427" t="s">
        <v>223</v>
      </c>
      <c r="D64" s="693">
        <v>0.54032258064516125</v>
      </c>
      <c r="H64" s="677" t="s">
        <v>300</v>
      </c>
      <c r="I64" s="665">
        <v>58</v>
      </c>
      <c r="J64" s="644">
        <v>0</v>
      </c>
      <c r="K64" s="665">
        <v>0</v>
      </c>
      <c r="L64" s="660">
        <v>0</v>
      </c>
      <c r="M64" s="668">
        <v>0</v>
      </c>
    </row>
    <row r="65" spans="1:13" x14ac:dyDescent="0.25">
      <c r="A65" s="426"/>
      <c r="B65" s="426" t="s">
        <v>189</v>
      </c>
      <c r="C65" s="427" t="s">
        <v>190</v>
      </c>
      <c r="D65" s="693">
        <v>0.43617021276595747</v>
      </c>
      <c r="H65" s="659" t="s">
        <v>1279</v>
      </c>
      <c r="I65" s="665">
        <v>58</v>
      </c>
      <c r="J65" s="644">
        <v>0</v>
      </c>
      <c r="K65" s="665">
        <v>0</v>
      </c>
      <c r="L65" s="660">
        <v>0</v>
      </c>
      <c r="M65" s="668">
        <v>0</v>
      </c>
    </row>
    <row r="66" spans="1:13" x14ac:dyDescent="0.25">
      <c r="A66" s="426"/>
      <c r="B66" s="426" t="s">
        <v>184</v>
      </c>
      <c r="C66" s="427" t="s">
        <v>186</v>
      </c>
      <c r="D66" s="693">
        <v>1.3448275862068966</v>
      </c>
      <c r="H66" s="677" t="s">
        <v>173</v>
      </c>
      <c r="I66" s="665">
        <v>57</v>
      </c>
      <c r="J66" s="644">
        <v>18</v>
      </c>
      <c r="K66" s="665">
        <v>18</v>
      </c>
      <c r="L66" s="660">
        <v>0.31578947368421051</v>
      </c>
      <c r="M66" s="668">
        <v>0.31578947368421051</v>
      </c>
    </row>
    <row r="67" spans="1:13" x14ac:dyDescent="0.25">
      <c r="A67" s="426"/>
      <c r="B67" s="426" t="s">
        <v>228</v>
      </c>
      <c r="C67" s="427" t="s">
        <v>229</v>
      </c>
      <c r="D67" s="693">
        <v>0.9</v>
      </c>
      <c r="H67" s="659" t="s">
        <v>1288</v>
      </c>
      <c r="I67" s="664">
        <v>9</v>
      </c>
      <c r="J67" s="534">
        <v>9</v>
      </c>
      <c r="K67" s="664">
        <v>9</v>
      </c>
      <c r="L67" s="656">
        <v>1</v>
      </c>
      <c r="M67" s="667">
        <v>1</v>
      </c>
    </row>
    <row r="68" spans="1:13" x14ac:dyDescent="0.25">
      <c r="A68" s="426"/>
      <c r="B68" s="426" t="s">
        <v>224</v>
      </c>
      <c r="C68" s="427" t="s">
        <v>225</v>
      </c>
      <c r="D68" s="693">
        <v>0.88888888888888884</v>
      </c>
      <c r="H68" s="659" t="s">
        <v>176</v>
      </c>
      <c r="I68" s="664">
        <v>18</v>
      </c>
      <c r="J68" s="534">
        <v>8</v>
      </c>
      <c r="K68" s="664">
        <v>8</v>
      </c>
      <c r="L68" s="656">
        <v>0.44444444444444442</v>
      </c>
      <c r="M68" s="667">
        <v>0.44444444444444442</v>
      </c>
    </row>
    <row r="69" spans="1:13" x14ac:dyDescent="0.25">
      <c r="A69" s="426"/>
      <c r="B69" s="426" t="s">
        <v>195</v>
      </c>
      <c r="C69" s="427" t="s">
        <v>196</v>
      </c>
      <c r="D69" s="693">
        <v>0.70501474926253682</v>
      </c>
      <c r="H69" s="659" t="s">
        <v>174</v>
      </c>
      <c r="I69" s="664">
        <v>16</v>
      </c>
      <c r="J69" s="534">
        <v>1</v>
      </c>
      <c r="K69" s="664">
        <v>1</v>
      </c>
      <c r="L69" s="656">
        <v>6.25E-2</v>
      </c>
      <c r="M69" s="667">
        <v>6.25E-2</v>
      </c>
    </row>
    <row r="70" spans="1:13" x14ac:dyDescent="0.25">
      <c r="A70" s="426"/>
      <c r="B70" s="426" t="s">
        <v>193</v>
      </c>
      <c r="C70" s="427" t="s">
        <v>194</v>
      </c>
      <c r="D70" s="693">
        <v>1.006514657980456</v>
      </c>
      <c r="H70" s="659" t="s">
        <v>178</v>
      </c>
      <c r="I70" s="665">
        <v>14</v>
      </c>
      <c r="J70" s="644">
        <v>0</v>
      </c>
      <c r="K70" s="665">
        <v>0</v>
      </c>
      <c r="L70" s="660">
        <v>0</v>
      </c>
      <c r="M70" s="668">
        <v>0</v>
      </c>
    </row>
    <row r="71" spans="1:13" x14ac:dyDescent="0.25">
      <c r="A71" s="426"/>
      <c r="B71" s="426" t="s">
        <v>191</v>
      </c>
      <c r="C71" s="427" t="s">
        <v>192</v>
      </c>
      <c r="D71" s="693">
        <v>1.7672413793103448</v>
      </c>
      <c r="H71" s="677" t="s">
        <v>180</v>
      </c>
      <c r="I71" s="665">
        <v>30</v>
      </c>
      <c r="J71" s="644">
        <v>0</v>
      </c>
      <c r="K71" s="665">
        <v>0</v>
      </c>
      <c r="L71" s="660">
        <v>0</v>
      </c>
      <c r="M71" s="668">
        <v>0</v>
      </c>
    </row>
    <row r="72" spans="1:13" x14ac:dyDescent="0.25">
      <c r="A72" s="426"/>
      <c r="B72" s="426" t="s">
        <v>218</v>
      </c>
      <c r="C72" s="427" t="s">
        <v>219</v>
      </c>
      <c r="D72" s="693">
        <v>1.0590841949778436</v>
      </c>
      <c r="H72" s="659" t="s">
        <v>181</v>
      </c>
      <c r="I72" s="664">
        <v>12</v>
      </c>
      <c r="J72" s="534">
        <v>0</v>
      </c>
      <c r="K72" s="664">
        <v>0</v>
      </c>
      <c r="L72" s="656">
        <v>0</v>
      </c>
      <c r="M72" s="667">
        <v>0</v>
      </c>
    </row>
    <row r="73" spans="1:13" x14ac:dyDescent="0.25">
      <c r="A73" s="426"/>
      <c r="B73" s="426" t="s">
        <v>214</v>
      </c>
      <c r="C73" s="427" t="s">
        <v>215</v>
      </c>
      <c r="D73" s="693">
        <v>1.2</v>
      </c>
      <c r="H73" s="659" t="s">
        <v>287</v>
      </c>
      <c r="I73" s="665">
        <v>18</v>
      </c>
      <c r="J73" s="644">
        <v>0</v>
      </c>
      <c r="K73" s="665">
        <v>0</v>
      </c>
      <c r="L73" s="660">
        <v>0</v>
      </c>
      <c r="M73" s="668">
        <v>0</v>
      </c>
    </row>
    <row r="74" spans="1:13" x14ac:dyDescent="0.25">
      <c r="A74" s="427"/>
      <c r="B74" s="427" t="s">
        <v>199</v>
      </c>
      <c r="C74" s="427" t="s">
        <v>200</v>
      </c>
      <c r="D74" s="694">
        <v>46</v>
      </c>
      <c r="H74" s="677" t="s">
        <v>144</v>
      </c>
      <c r="I74" s="665">
        <v>11</v>
      </c>
      <c r="J74" s="644">
        <v>11</v>
      </c>
      <c r="K74" s="665">
        <v>11</v>
      </c>
      <c r="L74" s="660">
        <v>1</v>
      </c>
      <c r="M74" s="668">
        <v>1</v>
      </c>
    </row>
    <row r="75" spans="1:13" x14ac:dyDescent="0.25">
      <c r="A75" s="426" t="s">
        <v>230</v>
      </c>
      <c r="B75" s="426" t="s">
        <v>234</v>
      </c>
      <c r="C75" s="427" t="s">
        <v>235</v>
      </c>
      <c r="D75" s="693">
        <v>8.1300813008130079E-2</v>
      </c>
      <c r="H75" s="659" t="s">
        <v>145</v>
      </c>
      <c r="I75" s="665">
        <v>11</v>
      </c>
      <c r="J75" s="644">
        <v>11</v>
      </c>
      <c r="K75" s="665">
        <v>11</v>
      </c>
      <c r="L75" s="660">
        <v>1</v>
      </c>
      <c r="M75" s="668">
        <v>1</v>
      </c>
    </row>
    <row r="76" spans="1:13" x14ac:dyDescent="0.25">
      <c r="A76" s="426"/>
      <c r="B76" s="426" t="s">
        <v>1061</v>
      </c>
      <c r="C76" s="427" t="s">
        <v>1060</v>
      </c>
      <c r="D76" s="693">
        <v>0.8</v>
      </c>
      <c r="H76" s="677" t="s">
        <v>298</v>
      </c>
      <c r="I76" s="665">
        <v>10</v>
      </c>
      <c r="J76" s="644">
        <v>0</v>
      </c>
      <c r="K76" s="665">
        <v>0</v>
      </c>
      <c r="L76" s="660">
        <v>0</v>
      </c>
      <c r="M76" s="668">
        <v>0</v>
      </c>
    </row>
    <row r="77" spans="1:13" x14ac:dyDescent="0.25">
      <c r="A77" s="427"/>
      <c r="B77" s="427" t="s">
        <v>1071</v>
      </c>
      <c r="C77" s="427" t="s">
        <v>1070</v>
      </c>
      <c r="D77" s="694">
        <v>1.153846153846154</v>
      </c>
      <c r="H77" s="659" t="s">
        <v>827</v>
      </c>
      <c r="I77" s="665">
        <v>10</v>
      </c>
      <c r="J77" s="644">
        <v>0</v>
      </c>
      <c r="K77" s="665">
        <v>0</v>
      </c>
      <c r="L77" s="660">
        <v>0</v>
      </c>
      <c r="M77" s="668">
        <v>0</v>
      </c>
    </row>
    <row r="78" spans="1:13" x14ac:dyDescent="0.25">
      <c r="A78" s="426" t="s">
        <v>237</v>
      </c>
      <c r="B78" s="426" t="s">
        <v>1014</v>
      </c>
      <c r="C78" s="426" t="s">
        <v>905</v>
      </c>
      <c r="D78" s="693">
        <v>0</v>
      </c>
      <c r="H78" s="643" t="s">
        <v>146</v>
      </c>
      <c r="I78" s="665"/>
      <c r="J78" s="644"/>
      <c r="K78" s="665"/>
      <c r="L78" s="660"/>
      <c r="M78" s="668"/>
    </row>
    <row r="79" spans="1:13" x14ac:dyDescent="0.25">
      <c r="A79" s="426"/>
      <c r="B79" s="426"/>
      <c r="C79" s="427" t="s">
        <v>865</v>
      </c>
      <c r="D79" s="693">
        <v>0</v>
      </c>
      <c r="H79" s="677" t="s">
        <v>146</v>
      </c>
      <c r="I79" s="665">
        <v>700</v>
      </c>
      <c r="J79" s="644">
        <v>323</v>
      </c>
      <c r="K79" s="665">
        <v>323</v>
      </c>
      <c r="L79" s="660">
        <v>0.46142857142857141</v>
      </c>
      <c r="M79" s="668">
        <v>0.46142857142857141</v>
      </c>
    </row>
    <row r="80" spans="1:13" x14ac:dyDescent="0.25">
      <c r="A80" s="426"/>
      <c r="B80" s="426" t="s">
        <v>236</v>
      </c>
      <c r="C80" s="427" t="s">
        <v>238</v>
      </c>
      <c r="D80" s="693">
        <v>0.8571428571428571</v>
      </c>
      <c r="H80" s="659" t="s">
        <v>1350</v>
      </c>
      <c r="I80" s="664">
        <v>105</v>
      </c>
      <c r="J80" s="534">
        <v>105</v>
      </c>
      <c r="K80" s="664">
        <v>105</v>
      </c>
      <c r="L80" s="656">
        <v>1</v>
      </c>
      <c r="M80" s="667">
        <v>1</v>
      </c>
    </row>
    <row r="81" spans="1:13" x14ac:dyDescent="0.25">
      <c r="A81" s="426"/>
      <c r="B81" s="426" t="s">
        <v>268</v>
      </c>
      <c r="C81" s="427" t="s">
        <v>269</v>
      </c>
      <c r="D81" s="693">
        <v>0.91228070175438591</v>
      </c>
      <c r="H81" s="659" t="s">
        <v>373</v>
      </c>
      <c r="I81" s="664">
        <v>189</v>
      </c>
      <c r="J81" s="534">
        <v>88</v>
      </c>
      <c r="K81" s="664">
        <v>88</v>
      </c>
      <c r="L81" s="656">
        <v>0.46560846560846558</v>
      </c>
      <c r="M81" s="667">
        <v>0.46560846560846558</v>
      </c>
    </row>
    <row r="82" spans="1:13" x14ac:dyDescent="0.25">
      <c r="A82" s="426"/>
      <c r="B82" s="426" t="s">
        <v>250</v>
      </c>
      <c r="C82" s="427" t="s">
        <v>251</v>
      </c>
      <c r="D82" s="693">
        <v>0.625</v>
      </c>
      <c r="H82" s="659" t="s">
        <v>371</v>
      </c>
      <c r="I82" s="664">
        <v>51</v>
      </c>
      <c r="J82" s="534">
        <v>46</v>
      </c>
      <c r="K82" s="664">
        <v>46</v>
      </c>
      <c r="L82" s="656">
        <v>0.90196078431372551</v>
      </c>
      <c r="M82" s="667">
        <v>0.90196078431372551</v>
      </c>
    </row>
    <row r="83" spans="1:13" x14ac:dyDescent="0.25">
      <c r="A83" s="426"/>
      <c r="B83" s="426" t="s">
        <v>248</v>
      </c>
      <c r="C83" s="427" t="s">
        <v>249</v>
      </c>
      <c r="D83" s="693">
        <v>1.25</v>
      </c>
      <c r="H83" s="659" t="s">
        <v>149</v>
      </c>
      <c r="I83" s="664">
        <v>71</v>
      </c>
      <c r="J83" s="534">
        <v>45</v>
      </c>
      <c r="K83" s="664">
        <v>45</v>
      </c>
      <c r="L83" s="656">
        <v>0.63380281690140849</v>
      </c>
      <c r="M83" s="667">
        <v>0.63380281690140849</v>
      </c>
    </row>
    <row r="84" spans="1:13" x14ac:dyDescent="0.25">
      <c r="A84" s="426"/>
      <c r="B84" s="426" t="s">
        <v>274</v>
      </c>
      <c r="C84" s="427" t="s">
        <v>275</v>
      </c>
      <c r="D84" s="693">
        <v>0.72727272727272729</v>
      </c>
      <c r="H84" s="659" t="s">
        <v>1109</v>
      </c>
      <c r="I84" s="664">
        <v>23</v>
      </c>
      <c r="J84" s="534">
        <v>23</v>
      </c>
      <c r="K84" s="664">
        <v>23</v>
      </c>
      <c r="L84" s="656">
        <v>1</v>
      </c>
      <c r="M84" s="667">
        <v>1</v>
      </c>
    </row>
    <row r="85" spans="1:13" x14ac:dyDescent="0.25">
      <c r="A85" s="426"/>
      <c r="B85" s="426" t="s">
        <v>276</v>
      </c>
      <c r="C85" s="427" t="s">
        <v>277</v>
      </c>
      <c r="D85" s="693">
        <v>0.67368421052631577</v>
      </c>
      <c r="H85" s="659" t="s">
        <v>368</v>
      </c>
      <c r="I85" s="664">
        <v>79</v>
      </c>
      <c r="J85" s="534">
        <v>16</v>
      </c>
      <c r="K85" s="664">
        <v>16</v>
      </c>
      <c r="L85" s="656">
        <v>0.20253164556962025</v>
      </c>
      <c r="M85" s="667">
        <v>0.20253164556962025</v>
      </c>
    </row>
    <row r="86" spans="1:13" x14ac:dyDescent="0.25">
      <c r="A86" s="426"/>
      <c r="B86" s="426" t="s">
        <v>260</v>
      </c>
      <c r="C86" s="427" t="s">
        <v>261</v>
      </c>
      <c r="D86" s="693">
        <v>0.83333333333333337</v>
      </c>
      <c r="H86" s="659" t="s">
        <v>369</v>
      </c>
      <c r="I86" s="664">
        <v>64</v>
      </c>
      <c r="J86" s="534">
        <v>0</v>
      </c>
      <c r="K86" s="664">
        <v>0</v>
      </c>
      <c r="L86" s="656">
        <v>0</v>
      </c>
      <c r="M86" s="667">
        <v>0</v>
      </c>
    </row>
    <row r="87" spans="1:13" x14ac:dyDescent="0.25">
      <c r="A87" s="426"/>
      <c r="B87" s="426" t="s">
        <v>280</v>
      </c>
      <c r="C87" s="427" t="s">
        <v>281</v>
      </c>
      <c r="D87" s="693">
        <v>0.55555555555555558</v>
      </c>
      <c r="H87" s="659" t="s">
        <v>370</v>
      </c>
      <c r="I87" s="664">
        <v>31</v>
      </c>
      <c r="J87" s="534">
        <v>0</v>
      </c>
      <c r="K87" s="664">
        <v>0</v>
      </c>
      <c r="L87" s="656">
        <v>0</v>
      </c>
      <c r="M87" s="667">
        <v>0</v>
      </c>
    </row>
    <row r="88" spans="1:13" x14ac:dyDescent="0.25">
      <c r="A88" s="426"/>
      <c r="B88" s="426" t="s">
        <v>244</v>
      </c>
      <c r="C88" s="427" t="s">
        <v>245</v>
      </c>
      <c r="D88" s="693">
        <v>1</v>
      </c>
      <c r="H88" s="662" t="s">
        <v>372</v>
      </c>
      <c r="I88" s="665">
        <v>87</v>
      </c>
      <c r="J88" s="644">
        <v>0</v>
      </c>
      <c r="K88" s="665">
        <v>0</v>
      </c>
      <c r="L88" s="660">
        <v>0</v>
      </c>
      <c r="M88" s="668">
        <v>0</v>
      </c>
    </row>
    <row r="89" spans="1:13" x14ac:dyDescent="0.25">
      <c r="A89" s="426"/>
      <c r="B89" s="426" t="s">
        <v>246</v>
      </c>
      <c r="C89" s="427" t="s">
        <v>247</v>
      </c>
      <c r="D89" s="693">
        <v>0.06</v>
      </c>
      <c r="H89" s="643" t="s">
        <v>151</v>
      </c>
      <c r="I89" s="665"/>
      <c r="J89" s="644"/>
      <c r="K89" s="665"/>
      <c r="L89" s="660"/>
      <c r="M89" s="668"/>
    </row>
    <row r="90" spans="1:13" x14ac:dyDescent="0.25">
      <c r="A90" s="426"/>
      <c r="B90" s="426" t="s">
        <v>242</v>
      </c>
      <c r="C90" s="427" t="s">
        <v>243</v>
      </c>
      <c r="D90" s="693">
        <v>0.5</v>
      </c>
      <c r="H90" s="677" t="s">
        <v>151</v>
      </c>
      <c r="I90" s="665">
        <v>2534</v>
      </c>
      <c r="J90" s="644">
        <v>1077</v>
      </c>
      <c r="K90" s="665">
        <v>1077</v>
      </c>
      <c r="L90" s="660">
        <v>0.42501973164956591</v>
      </c>
      <c r="M90" s="668">
        <v>0.42501973164956591</v>
      </c>
    </row>
    <row r="91" spans="1:13" x14ac:dyDescent="0.25">
      <c r="A91" s="426"/>
      <c r="B91" s="426" t="s">
        <v>256</v>
      </c>
      <c r="C91" s="427" t="s">
        <v>257</v>
      </c>
      <c r="D91" s="693">
        <v>0.1111111111111111</v>
      </c>
      <c r="H91" s="657" t="s">
        <v>154</v>
      </c>
      <c r="I91" s="664">
        <v>458</v>
      </c>
      <c r="J91" s="658">
        <v>258</v>
      </c>
      <c r="K91" s="664">
        <v>258</v>
      </c>
      <c r="L91" s="656">
        <v>0.5633187772925764</v>
      </c>
      <c r="M91" s="667">
        <v>0.5633187772925764</v>
      </c>
    </row>
    <row r="92" spans="1:13" x14ac:dyDescent="0.25">
      <c r="A92" s="426"/>
      <c r="B92" s="426" t="s">
        <v>284</v>
      </c>
      <c r="C92" s="427" t="s">
        <v>285</v>
      </c>
      <c r="D92" s="693">
        <v>0.76687116564417179</v>
      </c>
      <c r="H92" s="659" t="s">
        <v>891</v>
      </c>
      <c r="I92" s="664">
        <v>372</v>
      </c>
      <c r="J92" s="534">
        <v>148</v>
      </c>
      <c r="K92" s="664">
        <v>148</v>
      </c>
      <c r="L92" s="656">
        <v>0.39784946236559138</v>
      </c>
      <c r="M92" s="667">
        <v>0.39784946236559138</v>
      </c>
    </row>
    <row r="93" spans="1:13" x14ac:dyDescent="0.25">
      <c r="A93" s="426"/>
      <c r="B93" s="426" t="s">
        <v>239</v>
      </c>
      <c r="C93" s="427" t="s">
        <v>240</v>
      </c>
      <c r="D93" s="693">
        <v>0.22222222222222221</v>
      </c>
      <c r="H93" s="657" t="s">
        <v>1068</v>
      </c>
      <c r="I93" s="664">
        <v>123</v>
      </c>
      <c r="J93" s="658">
        <v>123</v>
      </c>
      <c r="K93" s="664">
        <v>123</v>
      </c>
      <c r="L93" s="656">
        <v>1</v>
      </c>
      <c r="M93" s="667">
        <v>1</v>
      </c>
    </row>
    <row r="94" spans="1:13" x14ac:dyDescent="0.25">
      <c r="A94" s="426"/>
      <c r="B94" s="426" t="s">
        <v>258</v>
      </c>
      <c r="C94" s="427" t="s">
        <v>259</v>
      </c>
      <c r="D94" s="693">
        <v>0.27777777777777779</v>
      </c>
      <c r="H94" s="659" t="s">
        <v>152</v>
      </c>
      <c r="I94" s="664">
        <v>221</v>
      </c>
      <c r="J94" s="534">
        <v>116</v>
      </c>
      <c r="K94" s="664">
        <v>116</v>
      </c>
      <c r="L94" s="656">
        <v>0.52488687782805432</v>
      </c>
      <c r="M94" s="667">
        <v>0.52488687782805432</v>
      </c>
    </row>
    <row r="95" spans="1:13" x14ac:dyDescent="0.25">
      <c r="A95" s="426"/>
      <c r="B95" s="426" t="s">
        <v>252</v>
      </c>
      <c r="C95" s="427" t="s">
        <v>253</v>
      </c>
      <c r="D95" s="693">
        <v>0.78817733990147787</v>
      </c>
      <c r="H95" s="657" t="s">
        <v>1102</v>
      </c>
      <c r="I95" s="664">
        <v>114</v>
      </c>
      <c r="J95" s="658">
        <v>114</v>
      </c>
      <c r="K95" s="664">
        <v>114</v>
      </c>
      <c r="L95" s="656">
        <v>1</v>
      </c>
      <c r="M95" s="667">
        <v>1</v>
      </c>
    </row>
    <row r="96" spans="1:13" x14ac:dyDescent="0.25">
      <c r="A96" s="426"/>
      <c r="B96" s="426" t="s">
        <v>254</v>
      </c>
      <c r="C96" s="427" t="s">
        <v>255</v>
      </c>
      <c r="D96" s="693">
        <v>0.73394495412844041</v>
      </c>
      <c r="H96" s="659" t="s">
        <v>1041</v>
      </c>
      <c r="I96" s="664">
        <v>219</v>
      </c>
      <c r="J96" s="534">
        <v>99</v>
      </c>
      <c r="K96" s="664">
        <v>99</v>
      </c>
      <c r="L96" s="656">
        <v>0.45205479452054792</v>
      </c>
      <c r="M96" s="667">
        <v>0.45205479452054792</v>
      </c>
    </row>
    <row r="97" spans="1:13" x14ac:dyDescent="0.25">
      <c r="A97" s="426"/>
      <c r="B97" s="426" t="s">
        <v>262</v>
      </c>
      <c r="C97" s="427" t="s">
        <v>263</v>
      </c>
      <c r="D97" s="693">
        <v>1.4545454545454546</v>
      </c>
      <c r="H97" s="659" t="s">
        <v>949</v>
      </c>
      <c r="I97" s="664">
        <v>123</v>
      </c>
      <c r="J97" s="534">
        <v>73</v>
      </c>
      <c r="K97" s="664">
        <v>73</v>
      </c>
      <c r="L97" s="656">
        <v>0.5934959349593496</v>
      </c>
      <c r="M97" s="667">
        <v>0.5934959349593496</v>
      </c>
    </row>
    <row r="98" spans="1:13" x14ac:dyDescent="0.25">
      <c r="A98" s="426"/>
      <c r="B98" s="426" t="s">
        <v>264</v>
      </c>
      <c r="C98" s="427" t="s">
        <v>265</v>
      </c>
      <c r="D98" s="693">
        <v>1.3571428571428572</v>
      </c>
      <c r="H98" s="659" t="s">
        <v>188</v>
      </c>
      <c r="I98" s="664">
        <v>245</v>
      </c>
      <c r="J98" s="534">
        <v>55</v>
      </c>
      <c r="K98" s="664">
        <v>55</v>
      </c>
      <c r="L98" s="656">
        <v>0.22448979591836735</v>
      </c>
      <c r="M98" s="667">
        <v>0.22448979591836735</v>
      </c>
    </row>
    <row r="99" spans="1:13" x14ac:dyDescent="0.25">
      <c r="A99" s="426"/>
      <c r="B99" s="426" t="s">
        <v>282</v>
      </c>
      <c r="C99" s="427" t="s">
        <v>283</v>
      </c>
      <c r="D99" s="693">
        <v>3.4285714285714284</v>
      </c>
      <c r="H99" s="657" t="s">
        <v>198</v>
      </c>
      <c r="I99" s="664">
        <v>545</v>
      </c>
      <c r="J99" s="658">
        <v>51</v>
      </c>
      <c r="K99" s="664">
        <v>51</v>
      </c>
      <c r="L99" s="656">
        <v>9.3577981651376152E-2</v>
      </c>
      <c r="M99" s="667">
        <v>9.3577981651376152E-2</v>
      </c>
    </row>
    <row r="100" spans="1:13" x14ac:dyDescent="0.25">
      <c r="A100" s="426"/>
      <c r="B100" s="426" t="s">
        <v>270</v>
      </c>
      <c r="C100" s="427" t="s">
        <v>271</v>
      </c>
      <c r="D100" s="693">
        <v>0.97101449275362317</v>
      </c>
      <c r="H100" s="662" t="s">
        <v>160</v>
      </c>
      <c r="I100" s="665">
        <v>114</v>
      </c>
      <c r="J100" s="644">
        <v>40</v>
      </c>
      <c r="K100" s="665">
        <v>40</v>
      </c>
      <c r="L100" s="660">
        <v>0.35087719298245612</v>
      </c>
      <c r="M100" s="668">
        <v>0.35087719298245612</v>
      </c>
    </row>
    <row r="101" spans="1:13" x14ac:dyDescent="0.25">
      <c r="A101" s="426"/>
      <c r="B101" s="426" t="s">
        <v>272</v>
      </c>
      <c r="C101" s="427" t="s">
        <v>273</v>
      </c>
      <c r="D101" s="693">
        <v>0.97777777777777775</v>
      </c>
      <c r="H101" s="643" t="s">
        <v>185</v>
      </c>
      <c r="I101" s="665"/>
      <c r="J101" s="644"/>
      <c r="K101" s="665"/>
      <c r="L101" s="660"/>
      <c r="M101" s="668"/>
    </row>
    <row r="102" spans="1:13" x14ac:dyDescent="0.25">
      <c r="A102" s="427"/>
      <c r="B102" s="427" t="s">
        <v>241</v>
      </c>
      <c r="C102" s="427" t="s">
        <v>1258</v>
      </c>
      <c r="D102" s="694">
        <v>1.8676470588235297</v>
      </c>
      <c r="H102" s="677" t="s">
        <v>185</v>
      </c>
      <c r="I102" s="665">
        <v>4405</v>
      </c>
      <c r="J102" s="644">
        <v>781</v>
      </c>
      <c r="K102" s="665">
        <v>781</v>
      </c>
      <c r="L102" s="660">
        <v>0.17729852440408628</v>
      </c>
      <c r="M102" s="668">
        <v>0.17729852440408628</v>
      </c>
    </row>
    <row r="103" spans="1:13" x14ac:dyDescent="0.25">
      <c r="A103" s="426" t="s">
        <v>289</v>
      </c>
      <c r="B103" s="426" t="s">
        <v>288</v>
      </c>
      <c r="C103" s="427" t="s">
        <v>290</v>
      </c>
      <c r="D103" s="693">
        <v>0.44117647058823528</v>
      </c>
      <c r="H103" s="657" t="s">
        <v>196</v>
      </c>
      <c r="I103" s="664">
        <v>1695</v>
      </c>
      <c r="J103" s="658">
        <v>500</v>
      </c>
      <c r="K103" s="664">
        <v>500</v>
      </c>
      <c r="L103" s="656">
        <v>0.29498525073746312</v>
      </c>
      <c r="M103" s="667">
        <v>0.29498525073746312</v>
      </c>
    </row>
    <row r="104" spans="1:13" x14ac:dyDescent="0.25">
      <c r="A104" s="426"/>
      <c r="B104" s="426" t="s">
        <v>291</v>
      </c>
      <c r="C104" s="427" t="s">
        <v>292</v>
      </c>
      <c r="D104" s="693">
        <v>1.1951219512195121</v>
      </c>
      <c r="H104" s="657" t="s">
        <v>202</v>
      </c>
      <c r="I104" s="664">
        <v>261</v>
      </c>
      <c r="J104" s="658">
        <v>108</v>
      </c>
      <c r="K104" s="664">
        <v>108</v>
      </c>
      <c r="L104" s="656">
        <v>0.41379310344827586</v>
      </c>
      <c r="M104" s="667">
        <v>0.41379310344827586</v>
      </c>
    </row>
    <row r="105" spans="1:13" x14ac:dyDescent="0.25">
      <c r="A105" s="426"/>
      <c r="B105" s="426" t="s">
        <v>1063</v>
      </c>
      <c r="C105" s="427" t="s">
        <v>1062</v>
      </c>
      <c r="D105" s="693">
        <v>0.90243902439024382</v>
      </c>
      <c r="H105" s="659" t="s">
        <v>190</v>
      </c>
      <c r="I105" s="664">
        <v>188</v>
      </c>
      <c r="J105" s="534">
        <v>106</v>
      </c>
      <c r="K105" s="664">
        <v>106</v>
      </c>
      <c r="L105" s="656">
        <v>0.56382978723404253</v>
      </c>
      <c r="M105" s="667">
        <v>0.56382978723404253</v>
      </c>
    </row>
    <row r="106" spans="1:13" x14ac:dyDescent="0.25">
      <c r="A106" s="427"/>
      <c r="B106" s="427" t="s">
        <v>1067</v>
      </c>
      <c r="C106" s="427" t="s">
        <v>1074</v>
      </c>
      <c r="D106" s="694">
        <v>0.51063829787234039</v>
      </c>
      <c r="H106" s="659" t="s">
        <v>223</v>
      </c>
      <c r="I106" s="664">
        <v>124</v>
      </c>
      <c r="J106" s="534">
        <v>57</v>
      </c>
      <c r="K106" s="664">
        <v>57</v>
      </c>
      <c r="L106" s="656">
        <v>0.45967741935483869</v>
      </c>
      <c r="M106" s="667">
        <v>0.45967741935483869</v>
      </c>
    </row>
    <row r="107" spans="1:13" x14ac:dyDescent="0.25">
      <c r="A107" s="427" t="s">
        <v>298</v>
      </c>
      <c r="B107" s="427" t="s">
        <v>297</v>
      </c>
      <c r="C107" s="427" t="s">
        <v>827</v>
      </c>
      <c r="D107" s="694">
        <v>1</v>
      </c>
      <c r="H107" s="659" t="s">
        <v>229</v>
      </c>
      <c r="I107" s="664">
        <v>50</v>
      </c>
      <c r="J107" s="534">
        <v>5</v>
      </c>
      <c r="K107" s="664">
        <v>5</v>
      </c>
      <c r="L107" s="656">
        <v>0.1</v>
      </c>
      <c r="M107" s="667">
        <v>0.1</v>
      </c>
    </row>
    <row r="108" spans="1:13" x14ac:dyDescent="0.25">
      <c r="A108" s="426" t="s">
        <v>302</v>
      </c>
      <c r="B108" s="426" t="s">
        <v>305</v>
      </c>
      <c r="C108" s="427" t="s">
        <v>306</v>
      </c>
      <c r="D108" s="693">
        <v>0.50602409638554213</v>
      </c>
      <c r="H108" s="659" t="s">
        <v>225</v>
      </c>
      <c r="I108" s="664">
        <v>45</v>
      </c>
      <c r="J108" s="534">
        <v>5</v>
      </c>
      <c r="K108" s="664">
        <v>5</v>
      </c>
      <c r="L108" s="656">
        <v>0.1111111111111111</v>
      </c>
      <c r="M108" s="667">
        <v>0.1111111111111111</v>
      </c>
    </row>
    <row r="109" spans="1:13" x14ac:dyDescent="0.25">
      <c r="A109" s="427"/>
      <c r="B109" s="427" t="s">
        <v>307</v>
      </c>
      <c r="C109" s="427" t="s">
        <v>308</v>
      </c>
      <c r="D109" s="694">
        <v>1.1219512195121952</v>
      </c>
      <c r="H109" s="659" t="s">
        <v>217</v>
      </c>
      <c r="I109" s="664">
        <v>24</v>
      </c>
      <c r="J109" s="534">
        <v>0</v>
      </c>
      <c r="K109" s="664">
        <v>0</v>
      </c>
      <c r="L109" s="656">
        <v>0</v>
      </c>
      <c r="M109" s="667">
        <v>0</v>
      </c>
    </row>
    <row r="110" spans="1:13" x14ac:dyDescent="0.25">
      <c r="A110" s="426" t="s">
        <v>310</v>
      </c>
      <c r="B110" s="426" t="s">
        <v>341</v>
      </c>
      <c r="C110" s="427" t="s">
        <v>342</v>
      </c>
      <c r="D110" s="693">
        <v>0.58461538461538465</v>
      </c>
      <c r="H110" s="657" t="s">
        <v>219</v>
      </c>
      <c r="I110" s="664">
        <v>677</v>
      </c>
      <c r="J110" s="658">
        <v>0</v>
      </c>
      <c r="K110" s="664">
        <v>0</v>
      </c>
      <c r="L110" s="656">
        <v>0</v>
      </c>
      <c r="M110" s="667">
        <v>0</v>
      </c>
    </row>
    <row r="111" spans="1:13" x14ac:dyDescent="0.25">
      <c r="A111" s="426"/>
      <c r="B111" s="426" t="s">
        <v>350</v>
      </c>
      <c r="C111" s="427" t="s">
        <v>351</v>
      </c>
      <c r="D111" s="693">
        <v>1.098901098901099</v>
      </c>
      <c r="H111" s="659" t="s">
        <v>186</v>
      </c>
      <c r="I111" s="664">
        <v>29</v>
      </c>
      <c r="J111" s="534">
        <v>0</v>
      </c>
      <c r="K111" s="664">
        <v>0</v>
      </c>
      <c r="L111" s="656">
        <v>0</v>
      </c>
      <c r="M111" s="667">
        <v>0</v>
      </c>
    </row>
    <row r="112" spans="1:13" x14ac:dyDescent="0.25">
      <c r="A112" s="426"/>
      <c r="B112" s="426" t="s">
        <v>319</v>
      </c>
      <c r="C112" s="427" t="s">
        <v>320</v>
      </c>
      <c r="D112" s="693">
        <v>1</v>
      </c>
      <c r="H112" s="659" t="s">
        <v>194</v>
      </c>
      <c r="I112" s="664">
        <v>614</v>
      </c>
      <c r="J112" s="534">
        <v>0</v>
      </c>
      <c r="K112" s="664">
        <v>0</v>
      </c>
      <c r="L112" s="656">
        <v>0</v>
      </c>
      <c r="M112" s="667">
        <v>0</v>
      </c>
    </row>
    <row r="113" spans="1:13" x14ac:dyDescent="0.25">
      <c r="A113" s="426"/>
      <c r="B113" s="426" t="s">
        <v>312</v>
      </c>
      <c r="C113" s="427" t="s">
        <v>313</v>
      </c>
      <c r="D113" s="693">
        <v>0.94594594594594605</v>
      </c>
      <c r="H113" s="659" t="s">
        <v>215</v>
      </c>
      <c r="I113" s="664">
        <v>375</v>
      </c>
      <c r="J113" s="534">
        <v>0</v>
      </c>
      <c r="K113" s="664">
        <v>0</v>
      </c>
      <c r="L113" s="656">
        <v>0</v>
      </c>
      <c r="M113" s="667">
        <v>0</v>
      </c>
    </row>
    <row r="114" spans="1:13" x14ac:dyDescent="0.25">
      <c r="A114" s="426"/>
      <c r="B114" s="426" t="s">
        <v>329</v>
      </c>
      <c r="C114" s="427" t="s">
        <v>330</v>
      </c>
      <c r="D114" s="693">
        <v>0.92511013215859039</v>
      </c>
      <c r="H114" s="659" t="s">
        <v>192</v>
      </c>
      <c r="I114" s="664">
        <v>116</v>
      </c>
      <c r="J114" s="534">
        <v>0</v>
      </c>
      <c r="K114" s="664">
        <v>0</v>
      </c>
      <c r="L114" s="656">
        <v>0</v>
      </c>
      <c r="M114" s="667">
        <v>0</v>
      </c>
    </row>
    <row r="115" spans="1:13" x14ac:dyDescent="0.25">
      <c r="A115" s="426"/>
      <c r="B115" s="426" t="s">
        <v>337</v>
      </c>
      <c r="C115" s="427" t="s">
        <v>338</v>
      </c>
      <c r="D115" s="693">
        <v>1.258064516129032</v>
      </c>
      <c r="H115" s="801" t="s">
        <v>209</v>
      </c>
      <c r="I115" s="665">
        <v>207</v>
      </c>
      <c r="J115" s="800">
        <v>0</v>
      </c>
      <c r="K115" s="665">
        <v>0</v>
      </c>
      <c r="L115" s="660">
        <v>0</v>
      </c>
      <c r="M115" s="668">
        <v>0</v>
      </c>
    </row>
    <row r="116" spans="1:13" x14ac:dyDescent="0.25">
      <c r="A116" s="426"/>
      <c r="B116" s="426" t="s">
        <v>327</v>
      </c>
      <c r="C116" s="427" t="s">
        <v>328</v>
      </c>
      <c r="D116" s="693">
        <v>0.79259259259259252</v>
      </c>
      <c r="H116" s="643" t="s">
        <v>237</v>
      </c>
      <c r="I116" s="665"/>
      <c r="J116" s="644"/>
      <c r="K116" s="665"/>
      <c r="L116" s="660"/>
      <c r="M116" s="668"/>
    </row>
    <row r="117" spans="1:13" x14ac:dyDescent="0.25">
      <c r="A117" s="426"/>
      <c r="B117" s="426" t="s">
        <v>317</v>
      </c>
      <c r="C117" s="427" t="s">
        <v>318</v>
      </c>
      <c r="D117" s="693">
        <v>1.021276595744681</v>
      </c>
      <c r="H117" s="677" t="s">
        <v>237</v>
      </c>
      <c r="I117" s="665">
        <v>1511</v>
      </c>
      <c r="J117" s="644">
        <v>493</v>
      </c>
      <c r="K117" s="665">
        <v>493</v>
      </c>
      <c r="L117" s="660">
        <v>0.32627399073461283</v>
      </c>
      <c r="M117" s="668">
        <v>0.32627399073461283</v>
      </c>
    </row>
    <row r="118" spans="1:13" x14ac:dyDescent="0.25">
      <c r="A118" s="426"/>
      <c r="B118" s="426" t="s">
        <v>348</v>
      </c>
      <c r="C118" s="427" t="s">
        <v>349</v>
      </c>
      <c r="D118" s="693">
        <v>1.7954545454545454</v>
      </c>
      <c r="H118" s="659" t="s">
        <v>240</v>
      </c>
      <c r="I118" s="664">
        <v>108</v>
      </c>
      <c r="J118" s="534">
        <v>84</v>
      </c>
      <c r="K118" s="664">
        <v>84</v>
      </c>
      <c r="L118" s="656">
        <v>0.77777777777777779</v>
      </c>
      <c r="M118" s="667">
        <v>0.77777777777777779</v>
      </c>
    </row>
    <row r="119" spans="1:13" x14ac:dyDescent="0.25">
      <c r="A119" s="426"/>
      <c r="B119" s="426" t="s">
        <v>315</v>
      </c>
      <c r="C119" s="427" t="s">
        <v>316</v>
      </c>
      <c r="D119" s="693">
        <v>0.61111111111111105</v>
      </c>
      <c r="H119" s="659" t="s">
        <v>259</v>
      </c>
      <c r="I119" s="664">
        <v>72</v>
      </c>
      <c r="J119" s="534">
        <v>52</v>
      </c>
      <c r="K119" s="664">
        <v>52</v>
      </c>
      <c r="L119" s="656">
        <v>0.72222222222222221</v>
      </c>
      <c r="M119" s="667">
        <v>0.72222222222222221</v>
      </c>
    </row>
    <row r="120" spans="1:13" x14ac:dyDescent="0.25">
      <c r="A120" s="426"/>
      <c r="B120" s="426" t="s">
        <v>325</v>
      </c>
      <c r="C120" s="427" t="s">
        <v>326</v>
      </c>
      <c r="D120" s="693">
        <v>0.83333333333333337</v>
      </c>
      <c r="H120" s="659" t="s">
        <v>247</v>
      </c>
      <c r="I120" s="664">
        <v>50</v>
      </c>
      <c r="J120" s="534">
        <v>47</v>
      </c>
      <c r="K120" s="664">
        <v>47</v>
      </c>
      <c r="L120" s="656">
        <v>0.94</v>
      </c>
      <c r="M120" s="667">
        <v>0.94</v>
      </c>
    </row>
    <row r="121" spans="1:13" x14ac:dyDescent="0.25">
      <c r="A121" s="426"/>
      <c r="B121" s="426" t="s">
        <v>323</v>
      </c>
      <c r="C121" s="427" t="s">
        <v>324</v>
      </c>
      <c r="D121" s="693">
        <v>1.0747663551401869</v>
      </c>
      <c r="H121" s="659" t="s">
        <v>253</v>
      </c>
      <c r="I121" s="664">
        <v>203</v>
      </c>
      <c r="J121" s="534">
        <v>43</v>
      </c>
      <c r="K121" s="664">
        <v>43</v>
      </c>
      <c r="L121" s="656">
        <v>0.21182266009852216</v>
      </c>
      <c r="M121" s="667">
        <v>0.21182266009852216</v>
      </c>
    </row>
    <row r="122" spans="1:13" x14ac:dyDescent="0.25">
      <c r="A122" s="426"/>
      <c r="B122" s="426" t="s">
        <v>346</v>
      </c>
      <c r="C122" s="427" t="s">
        <v>347</v>
      </c>
      <c r="D122" s="693">
        <v>1.4262295081967213</v>
      </c>
      <c r="H122" s="659" t="s">
        <v>281</v>
      </c>
      <c r="I122" s="664">
        <v>90</v>
      </c>
      <c r="J122" s="534">
        <v>40</v>
      </c>
      <c r="K122" s="664">
        <v>40</v>
      </c>
      <c r="L122" s="656">
        <v>0.44444444444444442</v>
      </c>
      <c r="M122" s="667">
        <v>0.44444444444444442</v>
      </c>
    </row>
    <row r="123" spans="1:13" x14ac:dyDescent="0.25">
      <c r="A123" s="426"/>
      <c r="B123" s="426" t="s">
        <v>333</v>
      </c>
      <c r="C123" s="427" t="s">
        <v>334</v>
      </c>
      <c r="D123" s="693">
        <v>1.5290322580645161</v>
      </c>
      <c r="H123" s="659" t="s">
        <v>257</v>
      </c>
      <c r="I123" s="664">
        <v>45</v>
      </c>
      <c r="J123" s="534">
        <v>40</v>
      </c>
      <c r="K123" s="664">
        <v>40</v>
      </c>
      <c r="L123" s="656">
        <v>0.88888888888888884</v>
      </c>
      <c r="M123" s="667">
        <v>0.88888888888888884</v>
      </c>
    </row>
    <row r="124" spans="1:13" x14ac:dyDescent="0.25">
      <c r="A124" s="426"/>
      <c r="B124" s="426" t="s">
        <v>335</v>
      </c>
      <c r="C124" s="427" t="s">
        <v>336</v>
      </c>
      <c r="D124" s="693">
        <v>0.64935064935064934</v>
      </c>
      <c r="H124" s="659" t="s">
        <v>285</v>
      </c>
      <c r="I124" s="664">
        <v>163</v>
      </c>
      <c r="J124" s="534">
        <v>38</v>
      </c>
      <c r="K124" s="664">
        <v>38</v>
      </c>
      <c r="L124" s="656">
        <v>0.23312883435582821</v>
      </c>
      <c r="M124" s="667">
        <v>0.23312883435582821</v>
      </c>
    </row>
    <row r="125" spans="1:13" x14ac:dyDescent="0.25">
      <c r="A125" s="426"/>
      <c r="B125" s="426" t="s">
        <v>352</v>
      </c>
      <c r="C125" s="427" t="s">
        <v>353</v>
      </c>
      <c r="D125" s="693">
        <v>0.11869436201780416</v>
      </c>
      <c r="H125" s="659" t="s">
        <v>277</v>
      </c>
      <c r="I125" s="664">
        <v>95</v>
      </c>
      <c r="J125" s="534">
        <v>31</v>
      </c>
      <c r="K125" s="664">
        <v>31</v>
      </c>
      <c r="L125" s="656">
        <v>0.32631578947368423</v>
      </c>
      <c r="M125" s="667">
        <v>0.32631578947368423</v>
      </c>
    </row>
    <row r="126" spans="1:13" x14ac:dyDescent="0.25">
      <c r="A126" s="426"/>
      <c r="B126" s="426" t="s">
        <v>321</v>
      </c>
      <c r="C126" s="427" t="s">
        <v>322</v>
      </c>
      <c r="D126" s="693">
        <v>0.99342105263157898</v>
      </c>
      <c r="H126" s="659" t="s">
        <v>255</v>
      </c>
      <c r="I126" s="664">
        <v>109</v>
      </c>
      <c r="J126" s="534">
        <v>29</v>
      </c>
      <c r="K126" s="664">
        <v>29</v>
      </c>
      <c r="L126" s="656">
        <v>0.26605504587155965</v>
      </c>
      <c r="M126" s="667">
        <v>0.26605504587155965</v>
      </c>
    </row>
    <row r="127" spans="1:13" x14ac:dyDescent="0.25">
      <c r="A127" s="426"/>
      <c r="B127" s="426" t="s">
        <v>354</v>
      </c>
      <c r="C127" s="427" t="s">
        <v>355</v>
      </c>
      <c r="D127" s="693">
        <v>0</v>
      </c>
      <c r="H127" s="659" t="s">
        <v>279</v>
      </c>
      <c r="I127" s="664">
        <v>28</v>
      </c>
      <c r="J127" s="534">
        <v>28</v>
      </c>
      <c r="K127" s="664">
        <v>28</v>
      </c>
      <c r="L127" s="656">
        <v>1</v>
      </c>
      <c r="M127" s="667">
        <v>1</v>
      </c>
    </row>
    <row r="128" spans="1:13" x14ac:dyDescent="0.25">
      <c r="A128" s="426"/>
      <c r="B128" s="426" t="s">
        <v>343</v>
      </c>
      <c r="C128" s="427" t="s">
        <v>344</v>
      </c>
      <c r="D128" s="693">
        <v>1.0555555555555556</v>
      </c>
      <c r="H128" s="659" t="s">
        <v>261</v>
      </c>
      <c r="I128" s="664">
        <v>96</v>
      </c>
      <c r="J128" s="534">
        <v>16</v>
      </c>
      <c r="K128" s="664">
        <v>16</v>
      </c>
      <c r="L128" s="656">
        <v>0.16666666666666666</v>
      </c>
      <c r="M128" s="667">
        <v>0.16666666666666666</v>
      </c>
    </row>
    <row r="129" spans="1:13" x14ac:dyDescent="0.25">
      <c r="A129" s="426"/>
      <c r="B129" s="426" t="s">
        <v>345</v>
      </c>
      <c r="C129" s="427" t="s">
        <v>1257</v>
      </c>
      <c r="D129" s="693">
        <v>0.18324607329842932</v>
      </c>
      <c r="H129" s="659" t="s">
        <v>251</v>
      </c>
      <c r="I129" s="664">
        <v>32</v>
      </c>
      <c r="J129" s="534">
        <v>12</v>
      </c>
      <c r="K129" s="664">
        <v>12</v>
      </c>
      <c r="L129" s="656">
        <v>0.375</v>
      </c>
      <c r="M129" s="667">
        <v>0.375</v>
      </c>
    </row>
    <row r="130" spans="1:13" x14ac:dyDescent="0.25">
      <c r="A130" s="427"/>
      <c r="B130" s="427" t="s">
        <v>356</v>
      </c>
      <c r="C130" s="427" t="s">
        <v>1259</v>
      </c>
      <c r="D130" s="694">
        <v>1.0016129032258065</v>
      </c>
      <c r="H130" s="659" t="s">
        <v>275</v>
      </c>
      <c r="I130" s="664">
        <v>44</v>
      </c>
      <c r="J130" s="534">
        <v>12</v>
      </c>
      <c r="K130" s="664">
        <v>12</v>
      </c>
      <c r="L130" s="656">
        <v>0.27272727272727271</v>
      </c>
      <c r="M130" s="667">
        <v>0.27272727272727271</v>
      </c>
    </row>
    <row r="131" spans="1:13" x14ac:dyDescent="0.25">
      <c r="A131" s="426" t="s">
        <v>300</v>
      </c>
      <c r="B131" s="427" t="s">
        <v>1014</v>
      </c>
      <c r="C131" s="427" t="s">
        <v>865</v>
      </c>
      <c r="D131" s="694">
        <v>0</v>
      </c>
      <c r="H131" s="659" t="s">
        <v>238</v>
      </c>
      <c r="I131" s="664">
        <v>70</v>
      </c>
      <c r="J131" s="534">
        <v>10</v>
      </c>
      <c r="K131" s="664">
        <v>10</v>
      </c>
      <c r="L131" s="656">
        <v>0.14285714285714285</v>
      </c>
      <c r="M131" s="667">
        <v>0.14285714285714285</v>
      </c>
    </row>
    <row r="132" spans="1:13" x14ac:dyDescent="0.25">
      <c r="A132" s="427"/>
      <c r="B132" s="493" t="s">
        <v>1278</v>
      </c>
      <c r="C132" s="493" t="s">
        <v>1279</v>
      </c>
      <c r="D132" s="429">
        <v>1.0344827586206897</v>
      </c>
      <c r="H132" s="659" t="s">
        <v>269</v>
      </c>
      <c r="I132" s="664">
        <v>57</v>
      </c>
      <c r="J132" s="534">
        <v>5</v>
      </c>
      <c r="K132" s="664">
        <v>5</v>
      </c>
      <c r="L132" s="656">
        <v>8.771929824561403E-2</v>
      </c>
      <c r="M132" s="667">
        <v>8.771929824561403E-2</v>
      </c>
    </row>
    <row r="133" spans="1:13" x14ac:dyDescent="0.25">
      <c r="A133" s="426" t="s">
        <v>784</v>
      </c>
      <c r="B133" s="493" t="s">
        <v>1277</v>
      </c>
      <c r="C133" s="493" t="s">
        <v>1295</v>
      </c>
      <c r="D133" s="429">
        <v>0.79545454545454553</v>
      </c>
      <c r="H133" s="659" t="s">
        <v>243</v>
      </c>
      <c r="I133" s="664">
        <v>6</v>
      </c>
      <c r="J133" s="534">
        <v>3</v>
      </c>
      <c r="K133" s="664">
        <v>3</v>
      </c>
      <c r="L133" s="656">
        <v>0.5</v>
      </c>
      <c r="M133" s="667">
        <v>0.5</v>
      </c>
    </row>
    <row r="134" spans="1:13" x14ac:dyDescent="0.25">
      <c r="A134" s="427" t="s">
        <v>416</v>
      </c>
      <c r="B134" s="427"/>
      <c r="C134" s="427"/>
      <c r="D134" s="694">
        <v>159.24745934326162</v>
      </c>
      <c r="H134" s="659" t="s">
        <v>271</v>
      </c>
      <c r="I134" s="664">
        <v>69</v>
      </c>
      <c r="J134" s="534">
        <v>2</v>
      </c>
      <c r="K134" s="664">
        <v>2</v>
      </c>
      <c r="L134" s="656">
        <v>2.8985507246376812E-2</v>
      </c>
      <c r="M134" s="667">
        <v>2.8985507246376812E-2</v>
      </c>
    </row>
    <row r="135" spans="1:13" x14ac:dyDescent="0.25">
      <c r="B135"/>
      <c r="H135" s="659" t="s">
        <v>273</v>
      </c>
      <c r="I135" s="664">
        <v>45</v>
      </c>
      <c r="J135" s="534">
        <v>1</v>
      </c>
      <c r="K135" s="664">
        <v>1</v>
      </c>
      <c r="L135" s="656">
        <v>2.2222222222222223E-2</v>
      </c>
      <c r="M135" s="667">
        <v>2.2222222222222223E-2</v>
      </c>
    </row>
    <row r="136" spans="1:13" x14ac:dyDescent="0.25">
      <c r="B136"/>
      <c r="H136" s="659" t="s">
        <v>1258</v>
      </c>
      <c r="I136" s="664">
        <v>68</v>
      </c>
      <c r="J136" s="534">
        <v>0</v>
      </c>
      <c r="K136" s="664">
        <v>0</v>
      </c>
      <c r="L136" s="656">
        <v>0</v>
      </c>
      <c r="M136" s="667">
        <v>0</v>
      </c>
    </row>
    <row r="137" spans="1:13" x14ac:dyDescent="0.25">
      <c r="B137"/>
      <c r="H137" s="659" t="s">
        <v>263</v>
      </c>
      <c r="I137" s="664">
        <v>22</v>
      </c>
      <c r="J137" s="534">
        <v>0</v>
      </c>
      <c r="K137" s="664">
        <v>0</v>
      </c>
      <c r="L137" s="656">
        <v>0</v>
      </c>
      <c r="M137" s="667">
        <v>0</v>
      </c>
    </row>
    <row r="138" spans="1:13" x14ac:dyDescent="0.25">
      <c r="B138"/>
      <c r="H138" s="659" t="s">
        <v>283</v>
      </c>
      <c r="I138" s="664">
        <v>7</v>
      </c>
      <c r="J138" s="534">
        <v>0</v>
      </c>
      <c r="K138" s="664">
        <v>0</v>
      </c>
      <c r="L138" s="656">
        <v>0</v>
      </c>
      <c r="M138" s="667">
        <v>0</v>
      </c>
    </row>
    <row r="139" spans="1:13" x14ac:dyDescent="0.25">
      <c r="B139"/>
      <c r="H139" s="659" t="s">
        <v>245</v>
      </c>
      <c r="I139" s="664">
        <v>6</v>
      </c>
      <c r="J139" s="534">
        <v>0</v>
      </c>
      <c r="K139" s="664">
        <v>0</v>
      </c>
      <c r="L139" s="656">
        <v>0</v>
      </c>
      <c r="M139" s="667">
        <v>0</v>
      </c>
    </row>
    <row r="140" spans="1:13" x14ac:dyDescent="0.25">
      <c r="B140"/>
      <c r="H140" s="659" t="s">
        <v>249</v>
      </c>
      <c r="I140" s="664">
        <v>12</v>
      </c>
      <c r="J140" s="534">
        <v>0</v>
      </c>
      <c r="K140" s="664">
        <v>0</v>
      </c>
      <c r="L140" s="656">
        <v>0</v>
      </c>
      <c r="M140" s="667">
        <v>0</v>
      </c>
    </row>
    <row r="141" spans="1:13" x14ac:dyDescent="0.25">
      <c r="B141"/>
      <c r="H141" s="662" t="s">
        <v>265</v>
      </c>
      <c r="I141" s="665">
        <v>14</v>
      </c>
      <c r="J141" s="644">
        <v>0</v>
      </c>
      <c r="K141" s="665">
        <v>0</v>
      </c>
      <c r="L141" s="660">
        <v>0</v>
      </c>
      <c r="M141" s="668">
        <v>0</v>
      </c>
    </row>
    <row r="142" spans="1:13" x14ac:dyDescent="0.25">
      <c r="B142"/>
      <c r="H142" s="643" t="s">
        <v>289</v>
      </c>
      <c r="I142" s="665"/>
      <c r="J142" s="644"/>
      <c r="K142" s="665"/>
      <c r="L142" s="660"/>
      <c r="M142" s="668"/>
    </row>
    <row r="143" spans="1:13" x14ac:dyDescent="0.25">
      <c r="B143"/>
      <c r="H143" s="677" t="s">
        <v>289</v>
      </c>
      <c r="I143" s="665">
        <v>380</v>
      </c>
      <c r="J143" s="644">
        <v>159</v>
      </c>
      <c r="K143" s="665">
        <v>159</v>
      </c>
      <c r="L143" s="660">
        <v>0.41842105263157897</v>
      </c>
      <c r="M143" s="668">
        <v>0.41842105263157897</v>
      </c>
    </row>
    <row r="144" spans="1:13" x14ac:dyDescent="0.25">
      <c r="B144"/>
      <c r="H144" s="657" t="s">
        <v>1074</v>
      </c>
      <c r="I144" s="664">
        <v>141</v>
      </c>
      <c r="J144" s="658">
        <v>69</v>
      </c>
      <c r="K144" s="664">
        <v>69</v>
      </c>
      <c r="L144" s="656">
        <v>0.48936170212765956</v>
      </c>
      <c r="M144" s="667">
        <v>0.48936170212765956</v>
      </c>
    </row>
    <row r="145" spans="2:13" x14ac:dyDescent="0.25">
      <c r="B145"/>
      <c r="H145" s="659" t="s">
        <v>374</v>
      </c>
      <c r="I145" s="664">
        <v>48</v>
      </c>
      <c r="J145" s="534">
        <v>48</v>
      </c>
      <c r="K145" s="664">
        <v>48</v>
      </c>
      <c r="L145" s="656">
        <v>1</v>
      </c>
      <c r="M145" s="667">
        <v>1</v>
      </c>
    </row>
    <row r="146" spans="2:13" x14ac:dyDescent="0.25">
      <c r="B146"/>
      <c r="H146" s="659" t="s">
        <v>290</v>
      </c>
      <c r="I146" s="664">
        <v>68</v>
      </c>
      <c r="J146" s="534">
        <v>38</v>
      </c>
      <c r="K146" s="664">
        <v>38</v>
      </c>
      <c r="L146" s="656">
        <v>0.55882352941176472</v>
      </c>
      <c r="M146" s="667">
        <v>0.55882352941176472</v>
      </c>
    </row>
    <row r="147" spans="2:13" x14ac:dyDescent="0.25">
      <c r="B147"/>
      <c r="H147" s="659" t="s">
        <v>1062</v>
      </c>
      <c r="I147" s="664">
        <v>41</v>
      </c>
      <c r="J147" s="534">
        <v>4</v>
      </c>
      <c r="K147" s="664">
        <v>4</v>
      </c>
      <c r="L147" s="656">
        <v>9.7560975609756101E-2</v>
      </c>
      <c r="M147" s="667">
        <v>9.7560975609756101E-2</v>
      </c>
    </row>
    <row r="148" spans="2:13" x14ac:dyDescent="0.25">
      <c r="B148"/>
      <c r="H148" s="662" t="s">
        <v>292</v>
      </c>
      <c r="I148" s="665">
        <v>82</v>
      </c>
      <c r="J148" s="644">
        <v>0</v>
      </c>
      <c r="K148" s="665">
        <v>0</v>
      </c>
      <c r="L148" s="660">
        <v>0</v>
      </c>
      <c r="M148" s="668">
        <v>0</v>
      </c>
    </row>
    <row r="149" spans="2:13" x14ac:dyDescent="0.25">
      <c r="B149"/>
      <c r="H149" s="643" t="s">
        <v>310</v>
      </c>
      <c r="I149" s="665"/>
      <c r="J149" s="644"/>
      <c r="K149" s="665"/>
      <c r="L149" s="660"/>
      <c r="M149" s="668"/>
    </row>
    <row r="150" spans="2:13" x14ac:dyDescent="0.25">
      <c r="B150"/>
      <c r="H150" s="677" t="s">
        <v>310</v>
      </c>
      <c r="I150" s="665">
        <v>4774</v>
      </c>
      <c r="J150" s="644">
        <v>1631</v>
      </c>
      <c r="K150" s="665">
        <v>1631</v>
      </c>
      <c r="L150" s="660">
        <v>0.34164222873900291</v>
      </c>
      <c r="M150" s="668">
        <v>0.34164222873900291</v>
      </c>
    </row>
    <row r="151" spans="2:13" x14ac:dyDescent="0.25">
      <c r="B151"/>
      <c r="H151" s="657" t="s">
        <v>353</v>
      </c>
      <c r="I151" s="664">
        <v>1348</v>
      </c>
      <c r="J151" s="658">
        <v>1188</v>
      </c>
      <c r="K151" s="664">
        <v>1188</v>
      </c>
      <c r="L151" s="656">
        <v>0.88130563798219586</v>
      </c>
      <c r="M151" s="667">
        <v>0.88130563798219586</v>
      </c>
    </row>
    <row r="152" spans="2:13" x14ac:dyDescent="0.25">
      <c r="B152"/>
      <c r="H152" s="659" t="s">
        <v>1257</v>
      </c>
      <c r="I152" s="664">
        <v>191</v>
      </c>
      <c r="J152" s="534">
        <v>156</v>
      </c>
      <c r="K152" s="664">
        <v>156</v>
      </c>
      <c r="L152" s="656">
        <v>0.81675392670157065</v>
      </c>
      <c r="M152" s="667">
        <v>0.81675392670157065</v>
      </c>
    </row>
    <row r="153" spans="2:13" x14ac:dyDescent="0.25">
      <c r="B153"/>
      <c r="H153" s="657" t="s">
        <v>355</v>
      </c>
      <c r="I153" s="664">
        <v>108</v>
      </c>
      <c r="J153" s="658">
        <v>108</v>
      </c>
      <c r="K153" s="664">
        <v>108</v>
      </c>
      <c r="L153" s="656">
        <v>1</v>
      </c>
      <c r="M153" s="667">
        <v>1</v>
      </c>
    </row>
    <row r="154" spans="2:13" x14ac:dyDescent="0.25">
      <c r="B154"/>
      <c r="H154" s="659" t="s">
        <v>336</v>
      </c>
      <c r="I154" s="664">
        <v>154</v>
      </c>
      <c r="J154" s="534">
        <v>54</v>
      </c>
      <c r="K154" s="664">
        <v>54</v>
      </c>
      <c r="L154" s="656">
        <v>0.35064935064935066</v>
      </c>
      <c r="M154" s="667">
        <v>0.35064935064935066</v>
      </c>
    </row>
    <row r="155" spans="2:13" x14ac:dyDescent="0.25">
      <c r="B155"/>
      <c r="H155" s="659" t="s">
        <v>316</v>
      </c>
      <c r="I155" s="664">
        <v>90</v>
      </c>
      <c r="J155" s="534">
        <v>35</v>
      </c>
      <c r="K155" s="664">
        <v>35</v>
      </c>
      <c r="L155" s="656">
        <v>0.3888888888888889</v>
      </c>
      <c r="M155" s="667">
        <v>0.3888888888888889</v>
      </c>
    </row>
    <row r="156" spans="2:13" x14ac:dyDescent="0.25">
      <c r="B156"/>
      <c r="H156" s="659" t="s">
        <v>328</v>
      </c>
      <c r="I156" s="664">
        <v>135</v>
      </c>
      <c r="J156" s="534">
        <v>28</v>
      </c>
      <c r="K156" s="664">
        <v>28</v>
      </c>
      <c r="L156" s="656">
        <v>0.2074074074074074</v>
      </c>
      <c r="M156" s="667">
        <v>0.2074074074074074</v>
      </c>
    </row>
    <row r="157" spans="2:13" x14ac:dyDescent="0.25">
      <c r="B157"/>
      <c r="H157" s="659" t="s">
        <v>342</v>
      </c>
      <c r="I157" s="664">
        <v>65</v>
      </c>
      <c r="J157" s="534">
        <v>27</v>
      </c>
      <c r="K157" s="664">
        <v>27</v>
      </c>
      <c r="L157" s="656">
        <v>0.41538461538461541</v>
      </c>
      <c r="M157" s="667">
        <v>0.41538461538461541</v>
      </c>
    </row>
    <row r="158" spans="2:13" x14ac:dyDescent="0.25">
      <c r="B158"/>
      <c r="H158" s="659" t="s">
        <v>330</v>
      </c>
      <c r="I158" s="664">
        <v>227</v>
      </c>
      <c r="J158" s="534">
        <v>17</v>
      </c>
      <c r="K158" s="664">
        <v>17</v>
      </c>
      <c r="L158" s="656">
        <v>7.4889867841409691E-2</v>
      </c>
      <c r="M158" s="667">
        <v>7.4889867841409691E-2</v>
      </c>
    </row>
    <row r="159" spans="2:13" x14ac:dyDescent="0.25">
      <c r="B159"/>
      <c r="H159" s="659" t="s">
        <v>326</v>
      </c>
      <c r="I159" s="664">
        <v>48</v>
      </c>
      <c r="J159" s="534">
        <v>8</v>
      </c>
      <c r="K159" s="664">
        <v>8</v>
      </c>
      <c r="L159" s="656">
        <v>0.16666666666666666</v>
      </c>
      <c r="M159" s="667">
        <v>0.16666666666666666</v>
      </c>
    </row>
    <row r="160" spans="2:13" x14ac:dyDescent="0.25">
      <c r="B160"/>
      <c r="H160" s="659" t="s">
        <v>313</v>
      </c>
      <c r="I160" s="664">
        <v>111</v>
      </c>
      <c r="J160" s="534">
        <v>6</v>
      </c>
      <c r="K160" s="664">
        <v>6</v>
      </c>
      <c r="L160" s="656">
        <v>5.4054054054054057E-2</v>
      </c>
      <c r="M160" s="667">
        <v>5.4054054054054057E-2</v>
      </c>
    </row>
    <row r="161" spans="2:13" x14ac:dyDescent="0.25">
      <c r="B161"/>
      <c r="H161" s="659" t="s">
        <v>322</v>
      </c>
      <c r="I161" s="664">
        <v>608</v>
      </c>
      <c r="J161" s="534">
        <v>4</v>
      </c>
      <c r="K161" s="664">
        <v>4</v>
      </c>
      <c r="L161" s="656">
        <v>6.5789473684210523E-3</v>
      </c>
      <c r="M161" s="667">
        <v>6.5789473684210523E-3</v>
      </c>
    </row>
    <row r="162" spans="2:13" x14ac:dyDescent="0.25">
      <c r="B162"/>
      <c r="H162" s="659" t="s">
        <v>351</v>
      </c>
      <c r="I162" s="664">
        <v>91</v>
      </c>
      <c r="J162" s="534">
        <v>0</v>
      </c>
      <c r="K162" s="664">
        <v>0</v>
      </c>
      <c r="L162" s="656">
        <v>0</v>
      </c>
      <c r="M162" s="667">
        <v>0</v>
      </c>
    </row>
    <row r="163" spans="2:13" x14ac:dyDescent="0.25">
      <c r="B163"/>
      <c r="H163" s="659" t="s">
        <v>349</v>
      </c>
      <c r="I163" s="664">
        <v>44</v>
      </c>
      <c r="J163" s="534">
        <v>0</v>
      </c>
      <c r="K163" s="664">
        <v>0</v>
      </c>
      <c r="L163" s="656">
        <v>0</v>
      </c>
      <c r="M163" s="667">
        <v>0</v>
      </c>
    </row>
    <row r="164" spans="2:13" x14ac:dyDescent="0.25">
      <c r="B164"/>
      <c r="H164" s="659" t="s">
        <v>347</v>
      </c>
      <c r="I164" s="664">
        <v>183</v>
      </c>
      <c r="J164" s="534">
        <v>0</v>
      </c>
      <c r="K164" s="664">
        <v>0</v>
      </c>
      <c r="L164" s="656">
        <v>0</v>
      </c>
      <c r="M164" s="667">
        <v>0</v>
      </c>
    </row>
    <row r="165" spans="2:13" x14ac:dyDescent="0.25">
      <c r="B165"/>
      <c r="H165" s="659" t="s">
        <v>324</v>
      </c>
      <c r="I165" s="664">
        <v>428</v>
      </c>
      <c r="J165" s="534">
        <v>0</v>
      </c>
      <c r="K165" s="664">
        <v>0</v>
      </c>
      <c r="L165" s="656">
        <v>0</v>
      </c>
      <c r="M165" s="667">
        <v>0</v>
      </c>
    </row>
    <row r="166" spans="2:13" x14ac:dyDescent="0.25">
      <c r="B166"/>
      <c r="H166" s="659" t="s">
        <v>1259</v>
      </c>
      <c r="I166" s="664">
        <v>620</v>
      </c>
      <c r="J166" s="534">
        <v>0</v>
      </c>
      <c r="K166" s="664">
        <v>0</v>
      </c>
      <c r="L166" s="656">
        <v>0</v>
      </c>
      <c r="M166" s="667">
        <v>0</v>
      </c>
    </row>
    <row r="167" spans="2:13" x14ac:dyDescent="0.25">
      <c r="B167"/>
      <c r="H167" s="659" t="s">
        <v>344</v>
      </c>
      <c r="I167" s="664">
        <v>18</v>
      </c>
      <c r="J167" s="534">
        <v>0</v>
      </c>
      <c r="K167" s="664">
        <v>0</v>
      </c>
      <c r="L167" s="656">
        <v>0</v>
      </c>
      <c r="M167" s="667">
        <v>0</v>
      </c>
    </row>
    <row r="168" spans="2:13" x14ac:dyDescent="0.25">
      <c r="B168"/>
      <c r="H168" s="659" t="s">
        <v>338</v>
      </c>
      <c r="I168" s="664">
        <v>31</v>
      </c>
      <c r="J168" s="534">
        <v>0</v>
      </c>
      <c r="K168" s="664">
        <v>0</v>
      </c>
      <c r="L168" s="656">
        <v>0</v>
      </c>
      <c r="M168" s="667">
        <v>0</v>
      </c>
    </row>
    <row r="169" spans="2:13" x14ac:dyDescent="0.25">
      <c r="B169"/>
      <c r="H169" s="659" t="s">
        <v>334</v>
      </c>
      <c r="I169" s="664">
        <v>155</v>
      </c>
      <c r="J169" s="534">
        <v>0</v>
      </c>
      <c r="K169" s="664">
        <v>0</v>
      </c>
      <c r="L169" s="656">
        <v>0</v>
      </c>
      <c r="M169" s="667">
        <v>0</v>
      </c>
    </row>
    <row r="170" spans="2:13" x14ac:dyDescent="0.25">
      <c r="B170"/>
      <c r="H170" s="659" t="s">
        <v>320</v>
      </c>
      <c r="I170" s="664">
        <v>25</v>
      </c>
      <c r="J170" s="534">
        <v>0</v>
      </c>
      <c r="K170" s="664">
        <v>0</v>
      </c>
      <c r="L170" s="656">
        <v>0</v>
      </c>
      <c r="M170" s="667">
        <v>0</v>
      </c>
    </row>
    <row r="171" spans="2:13" x14ac:dyDescent="0.25">
      <c r="B171"/>
      <c r="H171" s="662" t="s">
        <v>318</v>
      </c>
      <c r="I171" s="665">
        <v>94</v>
      </c>
      <c r="J171" s="644">
        <v>0</v>
      </c>
      <c r="K171" s="665">
        <v>0</v>
      </c>
      <c r="L171" s="660">
        <v>0</v>
      </c>
      <c r="M171" s="668">
        <v>0</v>
      </c>
    </row>
    <row r="172" spans="2:13" x14ac:dyDescent="0.25">
      <c r="B172"/>
      <c r="H172" s="643" t="s">
        <v>416</v>
      </c>
      <c r="I172" s="665">
        <v>17525</v>
      </c>
      <c r="J172" s="644">
        <v>5761</v>
      </c>
      <c r="K172" s="665">
        <v>5677</v>
      </c>
      <c r="L172" s="660">
        <v>0.32873038516405134</v>
      </c>
      <c r="M172" s="668">
        <v>0.32393723252496431</v>
      </c>
    </row>
    <row r="173" spans="2:13" x14ac:dyDescent="0.25">
      <c r="B173"/>
    </row>
    <row r="174" spans="2:13" x14ac:dyDescent="0.25">
      <c r="B174"/>
    </row>
    <row r="175" spans="2:13" x14ac:dyDescent="0.25">
      <c r="B175"/>
    </row>
    <row r="176" spans="2:13"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59999389629810485"/>
  </sheetPr>
  <dimension ref="A1:AQ106"/>
  <sheetViews>
    <sheetView showZeros="0" zoomScaleNormal="100" zoomScaleSheetLayoutView="100" zoomScalePageLayoutView="80" workbookViewId="0">
      <selection activeCell="T26" sqref="T26"/>
    </sheetView>
  </sheetViews>
  <sheetFormatPr defaultColWidth="9.140625" defaultRowHeight="15" x14ac:dyDescent="0.25"/>
  <cols>
    <col min="1" max="1" width="2.42578125" style="129" customWidth="1"/>
    <col min="2" max="2" width="1.85546875" style="129" customWidth="1"/>
    <col min="3" max="3" width="21" style="50" customWidth="1"/>
    <col min="4" max="4" width="8.28515625" style="50" customWidth="1"/>
    <col min="5" max="5" width="6.5703125" style="50" customWidth="1"/>
    <col min="6" max="6" width="6.85546875" style="50" customWidth="1"/>
    <col min="7" max="8" width="7.42578125" style="50" customWidth="1"/>
    <col min="9" max="9" width="15" style="50" customWidth="1"/>
    <col min="10" max="11" width="16" style="50" customWidth="1"/>
    <col min="12" max="12" width="9.140625" style="50"/>
    <col min="13" max="13" width="8.7109375" style="50" customWidth="1"/>
    <col min="14" max="14" width="5.85546875" style="50" customWidth="1"/>
    <col min="15" max="15" width="3.140625" style="50" customWidth="1"/>
    <col min="16" max="16" width="11" style="50" customWidth="1"/>
    <col min="17" max="17" width="11" style="50" hidden="1" customWidth="1"/>
    <col min="18" max="18" width="10.5703125" style="50" hidden="1" customWidth="1"/>
    <col min="19" max="19" width="13.7109375" style="67" customWidth="1"/>
    <col min="20" max="20" width="13.85546875" style="67" customWidth="1"/>
    <col min="21" max="24" width="9.140625" style="67"/>
    <col min="25" max="25" width="21.140625" style="67" customWidth="1"/>
    <col min="26" max="32" width="9.140625" style="67"/>
    <col min="33" max="16384" width="9.140625" style="50"/>
  </cols>
  <sheetData>
    <row r="1" spans="2:43" s="129" customFormat="1" ht="9.75" customHeight="1" thickBot="1" x14ac:dyDescent="0.3"/>
    <row r="2" spans="2:43" s="129" customFormat="1" ht="9.75" customHeight="1" x14ac:dyDescent="0.25">
      <c r="B2" s="259"/>
      <c r="C2" s="260"/>
      <c r="D2" s="260"/>
      <c r="E2" s="260"/>
      <c r="F2" s="260"/>
      <c r="G2" s="260"/>
      <c r="H2" s="260"/>
      <c r="I2" s="260"/>
      <c r="J2" s="260"/>
      <c r="K2" s="260"/>
      <c r="L2" s="260"/>
      <c r="M2" s="260"/>
      <c r="N2" s="260"/>
      <c r="O2" s="261"/>
    </row>
    <row r="3" spans="2:43" s="1" customFormat="1" ht="36" x14ac:dyDescent="0.25">
      <c r="B3" s="262"/>
      <c r="C3" s="276"/>
      <c r="D3" s="276"/>
      <c r="E3" s="276"/>
      <c r="F3" s="276"/>
      <c r="G3" s="276"/>
      <c r="H3" s="276"/>
      <c r="I3" s="276"/>
      <c r="J3" s="276"/>
      <c r="K3" s="276"/>
      <c r="L3" s="276"/>
      <c r="M3" s="276"/>
      <c r="N3" s="276"/>
      <c r="O3" s="263"/>
      <c r="P3" s="129"/>
      <c r="Q3" s="129"/>
      <c r="AO3" s="59"/>
      <c r="AP3" s="59"/>
    </row>
    <row r="4" spans="2:43" s="1" customFormat="1" ht="33" customHeight="1" x14ac:dyDescent="0.25">
      <c r="B4" s="262"/>
      <c r="C4" s="860" t="s">
        <v>592</v>
      </c>
      <c r="D4" s="860"/>
      <c r="E4" s="860"/>
      <c r="F4" s="860"/>
      <c r="G4" s="860"/>
      <c r="H4" s="860"/>
      <c r="I4" s="860"/>
      <c r="J4" s="860"/>
      <c r="K4" s="860"/>
      <c r="L4" s="252"/>
      <c r="M4" s="252"/>
      <c r="N4" s="252"/>
      <c r="O4" s="263"/>
      <c r="P4" s="129"/>
      <c r="Q4" s="129"/>
      <c r="S4" s="26" t="s">
        <v>1165</v>
      </c>
      <c r="T4" s="53">
        <f>GETPIVOTDATA("# HH",$C$21)</f>
        <v>17525</v>
      </c>
      <c r="U4" s="82"/>
      <c r="V4" s="82"/>
      <c r="W4" s="82"/>
      <c r="X4" s="82"/>
      <c r="Y4" s="82"/>
      <c r="Z4" s="82"/>
      <c r="AA4" s="82"/>
      <c r="AB4" s="82"/>
      <c r="AC4" s="82"/>
      <c r="AD4" s="82"/>
      <c r="AE4" s="82"/>
      <c r="AF4" s="82"/>
      <c r="AP4" s="59"/>
      <c r="AQ4" s="59"/>
    </row>
    <row r="5" spans="2:43" s="18" customFormat="1" ht="18" customHeight="1" x14ac:dyDescent="0.25">
      <c r="B5" s="264"/>
      <c r="C5" s="846">
        <v>42370</v>
      </c>
      <c r="D5" s="846"/>
      <c r="E5" s="846"/>
      <c r="F5" s="846"/>
      <c r="G5" s="846"/>
      <c r="H5" s="846"/>
      <c r="I5" s="846"/>
      <c r="J5" s="846"/>
      <c r="K5" s="256"/>
      <c r="L5" s="256"/>
      <c r="M5" s="256"/>
      <c r="N5" s="256"/>
      <c r="O5" s="265"/>
      <c r="P5" s="129"/>
      <c r="Q5" s="129"/>
      <c r="S5" s="26" t="s">
        <v>1247</v>
      </c>
      <c r="T5" s="53">
        <f>GETPIVOTDATA("# Camps",$C$21)</f>
        <v>137</v>
      </c>
      <c r="U5" s="82"/>
      <c r="V5" s="82"/>
      <c r="W5" s="82"/>
      <c r="X5" s="82"/>
      <c r="Y5" s="82"/>
      <c r="Z5" s="82"/>
      <c r="AA5" s="82"/>
      <c r="AB5" s="82"/>
      <c r="AC5" s="82"/>
      <c r="AD5" s="82"/>
      <c r="AE5" s="82"/>
      <c r="AF5" s="82"/>
      <c r="AP5" s="60"/>
      <c r="AQ5" s="60"/>
    </row>
    <row r="6" spans="2:43" s="18" customFormat="1" ht="8.25" customHeight="1" x14ac:dyDescent="0.25">
      <c r="B6" s="283"/>
      <c r="C6" s="289"/>
      <c r="D6" s="289"/>
      <c r="E6" s="289"/>
      <c r="F6" s="289"/>
      <c r="G6" s="289"/>
      <c r="H6" s="289"/>
      <c r="I6" s="289"/>
      <c r="J6" s="289"/>
      <c r="K6" s="290"/>
      <c r="L6" s="290"/>
      <c r="M6" s="290"/>
      <c r="N6" s="290"/>
      <c r="O6" s="277"/>
      <c r="P6" s="129"/>
      <c r="Q6" s="129"/>
      <c r="S6" s="26"/>
      <c r="T6" s="53"/>
      <c r="U6" s="129"/>
      <c r="V6" s="129"/>
      <c r="W6" s="129"/>
      <c r="X6" s="129"/>
      <c r="Y6" s="129"/>
      <c r="Z6" s="129"/>
      <c r="AA6" s="129"/>
      <c r="AB6" s="129"/>
      <c r="AC6" s="129"/>
      <c r="AD6" s="129"/>
      <c r="AE6" s="129"/>
      <c r="AF6" s="129"/>
      <c r="AP6" s="60"/>
      <c r="AQ6" s="60"/>
    </row>
    <row r="7" spans="2:43" x14ac:dyDescent="0.25">
      <c r="B7" s="283"/>
      <c r="C7" s="39"/>
      <c r="D7" s="39"/>
      <c r="E7" s="39"/>
      <c r="F7" s="39"/>
      <c r="G7" s="39"/>
      <c r="H7" s="39"/>
      <c r="I7" s="39"/>
      <c r="J7" s="39"/>
      <c r="K7" s="39"/>
      <c r="L7" s="39"/>
      <c r="M7" s="39"/>
      <c r="N7" s="39"/>
      <c r="O7" s="277"/>
      <c r="S7" s="26" t="s">
        <v>1167</v>
      </c>
      <c r="T7" s="424">
        <f>GETPIVOTDATA("# HH",$C$21)-GETPIVOTDATA("# Shelter Gap",$C$21)</f>
        <v>11764</v>
      </c>
    </row>
    <row r="8" spans="2:43" x14ac:dyDescent="0.25">
      <c r="B8" s="283"/>
      <c r="C8" s="39"/>
      <c r="D8" s="39"/>
      <c r="E8" s="39"/>
      <c r="F8" s="39"/>
      <c r="G8" s="39"/>
      <c r="H8" s="39"/>
      <c r="I8" s="39"/>
      <c r="J8" s="39"/>
      <c r="K8" s="39"/>
      <c r="L8" s="39"/>
      <c r="M8" s="39"/>
      <c r="N8" s="39"/>
      <c r="O8" s="277"/>
      <c r="R8" s="18"/>
      <c r="S8" s="26" t="s">
        <v>1166</v>
      </c>
      <c r="T8" s="53">
        <f>GETPIVOTDATA("# Shelter Gap",$C$21)</f>
        <v>5761</v>
      </c>
    </row>
    <row r="9" spans="2:43" x14ac:dyDescent="0.25">
      <c r="B9" s="283"/>
      <c r="C9" s="39"/>
      <c r="D9" s="39"/>
      <c r="E9" s="39"/>
      <c r="F9" s="39"/>
      <c r="G9" s="39"/>
      <c r="H9" s="39"/>
      <c r="I9" s="39"/>
      <c r="J9" s="39"/>
      <c r="K9" s="39"/>
      <c r="L9" s="39"/>
      <c r="M9" s="39"/>
      <c r="N9" s="39"/>
      <c r="O9" s="277"/>
      <c r="S9" s="26" t="s">
        <v>1169</v>
      </c>
      <c r="T9" s="53">
        <f>GETPIVOTDATA("# Const. Shelter",$C$21)</f>
        <v>5677</v>
      </c>
    </row>
    <row r="10" spans="2:43" ht="12.75" customHeight="1" x14ac:dyDescent="0.25">
      <c r="B10" s="283"/>
      <c r="C10" s="39"/>
      <c r="D10" s="39"/>
      <c r="E10" s="39"/>
      <c r="F10" s="39"/>
      <c r="G10" s="39"/>
      <c r="H10" s="39"/>
      <c r="I10" s="39"/>
      <c r="J10" s="39"/>
      <c r="K10" s="39"/>
      <c r="L10" s="39"/>
      <c r="M10" s="39"/>
      <c r="N10" s="39"/>
      <c r="O10" s="277"/>
      <c r="S10" s="26" t="s">
        <v>1168</v>
      </c>
      <c r="T10" s="424">
        <f>GETPIVOTDATA("# Shelter Gap",$C$21)-GETPIVOTDATA("# Const. Shelter",$C$21)</f>
        <v>84</v>
      </c>
    </row>
    <row r="11" spans="2:43" ht="12.75" customHeight="1" x14ac:dyDescent="0.25">
      <c r="B11" s="283"/>
      <c r="C11" s="39"/>
      <c r="D11" s="39"/>
      <c r="E11" s="39"/>
      <c r="F11" s="39"/>
      <c r="G11" s="39"/>
      <c r="H11" s="39"/>
      <c r="I11" s="39"/>
      <c r="J11" s="39"/>
      <c r="K11" s="39"/>
      <c r="L11" s="39"/>
      <c r="M11" s="39"/>
      <c r="N11" s="39"/>
      <c r="O11" s="277"/>
    </row>
    <row r="12" spans="2:43" ht="12.75" customHeight="1" x14ac:dyDescent="0.25">
      <c r="B12" s="283"/>
      <c r="C12" s="39"/>
      <c r="D12" s="39"/>
      <c r="E12" s="39"/>
      <c r="F12" s="39"/>
      <c r="G12" s="39"/>
      <c r="H12" s="39"/>
      <c r="I12" s="39"/>
      <c r="J12" s="39"/>
      <c r="K12" s="39"/>
      <c r="L12" s="39"/>
      <c r="M12" s="39"/>
      <c r="N12" s="39"/>
      <c r="O12" s="277"/>
    </row>
    <row r="13" spans="2:43" ht="12.75" customHeight="1" x14ac:dyDescent="0.25">
      <c r="B13" s="283"/>
      <c r="C13" s="39"/>
      <c r="D13" s="39"/>
      <c r="E13" s="39"/>
      <c r="F13" s="39"/>
      <c r="G13" s="39"/>
      <c r="H13" s="39"/>
      <c r="I13" s="39"/>
      <c r="J13" s="39"/>
      <c r="K13" s="39"/>
      <c r="L13" s="39"/>
      <c r="M13" s="39"/>
      <c r="N13" s="39"/>
      <c r="O13" s="277"/>
      <c r="S13" s="26" t="s">
        <v>1201</v>
      </c>
      <c r="T13" s="26">
        <v>0.5</v>
      </c>
    </row>
    <row r="14" spans="2:43" s="129" customFormat="1" ht="12.75" customHeight="1" x14ac:dyDescent="0.25">
      <c r="B14" s="283"/>
      <c r="C14" s="39"/>
      <c r="D14" s="39"/>
      <c r="E14" s="39"/>
      <c r="F14" s="39"/>
      <c r="G14" s="39"/>
      <c r="H14" s="39"/>
      <c r="I14" s="39"/>
      <c r="J14" s="39"/>
      <c r="K14" s="39"/>
      <c r="L14" s="39"/>
      <c r="M14" s="39"/>
      <c r="N14" s="39"/>
      <c r="O14" s="277"/>
    </row>
    <row r="15" spans="2:43" ht="12.75" customHeight="1" thickBot="1" x14ac:dyDescent="0.3">
      <c r="B15" s="283"/>
      <c r="C15" s="39"/>
      <c r="D15" s="39"/>
      <c r="E15" s="39"/>
      <c r="F15" s="39"/>
      <c r="G15" s="39"/>
      <c r="H15" s="39"/>
      <c r="I15" s="39"/>
      <c r="J15" s="278"/>
      <c r="K15" s="278"/>
      <c r="L15" s="39"/>
      <c r="M15" s="39"/>
      <c r="N15" s="39"/>
      <c r="O15" s="277"/>
    </row>
    <row r="16" spans="2:43" ht="15.75" hidden="1" x14ac:dyDescent="0.25">
      <c r="B16" s="48"/>
      <c r="C16" s="1"/>
      <c r="D16" s="1"/>
      <c r="E16" s="1"/>
      <c r="F16" s="1"/>
      <c r="G16" s="1"/>
      <c r="H16" s="1"/>
      <c r="I16" s="39"/>
      <c r="J16" s="279"/>
      <c r="K16" s="279"/>
      <c r="L16" s="39"/>
      <c r="M16" s="39"/>
      <c r="N16" s="39"/>
      <c r="O16" s="277"/>
    </row>
    <row r="17" spans="2:32" ht="15.75" hidden="1" x14ac:dyDescent="0.25">
      <c r="B17" s="48"/>
      <c r="C17" s="1"/>
      <c r="D17" s="1"/>
      <c r="E17" s="1"/>
      <c r="F17" s="1"/>
      <c r="G17" s="1"/>
      <c r="H17" s="1"/>
      <c r="I17" s="39"/>
      <c r="J17" s="279"/>
      <c r="K17" s="279"/>
      <c r="L17" s="39"/>
      <c r="M17" s="39"/>
      <c r="N17" s="39"/>
      <c r="O17" s="277"/>
    </row>
    <row r="18" spans="2:32" ht="16.5" hidden="1" thickBot="1" x14ac:dyDescent="0.3">
      <c r="B18" s="48"/>
      <c r="C18" s="536" t="s">
        <v>500</v>
      </c>
      <c r="D18" s="537" t="s">
        <v>502</v>
      </c>
      <c r="E18" s="1"/>
      <c r="F18" s="1"/>
      <c r="G18" s="1"/>
      <c r="H18" s="1"/>
      <c r="I18" s="39"/>
      <c r="J18" s="39"/>
      <c r="K18" s="279"/>
      <c r="L18" s="39"/>
      <c r="M18" s="39"/>
      <c r="N18" s="39"/>
      <c r="O18" s="277"/>
    </row>
    <row r="19" spans="2:32" ht="16.5" hidden="1" thickBot="1" x14ac:dyDescent="0.3">
      <c r="B19" s="48"/>
      <c r="C19" s="536" t="s">
        <v>402</v>
      </c>
      <c r="D19" s="537" t="s">
        <v>556</v>
      </c>
      <c r="E19" s="1"/>
      <c r="F19" s="1"/>
      <c r="G19" s="1"/>
      <c r="H19" s="1"/>
      <c r="I19" s="39"/>
      <c r="J19" s="39"/>
      <c r="K19" s="279"/>
      <c r="L19" s="39"/>
      <c r="M19" s="39"/>
      <c r="N19" s="39"/>
      <c r="O19" s="277"/>
    </row>
    <row r="20" spans="2:32" ht="16.5" hidden="1" thickBot="1" x14ac:dyDescent="0.3">
      <c r="B20" s="48"/>
      <c r="C20" s="1"/>
      <c r="D20" s="1"/>
      <c r="E20" s="1"/>
      <c r="F20" s="1"/>
      <c r="G20" s="1"/>
      <c r="H20" s="1"/>
      <c r="I20" s="39"/>
      <c r="J20" s="39"/>
      <c r="K20" s="279"/>
      <c r="L20" s="39"/>
      <c r="M20" s="39"/>
      <c r="N20" s="39"/>
      <c r="O20" s="277"/>
    </row>
    <row r="21" spans="2:32" ht="45" x14ac:dyDescent="0.25">
      <c r="B21" s="283"/>
      <c r="C21" s="538" t="s">
        <v>0</v>
      </c>
      <c r="D21" s="539" t="s">
        <v>1190</v>
      </c>
      <c r="E21" s="539" t="s">
        <v>1191</v>
      </c>
      <c r="F21" s="539" t="s">
        <v>1192</v>
      </c>
      <c r="G21" s="539" t="s">
        <v>1193</v>
      </c>
      <c r="H21" s="540" t="s">
        <v>1194</v>
      </c>
      <c r="I21" s="39"/>
      <c r="J21" s="39"/>
      <c r="K21" s="279"/>
      <c r="L21" s="39"/>
      <c r="M21" s="39"/>
      <c r="N21" s="39"/>
      <c r="O21" s="277"/>
      <c r="S21" s="331" t="s">
        <v>0</v>
      </c>
      <c r="T21" s="427" t="s">
        <v>1198</v>
      </c>
      <c r="U21" s="427" t="s">
        <v>1199</v>
      </c>
      <c r="V21" s="330" t="s">
        <v>1200</v>
      </c>
      <c r="AF21" s="50"/>
    </row>
    <row r="22" spans="2:32" ht="12.75" customHeight="1" x14ac:dyDescent="0.25">
      <c r="B22" s="283"/>
      <c r="C22" s="541" t="s">
        <v>5</v>
      </c>
      <c r="D22" s="534">
        <v>1337</v>
      </c>
      <c r="E22" s="535">
        <v>7121</v>
      </c>
      <c r="F22" s="501">
        <v>10</v>
      </c>
      <c r="G22" s="534">
        <v>396</v>
      </c>
      <c r="H22" s="542">
        <v>312</v>
      </c>
      <c r="I22" s="39"/>
      <c r="J22" s="39"/>
      <c r="K22" s="279"/>
      <c r="L22" s="39"/>
      <c r="M22" s="39"/>
      <c r="N22" s="39"/>
      <c r="O22" s="277"/>
      <c r="S22" s="381" t="str">
        <f>C22</f>
        <v>Bhamo</v>
      </c>
      <c r="T22" s="424">
        <f>D22-Shelter_Draw[[#This Row],[V2]]-Shelter_Draw[[#This Row],[V3]]</f>
        <v>941</v>
      </c>
      <c r="U22" s="424">
        <f t="shared" ref="U22:U31" si="0">H22</f>
        <v>312</v>
      </c>
      <c r="V22" s="481">
        <f>G22-H22</f>
        <v>84</v>
      </c>
      <c r="AF22" s="50"/>
    </row>
    <row r="23" spans="2:32" ht="12.75" customHeight="1" x14ac:dyDescent="0.25">
      <c r="B23" s="283"/>
      <c r="C23" s="541" t="s">
        <v>27</v>
      </c>
      <c r="D23" s="534">
        <v>501</v>
      </c>
      <c r="E23" s="535">
        <v>2570</v>
      </c>
      <c r="F23" s="501">
        <v>5</v>
      </c>
      <c r="G23" s="534">
        <v>321</v>
      </c>
      <c r="H23" s="542">
        <v>321</v>
      </c>
      <c r="I23" s="39"/>
      <c r="J23" s="39"/>
      <c r="K23" s="279"/>
      <c r="L23" s="39"/>
      <c r="M23" s="39"/>
      <c r="N23" s="39"/>
      <c r="O23" s="277"/>
      <c r="S23" s="381" t="str">
        <f t="shared" ref="S23:S30" si="1">C23</f>
        <v>Chipwi</v>
      </c>
      <c r="T23" s="424">
        <f>D23-Shelter_Draw[[#This Row],[V2]]-Shelter_Draw[[#This Row],[V3]]</f>
        <v>180</v>
      </c>
      <c r="U23" s="424">
        <f t="shared" si="0"/>
        <v>321</v>
      </c>
      <c r="V23" s="481">
        <f t="shared" ref="V23:V31" si="2">G23-H23</f>
        <v>0</v>
      </c>
      <c r="AF23" s="50"/>
    </row>
    <row r="24" spans="2:32" ht="12.75" customHeight="1" x14ac:dyDescent="0.25">
      <c r="B24" s="283"/>
      <c r="C24" s="541" t="s">
        <v>529</v>
      </c>
      <c r="D24" s="534">
        <v>724</v>
      </c>
      <c r="E24" s="535">
        <v>3566</v>
      </c>
      <c r="F24" s="501">
        <v>20</v>
      </c>
      <c r="G24" s="534">
        <v>314</v>
      </c>
      <c r="H24" s="542">
        <v>314</v>
      </c>
      <c r="I24" s="39"/>
      <c r="J24" s="39"/>
      <c r="K24" s="280"/>
      <c r="L24" s="39"/>
      <c r="M24" s="39"/>
      <c r="N24" s="39"/>
      <c r="O24" s="277"/>
      <c r="S24" s="381" t="str">
        <f t="shared" si="1"/>
        <v>Hpakant</v>
      </c>
      <c r="T24" s="424">
        <f>D24-Shelter_Draw[[#This Row],[V2]]-Shelter_Draw[[#This Row],[V3]]</f>
        <v>410</v>
      </c>
      <c r="U24" s="424">
        <f t="shared" si="0"/>
        <v>314</v>
      </c>
      <c r="V24" s="481">
        <f t="shared" si="2"/>
        <v>0</v>
      </c>
      <c r="AF24" s="50"/>
    </row>
    <row r="25" spans="2:32" ht="12.75" customHeight="1" x14ac:dyDescent="0.25">
      <c r="B25" s="283"/>
      <c r="C25" s="541" t="s">
        <v>784</v>
      </c>
      <c r="D25" s="534">
        <v>44</v>
      </c>
      <c r="E25" s="535">
        <v>273</v>
      </c>
      <c r="F25" s="501">
        <v>1</v>
      </c>
      <c r="G25" s="534">
        <v>9</v>
      </c>
      <c r="H25" s="542">
        <v>9</v>
      </c>
      <c r="I25" s="39"/>
      <c r="J25" s="39"/>
      <c r="K25" s="39"/>
      <c r="L25" s="39"/>
      <c r="M25" s="39"/>
      <c r="N25" s="39"/>
      <c r="O25" s="277"/>
      <c r="S25" s="381" t="str">
        <f t="shared" si="1"/>
        <v>Hseni</v>
      </c>
      <c r="T25" s="424">
        <f>D25-Shelter_Draw[[#This Row],[V2]]-Shelter_Draw[[#This Row],[V3]]</f>
        <v>35</v>
      </c>
      <c r="U25" s="424">
        <f t="shared" si="0"/>
        <v>9</v>
      </c>
      <c r="V25" s="481">
        <f t="shared" si="2"/>
        <v>0</v>
      </c>
      <c r="AF25" s="50"/>
    </row>
    <row r="26" spans="2:32" ht="12.75" customHeight="1" x14ac:dyDescent="0.25">
      <c r="B26" s="283"/>
      <c r="C26" s="541" t="s">
        <v>146</v>
      </c>
      <c r="D26" s="534">
        <v>700</v>
      </c>
      <c r="E26" s="535">
        <v>3409</v>
      </c>
      <c r="F26" s="501">
        <v>9</v>
      </c>
      <c r="G26" s="534">
        <v>323</v>
      </c>
      <c r="H26" s="542">
        <v>323</v>
      </c>
      <c r="I26" s="39"/>
      <c r="J26" s="39"/>
      <c r="K26" s="39"/>
      <c r="L26" s="39"/>
      <c r="M26" s="39"/>
      <c r="N26" s="39"/>
      <c r="O26" s="277"/>
      <c r="S26" s="381" t="str">
        <f t="shared" si="1"/>
        <v>Kutkai</v>
      </c>
      <c r="T26" s="424">
        <f>D26-Shelter_Draw[[#This Row],[V2]]-Shelter_Draw[[#This Row],[V3]]</f>
        <v>377</v>
      </c>
      <c r="U26" s="424">
        <f t="shared" si="0"/>
        <v>323</v>
      </c>
      <c r="V26" s="481">
        <f t="shared" si="2"/>
        <v>0</v>
      </c>
      <c r="AF26" s="50"/>
    </row>
    <row r="27" spans="2:32" ht="12.75" customHeight="1" x14ac:dyDescent="0.25">
      <c r="B27" s="283"/>
      <c r="C27" s="541" t="s">
        <v>151</v>
      </c>
      <c r="D27" s="534">
        <v>2534</v>
      </c>
      <c r="E27" s="535">
        <v>11468</v>
      </c>
      <c r="F27" s="501">
        <v>10</v>
      </c>
      <c r="G27" s="534">
        <v>1077</v>
      </c>
      <c r="H27" s="542">
        <v>1077</v>
      </c>
      <c r="I27" s="39"/>
      <c r="J27" s="39"/>
      <c r="K27" s="39"/>
      <c r="L27" s="39"/>
      <c r="M27" s="39"/>
      <c r="N27" s="39"/>
      <c r="O27" s="277"/>
      <c r="S27" s="381" t="str">
        <f t="shared" si="1"/>
        <v>Mansi</v>
      </c>
      <c r="T27" s="424">
        <f>D27-Shelter_Draw[[#This Row],[V2]]-Shelter_Draw[[#This Row],[V3]]</f>
        <v>1457</v>
      </c>
      <c r="U27" s="424">
        <f t="shared" si="0"/>
        <v>1077</v>
      </c>
      <c r="V27" s="481">
        <f t="shared" si="2"/>
        <v>0</v>
      </c>
      <c r="AF27" s="50"/>
    </row>
    <row r="28" spans="2:32" ht="12.75" customHeight="1" x14ac:dyDescent="0.25">
      <c r="B28" s="283"/>
      <c r="C28" s="541" t="s">
        <v>185</v>
      </c>
      <c r="D28" s="534">
        <v>4405</v>
      </c>
      <c r="E28" s="535">
        <v>22966</v>
      </c>
      <c r="F28" s="501">
        <v>13</v>
      </c>
      <c r="G28" s="534">
        <v>781</v>
      </c>
      <c r="H28" s="542">
        <v>781</v>
      </c>
      <c r="I28" s="39"/>
      <c r="J28" s="39"/>
      <c r="K28" s="39"/>
      <c r="L28" s="39"/>
      <c r="M28" s="39"/>
      <c r="N28" s="39"/>
      <c r="O28" s="277"/>
      <c r="S28" s="381" t="str">
        <f t="shared" si="1"/>
        <v>Momauk</v>
      </c>
      <c r="T28" s="424">
        <f>D28-Shelter_Draw[[#This Row],[V2]]-Shelter_Draw[[#This Row],[V3]]</f>
        <v>3624</v>
      </c>
      <c r="U28" s="424">
        <f t="shared" si="0"/>
        <v>781</v>
      </c>
      <c r="V28" s="481">
        <f t="shared" si="2"/>
        <v>0</v>
      </c>
      <c r="AF28" s="50"/>
    </row>
    <row r="29" spans="2:32" ht="12.75" customHeight="1" x14ac:dyDescent="0.25">
      <c r="B29" s="283"/>
      <c r="C29" s="541" t="s">
        <v>237</v>
      </c>
      <c r="D29" s="534">
        <v>1511</v>
      </c>
      <c r="E29" s="535">
        <v>7415</v>
      </c>
      <c r="F29" s="501">
        <v>24</v>
      </c>
      <c r="G29" s="534">
        <v>493</v>
      </c>
      <c r="H29" s="542">
        <v>493</v>
      </c>
      <c r="I29" s="39"/>
      <c r="J29" s="39"/>
      <c r="K29" s="39"/>
      <c r="L29" s="39"/>
      <c r="M29" s="39"/>
      <c r="N29" s="39"/>
      <c r="O29" s="277"/>
      <c r="S29" s="381" t="str">
        <f t="shared" si="1"/>
        <v>Myitkyina</v>
      </c>
      <c r="T29" s="424">
        <f>D29-Shelter_Draw[[#This Row],[V2]]-Shelter_Draw[[#This Row],[V3]]</f>
        <v>1018</v>
      </c>
      <c r="U29" s="424">
        <f t="shared" si="0"/>
        <v>493</v>
      </c>
      <c r="V29" s="481">
        <f t="shared" si="2"/>
        <v>0</v>
      </c>
      <c r="AF29" s="50"/>
    </row>
    <row r="30" spans="2:32" x14ac:dyDescent="0.25">
      <c r="B30" s="283"/>
      <c r="C30" s="541" t="s">
        <v>289</v>
      </c>
      <c r="D30" s="534">
        <v>380</v>
      </c>
      <c r="E30" s="535">
        <v>1896</v>
      </c>
      <c r="F30" s="501">
        <v>5</v>
      </c>
      <c r="G30" s="534">
        <v>159</v>
      </c>
      <c r="H30" s="542">
        <v>159</v>
      </c>
      <c r="I30" s="39"/>
      <c r="J30" s="39"/>
      <c r="K30" s="281"/>
      <c r="L30" s="39"/>
      <c r="M30" s="39"/>
      <c r="N30" s="39"/>
      <c r="O30" s="277"/>
      <c r="S30" s="381" t="str">
        <f t="shared" si="1"/>
        <v>Namhkan</v>
      </c>
      <c r="T30" s="424">
        <f>D30-Shelter_Draw[[#This Row],[V2]]-Shelter_Draw[[#This Row],[V3]]</f>
        <v>221</v>
      </c>
      <c r="U30" s="424">
        <f t="shared" si="0"/>
        <v>159</v>
      </c>
      <c r="V30" s="481">
        <f t="shared" si="2"/>
        <v>0</v>
      </c>
      <c r="AF30" s="50"/>
    </row>
    <row r="31" spans="2:32" x14ac:dyDescent="0.25">
      <c r="B31" s="283"/>
      <c r="C31" s="541" t="s">
        <v>310</v>
      </c>
      <c r="D31" s="534">
        <v>4774</v>
      </c>
      <c r="E31" s="535">
        <v>23349</v>
      </c>
      <c r="F31" s="501">
        <v>21</v>
      </c>
      <c r="G31" s="534">
        <v>1631</v>
      </c>
      <c r="H31" s="542">
        <v>1631</v>
      </c>
      <c r="I31" s="39"/>
      <c r="J31" s="39"/>
      <c r="K31" s="281"/>
      <c r="L31" s="39"/>
      <c r="M31" s="39"/>
      <c r="N31" s="39"/>
      <c r="O31" s="277"/>
      <c r="S31" s="342" t="str">
        <f>C31</f>
        <v>Waingmaw</v>
      </c>
      <c r="T31" s="431">
        <f>D31-Shelter_Draw[[#This Row],[V2]]-Shelter_Draw[[#This Row],[V3]]</f>
        <v>3143</v>
      </c>
      <c r="U31" s="431">
        <f t="shared" si="0"/>
        <v>1631</v>
      </c>
      <c r="V31" s="482">
        <f t="shared" si="2"/>
        <v>0</v>
      </c>
      <c r="AF31" s="50"/>
    </row>
    <row r="32" spans="2:32" x14ac:dyDescent="0.25">
      <c r="B32" s="283"/>
      <c r="C32" s="541" t="s">
        <v>1197</v>
      </c>
      <c r="D32" s="534">
        <v>615</v>
      </c>
      <c r="E32" s="535">
        <v>3133</v>
      </c>
      <c r="F32" s="501">
        <v>19</v>
      </c>
      <c r="G32" s="534">
        <v>257</v>
      </c>
      <c r="H32" s="542">
        <v>257</v>
      </c>
      <c r="I32" s="39"/>
      <c r="J32" s="39"/>
      <c r="K32" s="281"/>
      <c r="L32" s="39"/>
      <c r="M32" s="39"/>
      <c r="N32" s="39"/>
      <c r="O32" s="277"/>
      <c r="AF32" s="50"/>
    </row>
    <row r="33" spans="2:32" ht="15.75" thickBot="1" x14ac:dyDescent="0.3">
      <c r="B33" s="283"/>
      <c r="C33" s="543" t="s">
        <v>3</v>
      </c>
      <c r="D33" s="544">
        <v>17525</v>
      </c>
      <c r="E33" s="545">
        <v>87166</v>
      </c>
      <c r="F33" s="546">
        <v>137</v>
      </c>
      <c r="G33" s="544">
        <v>5761</v>
      </c>
      <c r="H33" s="547">
        <v>5677</v>
      </c>
      <c r="I33" s="39"/>
      <c r="J33" s="39"/>
      <c r="K33" s="281"/>
      <c r="L33" s="39"/>
      <c r="M33" s="39"/>
      <c r="N33" s="39"/>
      <c r="O33" s="277"/>
      <c r="AF33" s="50"/>
    </row>
    <row r="34" spans="2:32" x14ac:dyDescent="0.25">
      <c r="B34" s="283"/>
      <c r="C34" s="251"/>
      <c r="D34" s="251"/>
      <c r="E34" s="251"/>
      <c r="F34" s="251"/>
      <c r="G34" s="251"/>
      <c r="H34" s="251"/>
      <c r="I34" s="39"/>
      <c r="J34" s="39"/>
      <c r="K34" s="39"/>
      <c r="L34" s="39"/>
      <c r="M34" s="39"/>
      <c r="N34" s="39"/>
      <c r="O34" s="277"/>
      <c r="AF34" s="50"/>
    </row>
    <row r="35" spans="2:32" x14ac:dyDescent="0.25">
      <c r="B35" s="283"/>
      <c r="C35" s="251"/>
      <c r="D35" s="251"/>
      <c r="E35" s="251"/>
      <c r="F35" s="251"/>
      <c r="G35" s="251"/>
      <c r="H35" s="251"/>
      <c r="I35" s="39"/>
      <c r="J35" s="39"/>
      <c r="K35" s="39"/>
      <c r="L35" s="39"/>
      <c r="M35" s="39"/>
      <c r="N35" s="39"/>
      <c r="O35" s="277"/>
      <c r="AF35" s="50"/>
    </row>
    <row r="36" spans="2:32" x14ac:dyDescent="0.25">
      <c r="B36" s="283"/>
      <c r="C36" s="251"/>
      <c r="D36" s="251"/>
      <c r="E36" s="251"/>
      <c r="F36" s="251"/>
      <c r="G36" s="251"/>
      <c r="H36" s="251"/>
      <c r="I36" s="39"/>
      <c r="J36" s="39"/>
      <c r="K36" s="39"/>
      <c r="L36" s="39"/>
      <c r="M36" s="39"/>
      <c r="N36" s="39"/>
      <c r="O36" s="277"/>
      <c r="AF36" s="50"/>
    </row>
    <row r="37" spans="2:32" x14ac:dyDescent="0.25">
      <c r="B37" s="283"/>
      <c r="C37" s="251"/>
      <c r="D37" s="251"/>
      <c r="E37" s="251"/>
      <c r="F37" s="251"/>
      <c r="G37" s="251"/>
      <c r="H37" s="251"/>
      <c r="I37" s="39"/>
      <c r="J37" s="39"/>
      <c r="K37" s="39"/>
      <c r="L37" s="39"/>
      <c r="M37" s="39"/>
      <c r="N37" s="39"/>
      <c r="O37" s="277"/>
      <c r="AF37" s="50"/>
    </row>
    <row r="38" spans="2:32" x14ac:dyDescent="0.25">
      <c r="B38" s="283"/>
      <c r="C38" s="251"/>
      <c r="D38" s="251"/>
      <c r="E38" s="251"/>
      <c r="F38" s="251"/>
      <c r="G38" s="251"/>
      <c r="H38" s="251"/>
      <c r="I38" s="39"/>
      <c r="J38" s="39"/>
      <c r="K38" s="39"/>
      <c r="L38" s="39"/>
      <c r="M38" s="39"/>
      <c r="N38" s="39"/>
      <c r="O38" s="277"/>
      <c r="AF38" s="50"/>
    </row>
    <row r="39" spans="2:32" x14ac:dyDescent="0.25">
      <c r="B39" s="283"/>
      <c r="C39" s="251"/>
      <c r="D39" s="251"/>
      <c r="E39" s="251"/>
      <c r="F39" s="251"/>
      <c r="G39" s="251"/>
      <c r="H39" s="251"/>
      <c r="I39" s="39"/>
      <c r="J39" s="39"/>
      <c r="K39" s="39"/>
      <c r="L39" s="39"/>
      <c r="M39" s="39"/>
      <c r="N39" s="39"/>
      <c r="O39" s="277"/>
      <c r="AF39" s="50"/>
    </row>
    <row r="40" spans="2:32" x14ac:dyDescent="0.25">
      <c r="B40" s="283"/>
      <c r="C40" s="251"/>
      <c r="D40" s="251"/>
      <c r="E40" s="251"/>
      <c r="F40" s="251"/>
      <c r="G40" s="251"/>
      <c r="H40" s="251"/>
      <c r="I40" s="39"/>
      <c r="J40" s="39"/>
      <c r="K40" s="39"/>
      <c r="L40" s="39"/>
      <c r="M40" s="39"/>
      <c r="N40" s="39"/>
      <c r="O40" s="277"/>
    </row>
    <row r="41" spans="2:32" x14ac:dyDescent="0.25">
      <c r="B41" s="283"/>
      <c r="C41" s="251"/>
      <c r="D41" s="251"/>
      <c r="E41" s="251"/>
      <c r="F41" s="251"/>
      <c r="G41" s="251"/>
      <c r="H41" s="251"/>
      <c r="I41" s="39"/>
      <c r="J41" s="39"/>
      <c r="K41" s="39"/>
      <c r="L41" s="39"/>
      <c r="M41" s="39"/>
      <c r="N41" s="39"/>
      <c r="O41" s="277"/>
      <c r="R41" s="129"/>
    </row>
    <row r="42" spans="2:32" s="129" customFormat="1" x14ac:dyDescent="0.25">
      <c r="B42" s="283"/>
      <c r="C42" s="251"/>
      <c r="D42" s="251"/>
      <c r="E42" s="251"/>
      <c r="F42" s="251"/>
      <c r="G42" s="251"/>
      <c r="H42" s="251"/>
      <c r="I42" s="39"/>
      <c r="J42" s="39"/>
      <c r="K42" s="39"/>
      <c r="L42" s="39"/>
      <c r="M42" s="39"/>
      <c r="N42" s="39"/>
      <c r="O42" s="277"/>
    </row>
    <row r="43" spans="2:32" s="129" customFormat="1" x14ac:dyDescent="0.25">
      <c r="B43" s="283"/>
      <c r="C43" s="251"/>
      <c r="D43" s="251"/>
      <c r="E43" s="251"/>
      <c r="F43" s="251"/>
      <c r="G43" s="251"/>
      <c r="H43" s="251"/>
      <c r="I43" s="39"/>
      <c r="J43" s="39"/>
      <c r="K43" s="39"/>
      <c r="L43" s="39"/>
      <c r="M43" s="39"/>
      <c r="N43" s="39"/>
      <c r="O43" s="277"/>
    </row>
    <row r="44" spans="2:32" s="129" customFormat="1" x14ac:dyDescent="0.25">
      <c r="B44" s="283"/>
      <c r="C44" s="251"/>
      <c r="D44" s="251"/>
      <c r="E44" s="251"/>
      <c r="F44" s="251"/>
      <c r="G44" s="251"/>
      <c r="H44" s="251"/>
      <c r="I44" s="39"/>
      <c r="J44" s="39"/>
      <c r="K44" s="39"/>
      <c r="L44" s="39"/>
      <c r="M44" s="39"/>
      <c r="N44" s="39"/>
      <c r="O44" s="277"/>
    </row>
    <row r="45" spans="2:32" s="129" customFormat="1" x14ac:dyDescent="0.25">
      <c r="B45" s="283"/>
      <c r="C45" s="251"/>
      <c r="D45" s="251"/>
      <c r="E45" s="251"/>
      <c r="F45" s="251"/>
      <c r="G45" s="251"/>
      <c r="H45" s="251"/>
      <c r="I45" s="39"/>
      <c r="J45" s="39"/>
      <c r="K45" s="39"/>
      <c r="L45" s="39"/>
      <c r="M45" s="39"/>
      <c r="N45" s="39"/>
      <c r="O45" s="277"/>
    </row>
    <row r="46" spans="2:32" s="129" customFormat="1" x14ac:dyDescent="0.25">
      <c r="B46" s="283"/>
      <c r="C46" s="251"/>
      <c r="D46" s="251"/>
      <c r="E46" s="251"/>
      <c r="F46" s="251"/>
      <c r="G46" s="251"/>
      <c r="H46" s="251"/>
      <c r="I46" s="39"/>
      <c r="J46" s="39"/>
      <c r="K46" s="39"/>
      <c r="L46" s="39"/>
      <c r="M46" s="39"/>
      <c r="N46" s="39"/>
      <c r="O46" s="277"/>
    </row>
    <row r="47" spans="2:32" s="129" customFormat="1" x14ac:dyDescent="0.25">
      <c r="B47" s="283"/>
      <c r="C47" s="251"/>
      <c r="D47" s="251"/>
      <c r="E47" s="251"/>
      <c r="F47" s="251"/>
      <c r="G47" s="251"/>
      <c r="H47" s="251"/>
      <c r="I47" s="39"/>
      <c r="J47" s="39"/>
      <c r="K47" s="39"/>
      <c r="L47" s="39"/>
      <c r="M47" s="39"/>
      <c r="N47" s="39"/>
      <c r="O47" s="277"/>
    </row>
    <row r="48" spans="2:32" s="129" customFormat="1" x14ac:dyDescent="0.25">
      <c r="B48" s="283"/>
      <c r="C48" s="39"/>
      <c r="D48" s="39"/>
      <c r="E48" s="39"/>
      <c r="F48" s="39"/>
      <c r="G48" s="39"/>
      <c r="H48" s="39"/>
      <c r="I48" s="39"/>
      <c r="J48" s="39"/>
      <c r="K48" s="39"/>
      <c r="L48" s="39"/>
      <c r="M48" s="39"/>
      <c r="N48" s="39"/>
      <c r="O48" s="277"/>
    </row>
    <row r="49" spans="2:18" s="129" customFormat="1" x14ac:dyDescent="0.25">
      <c r="B49" s="283"/>
      <c r="C49" s="39"/>
      <c r="D49" s="39"/>
      <c r="E49" s="39"/>
      <c r="F49" s="39"/>
      <c r="G49" s="39"/>
      <c r="H49" s="39"/>
      <c r="I49" s="39"/>
      <c r="J49" s="39"/>
      <c r="K49" s="39"/>
      <c r="L49" s="39"/>
      <c r="M49" s="39"/>
      <c r="N49" s="39"/>
      <c r="O49" s="277"/>
    </row>
    <row r="50" spans="2:18" s="129" customFormat="1" x14ac:dyDescent="0.25">
      <c r="B50" s="283"/>
      <c r="C50" s="39"/>
      <c r="D50" s="39"/>
      <c r="E50" s="39"/>
      <c r="F50" s="39"/>
      <c r="G50" s="39"/>
      <c r="H50" s="39"/>
      <c r="I50" s="39"/>
      <c r="J50" s="39"/>
      <c r="K50" s="39"/>
      <c r="L50" s="39"/>
      <c r="M50" s="39"/>
      <c r="N50" s="39"/>
      <c r="O50" s="277"/>
    </row>
    <row r="51" spans="2:18" s="492" customFormat="1" x14ac:dyDescent="0.25">
      <c r="B51" s="283"/>
      <c r="C51" s="39"/>
      <c r="D51" s="39"/>
      <c r="E51" s="39"/>
      <c r="F51" s="39"/>
      <c r="G51" s="39"/>
      <c r="H51" s="39"/>
      <c r="I51" s="39"/>
      <c r="J51" s="39"/>
      <c r="K51" s="39"/>
      <c r="L51" s="39"/>
      <c r="M51" s="39"/>
      <c r="N51" s="39"/>
      <c r="O51" s="277"/>
    </row>
    <row r="52" spans="2:18" s="492" customFormat="1" x14ac:dyDescent="0.25">
      <c r="B52" s="283"/>
      <c r="C52" s="39"/>
      <c r="D52" s="39"/>
      <c r="E52" s="39"/>
      <c r="F52" s="39"/>
      <c r="G52" s="39"/>
      <c r="H52" s="39"/>
      <c r="I52" s="39"/>
      <c r="J52" s="39"/>
      <c r="K52" s="39"/>
      <c r="L52" s="39"/>
      <c r="M52" s="39"/>
      <c r="N52" s="39"/>
      <c r="O52" s="277"/>
    </row>
    <row r="53" spans="2:18" s="129" customFormat="1" ht="15.75" thickBot="1" x14ac:dyDescent="0.3">
      <c r="B53" s="284"/>
      <c r="C53" s="285"/>
      <c r="D53" s="286"/>
      <c r="E53" s="287"/>
      <c r="F53" s="288"/>
      <c r="G53" s="286"/>
      <c r="H53" s="286"/>
      <c r="I53" s="269"/>
      <c r="J53" s="269"/>
      <c r="K53" s="269"/>
      <c r="L53" s="269"/>
      <c r="M53" s="269"/>
      <c r="N53" s="269"/>
      <c r="O53" s="282"/>
    </row>
    <row r="54" spans="2:18" s="129" customFormat="1" x14ac:dyDescent="0.25">
      <c r="C54" s="22"/>
      <c r="D54" s="54"/>
      <c r="E54" s="134"/>
      <c r="F54" s="3"/>
      <c r="G54" s="54"/>
      <c r="H54" s="54"/>
    </row>
    <row r="55" spans="2:18" s="129" customFormat="1" x14ac:dyDescent="0.25">
      <c r="C55" s="22"/>
      <c r="D55" s="54"/>
      <c r="E55" s="134"/>
      <c r="F55" s="3"/>
      <c r="G55" s="54"/>
      <c r="H55" s="54"/>
    </row>
    <row r="56" spans="2:18" s="129" customFormat="1" x14ac:dyDescent="0.25">
      <c r="C56" s="22"/>
      <c r="D56" s="54"/>
      <c r="E56" s="134"/>
      <c r="F56" s="3"/>
      <c r="G56" s="54"/>
      <c r="H56" s="54"/>
    </row>
    <row r="57" spans="2:18" s="129" customFormat="1" x14ac:dyDescent="0.25">
      <c r="C57" s="22"/>
      <c r="D57" s="54"/>
      <c r="E57" s="134"/>
      <c r="F57" s="3"/>
      <c r="G57" s="54"/>
      <c r="H57" s="54"/>
    </row>
    <row r="58" spans="2:18" s="129" customFormat="1" x14ac:dyDescent="0.25">
      <c r="C58" s="22"/>
      <c r="D58" s="54"/>
      <c r="E58" s="134"/>
      <c r="F58" s="3"/>
      <c r="G58" s="54"/>
      <c r="H58" s="54"/>
    </row>
    <row r="59" spans="2:18" s="129" customFormat="1" x14ac:dyDescent="0.25">
      <c r="C59" s="22"/>
      <c r="D59" s="54"/>
      <c r="E59" s="134"/>
      <c r="F59" s="3"/>
      <c r="G59" s="54"/>
      <c r="H59" s="54"/>
    </row>
    <row r="60" spans="2:18" s="129" customFormat="1" x14ac:dyDescent="0.25">
      <c r="C60" s="22"/>
      <c r="D60" s="54"/>
      <c r="E60" s="134"/>
      <c r="F60" s="3"/>
      <c r="G60" s="54"/>
      <c r="H60" s="54"/>
    </row>
    <row r="61" spans="2:18" s="129" customFormat="1" x14ac:dyDescent="0.25">
      <c r="C61" s="22"/>
      <c r="D61" s="54"/>
      <c r="E61" s="134"/>
      <c r="F61" s="3"/>
      <c r="G61" s="54"/>
      <c r="H61" s="54"/>
    </row>
    <row r="62" spans="2:18" s="129" customFormat="1" x14ac:dyDescent="0.25">
      <c r="C62" s="22"/>
      <c r="D62" s="54"/>
      <c r="E62" s="134"/>
      <c r="F62" s="3"/>
      <c r="G62" s="54"/>
      <c r="H62" s="54"/>
    </row>
    <row r="63" spans="2:18" x14ac:dyDescent="0.25">
      <c r="R63" s="129"/>
    </row>
    <row r="64" spans="2:18" x14ac:dyDescent="0.25">
      <c r="R64" s="129"/>
    </row>
    <row r="65" spans="3:18" x14ac:dyDescent="0.25">
      <c r="R65" s="129"/>
    </row>
    <row r="66" spans="3:18" x14ac:dyDescent="0.25">
      <c r="R66" s="129"/>
    </row>
    <row r="67" spans="3:18" x14ac:dyDescent="0.25">
      <c r="R67" s="129"/>
    </row>
    <row r="68" spans="3:18" x14ac:dyDescent="0.25">
      <c r="R68" s="129"/>
    </row>
    <row r="69" spans="3:18" x14ac:dyDescent="0.25">
      <c r="R69" s="129"/>
    </row>
    <row r="70" spans="3:18" x14ac:dyDescent="0.25">
      <c r="R70" s="129"/>
    </row>
    <row r="71" spans="3:18" x14ac:dyDescent="0.25">
      <c r="C71" s="129"/>
      <c r="D71" s="129"/>
      <c r="E71" s="129"/>
      <c r="F71" s="129"/>
      <c r="G71" s="129"/>
      <c r="H71" s="129"/>
      <c r="R71" s="129"/>
    </row>
    <row r="72" spans="3:18" x14ac:dyDescent="0.25">
      <c r="C72" s="129"/>
      <c r="D72" s="129"/>
      <c r="E72" s="129"/>
      <c r="F72" s="129"/>
      <c r="G72" s="129"/>
      <c r="H72" s="129"/>
      <c r="R72" s="129"/>
    </row>
    <row r="73" spans="3:18" x14ac:dyDescent="0.25">
      <c r="C73" s="129"/>
      <c r="D73" s="129"/>
      <c r="E73" s="129"/>
      <c r="F73" s="129"/>
      <c r="G73" s="129"/>
      <c r="H73" s="129"/>
      <c r="R73" s="129"/>
    </row>
    <row r="74" spans="3:18" x14ac:dyDescent="0.25">
      <c r="C74" s="129"/>
      <c r="D74" s="129"/>
      <c r="E74" s="129"/>
      <c r="F74" s="129"/>
      <c r="G74" s="129"/>
      <c r="H74" s="129"/>
      <c r="R74" s="129"/>
    </row>
    <row r="75" spans="3:18" x14ac:dyDescent="0.25">
      <c r="G75" s="129"/>
      <c r="H75" s="129"/>
      <c r="R75" s="129"/>
    </row>
    <row r="76" spans="3:18" x14ac:dyDescent="0.25">
      <c r="G76" s="129"/>
      <c r="H76" s="129"/>
      <c r="R76" s="129"/>
    </row>
    <row r="77" spans="3:18" x14ac:dyDescent="0.25">
      <c r="G77" s="129"/>
      <c r="H77" s="129"/>
      <c r="R77" s="129"/>
    </row>
    <row r="78" spans="3:18" x14ac:dyDescent="0.25">
      <c r="G78"/>
      <c r="H78"/>
      <c r="I78"/>
      <c r="J78"/>
      <c r="K78"/>
      <c r="R78" s="129"/>
    </row>
    <row r="79" spans="3:18" x14ac:dyDescent="0.25">
      <c r="G79"/>
      <c r="H79"/>
      <c r="I79"/>
      <c r="J79" s="129"/>
      <c r="K79" s="129"/>
      <c r="L79" s="129"/>
      <c r="R79" s="129"/>
    </row>
    <row r="80" spans="3:18" x14ac:dyDescent="0.25">
      <c r="G80"/>
      <c r="H80"/>
      <c r="I80" s="129"/>
      <c r="J80" s="129"/>
      <c r="K80" s="129"/>
      <c r="L80" s="129"/>
      <c r="R80" s="129"/>
    </row>
    <row r="81" spans="3:18" x14ac:dyDescent="0.25">
      <c r="G81"/>
      <c r="H81"/>
      <c r="I81" s="129"/>
      <c r="J81" s="129"/>
      <c r="K81" s="129"/>
      <c r="L81" s="129"/>
      <c r="R81" s="129"/>
    </row>
    <row r="82" spans="3:18" x14ac:dyDescent="0.25">
      <c r="G82"/>
      <c r="H82"/>
      <c r="I82" s="129"/>
      <c r="J82" s="129"/>
      <c r="K82" s="129"/>
      <c r="L82" s="129"/>
      <c r="R82" s="129"/>
    </row>
    <row r="83" spans="3:18" x14ac:dyDescent="0.25">
      <c r="G83"/>
      <c r="H83"/>
      <c r="I83" s="129"/>
      <c r="J83" s="129"/>
      <c r="K83" s="129"/>
      <c r="L83" s="129"/>
      <c r="R83" s="129"/>
    </row>
    <row r="84" spans="3:18" x14ac:dyDescent="0.25">
      <c r="G84"/>
      <c r="H84"/>
      <c r="I84" s="129"/>
      <c r="J84" s="129"/>
      <c r="K84" s="129"/>
      <c r="L84" s="129"/>
      <c r="R84" s="129"/>
    </row>
    <row r="85" spans="3:18" x14ac:dyDescent="0.25">
      <c r="G85"/>
      <c r="H85"/>
      <c r="I85" s="129"/>
      <c r="J85" s="129"/>
      <c r="K85" s="129"/>
      <c r="L85" s="129"/>
      <c r="R85" s="129"/>
    </row>
    <row r="86" spans="3:18" x14ac:dyDescent="0.25">
      <c r="G86"/>
      <c r="H86"/>
      <c r="I86" s="129"/>
      <c r="J86" s="129"/>
      <c r="K86" s="129"/>
      <c r="L86" s="129"/>
      <c r="R86" s="129"/>
    </row>
    <row r="87" spans="3:18" x14ac:dyDescent="0.25">
      <c r="G87"/>
      <c r="H87"/>
      <c r="I87" s="129"/>
      <c r="J87" s="129"/>
      <c r="K87" s="129"/>
      <c r="L87" s="129"/>
      <c r="R87" s="129"/>
    </row>
    <row r="88" spans="3:18" x14ac:dyDescent="0.25">
      <c r="G88"/>
      <c r="H88"/>
      <c r="I88" s="129"/>
      <c r="J88" s="129"/>
      <c r="K88" s="129"/>
      <c r="L88" s="129"/>
      <c r="R88" s="129"/>
    </row>
    <row r="89" spans="3:18" x14ac:dyDescent="0.25">
      <c r="G89"/>
      <c r="H89"/>
      <c r="I89"/>
      <c r="J89"/>
      <c r="K89"/>
    </row>
    <row r="90" spans="3:18" x14ac:dyDescent="0.25">
      <c r="C90"/>
      <c r="D90"/>
      <c r="E90"/>
      <c r="F90"/>
      <c r="G90"/>
    </row>
    <row r="91" spans="3:18" x14ac:dyDescent="0.25">
      <c r="C91"/>
      <c r="D91"/>
      <c r="E91"/>
      <c r="F91"/>
      <c r="G91"/>
    </row>
    <row r="92" spans="3:18" x14ac:dyDescent="0.25">
      <c r="C92"/>
      <c r="D92"/>
      <c r="E92"/>
      <c r="F92"/>
      <c r="G92"/>
    </row>
    <row r="93" spans="3:18" x14ac:dyDescent="0.25">
      <c r="C93"/>
      <c r="D93"/>
      <c r="E93"/>
      <c r="F93"/>
      <c r="G93"/>
    </row>
    <row r="94" spans="3:18" x14ac:dyDescent="0.25">
      <c r="C94"/>
      <c r="D94"/>
      <c r="E94"/>
      <c r="F94"/>
      <c r="G94"/>
    </row>
    <row r="95" spans="3:18" x14ac:dyDescent="0.25">
      <c r="C95"/>
      <c r="D95"/>
      <c r="E95"/>
      <c r="F95"/>
      <c r="G95"/>
    </row>
    <row r="96" spans="3:18" x14ac:dyDescent="0.25">
      <c r="C96"/>
      <c r="D96"/>
      <c r="E96"/>
      <c r="F96"/>
      <c r="G96"/>
    </row>
    <row r="97" spans="3:7" x14ac:dyDescent="0.25">
      <c r="C97"/>
      <c r="D97"/>
      <c r="E97"/>
      <c r="F97"/>
      <c r="G97"/>
    </row>
    <row r="98" spans="3:7" x14ac:dyDescent="0.25">
      <c r="C98"/>
      <c r="D98"/>
      <c r="E98"/>
      <c r="F98"/>
      <c r="G98"/>
    </row>
    <row r="99" spans="3:7" x14ac:dyDescent="0.25">
      <c r="C99"/>
      <c r="D99"/>
      <c r="E99"/>
      <c r="F99"/>
      <c r="G99"/>
    </row>
    <row r="100" spans="3:7" x14ac:dyDescent="0.25">
      <c r="C100"/>
      <c r="D100"/>
      <c r="E100"/>
      <c r="F100"/>
      <c r="G100"/>
    </row>
    <row r="101" spans="3:7" x14ac:dyDescent="0.25">
      <c r="C101"/>
      <c r="D101"/>
      <c r="E101"/>
      <c r="F101"/>
      <c r="G101"/>
    </row>
    <row r="102" spans="3:7" x14ac:dyDescent="0.25">
      <c r="C102"/>
      <c r="D102"/>
      <c r="E102"/>
      <c r="F102"/>
      <c r="G102"/>
    </row>
    <row r="103" spans="3:7" x14ac:dyDescent="0.25">
      <c r="C103"/>
      <c r="D103"/>
      <c r="E103"/>
      <c r="F103"/>
      <c r="G103"/>
    </row>
    <row r="104" spans="3:7" x14ac:dyDescent="0.25">
      <c r="C104"/>
      <c r="D104"/>
      <c r="E104"/>
      <c r="F104"/>
      <c r="G104"/>
    </row>
    <row r="105" spans="3:7" x14ac:dyDescent="0.25">
      <c r="C105"/>
      <c r="D105"/>
      <c r="E105"/>
      <c r="F105"/>
      <c r="G105"/>
    </row>
    <row r="106" spans="3:7" x14ac:dyDescent="0.25">
      <c r="C106"/>
      <c r="D106"/>
      <c r="E106"/>
      <c r="F106"/>
      <c r="G106"/>
    </row>
  </sheetData>
  <dataConsolidate/>
  <mergeCells count="2">
    <mergeCell ref="C5:J5"/>
    <mergeCell ref="C4:K4"/>
  </mergeCells>
  <printOptions horizontalCentered="1" verticalCentered="1"/>
  <pageMargins left="0.23622047244094491" right="0.23622047244094491" top="0.19685039370078741" bottom="0.19685039370078741" header="0" footer="0"/>
  <pageSetup paperSize="9" orientation="landscape" horizontalDpi="1200" verticalDpi="1200" r:id="rId2"/>
  <rowBreaks count="1" manualBreakCount="1">
    <brk id="64" max="16383" man="1"/>
  </rowBreaks>
  <drawing r:id="rId3"/>
  <legacyDrawing r:id="rId4"/>
  <controls>
    <mc:AlternateContent xmlns:mc="http://schemas.openxmlformats.org/markup-compatibility/2006">
      <mc:Choice Requires="x14">
        <control shapeId="9217" r:id="rId5" name="CommandButton1">
          <controlPr defaultSize="0" autoLine="0" r:id="rId6">
            <anchor moveWithCells="1">
              <from>
                <xdr:col>18</xdr:col>
                <xdr:colOff>19050</xdr:colOff>
                <xdr:row>32</xdr:row>
                <xdr:rowOff>38100</xdr:rowOff>
              </from>
              <to>
                <xdr:col>19</xdr:col>
                <xdr:colOff>238125</xdr:colOff>
                <xdr:row>33</xdr:row>
                <xdr:rowOff>123825</xdr:rowOff>
              </to>
            </anchor>
          </controlPr>
        </control>
      </mc:Choice>
      <mc:Fallback>
        <control shapeId="9217" r:id="rId5" name="CommandButton1"/>
      </mc:Fallback>
    </mc:AlternateContent>
  </controls>
  <tableParts count="1">
    <tablePart r:id="rId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AZ1063"/>
  <sheetViews>
    <sheetView showZeros="0" zoomScale="90" zoomScaleNormal="90" workbookViewId="0">
      <pane xSplit="1" ySplit="5" topLeftCell="B6" activePane="bottomRight" state="frozen"/>
      <selection activeCell="B11" sqref="B11"/>
      <selection pane="topRight" activeCell="B11" sqref="B11"/>
      <selection pane="bottomLeft" activeCell="B11" sqref="B11"/>
      <selection pane="bottomRight" activeCell="G10" sqref="G10"/>
    </sheetView>
  </sheetViews>
  <sheetFormatPr defaultColWidth="8.85546875" defaultRowHeight="15" x14ac:dyDescent="0.25"/>
  <cols>
    <col min="1" max="1" width="11.7109375" style="799" customWidth="1"/>
    <col min="2" max="2" width="15" style="780" customWidth="1"/>
    <col min="3" max="3" width="13.7109375" style="780" customWidth="1"/>
    <col min="4" max="4" width="13" style="780" customWidth="1"/>
    <col min="5" max="5" width="14.28515625" style="780" customWidth="1"/>
    <col min="6" max="6" width="13.85546875" style="780" customWidth="1"/>
    <col min="7" max="7" width="34.85546875" style="780" customWidth="1"/>
    <col min="8" max="8" width="9.5703125" style="107" customWidth="1"/>
    <col min="9" max="9" width="8.140625" style="107" customWidth="1"/>
    <col min="10" max="10" width="9" style="107" customWidth="1"/>
    <col min="11" max="11" width="8.42578125" style="107" customWidth="1"/>
    <col min="12" max="12" width="11.85546875" style="107" customWidth="1"/>
    <col min="13" max="13" width="7.5703125" style="107" customWidth="1"/>
    <col min="14" max="14" width="8.28515625" style="107" customWidth="1"/>
    <col min="15" max="16" width="10" style="107" customWidth="1"/>
    <col min="17" max="17" width="7.5703125" style="107" customWidth="1"/>
    <col min="18" max="20" width="9.28515625" style="107" customWidth="1"/>
    <col min="21" max="24" width="7.7109375" style="107" customWidth="1"/>
    <col min="25" max="29" width="13.140625" style="111" hidden="1" customWidth="1"/>
    <col min="30" max="30" width="10.5703125" style="111" hidden="1" customWidth="1"/>
    <col min="31" max="31" width="9.5703125" style="111" hidden="1" customWidth="1"/>
    <col min="32" max="32" width="9.28515625" style="111" hidden="1" customWidth="1"/>
    <col min="33" max="33" width="14.7109375" style="111" hidden="1" customWidth="1"/>
    <col min="34" max="34" width="12.140625" style="111" hidden="1" customWidth="1"/>
    <col min="35" max="35" width="13" style="111" hidden="1" customWidth="1"/>
    <col min="36" max="36" width="15.28515625" style="111" hidden="1" customWidth="1"/>
    <col min="37" max="37" width="17" style="111" hidden="1" customWidth="1"/>
    <col min="38" max="38" width="14.85546875" style="111" hidden="1" customWidth="1"/>
    <col min="39" max="39" width="17.28515625" style="111" hidden="1" customWidth="1"/>
    <col min="40" max="40" width="11.5703125" style="111" hidden="1" customWidth="1"/>
    <col min="41" max="41" width="14.85546875" style="780" customWidth="1"/>
    <col min="42" max="42" width="15.85546875" style="799" customWidth="1"/>
    <col min="43" max="43" width="9" style="780" customWidth="1"/>
    <col min="44" max="44" width="18.140625" style="780" customWidth="1"/>
    <col min="45" max="45" width="8.5703125" style="780" customWidth="1"/>
    <col min="46" max="46" width="10.5703125" style="780" customWidth="1"/>
    <col min="47" max="47" width="67.28515625" style="780" bestFit="1" customWidth="1"/>
    <col min="48" max="16384" width="8.85546875" style="780"/>
  </cols>
  <sheetData>
    <row r="1" spans="1:52" s="756" customFormat="1" ht="36" x14ac:dyDescent="0.25">
      <c r="A1" s="303"/>
      <c r="B1" s="304"/>
      <c r="C1" s="304"/>
      <c r="D1" s="304"/>
      <c r="E1" s="304"/>
      <c r="F1" s="304"/>
      <c r="G1" s="304"/>
      <c r="H1" s="312"/>
      <c r="I1" s="313">
        <f>'NFI Summary'!W3</f>
        <v>1</v>
      </c>
      <c r="J1" s="312"/>
      <c r="K1" s="312"/>
      <c r="L1" s="312"/>
      <c r="M1" s="312"/>
      <c r="N1" s="312"/>
      <c r="O1" s="312"/>
      <c r="P1" s="312"/>
      <c r="Q1" s="312"/>
      <c r="R1" s="312"/>
      <c r="S1" s="312"/>
      <c r="T1" s="312"/>
      <c r="U1" s="312"/>
      <c r="V1" s="312"/>
      <c r="W1" s="312"/>
      <c r="X1" s="312"/>
      <c r="Y1" s="312"/>
      <c r="Z1" s="312"/>
      <c r="AA1" s="312"/>
      <c r="AB1" s="312"/>
      <c r="AC1" s="312"/>
      <c r="AD1" s="312"/>
      <c r="AE1" s="314"/>
      <c r="AF1" s="314"/>
      <c r="AG1" s="314"/>
      <c r="AH1" s="314"/>
      <c r="AI1" s="314"/>
      <c r="AJ1" s="314"/>
      <c r="AK1" s="314"/>
      <c r="AL1" s="314"/>
      <c r="AM1" s="314"/>
      <c r="AN1" s="314"/>
      <c r="AO1" s="753"/>
      <c r="AP1" s="754"/>
      <c r="AQ1" s="753"/>
      <c r="AR1" s="753"/>
      <c r="AS1" s="753"/>
      <c r="AT1" s="753"/>
      <c r="AU1" s="755"/>
      <c r="AY1" s="757"/>
      <c r="AZ1" s="757"/>
    </row>
    <row r="2" spans="1:52" s="756" customFormat="1" ht="33" customHeight="1" x14ac:dyDescent="0.25">
      <c r="A2" s="855" t="s">
        <v>435</v>
      </c>
      <c r="B2" s="856"/>
      <c r="C2" s="856"/>
      <c r="D2" s="856"/>
      <c r="E2" s="856"/>
      <c r="F2" s="856"/>
      <c r="G2" s="856"/>
      <c r="H2" s="856"/>
      <c r="I2" s="105"/>
      <c r="J2" s="105"/>
      <c r="K2" s="105"/>
      <c r="L2" s="105"/>
      <c r="M2" s="105"/>
      <c r="N2" s="105"/>
      <c r="O2" s="105"/>
      <c r="P2" s="105"/>
      <c r="Q2" s="105"/>
      <c r="R2" s="105"/>
      <c r="S2" s="105"/>
      <c r="T2" s="105"/>
      <c r="U2" s="105"/>
      <c r="V2" s="105"/>
      <c r="W2" s="105"/>
      <c r="X2" s="105"/>
      <c r="Y2" s="106"/>
      <c r="Z2" s="106"/>
      <c r="AA2" s="106"/>
      <c r="AB2" s="106"/>
      <c r="AC2" s="106"/>
      <c r="AD2" s="106"/>
      <c r="AE2" s="106"/>
      <c r="AF2" s="106"/>
      <c r="AG2" s="106"/>
      <c r="AH2" s="106"/>
      <c r="AI2" s="106"/>
      <c r="AJ2" s="106"/>
      <c r="AK2" s="106"/>
      <c r="AL2" s="106"/>
      <c r="AM2" s="106"/>
      <c r="AN2" s="106"/>
      <c r="AO2" s="758"/>
      <c r="AP2" s="759"/>
      <c r="AQ2" s="758"/>
      <c r="AR2" s="758"/>
      <c r="AS2" s="758"/>
      <c r="AT2" s="758"/>
      <c r="AU2" s="760"/>
      <c r="AW2" s="757"/>
      <c r="AX2" s="757"/>
    </row>
    <row r="3" spans="1:52" s="136" customFormat="1" ht="18" customHeight="1" x14ac:dyDescent="0.25">
      <c r="A3" s="857">
        <f>Report_Date</f>
        <v>42370</v>
      </c>
      <c r="B3" s="858"/>
      <c r="C3" s="858"/>
      <c r="D3" s="858"/>
      <c r="E3" s="858"/>
      <c r="F3" s="858"/>
      <c r="G3" s="858"/>
      <c r="H3" s="858"/>
      <c r="I3" s="315"/>
      <c r="J3" s="315"/>
      <c r="K3" s="315"/>
      <c r="L3" s="315"/>
      <c r="M3" s="315"/>
      <c r="N3" s="315"/>
      <c r="O3" s="315"/>
      <c r="P3" s="315"/>
      <c r="Q3" s="315"/>
      <c r="R3" s="315"/>
      <c r="S3" s="315"/>
      <c r="T3" s="315"/>
      <c r="U3" s="315"/>
      <c r="V3" s="315"/>
      <c r="W3" s="315"/>
      <c r="X3" s="315"/>
      <c r="Y3" s="316"/>
      <c r="Z3" s="316"/>
      <c r="AA3" s="316"/>
      <c r="AB3" s="316"/>
      <c r="AC3" s="316"/>
      <c r="AD3" s="317"/>
      <c r="AE3" s="317"/>
      <c r="AF3" s="317"/>
      <c r="AG3" s="317"/>
      <c r="AH3" s="317"/>
      <c r="AI3" s="317"/>
      <c r="AJ3" s="317"/>
      <c r="AK3" s="317"/>
      <c r="AL3" s="317"/>
      <c r="AM3" s="317"/>
      <c r="AN3" s="317"/>
      <c r="AO3" s="761"/>
      <c r="AP3" s="762"/>
      <c r="AQ3" s="761"/>
      <c r="AR3" s="761"/>
      <c r="AS3" s="761"/>
      <c r="AT3" s="761"/>
      <c r="AU3" s="763"/>
      <c r="AW3" s="764"/>
      <c r="AX3" s="764"/>
    </row>
    <row r="4" spans="1:52" s="136" customFormat="1" ht="18" hidden="1" customHeight="1" x14ac:dyDescent="0.25">
      <c r="A4" s="861"/>
      <c r="B4" s="862"/>
      <c r="C4" s="862"/>
      <c r="D4" s="45"/>
      <c r="E4" s="45"/>
      <c r="F4" s="45"/>
      <c r="G4" s="45"/>
      <c r="H4" s="109"/>
      <c r="I4" s="109"/>
      <c r="J4" s="109"/>
      <c r="K4" s="108"/>
      <c r="L4" s="109"/>
      <c r="M4" s="109"/>
      <c r="N4" s="109"/>
      <c r="O4" s="109"/>
      <c r="P4" s="109"/>
      <c r="Q4" s="109"/>
      <c r="R4" s="109"/>
      <c r="S4" s="109"/>
      <c r="T4" s="109"/>
      <c r="U4" s="109"/>
      <c r="V4" s="109"/>
      <c r="W4" s="109"/>
      <c r="X4" s="109"/>
      <c r="Y4" s="109"/>
      <c r="Z4" s="109"/>
      <c r="AA4" s="109"/>
      <c r="AB4" s="110"/>
      <c r="AC4" s="109"/>
      <c r="AD4" s="109"/>
      <c r="AE4" s="108"/>
      <c r="AF4" s="108"/>
      <c r="AG4" s="108"/>
      <c r="AH4" s="108"/>
      <c r="AI4" s="108"/>
      <c r="AJ4" s="108"/>
      <c r="AK4" s="108"/>
      <c r="AL4" s="108"/>
      <c r="AM4" s="108"/>
      <c r="AN4" s="108"/>
      <c r="AP4" s="765"/>
      <c r="AU4" s="766"/>
      <c r="AY4" s="764"/>
      <c r="AZ4" s="764"/>
    </row>
    <row r="5" spans="1:52" s="767" customFormat="1" ht="69.75" customHeight="1" x14ac:dyDescent="0.25">
      <c r="A5" s="432" t="s">
        <v>440</v>
      </c>
      <c r="B5" s="432" t="s">
        <v>413</v>
      </c>
      <c r="C5" s="432" t="s">
        <v>403</v>
      </c>
      <c r="D5" s="432" t="s">
        <v>414</v>
      </c>
      <c r="E5" s="432" t="s">
        <v>396</v>
      </c>
      <c r="F5" s="432" t="s">
        <v>0</v>
      </c>
      <c r="G5" s="432" t="s">
        <v>395</v>
      </c>
      <c r="H5" s="432" t="s">
        <v>457</v>
      </c>
      <c r="I5" s="432" t="s">
        <v>405</v>
      </c>
      <c r="J5" s="432" t="s">
        <v>458</v>
      </c>
      <c r="K5" s="432" t="s">
        <v>597</v>
      </c>
      <c r="L5" s="432" t="s">
        <v>459</v>
      </c>
      <c r="M5" s="432" t="s">
        <v>436</v>
      </c>
      <c r="N5" s="432" t="s">
        <v>437</v>
      </c>
      <c r="O5" s="432" t="s">
        <v>1232</v>
      </c>
      <c r="P5" s="432" t="s">
        <v>579</v>
      </c>
      <c r="Q5" s="432" t="s">
        <v>580</v>
      </c>
      <c r="R5" s="432" t="s">
        <v>994</v>
      </c>
      <c r="S5" s="432" t="s">
        <v>998</v>
      </c>
      <c r="T5" s="432" t="s">
        <v>1002</v>
      </c>
      <c r="U5" s="432" t="s">
        <v>1118</v>
      </c>
      <c r="V5" s="432" t="s">
        <v>1334</v>
      </c>
      <c r="W5" s="432" t="s">
        <v>1455</v>
      </c>
      <c r="X5" s="432" t="s">
        <v>1456</v>
      </c>
      <c r="Y5" s="433" t="s">
        <v>1149</v>
      </c>
      <c r="Z5" s="433" t="s">
        <v>1150</v>
      </c>
      <c r="AA5" s="433" t="s">
        <v>1151</v>
      </c>
      <c r="AB5" s="433" t="s">
        <v>1152</v>
      </c>
      <c r="AC5" s="433" t="s">
        <v>1153</v>
      </c>
      <c r="AD5" s="433" t="s">
        <v>1155</v>
      </c>
      <c r="AE5" s="433" t="s">
        <v>1154</v>
      </c>
      <c r="AF5" s="433" t="s">
        <v>1233</v>
      </c>
      <c r="AG5" s="433" t="s">
        <v>1156</v>
      </c>
      <c r="AH5" s="433" t="s">
        <v>1157</v>
      </c>
      <c r="AI5" s="433" t="s">
        <v>1158</v>
      </c>
      <c r="AJ5" s="433" t="s">
        <v>1159</v>
      </c>
      <c r="AK5" s="433" t="s">
        <v>1160</v>
      </c>
      <c r="AL5" s="433" t="s">
        <v>1161</v>
      </c>
      <c r="AM5" s="433" t="s">
        <v>1164</v>
      </c>
      <c r="AN5" s="433" t="s">
        <v>1335</v>
      </c>
      <c r="AO5" s="432" t="s">
        <v>560</v>
      </c>
      <c r="AP5" s="432" t="s">
        <v>1148</v>
      </c>
      <c r="AQ5" s="432" t="s">
        <v>500</v>
      </c>
      <c r="AR5" s="432" t="s">
        <v>1087</v>
      </c>
      <c r="AS5" s="432" t="s">
        <v>442</v>
      </c>
      <c r="AT5" s="432" t="s">
        <v>1098</v>
      </c>
      <c r="AU5" s="432" t="s">
        <v>498</v>
      </c>
    </row>
    <row r="6" spans="1:52" s="804" customFormat="1" ht="15" customHeight="1" x14ac:dyDescent="0.25">
      <c r="A6" s="451">
        <f t="shared" ref="A6:A69" si="0">IF(ISBLANK(B6),"",(Report_Date-B6)/30)</f>
        <v>-1.5333333333333334</v>
      </c>
      <c r="B6" s="768">
        <v>42416</v>
      </c>
      <c r="C6" s="769" t="s">
        <v>454</v>
      </c>
      <c r="D6" s="769" t="s">
        <v>462</v>
      </c>
      <c r="E6" s="769" t="s">
        <v>380</v>
      </c>
      <c r="F6" s="769" t="s">
        <v>185</v>
      </c>
      <c r="G6" s="435"/>
      <c r="H6" s="436"/>
      <c r="I6" s="437"/>
      <c r="J6" s="439"/>
      <c r="K6" s="439"/>
      <c r="L6" s="437"/>
      <c r="M6" s="437"/>
      <c r="N6" s="437"/>
      <c r="O6" s="437"/>
      <c r="P6" s="439"/>
      <c r="Q6" s="439"/>
      <c r="R6" s="439"/>
      <c r="S6" s="439"/>
      <c r="T6" s="439"/>
      <c r="U6" s="439">
        <v>348</v>
      </c>
      <c r="V6" s="439"/>
      <c r="W6" s="439"/>
      <c r="X6" s="439"/>
      <c r="Y6" s="781">
        <f>IF(NFI_Expiration=1,IF($A6&lt;VLOOKUP(H$5,NFI,5,0),1,0)*Table_NFI[[#This Row],[Hygiene Kit]],Table_NFI[Hygiene Kit])</f>
        <v>0</v>
      </c>
      <c r="Z6" s="772">
        <f>IF(NFI_Expiration=1,IF($A6&lt;VLOOKUP(I$5,NFI,5,0),1,0)*Table_NFI[[#This Row],[NFI Core Kit]],Table_NFI[NFI Core Kit])</f>
        <v>0</v>
      </c>
      <c r="AA6" s="781">
        <f>IF(NFI_Expiration=1,IF($A6&lt;VLOOKUP(J$5,NFI,5,0),1,0)*Table_NFI[[#This Row],[Sanitary Kit]],Table_NFI[Sanitary Kit])</f>
        <v>0</v>
      </c>
      <c r="AB6" s="439">
        <f>IF(NFI_Expiration=1,IF($A6&lt;VLOOKUP(K$5,NFI,5,0),1,0)*Table_NFI[[#This Row],[Mosquito net]],Table_NFI[Mosquito net])</f>
        <v>0</v>
      </c>
      <c r="AC6" s="438">
        <f>IF(NFI_Expiration=1,IF($A6&lt;VLOOKUP(L$5,NFI,5,0),1,0)*Table_NFI[[#This Row],[Tarpaulin]],Table_NFI[[#This Row],[Tarpaulin]])</f>
        <v>0</v>
      </c>
      <c r="AD6" s="769"/>
      <c r="AE6" s="770"/>
      <c r="AF6" s="439">
        <f>IF(NFI_Expiration=1,IF($A6&lt;VLOOKUP(O$5,NFI,5,0),1,0)*Table_NFI[[#This Row],[Clothes Kit]],Table_NFI[Clothes Kit])</f>
        <v>0</v>
      </c>
      <c r="AG6" s="439">
        <f>IF(NFI_Expiration=1,IF($A6&lt;VLOOKUP(P$5,NFI,5,0),1,0)*Table_NFI[[#This Row],[Plastic Bucket]],Table_NFI[Plastic Bucket])</f>
        <v>0</v>
      </c>
      <c r="AH6" s="439">
        <f>IF(NFI_Expiration=1,IF($A6&lt;VLOOKUP(Q$5,NFI,5,0),1,0)*Table_NFI[[#This Row],[Plastic Mat]],Table_NFI[Plastic Mat])*IF(Table_NFI[[#This Row],[Distribution Date]]&gt;"2014-04-01",1,2.5)</f>
        <v>0</v>
      </c>
      <c r="AI6" s="439">
        <f>IF(NFI_Expiration=1,IF($A6&lt;VLOOKUP(R$5,NFI,5,0),1,0)*Table_NFI[[#This Row],[Winter Clothes Adult]],Table_NFI[Winter Clothes Adult])</f>
        <v>0</v>
      </c>
      <c r="AJ6" s="439">
        <f>IF(NFI_Expiration=1,IF($A6&lt;VLOOKUP(S$5,NFI,5,0),1,0)*Table_NFI[[#This Row],[Winter Clothes Children]],Table_NFI[Winter Clothes Children])</f>
        <v>0</v>
      </c>
      <c r="AK6" s="439">
        <f>IF(NFI_Expiration=1,IF($A6&lt;VLOOKUP(T$5,NFI,5,0),1,0)*Table_NFI[[#This Row],[Winter Items Other]],Table_NFI[Winter Items Other])</f>
        <v>0</v>
      </c>
      <c r="AL6" s="439">
        <f>IF(NFI_Expiration=1,IF($A6&lt;VLOOKUP(M$5,NFI,5,0),1,0)*Table_NFI[[#This Row],[Winter Blanket]],Table_NFI[[#This Row],[Winter Blanket]])</f>
        <v>348</v>
      </c>
      <c r="AM6" s="439">
        <f>IF(Table_NFI[[#This Row],[Winter Clothes Adult]]+Table_NFI[[#This Row],[Winter Clothes Children]]+Table_NFI[[#This Row],[Winter Items Other]]+Table_NFI[[#This Row],[Winter Blanket]]&gt;0,1,0)</f>
        <v>1</v>
      </c>
      <c r="AN6" s="439">
        <f>IF(NFI_Expiration=1,IF($A6&lt;VLOOKUP(V$5,NFI,5,0),1,0)*Table_NFI[[#This Row],[Jerry Can]],Table_NFI[Jerry Can])</f>
        <v>0</v>
      </c>
      <c r="AO6" s="781" t="str">
        <f>IFERROR(VLOOKUP(Table_NFI[[#This Row],[Camp Name]],CL,2,0),"")</f>
        <v/>
      </c>
      <c r="AP6" s="772" t="str">
        <f ca="1">IF(Table_NFI[[#This Row],[Pcode]]="","",IF(OFFSET(CampList[Opening Date],MATCH(Table_NFI[[#This Row],[Pcode]],CampList[CP_Pcode],0)-1,0,1,1)&gt;=NFI_Monitor_Date,1,0))</f>
        <v/>
      </c>
      <c r="AQ6" s="781" t="str">
        <f>IFERROR(VLOOKUP(Table_NFI[[#This Row],[Camp Name]],CL,3,0),"")</f>
        <v/>
      </c>
      <c r="AR6" s="439" t="str">
        <f ca="1">IF(Table_NFI[[#This Row],[Pcode]]="","",OFFSET(CampList[Priority],MATCH(Table_NFI[[#This Row],[Pcode]],CampList[CP_Pcode],0)-1,0,1,1))</f>
        <v/>
      </c>
      <c r="AS6" s="438" t="str">
        <f>IFERROR(Table_NFI[[#This Row],[Kitchen Set]]/VLOOKUP(Table_NFI[[#This Row],[Camp Name]],CL,4,0),"")</f>
        <v/>
      </c>
      <c r="AT6" s="779"/>
      <c r="AU6" s="782" t="s">
        <v>1454</v>
      </c>
    </row>
    <row r="7" spans="1:52" s="804" customFormat="1" ht="15" customHeight="1" x14ac:dyDescent="0.25">
      <c r="A7" s="451">
        <f t="shared" si="0"/>
        <v>0.56666666666666665</v>
      </c>
      <c r="B7" s="829">
        <v>42353</v>
      </c>
      <c r="C7" s="830" t="s">
        <v>454</v>
      </c>
      <c r="D7" s="830" t="s">
        <v>462</v>
      </c>
      <c r="E7" s="830" t="s">
        <v>380</v>
      </c>
      <c r="F7" s="830" t="s">
        <v>237</v>
      </c>
      <c r="G7" s="830" t="s">
        <v>1480</v>
      </c>
      <c r="H7" s="831"/>
      <c r="I7" s="831"/>
      <c r="J7" s="831"/>
      <c r="K7" s="831">
        <v>7</v>
      </c>
      <c r="L7" s="831">
        <v>7</v>
      </c>
      <c r="M7" s="831"/>
      <c r="N7" s="831">
        <v>7</v>
      </c>
      <c r="O7" s="831"/>
      <c r="P7" s="832">
        <v>7</v>
      </c>
      <c r="Q7" s="832">
        <v>27</v>
      </c>
      <c r="R7" s="832"/>
      <c r="S7" s="832"/>
      <c r="T7" s="832"/>
      <c r="U7" s="832">
        <v>27</v>
      </c>
      <c r="V7" s="839">
        <v>7</v>
      </c>
      <c r="W7" s="832"/>
      <c r="X7" s="832"/>
      <c r="Y7" s="436">
        <f>IF(NFI_Expiration=1,IF($A7&lt;VLOOKUP(H$5,NFI,5,0),1,0)*Table_NFI[[#This Row],[Hygiene Kit]],Table_NFI[Hygiene Kit])</f>
        <v>0</v>
      </c>
      <c r="Z7" s="436">
        <f>IF(NFI_Expiration=1,IF($A7&lt;VLOOKUP(I$5,NFI,5,0),1,0)*Table_NFI[[#This Row],[NFI Core Kit]],Table_NFI[NFI Core Kit])</f>
        <v>0</v>
      </c>
      <c r="AA7" s="436">
        <f>IF(NFI_Expiration=1,IF($A7&lt;VLOOKUP(J$5,NFI,5,0),1,0)*Table_NFI[[#This Row],[Sanitary Kit]],Table_NFI[Sanitary Kit])</f>
        <v>0</v>
      </c>
      <c r="AB7" s="436">
        <f>IF(NFI_Expiration=1,IF($A7&lt;VLOOKUP(K$5,NFI,5,0),1,0)*Table_NFI[[#This Row],[Mosquito net]],Table_NFI[Mosquito net])</f>
        <v>7</v>
      </c>
      <c r="AC7" s="436">
        <f>IF(NFI_Expiration=1,IF($A7&lt;VLOOKUP(L$5,NFI,5,0),1,0)*Table_NFI[[#This Row],[Tarpaulin]],Table_NFI[[#This Row],[Tarpaulin]])</f>
        <v>7</v>
      </c>
      <c r="AD7" s="436">
        <f>IF(NFI_Expiration=1,IF($A7&lt;VLOOKUP(M$5,NFI,5,0),1,0)*Table_NFI[[#This Row],[Blanket]],Table_NFI[[#This Row],[Blanket]])</f>
        <v>0</v>
      </c>
      <c r="AE7" s="436">
        <f>IF(NFI_Expiration=1,IF($A7&lt;VLOOKUP(N$5,NFI,5,0),1,0)*Table_NFI[[#This Row],[Kitchen Set]],Table_NFI[Kitchen Set])</f>
        <v>7</v>
      </c>
      <c r="AF7" s="436">
        <f>IF(NFI_Expiration=1,IF($A7&lt;VLOOKUP(O$5,NFI,5,0),1,0)*Table_NFI[[#This Row],[Clothes Kit]],Table_NFI[Clothes Kit])</f>
        <v>0</v>
      </c>
      <c r="AG7" s="436">
        <f>IF(NFI_Expiration=1,IF($A7&lt;VLOOKUP(P$5,NFI,5,0),1,0)*Table_NFI[[#This Row],[Plastic Bucket]],Table_NFI[Plastic Bucket])</f>
        <v>7</v>
      </c>
      <c r="AH7" s="436">
        <f>IF(NFI_Expiration=1,IF($A7&lt;VLOOKUP(Q$5,NFI,5,0),1,0)*Table_NFI[[#This Row],[Plastic Mat]],Table_NFI[Plastic Mat])*IF(Table_NFI[[#This Row],[Distribution Date]]&gt;"2014-04-01",1,2.5)</f>
        <v>67.5</v>
      </c>
      <c r="AI7" s="436">
        <f>IF(NFI_Expiration=1,IF($A7&lt;VLOOKUP(R$5,NFI,5,0),1,0)*Table_NFI[[#This Row],[Winter Clothes Adult]],Table_NFI[Winter Clothes Adult])</f>
        <v>0</v>
      </c>
      <c r="AJ7" s="436">
        <f>IF(NFI_Expiration=1,IF($A7&lt;VLOOKUP(S$5,NFI,5,0),1,0)*Table_NFI[[#This Row],[Winter Clothes Children]],Table_NFI[Winter Clothes Children])</f>
        <v>0</v>
      </c>
      <c r="AK7" s="436">
        <f>IF(NFI_Expiration=1,IF($A7&lt;VLOOKUP(T$5,NFI,5,0),1,0)*Table_NFI[[#This Row],[Winter Items Other]],Table_NFI[Winter Items Other])</f>
        <v>0</v>
      </c>
      <c r="AL7" s="436">
        <f>IF(NFI_Expiration=1,IF($A7&lt;VLOOKUP(M$5,NFI,5,0),1,0)*Table_NFI[[#This Row],[Winter Blanket]],Table_NFI[[#This Row],[Winter Blanket]])</f>
        <v>27</v>
      </c>
      <c r="AM7" s="436">
        <f>IF(Table_NFI[[#This Row],[Winter Clothes Adult]]+Table_NFI[[#This Row],[Winter Clothes Children]]+Table_NFI[[#This Row],[Winter Items Other]]+Table_NFI[[#This Row],[Winter Blanket]]&gt;0,1,0)</f>
        <v>1</v>
      </c>
      <c r="AN7" s="439">
        <f>IF(NFI_Expiration=1,IF($A7&lt;VLOOKUP(V$5,NFI,5,0),1,0)*Table_NFI[[#This Row],[Jerry Can]],Table_NFI[Jerry Can])</f>
        <v>7</v>
      </c>
      <c r="AO7" s="835" t="str">
        <f>IFERROR(VLOOKUP(Table_NFI[[#This Row],[Camp Name]],CL,2,0),"")</f>
        <v/>
      </c>
      <c r="AP7" s="836" t="str">
        <f ca="1">IF(Table_NFI[[#This Row],[Pcode]]="","",IF(OFFSET(CampList[Opening Date],MATCH(Table_NFI[[#This Row],[Pcode]],CampList[CP_Pcode],0)-1,0,1,1)&gt;=NFI_Monitor_Date,1,0))</f>
        <v/>
      </c>
      <c r="AQ7" s="781" t="str">
        <f>IFERROR(VLOOKUP(Table_NFI[[#This Row],[Camp Name]],CL,3,0),"")</f>
        <v/>
      </c>
      <c r="AR7" s="439" t="str">
        <f ca="1">IF(Table_NFI[[#This Row],[Pcode]]="","",OFFSET(CampList[Priority],MATCH(Table_NFI[[#This Row],[Pcode]],CampList[CP_Pcode],0)-1,0,1,1))</f>
        <v/>
      </c>
      <c r="AS7" s="438" t="str">
        <f>IFERROR(Table_NFI[[#This Row],[Kitchen Set]]/VLOOKUP(Table_NFI[[#This Row],[Camp Name]],CL,4,0),"")</f>
        <v/>
      </c>
      <c r="AT7" s="769" t="s">
        <v>1099</v>
      </c>
      <c r="AU7" s="838"/>
    </row>
    <row r="8" spans="1:52" s="804" customFormat="1" ht="15" customHeight="1" x14ac:dyDescent="0.25">
      <c r="A8" s="451">
        <f t="shared" si="0"/>
        <v>0.7</v>
      </c>
      <c r="B8" s="829">
        <v>42349</v>
      </c>
      <c r="C8" s="830" t="s">
        <v>454</v>
      </c>
      <c r="D8" s="830" t="s">
        <v>507</v>
      </c>
      <c r="E8" s="830" t="s">
        <v>380</v>
      </c>
      <c r="F8" s="830" t="s">
        <v>237</v>
      </c>
      <c r="G8" s="830" t="s">
        <v>249</v>
      </c>
      <c r="H8" s="831"/>
      <c r="I8" s="831"/>
      <c r="J8" s="831"/>
      <c r="K8" s="831"/>
      <c r="L8" s="831"/>
      <c r="M8" s="831"/>
      <c r="N8" s="831"/>
      <c r="O8" s="831"/>
      <c r="P8" s="832"/>
      <c r="Q8" s="832"/>
      <c r="R8" s="832"/>
      <c r="S8" s="832"/>
      <c r="T8" s="832"/>
      <c r="U8" s="832">
        <v>11</v>
      </c>
      <c r="V8" s="839"/>
      <c r="W8" s="832"/>
      <c r="X8" s="832"/>
      <c r="Y8" s="436">
        <f>IF(NFI_Expiration=1,IF($A8&lt;VLOOKUP(H$5,NFI,5,0),1,0)*Table_NFI[[#This Row],[Hygiene Kit]],Table_NFI[Hygiene Kit])</f>
        <v>0</v>
      </c>
      <c r="Z8" s="436">
        <f>IF(NFI_Expiration=1,IF($A8&lt;VLOOKUP(I$5,NFI,5,0),1,0)*Table_NFI[[#This Row],[NFI Core Kit]],Table_NFI[NFI Core Kit])</f>
        <v>0</v>
      </c>
      <c r="AA8" s="436">
        <f>IF(NFI_Expiration=1,IF($A8&lt;VLOOKUP(J$5,NFI,5,0),1,0)*Table_NFI[[#This Row],[Sanitary Kit]],Table_NFI[Sanitary Kit])</f>
        <v>0</v>
      </c>
      <c r="AB8" s="436">
        <f>IF(NFI_Expiration=1,IF($A8&lt;VLOOKUP(K$5,NFI,5,0),1,0)*Table_NFI[[#This Row],[Mosquito net]],Table_NFI[Mosquito net])</f>
        <v>0</v>
      </c>
      <c r="AC8" s="436">
        <f>IF(NFI_Expiration=1,IF($A8&lt;VLOOKUP(L$5,NFI,5,0),1,0)*Table_NFI[[#This Row],[Tarpaulin]],Table_NFI[[#This Row],[Tarpaulin]])</f>
        <v>0</v>
      </c>
      <c r="AD8" s="436">
        <f>IF(NFI_Expiration=1,IF($A8&lt;VLOOKUP(M$5,NFI,5,0),1,0)*Table_NFI[[#This Row],[Blanket]],Table_NFI[[#This Row],[Blanket]])</f>
        <v>0</v>
      </c>
      <c r="AE8" s="436">
        <f>IF(NFI_Expiration=1,IF($A8&lt;VLOOKUP(N$5,NFI,5,0),1,0)*Table_NFI[[#This Row],[Kitchen Set]],Table_NFI[Kitchen Set])</f>
        <v>0</v>
      </c>
      <c r="AF8" s="436">
        <f>IF(NFI_Expiration=1,IF($A8&lt;VLOOKUP(O$5,NFI,5,0),1,0)*Table_NFI[[#This Row],[Clothes Kit]],Table_NFI[Clothes Kit])</f>
        <v>0</v>
      </c>
      <c r="AG8" s="436">
        <f>IF(NFI_Expiration=1,IF($A8&lt;VLOOKUP(P$5,NFI,5,0),1,0)*Table_NFI[[#This Row],[Plastic Bucket]],Table_NFI[Plastic Bucket])</f>
        <v>0</v>
      </c>
      <c r="AH8" s="436">
        <f>IF(NFI_Expiration=1,IF($A8&lt;VLOOKUP(Q$5,NFI,5,0),1,0)*Table_NFI[[#This Row],[Plastic Mat]],Table_NFI[Plastic Mat])*IF(Table_NFI[[#This Row],[Distribution Date]]&gt;"2014-04-01",1,2.5)</f>
        <v>0</v>
      </c>
      <c r="AI8" s="436">
        <f>IF(NFI_Expiration=1,IF($A8&lt;VLOOKUP(R$5,NFI,5,0),1,0)*Table_NFI[[#This Row],[Winter Clothes Adult]],Table_NFI[Winter Clothes Adult])</f>
        <v>0</v>
      </c>
      <c r="AJ8" s="436">
        <f>IF(NFI_Expiration=1,IF($A8&lt;VLOOKUP(S$5,NFI,5,0),1,0)*Table_NFI[[#This Row],[Winter Clothes Children]],Table_NFI[Winter Clothes Children])</f>
        <v>0</v>
      </c>
      <c r="AK8" s="436">
        <f>IF(NFI_Expiration=1,IF($A8&lt;VLOOKUP(T$5,NFI,5,0),1,0)*Table_NFI[[#This Row],[Winter Items Other]],Table_NFI[Winter Items Other])</f>
        <v>0</v>
      </c>
      <c r="AL8" s="436">
        <f>IF(NFI_Expiration=1,IF($A8&lt;VLOOKUP(M$5,NFI,5,0),1,0)*Table_NFI[[#This Row],[Winter Blanket]],Table_NFI[[#This Row],[Winter Blanket]])</f>
        <v>11</v>
      </c>
      <c r="AM8" s="436">
        <f>IF(Table_NFI[[#This Row],[Winter Clothes Adult]]+Table_NFI[[#This Row],[Winter Clothes Children]]+Table_NFI[[#This Row],[Winter Items Other]]+Table_NFI[[#This Row],[Winter Blanket]]&gt;0,1,0)</f>
        <v>1</v>
      </c>
      <c r="AN8" s="439">
        <f>IF(NFI_Expiration=1,IF($A8&lt;VLOOKUP(V$5,NFI,5,0),1,0)*Table_NFI[[#This Row],[Jerry Can]],Table_NFI[Jerry Can])</f>
        <v>0</v>
      </c>
      <c r="AO8" s="835" t="str">
        <f>IFERROR(VLOOKUP(Table_NFI[[#This Row],[Camp Name]],CL,2,0),"")</f>
        <v>MMR001CMP004</v>
      </c>
      <c r="AP8" s="836">
        <f ca="1">IF(Table_NFI[[#This Row],[Pcode]]="","",IF(OFFSET(CampList[Opening Date],MATCH(Table_NFI[[#This Row],[Pcode]],CampList[CP_Pcode],0)-1,0,1,1)&gt;=NFI_Monitor_Date,1,0))</f>
        <v>0</v>
      </c>
      <c r="AQ8" s="781" t="str">
        <f>IFERROR(VLOOKUP(Table_NFI[[#This Row],[Camp Name]],CL,3,0),"")</f>
        <v>Open</v>
      </c>
      <c r="AR8" s="439" t="str">
        <f ca="1">IF(Table_NFI[[#This Row],[Pcode]]="","",OFFSET(CampList[Priority],MATCH(Table_NFI[[#This Row],[Pcode]],CampList[CP_Pcode],0)-1,0,1,1))</f>
        <v>P4</v>
      </c>
      <c r="AS8" s="438">
        <f>IFERROR(Table_NFI[[#This Row],[Kitchen Set]]/VLOOKUP(Table_NFI[[#This Row],[Camp Name]],CL,4,0),"")</f>
        <v>0</v>
      </c>
      <c r="AT8" s="769" t="s">
        <v>1099</v>
      </c>
      <c r="AU8" s="838"/>
    </row>
    <row r="9" spans="1:52" s="136" customFormat="1" ht="15" customHeight="1" x14ac:dyDescent="0.2">
      <c r="A9" s="451">
        <f t="shared" si="0"/>
        <v>1.1666666666666667</v>
      </c>
      <c r="B9" s="768">
        <v>42335</v>
      </c>
      <c r="C9" s="769" t="s">
        <v>454</v>
      </c>
      <c r="D9" s="769" t="s">
        <v>462</v>
      </c>
      <c r="E9" s="769" t="s">
        <v>380</v>
      </c>
      <c r="F9" s="769" t="s">
        <v>302</v>
      </c>
      <c r="G9" s="769" t="s">
        <v>1457</v>
      </c>
      <c r="H9" s="436"/>
      <c r="I9" s="439"/>
      <c r="J9" s="439"/>
      <c r="K9" s="439"/>
      <c r="L9" s="437">
        <v>9</v>
      </c>
      <c r="M9" s="437">
        <v>23</v>
      </c>
      <c r="N9" s="437">
        <v>10</v>
      </c>
      <c r="O9" s="437"/>
      <c r="P9" s="439">
        <v>8</v>
      </c>
      <c r="Q9" s="439">
        <v>24</v>
      </c>
      <c r="R9" s="439"/>
      <c r="S9" s="439"/>
      <c r="T9" s="439"/>
      <c r="U9" s="439"/>
      <c r="V9" s="439">
        <v>6</v>
      </c>
      <c r="W9" s="439"/>
      <c r="X9" s="439"/>
      <c r="Y9" s="436">
        <f>IF(NFI_Expiration=1,IF($A9&lt;VLOOKUP(H$5,NFI,5,0),1,0)*Table_NFI[[#This Row],[Hygiene Kit]],Table_NFI[Hygiene Kit])</f>
        <v>0</v>
      </c>
      <c r="Z9" s="436">
        <f>IF(NFI_Expiration=1,IF($A9&lt;VLOOKUP(I$5,NFI,5,0),1,0)*Table_NFI[[#This Row],[NFI Core Kit]],Table_NFI[NFI Core Kit])</f>
        <v>0</v>
      </c>
      <c r="AA9" s="436">
        <f>IF(NFI_Expiration=1,IF($A9&lt;VLOOKUP(J$5,NFI,5,0),1,0)*Table_NFI[[#This Row],[Sanitary Kit]],Table_NFI[Sanitary Kit])</f>
        <v>0</v>
      </c>
      <c r="AB9" s="436">
        <f>IF(NFI_Expiration=1,IF($A9&lt;VLOOKUP(K$5,NFI,5,0),1,0)*Table_NFI[[#This Row],[Mosquito net]],Table_NFI[Mosquito net])</f>
        <v>0</v>
      </c>
      <c r="AC9" s="436">
        <f>IF(NFI_Expiration=1,IF($A9&lt;VLOOKUP(L$5,NFI,5,0),1,0)*Table_NFI[[#This Row],[Tarpaulin]],Table_NFI[[#This Row],[Tarpaulin]])</f>
        <v>9</v>
      </c>
      <c r="AD9" s="436">
        <f>IF(NFI_Expiration=1,IF($A9&lt;VLOOKUP(M$5,NFI,5,0),1,0)*Table_NFI[[#This Row],[Blanket]],Table_NFI[[#This Row],[Blanket]])</f>
        <v>23</v>
      </c>
      <c r="AE9" s="436">
        <f>IF(NFI_Expiration=1,IF($A9&lt;VLOOKUP(N$5,NFI,5,0),1,0)*Table_NFI[[#This Row],[Kitchen Set]],Table_NFI[Kitchen Set])</f>
        <v>10</v>
      </c>
      <c r="AF9" s="436">
        <f>IF(NFI_Expiration=1,IF($A9&lt;VLOOKUP(O$5,NFI,5,0),1,0)*Table_NFI[[#This Row],[Clothes Kit]],Table_NFI[Clothes Kit])</f>
        <v>0</v>
      </c>
      <c r="AG9" s="436">
        <f>IF(NFI_Expiration=1,IF($A9&lt;VLOOKUP(P$5,NFI,5,0),1,0)*Table_NFI[[#This Row],[Plastic Bucket]],Table_NFI[Plastic Bucket])</f>
        <v>8</v>
      </c>
      <c r="AH9" s="436">
        <f>IF(NFI_Expiration=1,IF($A9&lt;VLOOKUP(Q$5,NFI,5,0),1,0)*Table_NFI[[#This Row],[Plastic Mat]],Table_NFI[Plastic Mat])*IF(Table_NFI[[#This Row],[Distribution Date]]&gt;"2014-04-01",1,2.5)</f>
        <v>60</v>
      </c>
      <c r="AI9" s="436">
        <f>IF(NFI_Expiration=1,IF($A9&lt;VLOOKUP(R$5,NFI,5,0),1,0)*Table_NFI[[#This Row],[Winter Clothes Adult]],Table_NFI[Winter Clothes Adult])</f>
        <v>0</v>
      </c>
      <c r="AJ9" s="436">
        <f>IF(NFI_Expiration=1,IF($A9&lt;VLOOKUP(S$5,NFI,5,0),1,0)*Table_NFI[[#This Row],[Winter Clothes Children]],Table_NFI[Winter Clothes Children])</f>
        <v>0</v>
      </c>
      <c r="AK9" s="436">
        <f>IF(NFI_Expiration=1,IF($A9&lt;VLOOKUP(T$5,NFI,5,0),1,0)*Table_NFI[[#This Row],[Winter Items Other]],Table_NFI[Winter Items Other])</f>
        <v>0</v>
      </c>
      <c r="AL9" s="436">
        <f>IF(NFI_Expiration=1,IF($A9&lt;VLOOKUP(M$5,NFI,5,0),1,0)*Table_NFI[[#This Row],[Winter Blanket]],Table_NFI[[#This Row],[Winter Blanket]])</f>
        <v>0</v>
      </c>
      <c r="AM9" s="436">
        <f>IF(Table_NFI[[#This Row],[Winter Clothes Adult]]+Table_NFI[[#This Row],[Winter Clothes Children]]+Table_NFI[[#This Row],[Winter Items Other]]+Table_NFI[[#This Row],[Winter Blanket]]&gt;0,1,0)</f>
        <v>0</v>
      </c>
      <c r="AN9" s="439">
        <f>IF(NFI_Expiration=1,IF($A9&lt;VLOOKUP(V$5,NFI,5,0),1,0)*Table_NFI[[#This Row],[Jerry Can]],Table_NFI[Jerry Can])</f>
        <v>6</v>
      </c>
      <c r="AO9" s="771" t="str">
        <f>IFERROR(VLOOKUP(Table_NFI[[#This Row],[Camp Name]],CL,2,0),"")</f>
        <v/>
      </c>
      <c r="AP9" s="772" t="str">
        <f ca="1">IF(Table_NFI[[#This Row],[Pcode]]="","",IF(OFFSET(CampList[Opening Date],MATCH(Table_NFI[[#This Row],[Pcode]],CampList[CP_Pcode],0)-1,0,1,1)&gt;=NFI_Monitor_Date,1,0))</f>
        <v/>
      </c>
      <c r="AQ9" s="781" t="str">
        <f>IFERROR(VLOOKUP(Table_NFI[[#This Row],[Camp Name]],CL,3,0),"")</f>
        <v/>
      </c>
      <c r="AR9" s="439" t="str">
        <f ca="1">IF(Table_NFI[[#This Row],[Pcode]]="","",OFFSET(CampList[Priority],MATCH(Table_NFI[[#This Row],[Pcode]],CampList[CP_Pcode],0)-1,0,1,1))</f>
        <v/>
      </c>
      <c r="AS9" s="438" t="str">
        <f>IFERROR(Table_NFI[[#This Row],[Kitchen Set]]/VLOOKUP(Table_NFI[[#This Row],[Camp Name]],CL,4,0),"")</f>
        <v/>
      </c>
      <c r="AT9" s="769" t="s">
        <v>1099</v>
      </c>
      <c r="AU9" s="826"/>
    </row>
    <row r="10" spans="1:52" s="774" customFormat="1" ht="15" customHeight="1" x14ac:dyDescent="0.25">
      <c r="A10" s="451">
        <f t="shared" si="0"/>
        <v>1.2333333333333334</v>
      </c>
      <c r="B10" s="768">
        <v>42333</v>
      </c>
      <c r="C10" s="769" t="s">
        <v>454</v>
      </c>
      <c r="D10" s="769" t="s">
        <v>462</v>
      </c>
      <c r="E10" s="769" t="s">
        <v>380</v>
      </c>
      <c r="F10" s="769" t="s">
        <v>302</v>
      </c>
      <c r="G10" s="769" t="s">
        <v>306</v>
      </c>
      <c r="H10" s="436"/>
      <c r="I10" s="436"/>
      <c r="J10" s="436"/>
      <c r="K10" s="436"/>
      <c r="L10" s="437">
        <v>4</v>
      </c>
      <c r="M10" s="437">
        <v>16</v>
      </c>
      <c r="N10" s="437">
        <v>4</v>
      </c>
      <c r="O10" s="437"/>
      <c r="P10" s="439">
        <v>4</v>
      </c>
      <c r="Q10" s="439">
        <v>23</v>
      </c>
      <c r="R10" s="436"/>
      <c r="S10" s="436"/>
      <c r="T10" s="436"/>
      <c r="U10" s="436"/>
      <c r="V10" s="436">
        <v>7</v>
      </c>
      <c r="W10" s="436"/>
      <c r="X10" s="439"/>
      <c r="Y10" s="436">
        <f>IF(NFI_Expiration=1,IF($A10&lt;VLOOKUP(H$5,NFI,5,0),1,0)*Table_NFI[[#This Row],[Hygiene Kit]],Table_NFI[Hygiene Kit])</f>
        <v>0</v>
      </c>
      <c r="Z10" s="436">
        <f>IF(NFI_Expiration=1,IF($A10&lt;VLOOKUP(I$5,NFI,5,0),1,0)*Table_NFI[[#This Row],[NFI Core Kit]],Table_NFI[NFI Core Kit])</f>
        <v>0</v>
      </c>
      <c r="AA10" s="436">
        <f>IF(NFI_Expiration=1,IF($A10&lt;VLOOKUP(J$5,NFI,5,0),1,0)*Table_NFI[[#This Row],[Sanitary Kit]],Table_NFI[Sanitary Kit])</f>
        <v>0</v>
      </c>
      <c r="AB10" s="436">
        <f>IF(NFI_Expiration=1,IF($A10&lt;VLOOKUP(K$5,NFI,5,0),1,0)*Table_NFI[[#This Row],[Mosquito net]],Table_NFI[Mosquito net])</f>
        <v>0</v>
      </c>
      <c r="AC10" s="436">
        <f>IF(NFI_Expiration=1,IF($A10&lt;VLOOKUP(L$5,NFI,5,0),1,0)*Table_NFI[[#This Row],[Tarpaulin]],Table_NFI[[#This Row],[Tarpaulin]])</f>
        <v>4</v>
      </c>
      <c r="AD10" s="436">
        <f>IF(NFI_Expiration=1,IF($A10&lt;VLOOKUP(M$5,NFI,5,0),1,0)*Table_NFI[[#This Row],[Blanket]],Table_NFI[[#This Row],[Blanket]])</f>
        <v>16</v>
      </c>
      <c r="AE10" s="436">
        <f>IF(NFI_Expiration=1,IF($A10&lt;VLOOKUP(N$5,NFI,5,0),1,0)*Table_NFI[[#This Row],[Kitchen Set]],Table_NFI[Kitchen Set])</f>
        <v>4</v>
      </c>
      <c r="AF10" s="436">
        <f>IF(NFI_Expiration=1,IF($A10&lt;VLOOKUP(O$5,NFI,5,0),1,0)*Table_NFI[[#This Row],[Clothes Kit]],Table_NFI[Clothes Kit])</f>
        <v>0</v>
      </c>
      <c r="AG10" s="436">
        <f>IF(NFI_Expiration=1,IF($A10&lt;VLOOKUP(P$5,NFI,5,0),1,0)*Table_NFI[[#This Row],[Plastic Bucket]],Table_NFI[Plastic Bucket])</f>
        <v>4</v>
      </c>
      <c r="AH10" s="436">
        <f>IF(NFI_Expiration=1,IF($A10&lt;VLOOKUP(Q$5,NFI,5,0),1,0)*Table_NFI[[#This Row],[Plastic Mat]],Table_NFI[Plastic Mat])*IF(Table_NFI[[#This Row],[Distribution Date]]&gt;"2014-04-01",1,2.5)</f>
        <v>57.5</v>
      </c>
      <c r="AI10" s="436">
        <f>IF(NFI_Expiration=1,IF($A10&lt;VLOOKUP(R$5,NFI,5,0),1,0)*Table_NFI[[#This Row],[Winter Clothes Adult]],Table_NFI[Winter Clothes Adult])</f>
        <v>0</v>
      </c>
      <c r="AJ10" s="436">
        <f>IF(NFI_Expiration=1,IF($A10&lt;VLOOKUP(S$5,NFI,5,0),1,0)*Table_NFI[[#This Row],[Winter Clothes Children]],Table_NFI[Winter Clothes Children])</f>
        <v>0</v>
      </c>
      <c r="AK10" s="436">
        <f>IF(NFI_Expiration=1,IF($A10&lt;VLOOKUP(T$5,NFI,5,0),1,0)*Table_NFI[[#This Row],[Winter Items Other]],Table_NFI[Winter Items Other])</f>
        <v>0</v>
      </c>
      <c r="AL10" s="436">
        <f>IF(NFI_Expiration=1,IF($A10&lt;VLOOKUP(M$5,NFI,5,0),1,0)*Table_NFI[[#This Row],[Winter Blanket]],Table_NFI[[#This Row],[Winter Blanket]])</f>
        <v>0</v>
      </c>
      <c r="AM10" s="436">
        <f>IF(Table_NFI[[#This Row],[Winter Clothes Adult]]+Table_NFI[[#This Row],[Winter Clothes Children]]+Table_NFI[[#This Row],[Winter Items Other]]+Table_NFI[[#This Row],[Winter Blanket]]&gt;0,1,0)</f>
        <v>0</v>
      </c>
      <c r="AN10" s="439">
        <f>IF(NFI_Expiration=1,IF($A10&lt;VLOOKUP(V$5,NFI,5,0),1,0)*Table_NFI[[#This Row],[Jerry Can]],Table_NFI[Jerry Can])</f>
        <v>7</v>
      </c>
      <c r="AO10" s="771" t="str">
        <f>IFERROR(VLOOKUP(Table_NFI[[#This Row],[Camp Name]],CL,2,0),"")</f>
        <v>MMR001CMP067</v>
      </c>
      <c r="AP10" s="772">
        <f ca="1">IF(Table_NFI[[#This Row],[Pcode]]="","",IF(OFFSET(CampList[Opening Date],MATCH(Table_NFI[[#This Row],[Pcode]],CampList[CP_Pcode],0)-1,0,1,1)&gt;=NFI_Monitor_Date,1,0))</f>
        <v>0</v>
      </c>
      <c r="AQ10" s="781" t="str">
        <f>IFERROR(VLOOKUP(Table_NFI[[#This Row],[Camp Name]],CL,3,0),"")</f>
        <v>Open</v>
      </c>
      <c r="AR10" s="439" t="str">
        <f ca="1">IF(Table_NFI[[#This Row],[Pcode]]="","",OFFSET(CampList[Priority],MATCH(Table_NFI[[#This Row],[Pcode]],CampList[CP_Pcode],0)-1,0,1,1))</f>
        <v>P4</v>
      </c>
      <c r="AS10" s="438">
        <f>IFERROR(Table_NFI[[#This Row],[Kitchen Set]]/VLOOKUP(Table_NFI[[#This Row],[Camp Name]],CL,4,0),"")</f>
        <v>4.8192771084337352E-2</v>
      </c>
      <c r="AT10" s="769" t="s">
        <v>1099</v>
      </c>
      <c r="AU10" s="773"/>
    </row>
    <row r="11" spans="1:52" s="774" customFormat="1" ht="15" customHeight="1" x14ac:dyDescent="0.2">
      <c r="A11" s="451">
        <f t="shared" si="0"/>
        <v>1.2333333333333334</v>
      </c>
      <c r="B11" s="768">
        <v>42333</v>
      </c>
      <c r="C11" s="769" t="s">
        <v>454</v>
      </c>
      <c r="D11" s="769" t="s">
        <v>462</v>
      </c>
      <c r="E11" s="769" t="s">
        <v>380</v>
      </c>
      <c r="F11" s="769" t="s">
        <v>302</v>
      </c>
      <c r="G11" s="769" t="s">
        <v>308</v>
      </c>
      <c r="H11" s="436"/>
      <c r="I11" s="439"/>
      <c r="J11" s="439"/>
      <c r="K11" s="439"/>
      <c r="L11" s="437">
        <v>4</v>
      </c>
      <c r="M11" s="437">
        <v>12</v>
      </c>
      <c r="N11" s="437">
        <v>3</v>
      </c>
      <c r="O11" s="437"/>
      <c r="P11" s="439">
        <v>4</v>
      </c>
      <c r="Q11" s="439">
        <v>14</v>
      </c>
      <c r="R11" s="439"/>
      <c r="S11" s="439"/>
      <c r="T11" s="439"/>
      <c r="U11" s="439"/>
      <c r="V11" s="439">
        <v>4</v>
      </c>
      <c r="W11" s="439"/>
      <c r="X11" s="439"/>
      <c r="Y11" s="436">
        <f>IF(NFI_Expiration=1,IF($A11&lt;VLOOKUP(H$5,NFI,5,0),1,0)*Table_NFI[[#This Row],[Hygiene Kit]],Table_NFI[Hygiene Kit])</f>
        <v>0</v>
      </c>
      <c r="Z11" s="436">
        <f>IF(NFI_Expiration=1,IF($A11&lt;VLOOKUP(I$5,NFI,5,0),1,0)*Table_NFI[[#This Row],[NFI Core Kit]],Table_NFI[NFI Core Kit])</f>
        <v>0</v>
      </c>
      <c r="AA11" s="436">
        <f>IF(NFI_Expiration=1,IF($A11&lt;VLOOKUP(J$5,NFI,5,0),1,0)*Table_NFI[[#This Row],[Sanitary Kit]],Table_NFI[Sanitary Kit])</f>
        <v>0</v>
      </c>
      <c r="AB11" s="436">
        <f>IF(NFI_Expiration=1,IF($A11&lt;VLOOKUP(K$5,NFI,5,0),1,0)*Table_NFI[[#This Row],[Mosquito net]],Table_NFI[Mosquito net])</f>
        <v>0</v>
      </c>
      <c r="AC11" s="436">
        <f>IF(NFI_Expiration=1,IF($A11&lt;VLOOKUP(L$5,NFI,5,0),1,0)*Table_NFI[[#This Row],[Tarpaulin]],Table_NFI[[#This Row],[Tarpaulin]])</f>
        <v>4</v>
      </c>
      <c r="AD11" s="436">
        <f>IF(NFI_Expiration=1,IF($A11&lt;VLOOKUP(M$5,NFI,5,0),1,0)*Table_NFI[[#This Row],[Blanket]],Table_NFI[[#This Row],[Blanket]])</f>
        <v>12</v>
      </c>
      <c r="AE11" s="436">
        <f>IF(NFI_Expiration=1,IF($A11&lt;VLOOKUP(N$5,NFI,5,0),1,0)*Table_NFI[[#This Row],[Kitchen Set]],Table_NFI[Kitchen Set])</f>
        <v>3</v>
      </c>
      <c r="AF11" s="436">
        <f>IF(NFI_Expiration=1,IF($A11&lt;VLOOKUP(O$5,NFI,5,0),1,0)*Table_NFI[[#This Row],[Clothes Kit]],Table_NFI[Clothes Kit])</f>
        <v>0</v>
      </c>
      <c r="AG11" s="436">
        <f>IF(NFI_Expiration=1,IF($A11&lt;VLOOKUP(P$5,NFI,5,0),1,0)*Table_NFI[[#This Row],[Plastic Bucket]],Table_NFI[Plastic Bucket])</f>
        <v>4</v>
      </c>
      <c r="AH11" s="436">
        <f>IF(NFI_Expiration=1,IF($A11&lt;VLOOKUP(Q$5,NFI,5,0),1,0)*Table_NFI[[#This Row],[Plastic Mat]],Table_NFI[Plastic Mat])*IF(Table_NFI[[#This Row],[Distribution Date]]&gt;"2014-04-01",1,2.5)</f>
        <v>35</v>
      </c>
      <c r="AI11" s="436">
        <f>IF(NFI_Expiration=1,IF($A11&lt;VLOOKUP(R$5,NFI,5,0),1,0)*Table_NFI[[#This Row],[Winter Clothes Adult]],Table_NFI[Winter Clothes Adult])</f>
        <v>0</v>
      </c>
      <c r="AJ11" s="436">
        <f>IF(NFI_Expiration=1,IF($A11&lt;VLOOKUP(S$5,NFI,5,0),1,0)*Table_NFI[[#This Row],[Winter Clothes Children]],Table_NFI[Winter Clothes Children])</f>
        <v>0</v>
      </c>
      <c r="AK11" s="436">
        <f>IF(NFI_Expiration=1,IF($A11&lt;VLOOKUP(T$5,NFI,5,0),1,0)*Table_NFI[[#This Row],[Winter Items Other]],Table_NFI[Winter Items Other])</f>
        <v>0</v>
      </c>
      <c r="AL11" s="436">
        <f>IF(NFI_Expiration=1,IF($A11&lt;VLOOKUP(M$5,NFI,5,0),1,0)*Table_NFI[[#This Row],[Winter Blanket]],Table_NFI[[#This Row],[Winter Blanket]])</f>
        <v>0</v>
      </c>
      <c r="AM11" s="436">
        <f>IF(Table_NFI[[#This Row],[Winter Clothes Adult]]+Table_NFI[[#This Row],[Winter Clothes Children]]+Table_NFI[[#This Row],[Winter Items Other]]+Table_NFI[[#This Row],[Winter Blanket]]&gt;0,1,0)</f>
        <v>0</v>
      </c>
      <c r="AN11" s="439">
        <f>IF(NFI_Expiration=1,IF($A11&lt;VLOOKUP(V$5,NFI,5,0),1,0)*Table_NFI[[#This Row],[Jerry Can]],Table_NFI[Jerry Can])</f>
        <v>4</v>
      </c>
      <c r="AO11" s="771" t="str">
        <f>IFERROR(VLOOKUP(Table_NFI[[#This Row],[Camp Name]],CL,2,0),"")</f>
        <v>MMR001CMP068</v>
      </c>
      <c r="AP11" s="772">
        <f ca="1">IF(Table_NFI[[#This Row],[Pcode]]="","",IF(OFFSET(CampList[Opening Date],MATCH(Table_NFI[[#This Row],[Pcode]],CampList[CP_Pcode],0)-1,0,1,1)&gt;=NFI_Monitor_Date,1,0))</f>
        <v>0</v>
      </c>
      <c r="AQ11" s="781" t="str">
        <f>IFERROR(VLOOKUP(Table_NFI[[#This Row],[Camp Name]],CL,3,0),"")</f>
        <v>Open</v>
      </c>
      <c r="AR11" s="439" t="str">
        <f ca="1">IF(Table_NFI[[#This Row],[Pcode]]="","",OFFSET(CampList[Priority],MATCH(Table_NFI[[#This Row],[Pcode]],CampList[CP_Pcode],0)-1,0,1,1))</f>
        <v>P4</v>
      </c>
      <c r="AS11" s="438">
        <f>IFERROR(Table_NFI[[#This Row],[Kitchen Set]]/VLOOKUP(Table_NFI[[#This Row],[Camp Name]],CL,4,0),"")</f>
        <v>7.3170731707317069E-2</v>
      </c>
      <c r="AT11" s="769" t="s">
        <v>1099</v>
      </c>
      <c r="AU11" s="826"/>
    </row>
    <row r="12" spans="1:52" s="774" customFormat="1" ht="15" customHeight="1" x14ac:dyDescent="0.25">
      <c r="A12" s="451">
        <f t="shared" si="0"/>
        <v>1.2666666666666666</v>
      </c>
      <c r="B12" s="768">
        <v>42332</v>
      </c>
      <c r="C12" s="769" t="s">
        <v>454</v>
      </c>
      <c r="D12" s="769" t="s">
        <v>508</v>
      </c>
      <c r="E12" s="769" t="s">
        <v>380</v>
      </c>
      <c r="F12" s="769" t="s">
        <v>237</v>
      </c>
      <c r="G12" s="769" t="s">
        <v>273</v>
      </c>
      <c r="H12" s="436"/>
      <c r="I12" s="439"/>
      <c r="J12" s="439"/>
      <c r="K12" s="439"/>
      <c r="L12" s="437"/>
      <c r="M12" s="437"/>
      <c r="N12" s="437"/>
      <c r="O12" s="437"/>
      <c r="P12" s="439"/>
      <c r="Q12" s="439"/>
      <c r="R12" s="439"/>
      <c r="S12" s="439"/>
      <c r="T12" s="439"/>
      <c r="U12" s="439">
        <v>50</v>
      </c>
      <c r="V12" s="439"/>
      <c r="W12" s="439"/>
      <c r="X12" s="439"/>
      <c r="Y12" s="436">
        <f>IF(NFI_Expiration=1,IF($A12&lt;VLOOKUP(H$5,NFI,5,0),1,0)*Table_NFI[[#This Row],[Hygiene Kit]],Table_NFI[Hygiene Kit])</f>
        <v>0</v>
      </c>
      <c r="Z12" s="436">
        <f>IF(NFI_Expiration=1,IF($A12&lt;VLOOKUP(I$5,NFI,5,0),1,0)*Table_NFI[[#This Row],[NFI Core Kit]],Table_NFI[NFI Core Kit])</f>
        <v>0</v>
      </c>
      <c r="AA12" s="436">
        <f>IF(NFI_Expiration=1,IF($A12&lt;VLOOKUP(J$5,NFI,5,0),1,0)*Table_NFI[[#This Row],[Sanitary Kit]],Table_NFI[Sanitary Kit])</f>
        <v>0</v>
      </c>
      <c r="AB12" s="436">
        <f>IF(NFI_Expiration=1,IF($A12&lt;VLOOKUP(K$5,NFI,5,0),1,0)*Table_NFI[[#This Row],[Mosquito net]],Table_NFI[Mosquito net])</f>
        <v>0</v>
      </c>
      <c r="AC12" s="436">
        <f>IF(NFI_Expiration=1,IF($A12&lt;VLOOKUP(L$5,NFI,5,0),1,0)*Table_NFI[[#This Row],[Tarpaulin]],Table_NFI[[#This Row],[Tarpaulin]])</f>
        <v>0</v>
      </c>
      <c r="AD12" s="436">
        <f>IF(NFI_Expiration=1,IF($A12&lt;VLOOKUP(M$5,NFI,5,0),1,0)*Table_NFI[[#This Row],[Blanket]],Table_NFI[[#This Row],[Blanket]])</f>
        <v>0</v>
      </c>
      <c r="AE12" s="436">
        <f>IF(NFI_Expiration=1,IF($A12&lt;VLOOKUP(N$5,NFI,5,0),1,0)*Table_NFI[[#This Row],[Kitchen Set]],Table_NFI[Kitchen Set])</f>
        <v>0</v>
      </c>
      <c r="AF12" s="436">
        <f>IF(NFI_Expiration=1,IF($A12&lt;VLOOKUP(O$5,NFI,5,0),1,0)*Table_NFI[[#This Row],[Clothes Kit]],Table_NFI[Clothes Kit])</f>
        <v>0</v>
      </c>
      <c r="AG12" s="436">
        <f>IF(NFI_Expiration=1,IF($A12&lt;VLOOKUP(P$5,NFI,5,0),1,0)*Table_NFI[[#This Row],[Plastic Bucket]],Table_NFI[Plastic Bucket])</f>
        <v>0</v>
      </c>
      <c r="AH12" s="436">
        <f>IF(NFI_Expiration=1,IF($A12&lt;VLOOKUP(Q$5,NFI,5,0),1,0)*Table_NFI[[#This Row],[Plastic Mat]],Table_NFI[Plastic Mat])*IF(Table_NFI[[#This Row],[Distribution Date]]&gt;"2014-04-01",1,2.5)</f>
        <v>0</v>
      </c>
      <c r="AI12" s="436">
        <f>IF(NFI_Expiration=1,IF($A12&lt;VLOOKUP(R$5,NFI,5,0),1,0)*Table_NFI[[#This Row],[Winter Clothes Adult]],Table_NFI[Winter Clothes Adult])</f>
        <v>0</v>
      </c>
      <c r="AJ12" s="436">
        <f>IF(NFI_Expiration=1,IF($A12&lt;VLOOKUP(S$5,NFI,5,0),1,0)*Table_NFI[[#This Row],[Winter Clothes Children]],Table_NFI[Winter Clothes Children])</f>
        <v>0</v>
      </c>
      <c r="AK12" s="436">
        <f>IF(NFI_Expiration=1,IF($A12&lt;VLOOKUP(T$5,NFI,5,0),1,0)*Table_NFI[[#This Row],[Winter Items Other]],Table_NFI[Winter Items Other])</f>
        <v>0</v>
      </c>
      <c r="AL12" s="436">
        <f>IF(NFI_Expiration=1,IF($A12&lt;VLOOKUP(M$5,NFI,5,0),1,0)*Table_NFI[[#This Row],[Winter Blanket]],Table_NFI[[#This Row],[Winter Blanket]])</f>
        <v>50</v>
      </c>
      <c r="AM12" s="436">
        <f>IF(Table_NFI[[#This Row],[Winter Clothes Adult]]+Table_NFI[[#This Row],[Winter Clothes Children]]+Table_NFI[[#This Row],[Winter Items Other]]+Table_NFI[[#This Row],[Winter Blanket]]&gt;0,1,0)</f>
        <v>1</v>
      </c>
      <c r="AN12" s="439">
        <f>IF(NFI_Expiration=1,IF($A12&lt;VLOOKUP(V$5,NFI,5,0),1,0)*Table_NFI[[#This Row],[Jerry Can]],Table_NFI[Jerry Can])</f>
        <v>0</v>
      </c>
      <c r="AO12" s="771" t="str">
        <f>IFERROR(VLOOKUP(Table_NFI[[#This Row],[Camp Name]],CL,2,0),"")</f>
        <v>MMR001CMP162</v>
      </c>
      <c r="AP12" s="772">
        <f ca="1">IF(Table_NFI[[#This Row],[Pcode]]="","",IF(OFFSET(CampList[Opening Date],MATCH(Table_NFI[[#This Row],[Pcode]],CampList[CP_Pcode],0)-1,0,1,1)&gt;=NFI_Monitor_Date,1,0))</f>
        <v>0</v>
      </c>
      <c r="AQ12" s="781" t="str">
        <f>IFERROR(VLOOKUP(Table_NFI[[#This Row],[Camp Name]],CL,3,0),"")</f>
        <v>Open</v>
      </c>
      <c r="AR12" s="439" t="str">
        <f ca="1">IF(Table_NFI[[#This Row],[Pcode]]="","",OFFSET(CampList[Priority],MATCH(Table_NFI[[#This Row],[Pcode]],CampList[CP_Pcode],0)-1,0,1,1))</f>
        <v>P4</v>
      </c>
      <c r="AS12" s="438">
        <f>IFERROR(Table_NFI[[#This Row],[Kitchen Set]]/VLOOKUP(Table_NFI[[#This Row],[Camp Name]],CL,4,0),"")</f>
        <v>0</v>
      </c>
      <c r="AT12" s="769" t="s">
        <v>1099</v>
      </c>
      <c r="AU12" s="814"/>
    </row>
    <row r="13" spans="1:52" s="774" customFormat="1" ht="15" customHeight="1" x14ac:dyDescent="0.2">
      <c r="A13" s="451">
        <f t="shared" si="0"/>
        <v>2</v>
      </c>
      <c r="B13" s="768">
        <v>42310</v>
      </c>
      <c r="C13" s="769" t="s">
        <v>454</v>
      </c>
      <c r="D13" s="769" t="s">
        <v>462</v>
      </c>
      <c r="E13" s="769" t="s">
        <v>380</v>
      </c>
      <c r="F13" s="769" t="s">
        <v>151</v>
      </c>
      <c r="G13" s="769" t="s">
        <v>1458</v>
      </c>
      <c r="H13" s="436"/>
      <c r="I13" s="439"/>
      <c r="J13" s="439">
        <v>223</v>
      </c>
      <c r="K13" s="439"/>
      <c r="L13" s="437">
        <v>30</v>
      </c>
      <c r="M13" s="437"/>
      <c r="N13" s="437"/>
      <c r="O13" s="437"/>
      <c r="P13" s="439"/>
      <c r="Q13" s="439">
        <v>337</v>
      </c>
      <c r="R13" s="439"/>
      <c r="S13" s="439"/>
      <c r="T13" s="439"/>
      <c r="U13" s="439"/>
      <c r="V13" s="439"/>
      <c r="W13" s="439"/>
      <c r="X13" s="439"/>
      <c r="Y13" s="436">
        <f>IF(NFI_Expiration=1,IF($A13&lt;VLOOKUP(H$5,NFI,5,0),1,0)*Table_NFI[[#This Row],[Hygiene Kit]],Table_NFI[Hygiene Kit])</f>
        <v>0</v>
      </c>
      <c r="Z13" s="436">
        <f>IF(NFI_Expiration=1,IF($A13&lt;VLOOKUP(I$5,NFI,5,0),1,0)*Table_NFI[[#This Row],[NFI Core Kit]],Table_NFI[NFI Core Kit])</f>
        <v>0</v>
      </c>
      <c r="AA13" s="436">
        <f>IF(NFI_Expiration=1,IF($A13&lt;VLOOKUP(J$5,NFI,5,0),1,0)*Table_NFI[[#This Row],[Sanitary Kit]],Table_NFI[Sanitary Kit])</f>
        <v>223</v>
      </c>
      <c r="AB13" s="436">
        <f>IF(NFI_Expiration=1,IF($A13&lt;VLOOKUP(K$5,NFI,5,0),1,0)*Table_NFI[[#This Row],[Mosquito net]],Table_NFI[Mosquito net])</f>
        <v>0</v>
      </c>
      <c r="AC13" s="436">
        <f>IF(NFI_Expiration=1,IF($A13&lt;VLOOKUP(L$5,NFI,5,0),1,0)*Table_NFI[[#This Row],[Tarpaulin]],Table_NFI[[#This Row],[Tarpaulin]])</f>
        <v>30</v>
      </c>
      <c r="AD13" s="436">
        <f>IF(NFI_Expiration=1,IF($A13&lt;VLOOKUP(M$5,NFI,5,0),1,0)*Table_NFI[[#This Row],[Blanket]],Table_NFI[[#This Row],[Blanket]])</f>
        <v>0</v>
      </c>
      <c r="AE13" s="436">
        <f>IF(NFI_Expiration=1,IF($A13&lt;VLOOKUP(N$5,NFI,5,0),1,0)*Table_NFI[[#This Row],[Kitchen Set]],Table_NFI[Kitchen Set])</f>
        <v>0</v>
      </c>
      <c r="AF13" s="436">
        <f>IF(NFI_Expiration=1,IF($A13&lt;VLOOKUP(O$5,NFI,5,0),1,0)*Table_NFI[[#This Row],[Clothes Kit]],Table_NFI[Clothes Kit])</f>
        <v>0</v>
      </c>
      <c r="AG13" s="436">
        <f>IF(NFI_Expiration=1,IF($A13&lt;VLOOKUP(P$5,NFI,5,0),1,0)*Table_NFI[[#This Row],[Plastic Bucket]],Table_NFI[Plastic Bucket])</f>
        <v>0</v>
      </c>
      <c r="AH13" s="436">
        <f>IF(NFI_Expiration=1,IF($A13&lt;VLOOKUP(Q$5,NFI,5,0),1,0)*Table_NFI[[#This Row],[Plastic Mat]],Table_NFI[Plastic Mat])*IF(Table_NFI[[#This Row],[Distribution Date]]&gt;"2014-04-01",1,2.5)</f>
        <v>842.5</v>
      </c>
      <c r="AI13" s="436">
        <f>IF(NFI_Expiration=1,IF($A13&lt;VLOOKUP(R$5,NFI,5,0),1,0)*Table_NFI[[#This Row],[Winter Clothes Adult]],Table_NFI[Winter Clothes Adult])</f>
        <v>0</v>
      </c>
      <c r="AJ13" s="436">
        <f>IF(NFI_Expiration=1,IF($A13&lt;VLOOKUP(S$5,NFI,5,0),1,0)*Table_NFI[[#This Row],[Winter Clothes Children]],Table_NFI[Winter Clothes Children])</f>
        <v>0</v>
      </c>
      <c r="AK13" s="436">
        <f>IF(NFI_Expiration=1,IF($A13&lt;VLOOKUP(T$5,NFI,5,0),1,0)*Table_NFI[[#This Row],[Winter Items Other]],Table_NFI[Winter Items Other])</f>
        <v>0</v>
      </c>
      <c r="AL13" s="436">
        <f>IF(NFI_Expiration=1,IF($A13&lt;VLOOKUP(M$5,NFI,5,0),1,0)*Table_NFI[[#This Row],[Winter Blanket]],Table_NFI[[#This Row],[Winter Blanket]])</f>
        <v>0</v>
      </c>
      <c r="AM13" s="436">
        <f>IF(Table_NFI[[#This Row],[Winter Clothes Adult]]+Table_NFI[[#This Row],[Winter Clothes Children]]+Table_NFI[[#This Row],[Winter Items Other]]+Table_NFI[[#This Row],[Winter Blanket]]&gt;0,1,0)</f>
        <v>0</v>
      </c>
      <c r="AN13" s="439">
        <f>IF(NFI_Expiration=1,IF($A13&lt;VLOOKUP(V$5,NFI,5,0),1,0)*Table_NFI[[#This Row],[Jerry Can]],Table_NFI[Jerry Can])</f>
        <v>0</v>
      </c>
      <c r="AO13" s="771" t="str">
        <f>IFERROR(VLOOKUP(Table_NFI[[#This Row],[Camp Name]],CL,2,0),"")</f>
        <v/>
      </c>
      <c r="AP13" s="772" t="str">
        <f ca="1">IF(Table_NFI[[#This Row],[Pcode]]="","",IF(OFFSET(CampList[Opening Date],MATCH(Table_NFI[[#This Row],[Pcode]],CampList[CP_Pcode],0)-1,0,1,1)&gt;=NFI_Monitor_Date,1,0))</f>
        <v/>
      </c>
      <c r="AQ13" s="781" t="str">
        <f>IFERROR(VLOOKUP(Table_NFI[[#This Row],[Camp Name]],CL,3,0),"")</f>
        <v/>
      </c>
      <c r="AR13" s="439" t="str">
        <f ca="1">IF(Table_NFI[[#This Row],[Pcode]]="","",OFFSET(CampList[Priority],MATCH(Table_NFI[[#This Row],[Pcode]],CampList[CP_Pcode],0)-1,0,1,1))</f>
        <v/>
      </c>
      <c r="AS13" s="438" t="str">
        <f>IFERROR(Table_NFI[[#This Row],[Kitchen Set]]/VLOOKUP(Table_NFI[[#This Row],[Camp Name]],CL,4,0),"")</f>
        <v/>
      </c>
      <c r="AT13" s="769" t="s">
        <v>1099</v>
      </c>
      <c r="AU13" s="826"/>
    </row>
    <row r="14" spans="1:52" s="774" customFormat="1" ht="15" customHeight="1" x14ac:dyDescent="0.2">
      <c r="A14" s="451">
        <f t="shared" si="0"/>
        <v>3.0666666666666669</v>
      </c>
      <c r="B14" s="768">
        <v>42278</v>
      </c>
      <c r="C14" s="769" t="s">
        <v>454</v>
      </c>
      <c r="D14" s="769" t="s">
        <v>462</v>
      </c>
      <c r="E14" s="769" t="s">
        <v>380</v>
      </c>
      <c r="F14" s="769" t="s">
        <v>151</v>
      </c>
      <c r="G14" s="769" t="s">
        <v>1458</v>
      </c>
      <c r="H14" s="436"/>
      <c r="I14" s="439">
        <v>77</v>
      </c>
      <c r="J14" s="439">
        <v>232</v>
      </c>
      <c r="K14" s="439">
        <v>200</v>
      </c>
      <c r="L14" s="437">
        <v>89</v>
      </c>
      <c r="M14" s="437">
        <v>200</v>
      </c>
      <c r="N14" s="437">
        <v>119</v>
      </c>
      <c r="O14" s="437"/>
      <c r="P14" s="439">
        <v>119</v>
      </c>
      <c r="Q14" s="439">
        <v>345</v>
      </c>
      <c r="R14" s="439"/>
      <c r="S14" s="439"/>
      <c r="T14" s="439"/>
      <c r="U14" s="439"/>
      <c r="V14" s="439">
        <v>119</v>
      </c>
      <c r="W14" s="439"/>
      <c r="X14" s="439">
        <v>45</v>
      </c>
      <c r="Y14" s="436">
        <f>IF(NFI_Expiration=1,IF($A14&lt;VLOOKUP(H$5,NFI,5,0),1,0)*Table_NFI[[#This Row],[Hygiene Kit]],Table_NFI[Hygiene Kit])</f>
        <v>0</v>
      </c>
      <c r="Z14" s="436">
        <f>IF(NFI_Expiration=1,IF($A14&lt;VLOOKUP(I$5,NFI,5,0),1,0)*Table_NFI[[#This Row],[NFI Core Kit]],Table_NFI[NFI Core Kit])</f>
        <v>77</v>
      </c>
      <c r="AA14" s="436">
        <f>IF(NFI_Expiration=1,IF($A14&lt;VLOOKUP(J$5,NFI,5,0),1,0)*Table_NFI[[#This Row],[Sanitary Kit]],Table_NFI[Sanitary Kit])</f>
        <v>232</v>
      </c>
      <c r="AB14" s="436">
        <f>IF(NFI_Expiration=1,IF($A14&lt;VLOOKUP(K$5,NFI,5,0),1,0)*Table_NFI[[#This Row],[Mosquito net]],Table_NFI[Mosquito net])</f>
        <v>200</v>
      </c>
      <c r="AC14" s="436">
        <f>IF(NFI_Expiration=1,IF($A14&lt;VLOOKUP(L$5,NFI,5,0),1,0)*Table_NFI[[#This Row],[Tarpaulin]],Table_NFI[[#This Row],[Tarpaulin]])</f>
        <v>89</v>
      </c>
      <c r="AD14" s="436">
        <f>IF(NFI_Expiration=1,IF($A14&lt;VLOOKUP(M$5,NFI,5,0),1,0)*Table_NFI[[#This Row],[Blanket]],Table_NFI[[#This Row],[Blanket]])</f>
        <v>200</v>
      </c>
      <c r="AE14" s="436">
        <f>IF(NFI_Expiration=1,IF($A14&lt;VLOOKUP(N$5,NFI,5,0),1,0)*Table_NFI[[#This Row],[Kitchen Set]],Table_NFI[Kitchen Set])</f>
        <v>119</v>
      </c>
      <c r="AF14" s="436">
        <f>IF(NFI_Expiration=1,IF($A14&lt;VLOOKUP(O$5,NFI,5,0),1,0)*Table_NFI[[#This Row],[Clothes Kit]],Table_NFI[Clothes Kit])</f>
        <v>0</v>
      </c>
      <c r="AG14" s="436">
        <f>IF(NFI_Expiration=1,IF($A14&lt;VLOOKUP(P$5,NFI,5,0),1,0)*Table_NFI[[#This Row],[Plastic Bucket]],Table_NFI[Plastic Bucket])</f>
        <v>119</v>
      </c>
      <c r="AH14" s="436">
        <f>IF(NFI_Expiration=1,IF($A14&lt;VLOOKUP(Q$5,NFI,5,0),1,0)*Table_NFI[[#This Row],[Plastic Mat]],Table_NFI[Plastic Mat])*IF(Table_NFI[[#This Row],[Distribution Date]]&gt;"2014-04-01",1,2.5)</f>
        <v>862.5</v>
      </c>
      <c r="AI14" s="436">
        <f>IF(NFI_Expiration=1,IF($A14&lt;VLOOKUP(R$5,NFI,5,0),1,0)*Table_NFI[[#This Row],[Winter Clothes Adult]],Table_NFI[Winter Clothes Adult])</f>
        <v>0</v>
      </c>
      <c r="AJ14" s="436">
        <f>IF(NFI_Expiration=1,IF($A14&lt;VLOOKUP(S$5,NFI,5,0),1,0)*Table_NFI[[#This Row],[Winter Clothes Children]],Table_NFI[Winter Clothes Children])</f>
        <v>0</v>
      </c>
      <c r="AK14" s="436">
        <f>IF(NFI_Expiration=1,IF($A14&lt;VLOOKUP(T$5,NFI,5,0),1,0)*Table_NFI[[#This Row],[Winter Items Other]],Table_NFI[Winter Items Other])</f>
        <v>0</v>
      </c>
      <c r="AL14" s="436">
        <f>IF(NFI_Expiration=1,IF($A14&lt;VLOOKUP(M$5,NFI,5,0),1,0)*Table_NFI[[#This Row],[Winter Blanket]],Table_NFI[[#This Row],[Winter Blanket]])</f>
        <v>0</v>
      </c>
      <c r="AM14" s="436">
        <f>IF(Table_NFI[[#This Row],[Winter Clothes Adult]]+Table_NFI[[#This Row],[Winter Clothes Children]]+Table_NFI[[#This Row],[Winter Items Other]]+Table_NFI[[#This Row],[Winter Blanket]]&gt;0,1,0)</f>
        <v>0</v>
      </c>
      <c r="AN14" s="439">
        <f>IF(NFI_Expiration=1,IF($A14&lt;VLOOKUP(V$5,NFI,5,0),1,0)*Table_NFI[[#This Row],[Jerry Can]],Table_NFI[Jerry Can])</f>
        <v>119</v>
      </c>
      <c r="AO14" s="771" t="str">
        <f>IFERROR(VLOOKUP(Table_NFI[[#This Row],[Camp Name]],CL,2,0),"")</f>
        <v/>
      </c>
      <c r="AP14" s="772" t="str">
        <f ca="1">IF(Table_NFI[[#This Row],[Pcode]]="","",IF(OFFSET(CampList[Opening Date],MATCH(Table_NFI[[#This Row],[Pcode]],CampList[CP_Pcode],0)-1,0,1,1)&gt;=NFI_Monitor_Date,1,0))</f>
        <v/>
      </c>
      <c r="AQ14" s="781" t="str">
        <f>IFERROR(VLOOKUP(Table_NFI[[#This Row],[Camp Name]],CL,3,0),"")</f>
        <v/>
      </c>
      <c r="AR14" s="439" t="str">
        <f ca="1">IF(Table_NFI[[#This Row],[Pcode]]="","",OFFSET(CampList[Priority],MATCH(Table_NFI[[#This Row],[Pcode]],CampList[CP_Pcode],0)-1,0,1,1))</f>
        <v/>
      </c>
      <c r="AS14" s="438" t="str">
        <f>IFERROR(Table_NFI[[#This Row],[Kitchen Set]]/VLOOKUP(Table_NFI[[#This Row],[Camp Name]],CL,4,0),"")</f>
        <v/>
      </c>
      <c r="AT14" s="769" t="s">
        <v>1099</v>
      </c>
      <c r="AU14" s="826"/>
    </row>
    <row r="15" spans="1:52" s="774" customFormat="1" ht="15" customHeight="1" x14ac:dyDescent="0.2">
      <c r="A15" s="451">
        <f t="shared" si="0"/>
        <v>3.3666666666666667</v>
      </c>
      <c r="B15" s="768">
        <v>42269</v>
      </c>
      <c r="C15" s="769" t="s">
        <v>454</v>
      </c>
      <c r="D15" s="769" t="s">
        <v>462</v>
      </c>
      <c r="E15" s="769" t="s">
        <v>380</v>
      </c>
      <c r="F15" s="769" t="s">
        <v>151</v>
      </c>
      <c r="G15" s="769" t="s">
        <v>1458</v>
      </c>
      <c r="H15" s="436"/>
      <c r="I15" s="439"/>
      <c r="J15" s="439">
        <v>145</v>
      </c>
      <c r="K15" s="439">
        <v>132</v>
      </c>
      <c r="L15" s="437">
        <v>66</v>
      </c>
      <c r="M15" s="437">
        <v>132</v>
      </c>
      <c r="N15" s="437">
        <v>66</v>
      </c>
      <c r="O15" s="437"/>
      <c r="P15" s="439">
        <v>66</v>
      </c>
      <c r="Q15" s="439">
        <v>243</v>
      </c>
      <c r="R15" s="439"/>
      <c r="S15" s="439"/>
      <c r="T15" s="439"/>
      <c r="U15" s="439"/>
      <c r="V15" s="439">
        <v>66</v>
      </c>
      <c r="W15" s="439"/>
      <c r="X15" s="439"/>
      <c r="Y15" s="436">
        <f>IF(NFI_Expiration=1,IF($A15&lt;VLOOKUP(H$5,NFI,5,0),1,0)*Table_NFI[[#This Row],[Hygiene Kit]],Table_NFI[Hygiene Kit])</f>
        <v>0</v>
      </c>
      <c r="Z15" s="436">
        <f>IF(NFI_Expiration=1,IF($A15&lt;VLOOKUP(I$5,NFI,5,0),1,0)*Table_NFI[[#This Row],[NFI Core Kit]],Table_NFI[NFI Core Kit])</f>
        <v>0</v>
      </c>
      <c r="AA15" s="436">
        <f>IF(NFI_Expiration=1,IF($A15&lt;VLOOKUP(J$5,NFI,5,0),1,0)*Table_NFI[[#This Row],[Sanitary Kit]],Table_NFI[Sanitary Kit])</f>
        <v>145</v>
      </c>
      <c r="AB15" s="436">
        <f>IF(NFI_Expiration=1,IF($A15&lt;VLOOKUP(K$5,NFI,5,0),1,0)*Table_NFI[[#This Row],[Mosquito net]],Table_NFI[Mosquito net])</f>
        <v>132</v>
      </c>
      <c r="AC15" s="436">
        <f>IF(NFI_Expiration=1,IF($A15&lt;VLOOKUP(L$5,NFI,5,0),1,0)*Table_NFI[[#This Row],[Tarpaulin]],Table_NFI[[#This Row],[Tarpaulin]])</f>
        <v>66</v>
      </c>
      <c r="AD15" s="436">
        <f>IF(NFI_Expiration=1,IF($A15&lt;VLOOKUP(M$5,NFI,5,0),1,0)*Table_NFI[[#This Row],[Blanket]],Table_NFI[[#This Row],[Blanket]])</f>
        <v>132</v>
      </c>
      <c r="AE15" s="436">
        <f>IF(NFI_Expiration=1,IF($A15&lt;VLOOKUP(N$5,NFI,5,0),1,0)*Table_NFI[[#This Row],[Kitchen Set]],Table_NFI[Kitchen Set])</f>
        <v>66</v>
      </c>
      <c r="AF15" s="436">
        <f>IF(NFI_Expiration=1,IF($A15&lt;VLOOKUP(O$5,NFI,5,0),1,0)*Table_NFI[[#This Row],[Clothes Kit]],Table_NFI[Clothes Kit])</f>
        <v>0</v>
      </c>
      <c r="AG15" s="436">
        <f>IF(NFI_Expiration=1,IF($A15&lt;VLOOKUP(P$5,NFI,5,0),1,0)*Table_NFI[[#This Row],[Plastic Bucket]],Table_NFI[Plastic Bucket])</f>
        <v>66</v>
      </c>
      <c r="AH15" s="436">
        <f>IF(NFI_Expiration=1,IF($A15&lt;VLOOKUP(Q$5,NFI,5,0),1,0)*Table_NFI[[#This Row],[Plastic Mat]],Table_NFI[Plastic Mat])*IF(Table_NFI[[#This Row],[Distribution Date]]&gt;"2014-04-01",1,2.5)</f>
        <v>607.5</v>
      </c>
      <c r="AI15" s="436">
        <f>IF(NFI_Expiration=1,IF($A15&lt;VLOOKUP(R$5,NFI,5,0),1,0)*Table_NFI[[#This Row],[Winter Clothes Adult]],Table_NFI[Winter Clothes Adult])</f>
        <v>0</v>
      </c>
      <c r="AJ15" s="436">
        <f>IF(NFI_Expiration=1,IF($A15&lt;VLOOKUP(S$5,NFI,5,0),1,0)*Table_NFI[[#This Row],[Winter Clothes Children]],Table_NFI[Winter Clothes Children])</f>
        <v>0</v>
      </c>
      <c r="AK15" s="436">
        <f>IF(NFI_Expiration=1,IF($A15&lt;VLOOKUP(T$5,NFI,5,0),1,0)*Table_NFI[[#This Row],[Winter Items Other]],Table_NFI[Winter Items Other])</f>
        <v>0</v>
      </c>
      <c r="AL15" s="436">
        <f>IF(NFI_Expiration=1,IF($A15&lt;VLOOKUP(M$5,NFI,5,0),1,0)*Table_NFI[[#This Row],[Winter Blanket]],Table_NFI[[#This Row],[Winter Blanket]])</f>
        <v>0</v>
      </c>
      <c r="AM15" s="436">
        <f>IF(Table_NFI[[#This Row],[Winter Clothes Adult]]+Table_NFI[[#This Row],[Winter Clothes Children]]+Table_NFI[[#This Row],[Winter Items Other]]+Table_NFI[[#This Row],[Winter Blanket]]&gt;0,1,0)</f>
        <v>0</v>
      </c>
      <c r="AN15" s="439">
        <f>IF(NFI_Expiration=1,IF($A15&lt;VLOOKUP(V$5,NFI,5,0),1,0)*Table_NFI[[#This Row],[Jerry Can]],Table_NFI[Jerry Can])</f>
        <v>66</v>
      </c>
      <c r="AO15" s="771" t="str">
        <f>IFERROR(VLOOKUP(Table_NFI[[#This Row],[Camp Name]],CL,2,0),"")</f>
        <v/>
      </c>
      <c r="AP15" s="772" t="str">
        <f ca="1">IF(Table_NFI[[#This Row],[Pcode]]="","",IF(OFFSET(CampList[Opening Date],MATCH(Table_NFI[[#This Row],[Pcode]],CampList[CP_Pcode],0)-1,0,1,1)&gt;=NFI_Monitor_Date,1,0))</f>
        <v/>
      </c>
      <c r="AQ15" s="781" t="str">
        <f>IFERROR(VLOOKUP(Table_NFI[[#This Row],[Camp Name]],CL,3,0),"")</f>
        <v/>
      </c>
      <c r="AR15" s="439" t="str">
        <f ca="1">IF(Table_NFI[[#This Row],[Pcode]]="","",OFFSET(CampList[Priority],MATCH(Table_NFI[[#This Row],[Pcode]],CampList[CP_Pcode],0)-1,0,1,1))</f>
        <v/>
      </c>
      <c r="AS15" s="438" t="str">
        <f>IFERROR(Table_NFI[[#This Row],[Kitchen Set]]/VLOOKUP(Table_NFI[[#This Row],[Camp Name]],CL,4,0),"")</f>
        <v/>
      </c>
      <c r="AT15" s="769" t="s">
        <v>1099</v>
      </c>
      <c r="AU15" s="826"/>
    </row>
    <row r="16" spans="1:52" s="774" customFormat="1" ht="15" customHeight="1" x14ac:dyDescent="0.25">
      <c r="A16" s="451">
        <f t="shared" si="0"/>
        <v>3.4</v>
      </c>
      <c r="B16" s="768">
        <v>42268</v>
      </c>
      <c r="C16" s="769" t="s">
        <v>454</v>
      </c>
      <c r="D16" s="769" t="s">
        <v>1479</v>
      </c>
      <c r="E16" s="769" t="s">
        <v>380</v>
      </c>
      <c r="F16" s="769" t="s">
        <v>237</v>
      </c>
      <c r="G16" s="435"/>
      <c r="H16" s="436"/>
      <c r="I16" s="437"/>
      <c r="J16" s="439"/>
      <c r="K16" s="439"/>
      <c r="L16" s="437"/>
      <c r="M16" s="437"/>
      <c r="N16" s="437"/>
      <c r="O16" s="437"/>
      <c r="P16" s="439"/>
      <c r="Q16" s="439"/>
      <c r="R16" s="439"/>
      <c r="S16" s="439"/>
      <c r="T16" s="439"/>
      <c r="U16" s="439"/>
      <c r="V16" s="439"/>
      <c r="W16" s="439"/>
      <c r="X16" s="439"/>
      <c r="Y16" s="436">
        <f>IF(NFI_Expiration=1,IF($A16&lt;VLOOKUP(H$5,NFI,5,0),1,0)*Table_NFI[[#This Row],[Hygiene Kit]],Table_NFI[Hygiene Kit])</f>
        <v>0</v>
      </c>
      <c r="Z16" s="436">
        <f>IF(NFI_Expiration=1,IF($A16&lt;VLOOKUP(I$5,NFI,5,0),1,0)*Table_NFI[[#This Row],[NFI Core Kit]],Table_NFI[NFI Core Kit])</f>
        <v>0</v>
      </c>
      <c r="AA16" s="436">
        <f>IF(NFI_Expiration=1,IF($A16&lt;VLOOKUP(J$5,NFI,5,0),1,0)*Table_NFI[[#This Row],[Sanitary Kit]],Table_NFI[Sanitary Kit])</f>
        <v>0</v>
      </c>
      <c r="AB16" s="436">
        <f>IF(NFI_Expiration=1,IF($A16&lt;VLOOKUP(K$5,NFI,5,0),1,0)*Table_NFI[[#This Row],[Mosquito net]],Table_NFI[Mosquito net])</f>
        <v>0</v>
      </c>
      <c r="AC16" s="436">
        <f>IF(NFI_Expiration=1,IF($A16&lt;VLOOKUP(L$5,NFI,5,0),1,0)*Table_NFI[[#This Row],[Tarpaulin]],Table_NFI[[#This Row],[Tarpaulin]])</f>
        <v>0</v>
      </c>
      <c r="AD16" s="436">
        <f>IF(NFI_Expiration=1,IF($A16&lt;VLOOKUP(M$5,NFI,5,0),1,0)*Table_NFI[[#This Row],[Blanket]],Table_NFI[[#This Row],[Blanket]])</f>
        <v>0</v>
      </c>
      <c r="AE16" s="436">
        <f>IF(NFI_Expiration=1,IF($A16&lt;VLOOKUP(N$5,NFI,5,0),1,0)*Table_NFI[[#This Row],[Kitchen Set]],Table_NFI[Kitchen Set])</f>
        <v>0</v>
      </c>
      <c r="AF16" s="436">
        <f>IF(NFI_Expiration=1,IF($A16&lt;VLOOKUP(O$5,NFI,5,0),1,0)*Table_NFI[[#This Row],[Clothes Kit]],Table_NFI[Clothes Kit])</f>
        <v>0</v>
      </c>
      <c r="AG16" s="436">
        <f>IF(NFI_Expiration=1,IF($A16&lt;VLOOKUP(P$5,NFI,5,0),1,0)*Table_NFI[[#This Row],[Plastic Bucket]],Table_NFI[Plastic Bucket])</f>
        <v>0</v>
      </c>
      <c r="AH16" s="436">
        <f>IF(NFI_Expiration=1,IF($A16&lt;VLOOKUP(Q$5,NFI,5,0),1,0)*Table_NFI[[#This Row],[Plastic Mat]],Table_NFI[Plastic Mat])*IF(Table_NFI[[#This Row],[Distribution Date]]&gt;"2014-04-01",1,2.5)</f>
        <v>0</v>
      </c>
      <c r="AI16" s="436">
        <f>IF(NFI_Expiration=1,IF($A16&lt;VLOOKUP(R$5,NFI,5,0),1,0)*Table_NFI[[#This Row],[Winter Clothes Adult]],Table_NFI[Winter Clothes Adult])</f>
        <v>0</v>
      </c>
      <c r="AJ16" s="436">
        <f>IF(NFI_Expiration=1,IF($A16&lt;VLOOKUP(S$5,NFI,5,0),1,0)*Table_NFI[[#This Row],[Winter Clothes Children]],Table_NFI[Winter Clothes Children])</f>
        <v>0</v>
      </c>
      <c r="AK16" s="436">
        <f>IF(NFI_Expiration=1,IF($A16&lt;VLOOKUP(T$5,NFI,5,0),1,0)*Table_NFI[[#This Row],[Winter Items Other]],Table_NFI[Winter Items Other])</f>
        <v>0</v>
      </c>
      <c r="AL16" s="436">
        <f>IF(NFI_Expiration=1,IF($A16&lt;VLOOKUP(M$5,NFI,5,0),1,0)*Table_NFI[[#This Row],[Winter Blanket]],Table_NFI[[#This Row],[Winter Blanket]])</f>
        <v>0</v>
      </c>
      <c r="AM16" s="436">
        <f>IF(Table_NFI[[#This Row],[Winter Clothes Adult]]+Table_NFI[[#This Row],[Winter Clothes Children]]+Table_NFI[[#This Row],[Winter Items Other]]+Table_NFI[[#This Row],[Winter Blanket]]&gt;0,1,0)</f>
        <v>0</v>
      </c>
      <c r="AN16" s="439">
        <f>IF(NFI_Expiration=1,IF($A16&lt;VLOOKUP(V$5,NFI,5,0),1,0)*Table_NFI[[#This Row],[Jerry Can]],Table_NFI[Jerry Can])</f>
        <v>0</v>
      </c>
      <c r="AO16" s="771" t="str">
        <f>IFERROR(VLOOKUP(Table_NFI[[#This Row],[Camp Name]],CL,2,0),"")</f>
        <v/>
      </c>
      <c r="AP16" s="772" t="str">
        <f ca="1">IF(Table_NFI[[#This Row],[Pcode]]="","",IF(OFFSET(CampList[Opening Date],MATCH(Table_NFI[[#This Row],[Pcode]],CampList[CP_Pcode],0)-1,0,1,1)&gt;=NFI_Monitor_Date,1,0))</f>
        <v/>
      </c>
      <c r="AQ16" s="781" t="str">
        <f>IFERROR(VLOOKUP(Table_NFI[[#This Row],[Camp Name]],CL,3,0),"")</f>
        <v/>
      </c>
      <c r="AR16" s="439" t="str">
        <f ca="1">IF(Table_NFI[[#This Row],[Pcode]]="","",OFFSET(CampList[Priority],MATCH(Table_NFI[[#This Row],[Pcode]],CampList[CP_Pcode],0)-1,0,1,1))</f>
        <v/>
      </c>
      <c r="AS16" s="438" t="str">
        <f>IFERROR(Table_NFI[[#This Row],[Kitchen Set]]/VLOOKUP(Table_NFI[[#This Row],[Camp Name]],CL,4,0),"")</f>
        <v/>
      </c>
      <c r="AT16" s="769" t="s">
        <v>1099</v>
      </c>
      <c r="AU16" s="814"/>
    </row>
    <row r="17" spans="1:47" s="774" customFormat="1" ht="15" customHeight="1" x14ac:dyDescent="0.25">
      <c r="A17" s="451">
        <f t="shared" si="0"/>
        <v>3.4</v>
      </c>
      <c r="B17" s="829">
        <v>42268</v>
      </c>
      <c r="C17" s="830" t="s">
        <v>454</v>
      </c>
      <c r="D17" s="830" t="s">
        <v>508</v>
      </c>
      <c r="E17" s="830" t="s">
        <v>380</v>
      </c>
      <c r="F17" s="830" t="s">
        <v>310</v>
      </c>
      <c r="G17" s="830" t="s">
        <v>330</v>
      </c>
      <c r="H17" s="831"/>
      <c r="I17" s="831"/>
      <c r="J17" s="831"/>
      <c r="K17" s="831">
        <v>41</v>
      </c>
      <c r="L17" s="831">
        <v>16</v>
      </c>
      <c r="M17" s="831">
        <v>41</v>
      </c>
      <c r="N17" s="831">
        <v>16</v>
      </c>
      <c r="O17" s="831"/>
      <c r="P17" s="832">
        <v>16</v>
      </c>
      <c r="Q17" s="832">
        <v>80</v>
      </c>
      <c r="R17" s="832"/>
      <c r="S17" s="832"/>
      <c r="T17" s="832"/>
      <c r="U17" s="832"/>
      <c r="V17" s="839">
        <v>16</v>
      </c>
      <c r="W17" s="832"/>
      <c r="X17" s="832"/>
      <c r="Y17" s="436">
        <f>IF(NFI_Expiration=1,IF($A17&lt;VLOOKUP(H$5,NFI,5,0),1,0)*Table_NFI[[#This Row],[Hygiene Kit]],Table_NFI[Hygiene Kit])</f>
        <v>0</v>
      </c>
      <c r="Z17" s="436">
        <f>IF(NFI_Expiration=1,IF($A17&lt;VLOOKUP(I$5,NFI,5,0),1,0)*Table_NFI[[#This Row],[NFI Core Kit]],Table_NFI[NFI Core Kit])</f>
        <v>0</v>
      </c>
      <c r="AA17" s="436">
        <f>IF(NFI_Expiration=1,IF($A17&lt;VLOOKUP(J$5,NFI,5,0),1,0)*Table_NFI[[#This Row],[Sanitary Kit]],Table_NFI[Sanitary Kit])</f>
        <v>0</v>
      </c>
      <c r="AB17" s="436">
        <f>IF(NFI_Expiration=1,IF($A17&lt;VLOOKUP(K$5,NFI,5,0),1,0)*Table_NFI[[#This Row],[Mosquito net]],Table_NFI[Mosquito net])</f>
        <v>41</v>
      </c>
      <c r="AC17" s="436">
        <f>IF(NFI_Expiration=1,IF($A17&lt;VLOOKUP(L$5,NFI,5,0),1,0)*Table_NFI[[#This Row],[Tarpaulin]],Table_NFI[[#This Row],[Tarpaulin]])</f>
        <v>16</v>
      </c>
      <c r="AD17" s="436">
        <f>IF(NFI_Expiration=1,IF($A17&lt;VLOOKUP(M$5,NFI,5,0),1,0)*Table_NFI[[#This Row],[Blanket]],Table_NFI[[#This Row],[Blanket]])</f>
        <v>41</v>
      </c>
      <c r="AE17" s="436">
        <f>IF(NFI_Expiration=1,IF($A17&lt;VLOOKUP(N$5,NFI,5,0),1,0)*Table_NFI[[#This Row],[Kitchen Set]],Table_NFI[Kitchen Set])</f>
        <v>16</v>
      </c>
      <c r="AF17" s="436">
        <f>IF(NFI_Expiration=1,IF($A17&lt;VLOOKUP(O$5,NFI,5,0),1,0)*Table_NFI[[#This Row],[Clothes Kit]],Table_NFI[Clothes Kit])</f>
        <v>0</v>
      </c>
      <c r="AG17" s="436">
        <f>IF(NFI_Expiration=1,IF($A17&lt;VLOOKUP(P$5,NFI,5,0),1,0)*Table_NFI[[#This Row],[Plastic Bucket]],Table_NFI[Plastic Bucket])</f>
        <v>16</v>
      </c>
      <c r="AH17" s="436">
        <f>IF(NFI_Expiration=1,IF($A17&lt;VLOOKUP(Q$5,NFI,5,0),1,0)*Table_NFI[[#This Row],[Plastic Mat]],Table_NFI[Plastic Mat])*IF(Table_NFI[[#This Row],[Distribution Date]]&gt;"2014-04-01",1,2.5)</f>
        <v>200</v>
      </c>
      <c r="AI17" s="436">
        <f>IF(NFI_Expiration=1,IF($A17&lt;VLOOKUP(R$5,NFI,5,0),1,0)*Table_NFI[[#This Row],[Winter Clothes Adult]],Table_NFI[Winter Clothes Adult])</f>
        <v>0</v>
      </c>
      <c r="AJ17" s="436">
        <f>IF(NFI_Expiration=1,IF($A17&lt;VLOOKUP(S$5,NFI,5,0),1,0)*Table_NFI[[#This Row],[Winter Clothes Children]],Table_NFI[Winter Clothes Children])</f>
        <v>0</v>
      </c>
      <c r="AK17" s="436">
        <f>IF(NFI_Expiration=1,IF($A17&lt;VLOOKUP(T$5,NFI,5,0),1,0)*Table_NFI[[#This Row],[Winter Items Other]],Table_NFI[Winter Items Other])</f>
        <v>0</v>
      </c>
      <c r="AL17" s="436">
        <f>IF(NFI_Expiration=1,IF($A17&lt;VLOOKUP(M$5,NFI,5,0),1,0)*Table_NFI[[#This Row],[Winter Blanket]],Table_NFI[[#This Row],[Winter Blanket]])</f>
        <v>0</v>
      </c>
      <c r="AM17" s="436">
        <f>IF(Table_NFI[[#This Row],[Winter Clothes Adult]]+Table_NFI[[#This Row],[Winter Clothes Children]]+Table_NFI[[#This Row],[Winter Items Other]]+Table_NFI[[#This Row],[Winter Blanket]]&gt;0,1,0)</f>
        <v>0</v>
      </c>
      <c r="AN17" s="439">
        <f>IF(NFI_Expiration=1,IF($A17&lt;VLOOKUP(V$5,NFI,5,0),1,0)*Table_NFI[[#This Row],[Jerry Can]],Table_NFI[Jerry Can])</f>
        <v>16</v>
      </c>
      <c r="AO17" s="835" t="str">
        <f>IFERROR(VLOOKUP(Table_NFI[[#This Row],[Camp Name]],CL,2,0),"")</f>
        <v>MMR001CMP029</v>
      </c>
      <c r="AP17" s="836">
        <f ca="1">IF(Table_NFI[[#This Row],[Pcode]]="","",IF(OFFSET(CampList[Opening Date],MATCH(Table_NFI[[#This Row],[Pcode]],CampList[CP_Pcode],0)-1,0,1,1)&gt;=NFI_Monitor_Date,1,0))</f>
        <v>0</v>
      </c>
      <c r="AQ17" s="781" t="str">
        <f>IFERROR(VLOOKUP(Table_NFI[[#This Row],[Camp Name]],CL,3,0),"")</f>
        <v>Open</v>
      </c>
      <c r="AR17" s="439" t="str">
        <f ca="1">IF(Table_NFI[[#This Row],[Pcode]]="","",OFFSET(CampList[Priority],MATCH(Table_NFI[[#This Row],[Pcode]],CampList[CP_Pcode],0)-1,0,1,1))</f>
        <v>P4</v>
      </c>
      <c r="AS17" s="438">
        <f>IFERROR(Table_NFI[[#This Row],[Kitchen Set]]/VLOOKUP(Table_NFI[[#This Row],[Camp Name]],CL,4,0),"")</f>
        <v>7.0484581497797363E-2</v>
      </c>
      <c r="AT17" s="769" t="s">
        <v>1099</v>
      </c>
      <c r="AU17" s="838"/>
    </row>
    <row r="18" spans="1:47" s="774" customFormat="1" ht="15" customHeight="1" x14ac:dyDescent="0.25">
      <c r="A18" s="451">
        <f t="shared" si="0"/>
        <v>3.5</v>
      </c>
      <c r="B18" s="829">
        <v>42265</v>
      </c>
      <c r="C18" s="830" t="s">
        <v>454</v>
      </c>
      <c r="D18" s="830" t="s">
        <v>508</v>
      </c>
      <c r="E18" s="830" t="s">
        <v>380</v>
      </c>
      <c r="F18" s="830" t="s">
        <v>237</v>
      </c>
      <c r="G18" s="830" t="s">
        <v>273</v>
      </c>
      <c r="H18" s="831"/>
      <c r="I18" s="831">
        <v>11</v>
      </c>
      <c r="J18" s="831">
        <v>11</v>
      </c>
      <c r="K18" s="831">
        <v>21</v>
      </c>
      <c r="L18" s="831">
        <v>16</v>
      </c>
      <c r="M18" s="831">
        <v>21</v>
      </c>
      <c r="N18" s="831">
        <v>11</v>
      </c>
      <c r="O18" s="831"/>
      <c r="P18" s="832">
        <v>11</v>
      </c>
      <c r="Q18" s="832">
        <v>42</v>
      </c>
      <c r="R18" s="832"/>
      <c r="S18" s="832"/>
      <c r="T18" s="832"/>
      <c r="U18" s="832"/>
      <c r="V18" s="839">
        <v>11</v>
      </c>
      <c r="W18" s="832"/>
      <c r="X18" s="832">
        <v>6</v>
      </c>
      <c r="Y18" s="436">
        <f>IF(NFI_Expiration=1,IF($A18&lt;VLOOKUP(H$5,NFI,5,0),1,0)*Table_NFI[[#This Row],[Hygiene Kit]],Table_NFI[Hygiene Kit])</f>
        <v>0</v>
      </c>
      <c r="Z18" s="436">
        <f>IF(NFI_Expiration=1,IF($A18&lt;VLOOKUP(I$5,NFI,5,0),1,0)*Table_NFI[[#This Row],[NFI Core Kit]],Table_NFI[NFI Core Kit])</f>
        <v>11</v>
      </c>
      <c r="AA18" s="436">
        <f>IF(NFI_Expiration=1,IF($A18&lt;VLOOKUP(J$5,NFI,5,0),1,0)*Table_NFI[[#This Row],[Sanitary Kit]],Table_NFI[Sanitary Kit])</f>
        <v>11</v>
      </c>
      <c r="AB18" s="436">
        <f>IF(NFI_Expiration=1,IF($A18&lt;VLOOKUP(K$5,NFI,5,0),1,0)*Table_NFI[[#This Row],[Mosquito net]],Table_NFI[Mosquito net])</f>
        <v>21</v>
      </c>
      <c r="AC18" s="436">
        <f>IF(NFI_Expiration=1,IF($A18&lt;VLOOKUP(L$5,NFI,5,0),1,0)*Table_NFI[[#This Row],[Tarpaulin]],Table_NFI[[#This Row],[Tarpaulin]])</f>
        <v>16</v>
      </c>
      <c r="AD18" s="436">
        <f>IF(NFI_Expiration=1,IF($A18&lt;VLOOKUP(M$5,NFI,5,0),1,0)*Table_NFI[[#This Row],[Blanket]],Table_NFI[[#This Row],[Blanket]])</f>
        <v>21</v>
      </c>
      <c r="AE18" s="436">
        <f>IF(NFI_Expiration=1,IF($A18&lt;VLOOKUP(N$5,NFI,5,0),1,0)*Table_NFI[[#This Row],[Kitchen Set]],Table_NFI[Kitchen Set])</f>
        <v>11</v>
      </c>
      <c r="AF18" s="436">
        <f>IF(NFI_Expiration=1,IF($A18&lt;VLOOKUP(O$5,NFI,5,0),1,0)*Table_NFI[[#This Row],[Clothes Kit]],Table_NFI[Clothes Kit])</f>
        <v>0</v>
      </c>
      <c r="AG18" s="436">
        <f>IF(NFI_Expiration=1,IF($A18&lt;VLOOKUP(P$5,NFI,5,0),1,0)*Table_NFI[[#This Row],[Plastic Bucket]],Table_NFI[Plastic Bucket])</f>
        <v>11</v>
      </c>
      <c r="AH18" s="436">
        <f>IF(NFI_Expiration=1,IF($A18&lt;VLOOKUP(Q$5,NFI,5,0),1,0)*Table_NFI[[#This Row],[Plastic Mat]],Table_NFI[Plastic Mat])*IF(Table_NFI[[#This Row],[Distribution Date]]&gt;"2014-04-01",1,2.5)</f>
        <v>105</v>
      </c>
      <c r="AI18" s="436">
        <f>IF(NFI_Expiration=1,IF($A18&lt;VLOOKUP(R$5,NFI,5,0),1,0)*Table_NFI[[#This Row],[Winter Clothes Adult]],Table_NFI[Winter Clothes Adult])</f>
        <v>0</v>
      </c>
      <c r="AJ18" s="436">
        <f>IF(NFI_Expiration=1,IF($A18&lt;VLOOKUP(S$5,NFI,5,0),1,0)*Table_NFI[[#This Row],[Winter Clothes Children]],Table_NFI[Winter Clothes Children])</f>
        <v>0</v>
      </c>
      <c r="AK18" s="436">
        <f>IF(NFI_Expiration=1,IF($A18&lt;VLOOKUP(T$5,NFI,5,0),1,0)*Table_NFI[[#This Row],[Winter Items Other]],Table_NFI[Winter Items Other])</f>
        <v>0</v>
      </c>
      <c r="AL18" s="436">
        <f>IF(NFI_Expiration=1,IF($A18&lt;VLOOKUP(M$5,NFI,5,0),1,0)*Table_NFI[[#This Row],[Winter Blanket]],Table_NFI[[#This Row],[Winter Blanket]])</f>
        <v>0</v>
      </c>
      <c r="AM18" s="436">
        <f>IF(Table_NFI[[#This Row],[Winter Clothes Adult]]+Table_NFI[[#This Row],[Winter Clothes Children]]+Table_NFI[[#This Row],[Winter Items Other]]+Table_NFI[[#This Row],[Winter Blanket]]&gt;0,1,0)</f>
        <v>0</v>
      </c>
      <c r="AN18" s="439">
        <f>IF(NFI_Expiration=1,IF($A18&lt;VLOOKUP(V$5,NFI,5,0),1,0)*Table_NFI[[#This Row],[Jerry Can]],Table_NFI[Jerry Can])</f>
        <v>11</v>
      </c>
      <c r="AO18" s="835" t="str">
        <f>IFERROR(VLOOKUP(Table_NFI[[#This Row],[Camp Name]],CL,2,0),"")</f>
        <v>MMR001CMP162</v>
      </c>
      <c r="AP18" s="836">
        <f ca="1">IF(Table_NFI[[#This Row],[Pcode]]="","",IF(OFFSET(CampList[Opening Date],MATCH(Table_NFI[[#This Row],[Pcode]],CampList[CP_Pcode],0)-1,0,1,1)&gt;=NFI_Monitor_Date,1,0))</f>
        <v>0</v>
      </c>
      <c r="AQ18" s="781" t="str">
        <f>IFERROR(VLOOKUP(Table_NFI[[#This Row],[Camp Name]],CL,3,0),"")</f>
        <v>Open</v>
      </c>
      <c r="AR18" s="439" t="str">
        <f ca="1">IF(Table_NFI[[#This Row],[Pcode]]="","",OFFSET(CampList[Priority],MATCH(Table_NFI[[#This Row],[Pcode]],CampList[CP_Pcode],0)-1,0,1,1))</f>
        <v>P4</v>
      </c>
      <c r="AS18" s="438">
        <f>IFERROR(Table_NFI[[#This Row],[Kitchen Set]]/VLOOKUP(Table_NFI[[#This Row],[Camp Name]],CL,4,0),"")</f>
        <v>0.24444444444444444</v>
      </c>
      <c r="AT18" s="769" t="s">
        <v>1099</v>
      </c>
      <c r="AU18" s="838"/>
    </row>
    <row r="19" spans="1:47" s="774" customFormat="1" ht="15" customHeight="1" x14ac:dyDescent="0.2">
      <c r="A19" s="451">
        <f t="shared" si="0"/>
        <v>4.2333333333333334</v>
      </c>
      <c r="B19" s="768">
        <v>42243</v>
      </c>
      <c r="C19" s="779" t="s">
        <v>454</v>
      </c>
      <c r="D19" s="779" t="s">
        <v>462</v>
      </c>
      <c r="E19" s="769" t="s">
        <v>380</v>
      </c>
      <c r="F19" s="769" t="s">
        <v>237</v>
      </c>
      <c r="G19" s="769"/>
      <c r="H19" s="437"/>
      <c r="I19" s="437"/>
      <c r="J19" s="437"/>
      <c r="K19" s="437"/>
      <c r="L19" s="437"/>
      <c r="M19" s="437"/>
      <c r="N19" s="437"/>
      <c r="O19" s="437"/>
      <c r="P19" s="439"/>
      <c r="Q19" s="439"/>
      <c r="R19" s="439"/>
      <c r="S19" s="439"/>
      <c r="T19" s="439"/>
      <c r="U19" s="439"/>
      <c r="V19" s="439"/>
      <c r="W19" s="439">
        <v>10</v>
      </c>
      <c r="X19" s="439"/>
      <c r="Y19" s="436">
        <f>IF(NFI_Expiration=1,IF($A19&lt;VLOOKUP(H$5,NFI,5,0),1,0)*Table_NFI[[#This Row],[Hygiene Kit]],Table_NFI[Hygiene Kit])</f>
        <v>0</v>
      </c>
      <c r="Z19" s="436">
        <f>IF(NFI_Expiration=1,IF($A19&lt;VLOOKUP(I$5,NFI,5,0),1,0)*Table_NFI[[#This Row],[NFI Core Kit]],Table_NFI[NFI Core Kit])</f>
        <v>0</v>
      </c>
      <c r="AA19" s="436">
        <f>IF(NFI_Expiration=1,IF($A19&lt;VLOOKUP(J$5,NFI,5,0),1,0)*Table_NFI[[#This Row],[Sanitary Kit]],Table_NFI[Sanitary Kit])</f>
        <v>0</v>
      </c>
      <c r="AB19" s="436">
        <f>IF(NFI_Expiration=1,IF($A19&lt;VLOOKUP(K$5,NFI,5,0),1,0)*Table_NFI[[#This Row],[Mosquito net]],Table_NFI[Mosquito net])</f>
        <v>0</v>
      </c>
      <c r="AC19" s="436">
        <f>IF(NFI_Expiration=1,IF($A19&lt;VLOOKUP(L$5,NFI,5,0),1,0)*Table_NFI[[#This Row],[Tarpaulin]],Table_NFI[[#This Row],[Tarpaulin]])</f>
        <v>0</v>
      </c>
      <c r="AD19" s="436">
        <f>IF(NFI_Expiration=1,IF($A19&lt;VLOOKUP(M$5,NFI,5,0),1,0)*Table_NFI[[#This Row],[Blanket]],Table_NFI[[#This Row],[Blanket]])</f>
        <v>0</v>
      </c>
      <c r="AE19" s="436">
        <f>IF(NFI_Expiration=1,IF($A19&lt;VLOOKUP(N$5,NFI,5,0),1,0)*Table_NFI[[#This Row],[Kitchen Set]],Table_NFI[Kitchen Set])</f>
        <v>0</v>
      </c>
      <c r="AF19" s="436">
        <f>IF(NFI_Expiration=1,IF($A19&lt;VLOOKUP(O$5,NFI,5,0),1,0)*Table_NFI[[#This Row],[Clothes Kit]],Table_NFI[Clothes Kit])</f>
        <v>0</v>
      </c>
      <c r="AG19" s="436">
        <f>IF(NFI_Expiration=1,IF($A19&lt;VLOOKUP(P$5,NFI,5,0),1,0)*Table_NFI[[#This Row],[Plastic Bucket]],Table_NFI[Plastic Bucket])</f>
        <v>0</v>
      </c>
      <c r="AH19" s="436">
        <f>IF(NFI_Expiration=1,IF($A19&lt;VLOOKUP(Q$5,NFI,5,0),1,0)*Table_NFI[[#This Row],[Plastic Mat]],Table_NFI[Plastic Mat])*IF(Table_NFI[[#This Row],[Distribution Date]]&gt;"2014-04-01",1,2.5)</f>
        <v>0</v>
      </c>
      <c r="AI19" s="436">
        <f>IF(NFI_Expiration=1,IF($A19&lt;VLOOKUP(R$5,NFI,5,0),1,0)*Table_NFI[[#This Row],[Winter Clothes Adult]],Table_NFI[Winter Clothes Adult])</f>
        <v>0</v>
      </c>
      <c r="AJ19" s="436">
        <f>IF(NFI_Expiration=1,IF($A19&lt;VLOOKUP(S$5,NFI,5,0),1,0)*Table_NFI[[#This Row],[Winter Clothes Children]],Table_NFI[Winter Clothes Children])</f>
        <v>0</v>
      </c>
      <c r="AK19" s="436">
        <f>IF(NFI_Expiration=1,IF($A19&lt;VLOOKUP(T$5,NFI,5,0),1,0)*Table_NFI[[#This Row],[Winter Items Other]],Table_NFI[Winter Items Other])</f>
        <v>0</v>
      </c>
      <c r="AL19" s="436">
        <f>IF(NFI_Expiration=1,IF($A19&lt;VLOOKUP(M$5,NFI,5,0),1,0)*Table_NFI[[#This Row],[Winter Blanket]],Table_NFI[[#This Row],[Winter Blanket]])</f>
        <v>0</v>
      </c>
      <c r="AM19" s="436">
        <f>IF(Table_NFI[[#This Row],[Winter Clothes Adult]]+Table_NFI[[#This Row],[Winter Clothes Children]]+Table_NFI[[#This Row],[Winter Items Other]]+Table_NFI[[#This Row],[Winter Blanket]]&gt;0,1,0)</f>
        <v>0</v>
      </c>
      <c r="AN19" s="439">
        <f>IF(NFI_Expiration=1,IF($A19&lt;VLOOKUP(V$5,NFI,5,0),1,0)*Table_NFI[[#This Row],[Jerry Can]],Table_NFI[Jerry Can])</f>
        <v>0</v>
      </c>
      <c r="AO19" s="771" t="str">
        <f>IFERROR(VLOOKUP(Table_NFI[[#This Row],[Camp Name]],CL,2,0),"")</f>
        <v/>
      </c>
      <c r="AP19" s="772" t="str">
        <f ca="1">IF(Table_NFI[[#This Row],[Pcode]]="","",IF(OFFSET(CampList[Opening Date],MATCH(Table_NFI[[#This Row],[Pcode]],CampList[CP_Pcode],0)-1,0,1,1)&gt;=NFI_Monitor_Date,1,0))</f>
        <v/>
      </c>
      <c r="AQ19" s="781" t="str">
        <f>IFERROR(VLOOKUP(Table_NFI[[#This Row],[Camp Name]],CL,3,0),"")</f>
        <v/>
      </c>
      <c r="AR19" s="439" t="str">
        <f ca="1">IF(Table_NFI[[#This Row],[Pcode]]="","",OFFSET(CampList[Priority],MATCH(Table_NFI[[#This Row],[Pcode]],CampList[CP_Pcode],0)-1,0,1,1))</f>
        <v/>
      </c>
      <c r="AS19" s="438" t="str">
        <f>IFERROR(Table_NFI[[#This Row],[Kitchen Set]]/VLOOKUP(Table_NFI[[#This Row],[Camp Name]],CL,4,0),"")</f>
        <v/>
      </c>
      <c r="AT19" s="769" t="s">
        <v>1099</v>
      </c>
      <c r="AU19" s="826"/>
    </row>
    <row r="20" spans="1:47" s="774" customFormat="1" x14ac:dyDescent="0.25">
      <c r="A20" s="451">
        <f t="shared" si="0"/>
        <v>4.2333333333333334</v>
      </c>
      <c r="B20" s="768">
        <v>42243</v>
      </c>
      <c r="C20" s="779" t="s">
        <v>454</v>
      </c>
      <c r="D20" s="779" t="s">
        <v>1479</v>
      </c>
      <c r="E20" s="779" t="s">
        <v>380</v>
      </c>
      <c r="F20" s="779" t="s">
        <v>237</v>
      </c>
      <c r="G20" s="779"/>
      <c r="H20" s="437"/>
      <c r="I20" s="437"/>
      <c r="J20" s="437"/>
      <c r="K20" s="437"/>
      <c r="L20" s="437"/>
      <c r="M20" s="437"/>
      <c r="N20" s="437"/>
      <c r="O20" s="437"/>
      <c r="P20" s="439"/>
      <c r="Q20" s="439"/>
      <c r="R20" s="439"/>
      <c r="S20" s="439"/>
      <c r="T20" s="439"/>
      <c r="U20" s="439"/>
      <c r="V20" s="439"/>
      <c r="W20" s="439">
        <v>7</v>
      </c>
      <c r="X20" s="439"/>
      <c r="Y20" s="436">
        <f>IF(NFI_Expiration=1,IF($A20&lt;VLOOKUP(H$5,NFI,5,0),1,0)*Table_NFI[[#This Row],[Hygiene Kit]],Table_NFI[Hygiene Kit])</f>
        <v>0</v>
      </c>
      <c r="Z20" s="436">
        <f>IF(NFI_Expiration=1,IF($A20&lt;VLOOKUP(I$5,NFI,5,0),1,0)*Table_NFI[[#This Row],[NFI Core Kit]],Table_NFI[NFI Core Kit])</f>
        <v>0</v>
      </c>
      <c r="AA20" s="436">
        <f>IF(NFI_Expiration=1,IF($A20&lt;VLOOKUP(J$5,NFI,5,0),1,0)*Table_NFI[[#This Row],[Sanitary Kit]],Table_NFI[Sanitary Kit])</f>
        <v>0</v>
      </c>
      <c r="AB20" s="436">
        <f>IF(NFI_Expiration=1,IF($A20&lt;VLOOKUP(K$5,NFI,5,0),1,0)*Table_NFI[[#This Row],[Mosquito net]],Table_NFI[Mosquito net])</f>
        <v>0</v>
      </c>
      <c r="AC20" s="436">
        <f>IF(NFI_Expiration=1,IF($A20&lt;VLOOKUP(L$5,NFI,5,0),1,0)*Table_NFI[[#This Row],[Tarpaulin]],Table_NFI[[#This Row],[Tarpaulin]])</f>
        <v>0</v>
      </c>
      <c r="AD20" s="436">
        <f>IF(NFI_Expiration=1,IF($A20&lt;VLOOKUP(M$5,NFI,5,0),1,0)*Table_NFI[[#This Row],[Blanket]],Table_NFI[[#This Row],[Blanket]])</f>
        <v>0</v>
      </c>
      <c r="AE20" s="436">
        <f>IF(NFI_Expiration=1,IF($A20&lt;VLOOKUP(N$5,NFI,5,0),1,0)*Table_NFI[[#This Row],[Kitchen Set]],Table_NFI[Kitchen Set])</f>
        <v>0</v>
      </c>
      <c r="AF20" s="436">
        <f>IF(NFI_Expiration=1,IF($A20&lt;VLOOKUP(O$5,NFI,5,0),1,0)*Table_NFI[[#This Row],[Clothes Kit]],Table_NFI[Clothes Kit])</f>
        <v>0</v>
      </c>
      <c r="AG20" s="436">
        <f>IF(NFI_Expiration=1,IF($A20&lt;VLOOKUP(P$5,NFI,5,0),1,0)*Table_NFI[[#This Row],[Plastic Bucket]],Table_NFI[Plastic Bucket])</f>
        <v>0</v>
      </c>
      <c r="AH20" s="436">
        <f>IF(NFI_Expiration=1,IF($A20&lt;VLOOKUP(Q$5,NFI,5,0),1,0)*Table_NFI[[#This Row],[Plastic Mat]],Table_NFI[Plastic Mat])*IF(Table_NFI[[#This Row],[Distribution Date]]&gt;"2014-04-01",1,2.5)</f>
        <v>0</v>
      </c>
      <c r="AI20" s="436">
        <f>IF(NFI_Expiration=1,IF($A20&lt;VLOOKUP(R$5,NFI,5,0),1,0)*Table_NFI[[#This Row],[Winter Clothes Adult]],Table_NFI[Winter Clothes Adult])</f>
        <v>0</v>
      </c>
      <c r="AJ20" s="436">
        <f>IF(NFI_Expiration=1,IF($A20&lt;VLOOKUP(S$5,NFI,5,0),1,0)*Table_NFI[[#This Row],[Winter Clothes Children]],Table_NFI[Winter Clothes Children])</f>
        <v>0</v>
      </c>
      <c r="AK20" s="436">
        <f>IF(NFI_Expiration=1,IF($A20&lt;VLOOKUP(T$5,NFI,5,0),1,0)*Table_NFI[[#This Row],[Winter Items Other]],Table_NFI[Winter Items Other])</f>
        <v>0</v>
      </c>
      <c r="AL20" s="436">
        <f>IF(NFI_Expiration=1,IF($A20&lt;VLOOKUP(M$5,NFI,5,0),1,0)*Table_NFI[[#This Row],[Winter Blanket]],Table_NFI[[#This Row],[Winter Blanket]])</f>
        <v>0</v>
      </c>
      <c r="AM20" s="436">
        <f>IF(Table_NFI[[#This Row],[Winter Clothes Adult]]+Table_NFI[[#This Row],[Winter Clothes Children]]+Table_NFI[[#This Row],[Winter Items Other]]+Table_NFI[[#This Row],[Winter Blanket]]&gt;0,1,0)</f>
        <v>0</v>
      </c>
      <c r="AN20" s="439">
        <f>IF(NFI_Expiration=1,IF($A20&lt;VLOOKUP(V$5,NFI,5,0),1,0)*Table_NFI[[#This Row],[Jerry Can]],Table_NFI[Jerry Can])</f>
        <v>0</v>
      </c>
      <c r="AO20" s="771" t="str">
        <f>IFERROR(VLOOKUP(Table_NFI[[#This Row],[Camp Name]],CL,2,0),"")</f>
        <v/>
      </c>
      <c r="AP20" s="772" t="str">
        <f ca="1">IF(Table_NFI[[#This Row],[Pcode]]="","",IF(OFFSET(CampList[Opening Date],MATCH(Table_NFI[[#This Row],[Pcode]],CampList[CP_Pcode],0)-1,0,1,1)&gt;=NFI_Monitor_Date,1,0))</f>
        <v/>
      </c>
      <c r="AQ20" s="781" t="str">
        <f>IFERROR(VLOOKUP(Table_NFI[[#This Row],[Camp Name]],CL,3,0),"")</f>
        <v/>
      </c>
      <c r="AR20" s="439" t="str">
        <f ca="1">IF(Table_NFI[[#This Row],[Pcode]]="","",OFFSET(CampList[Priority],MATCH(Table_NFI[[#This Row],[Pcode]],CampList[CP_Pcode],0)-1,0,1,1))</f>
        <v/>
      </c>
      <c r="AS20" s="438" t="str">
        <f>IFERROR(Table_NFI[[#This Row],[Kitchen Set]]/VLOOKUP(Table_NFI[[#This Row],[Camp Name]],CL,4,0),"")</f>
        <v/>
      </c>
      <c r="AT20" s="769" t="s">
        <v>1099</v>
      </c>
      <c r="AU20" s="782"/>
    </row>
    <row r="21" spans="1:47" s="774" customFormat="1" x14ac:dyDescent="0.25">
      <c r="A21" s="451">
        <f t="shared" si="0"/>
        <v>4.2333333333333334</v>
      </c>
      <c r="B21" s="829">
        <v>42243</v>
      </c>
      <c r="C21" s="830" t="s">
        <v>454</v>
      </c>
      <c r="D21" s="830" t="s">
        <v>507</v>
      </c>
      <c r="E21" s="830" t="s">
        <v>380</v>
      </c>
      <c r="F21" s="830" t="s">
        <v>237</v>
      </c>
      <c r="G21" s="830"/>
      <c r="H21" s="831"/>
      <c r="I21" s="831"/>
      <c r="J21" s="831"/>
      <c r="K21" s="831"/>
      <c r="L21" s="831"/>
      <c r="M21" s="831"/>
      <c r="N21" s="831"/>
      <c r="O21" s="831"/>
      <c r="P21" s="832"/>
      <c r="Q21" s="832"/>
      <c r="R21" s="832"/>
      <c r="S21" s="832"/>
      <c r="T21" s="832"/>
      <c r="U21" s="832"/>
      <c r="V21" s="839"/>
      <c r="W21" s="832">
        <v>8</v>
      </c>
      <c r="X21" s="832"/>
      <c r="Y21" s="436">
        <f>IF(NFI_Expiration=1,IF($A21&lt;VLOOKUP(H$5,NFI,5,0),1,0)*Table_NFI[[#This Row],[Hygiene Kit]],Table_NFI[Hygiene Kit])</f>
        <v>0</v>
      </c>
      <c r="Z21" s="436">
        <f>IF(NFI_Expiration=1,IF($A21&lt;VLOOKUP(I$5,NFI,5,0),1,0)*Table_NFI[[#This Row],[NFI Core Kit]],Table_NFI[NFI Core Kit])</f>
        <v>0</v>
      </c>
      <c r="AA21" s="436">
        <f>IF(NFI_Expiration=1,IF($A21&lt;VLOOKUP(J$5,NFI,5,0),1,0)*Table_NFI[[#This Row],[Sanitary Kit]],Table_NFI[Sanitary Kit])</f>
        <v>0</v>
      </c>
      <c r="AB21" s="436">
        <f>IF(NFI_Expiration=1,IF($A21&lt;VLOOKUP(K$5,NFI,5,0),1,0)*Table_NFI[[#This Row],[Mosquito net]],Table_NFI[Mosquito net])</f>
        <v>0</v>
      </c>
      <c r="AC21" s="436">
        <f>IF(NFI_Expiration=1,IF($A21&lt;VLOOKUP(L$5,NFI,5,0),1,0)*Table_NFI[[#This Row],[Tarpaulin]],Table_NFI[[#This Row],[Tarpaulin]])</f>
        <v>0</v>
      </c>
      <c r="AD21" s="436">
        <f>IF(NFI_Expiration=1,IF($A21&lt;VLOOKUP(M$5,NFI,5,0),1,0)*Table_NFI[[#This Row],[Blanket]],Table_NFI[[#This Row],[Blanket]])</f>
        <v>0</v>
      </c>
      <c r="AE21" s="436">
        <f>IF(NFI_Expiration=1,IF($A21&lt;VLOOKUP(N$5,NFI,5,0),1,0)*Table_NFI[[#This Row],[Kitchen Set]],Table_NFI[Kitchen Set])</f>
        <v>0</v>
      </c>
      <c r="AF21" s="436">
        <f>IF(NFI_Expiration=1,IF($A21&lt;VLOOKUP(O$5,NFI,5,0),1,0)*Table_NFI[[#This Row],[Clothes Kit]],Table_NFI[Clothes Kit])</f>
        <v>0</v>
      </c>
      <c r="AG21" s="436">
        <f>IF(NFI_Expiration=1,IF($A21&lt;VLOOKUP(P$5,NFI,5,0),1,0)*Table_NFI[[#This Row],[Plastic Bucket]],Table_NFI[Plastic Bucket])</f>
        <v>0</v>
      </c>
      <c r="AH21" s="436">
        <f>IF(NFI_Expiration=1,IF($A21&lt;VLOOKUP(Q$5,NFI,5,0),1,0)*Table_NFI[[#This Row],[Plastic Mat]],Table_NFI[Plastic Mat])*IF(Table_NFI[[#This Row],[Distribution Date]]&gt;"2014-04-01",1,2.5)</f>
        <v>0</v>
      </c>
      <c r="AI21" s="436">
        <f>IF(NFI_Expiration=1,IF($A21&lt;VLOOKUP(R$5,NFI,5,0),1,0)*Table_NFI[[#This Row],[Winter Clothes Adult]],Table_NFI[Winter Clothes Adult])</f>
        <v>0</v>
      </c>
      <c r="AJ21" s="436">
        <f>IF(NFI_Expiration=1,IF($A21&lt;VLOOKUP(S$5,NFI,5,0),1,0)*Table_NFI[[#This Row],[Winter Clothes Children]],Table_NFI[Winter Clothes Children])</f>
        <v>0</v>
      </c>
      <c r="AK21" s="436">
        <f>IF(NFI_Expiration=1,IF($A21&lt;VLOOKUP(T$5,NFI,5,0),1,0)*Table_NFI[[#This Row],[Winter Items Other]],Table_NFI[Winter Items Other])</f>
        <v>0</v>
      </c>
      <c r="AL21" s="436">
        <f>IF(NFI_Expiration=1,IF($A21&lt;VLOOKUP(M$5,NFI,5,0),1,0)*Table_NFI[[#This Row],[Winter Blanket]],Table_NFI[[#This Row],[Winter Blanket]])</f>
        <v>0</v>
      </c>
      <c r="AM21" s="436">
        <f>IF(Table_NFI[[#This Row],[Winter Clothes Adult]]+Table_NFI[[#This Row],[Winter Clothes Children]]+Table_NFI[[#This Row],[Winter Items Other]]+Table_NFI[[#This Row],[Winter Blanket]]&gt;0,1,0)</f>
        <v>0</v>
      </c>
      <c r="AN21" s="439">
        <f>IF(NFI_Expiration=1,IF($A21&lt;VLOOKUP(V$5,NFI,5,0),1,0)*Table_NFI[[#This Row],[Jerry Can]],Table_NFI[Jerry Can])</f>
        <v>0</v>
      </c>
      <c r="AO21" s="835" t="str">
        <f>IFERROR(VLOOKUP(Table_NFI[[#This Row],[Camp Name]],CL,2,0),"")</f>
        <v/>
      </c>
      <c r="AP21" s="836" t="str">
        <f ca="1">IF(Table_NFI[[#This Row],[Pcode]]="","",IF(OFFSET(CampList[Opening Date],MATCH(Table_NFI[[#This Row],[Pcode]],CampList[CP_Pcode],0)-1,0,1,1)&gt;=NFI_Monitor_Date,1,0))</f>
        <v/>
      </c>
      <c r="AQ21" s="781" t="str">
        <f>IFERROR(VLOOKUP(Table_NFI[[#This Row],[Camp Name]],CL,3,0),"")</f>
        <v/>
      </c>
      <c r="AR21" s="439" t="str">
        <f ca="1">IF(Table_NFI[[#This Row],[Pcode]]="","",OFFSET(CampList[Priority],MATCH(Table_NFI[[#This Row],[Pcode]],CampList[CP_Pcode],0)-1,0,1,1))</f>
        <v/>
      </c>
      <c r="AS21" s="438" t="str">
        <f>IFERROR(Table_NFI[[#This Row],[Kitchen Set]]/VLOOKUP(Table_NFI[[#This Row],[Camp Name]],CL,4,0),"")</f>
        <v/>
      </c>
      <c r="AT21" s="769" t="s">
        <v>1099</v>
      </c>
      <c r="AU21" s="838" t="s">
        <v>1358</v>
      </c>
    </row>
    <row r="22" spans="1:47" s="774" customFormat="1" ht="16.5" customHeight="1" x14ac:dyDescent="0.25">
      <c r="A22" s="451">
        <f t="shared" si="0"/>
        <v>4.7666666666666666</v>
      </c>
      <c r="B22" s="768">
        <v>42227</v>
      </c>
      <c r="C22" s="769" t="s">
        <v>454</v>
      </c>
      <c r="D22" s="770" t="s">
        <v>462</v>
      </c>
      <c r="E22" s="769" t="s">
        <v>380</v>
      </c>
      <c r="F22" s="435" t="s">
        <v>173</v>
      </c>
      <c r="G22" s="435" t="s">
        <v>174</v>
      </c>
      <c r="H22" s="436"/>
      <c r="I22" s="437"/>
      <c r="J22" s="436"/>
      <c r="K22" s="439">
        <v>14</v>
      </c>
      <c r="L22" s="437">
        <v>14</v>
      </c>
      <c r="M22" s="437"/>
      <c r="N22" s="437"/>
      <c r="O22" s="437"/>
      <c r="P22" s="439"/>
      <c r="Q22" s="439"/>
      <c r="R22" s="439"/>
      <c r="S22" s="439"/>
      <c r="T22" s="439"/>
      <c r="U22" s="439"/>
      <c r="V22" s="439"/>
      <c r="W22" s="439"/>
      <c r="X22" s="439"/>
      <c r="Y22" s="436">
        <f>IF(NFI_Expiration=1,IF($A22&lt;VLOOKUP(H$5,NFI,5,0),1,0)*Table_NFI[[#This Row],[Hygiene Kit]],Table_NFI[Hygiene Kit])</f>
        <v>0</v>
      </c>
      <c r="Z22" s="436">
        <f>IF(NFI_Expiration=1,IF($A22&lt;VLOOKUP(I$5,NFI,5,0),1,0)*Table_NFI[[#This Row],[NFI Core Kit]],Table_NFI[NFI Core Kit])</f>
        <v>0</v>
      </c>
      <c r="AA22" s="436">
        <f>IF(NFI_Expiration=1,IF($A22&lt;VLOOKUP(J$5,NFI,5,0),1,0)*Table_NFI[[#This Row],[Sanitary Kit]],Table_NFI[Sanitary Kit])</f>
        <v>0</v>
      </c>
      <c r="AB22" s="436">
        <f>IF(NFI_Expiration=1,IF($A22&lt;VLOOKUP(K$5,NFI,5,0),1,0)*Table_NFI[[#This Row],[Mosquito net]],Table_NFI[Mosquito net])</f>
        <v>14</v>
      </c>
      <c r="AC22" s="436">
        <f>IF(NFI_Expiration=1,IF($A22&lt;VLOOKUP(L$5,NFI,5,0),1,0)*Table_NFI[[#This Row],[Tarpaulin]],Table_NFI[[#This Row],[Tarpaulin]])</f>
        <v>14</v>
      </c>
      <c r="AD22" s="436">
        <f>IF(NFI_Expiration=1,IF($A22&lt;VLOOKUP(M$5,NFI,5,0),1,0)*Table_NFI[[#This Row],[Blanket]],Table_NFI[[#This Row],[Blanket]])</f>
        <v>0</v>
      </c>
      <c r="AE22" s="436">
        <f>IF(NFI_Expiration=1,IF($A22&lt;VLOOKUP(N$5,NFI,5,0),1,0)*Table_NFI[[#This Row],[Kitchen Set]],Table_NFI[Kitchen Set])</f>
        <v>0</v>
      </c>
      <c r="AF22" s="436">
        <f>IF(NFI_Expiration=1,IF($A22&lt;VLOOKUP(O$5,NFI,5,0),1,0)*Table_NFI[[#This Row],[Clothes Kit]],Table_NFI[Clothes Kit])</f>
        <v>0</v>
      </c>
      <c r="AG22" s="436">
        <f>IF(NFI_Expiration=1,IF($A22&lt;VLOOKUP(P$5,NFI,5,0),1,0)*Table_NFI[[#This Row],[Plastic Bucket]],Table_NFI[Plastic Bucket])</f>
        <v>0</v>
      </c>
      <c r="AH22" s="436">
        <f>IF(NFI_Expiration=1,IF($A22&lt;VLOOKUP(Q$5,NFI,5,0),1,0)*Table_NFI[[#This Row],[Plastic Mat]],Table_NFI[Plastic Mat])*IF(Table_NFI[[#This Row],[Distribution Date]]&gt;"2014-04-01",1,2.5)</f>
        <v>0</v>
      </c>
      <c r="AI22" s="436">
        <f>IF(NFI_Expiration=1,IF($A22&lt;VLOOKUP(R$5,NFI,5,0),1,0)*Table_NFI[[#This Row],[Winter Clothes Adult]],Table_NFI[Winter Clothes Adult])</f>
        <v>0</v>
      </c>
      <c r="AJ22" s="436">
        <f>IF(NFI_Expiration=1,IF($A22&lt;VLOOKUP(S$5,NFI,5,0),1,0)*Table_NFI[[#This Row],[Winter Clothes Children]],Table_NFI[Winter Clothes Children])</f>
        <v>0</v>
      </c>
      <c r="AK22" s="436">
        <f>IF(NFI_Expiration=1,IF($A22&lt;VLOOKUP(T$5,NFI,5,0),1,0)*Table_NFI[[#This Row],[Winter Items Other]],Table_NFI[Winter Items Other])</f>
        <v>0</v>
      </c>
      <c r="AL22" s="436">
        <f>IF(NFI_Expiration=1,IF($A22&lt;VLOOKUP(M$5,NFI,5,0),1,0)*Table_NFI[[#This Row],[Winter Blanket]],Table_NFI[[#This Row],[Winter Blanket]])</f>
        <v>0</v>
      </c>
      <c r="AM22" s="436">
        <f>IF(Table_NFI[[#This Row],[Winter Clothes Adult]]+Table_NFI[[#This Row],[Winter Clothes Children]]+Table_NFI[[#This Row],[Winter Items Other]]+Table_NFI[[#This Row],[Winter Blanket]]&gt;0,1,0)</f>
        <v>0</v>
      </c>
      <c r="AN22" s="439">
        <f>IF(NFI_Expiration=1,IF($A22&lt;VLOOKUP(V$5,NFI,5,0),1,0)*Table_NFI[[#This Row],[Jerry Can]],Table_NFI[Jerry Can])</f>
        <v>0</v>
      </c>
      <c r="AO22" s="771" t="str">
        <f>IFERROR(VLOOKUP(Table_NFI[[#This Row],[Camp Name]],CL,2,0),"")</f>
        <v>MMR001CMP078</v>
      </c>
      <c r="AP22" s="772">
        <f ca="1">IF(Table_NFI[[#This Row],[Pcode]]="","",IF(OFFSET(CampList[Opening Date],MATCH(Table_NFI[[#This Row],[Pcode]],CampList[CP_Pcode],0)-1,0,1,1)&gt;=NFI_Monitor_Date,1,0))</f>
        <v>0</v>
      </c>
      <c r="AQ22" s="781" t="str">
        <f>IFERROR(VLOOKUP(Table_NFI[[#This Row],[Camp Name]],CL,3,0),"")</f>
        <v>Open</v>
      </c>
      <c r="AR22" s="439" t="str">
        <f ca="1">IF(Table_NFI[[#This Row],[Pcode]]="","",OFFSET(CampList[Priority],MATCH(Table_NFI[[#This Row],[Pcode]],CampList[CP_Pcode],0)-1,0,1,1))</f>
        <v>P4</v>
      </c>
      <c r="AS22" s="438">
        <f>IFERROR(Table_NFI[[#This Row],[Kitchen Set]]/VLOOKUP(Table_NFI[[#This Row],[Camp Name]],CL,4,0),"")</f>
        <v>0</v>
      </c>
      <c r="AT22" s="769" t="s">
        <v>1099</v>
      </c>
      <c r="AU22" s="814" t="s">
        <v>1482</v>
      </c>
    </row>
    <row r="23" spans="1:47" s="774" customFormat="1" x14ac:dyDescent="0.25">
      <c r="A23" s="451">
        <f t="shared" si="0"/>
        <v>4.7666666666666666</v>
      </c>
      <c r="B23" s="829">
        <v>42227</v>
      </c>
      <c r="C23" s="830" t="s">
        <v>454</v>
      </c>
      <c r="D23" s="830" t="s">
        <v>507</v>
      </c>
      <c r="E23" s="830" t="s">
        <v>380</v>
      </c>
      <c r="F23" s="830" t="s">
        <v>237</v>
      </c>
      <c r="G23" s="830" t="s">
        <v>249</v>
      </c>
      <c r="H23" s="831"/>
      <c r="I23" s="831"/>
      <c r="J23" s="831"/>
      <c r="K23" s="831">
        <v>6</v>
      </c>
      <c r="L23" s="831">
        <v>4</v>
      </c>
      <c r="M23" s="831">
        <v>6</v>
      </c>
      <c r="N23" s="831">
        <v>4</v>
      </c>
      <c r="O23" s="831"/>
      <c r="P23" s="832">
        <v>4</v>
      </c>
      <c r="Q23" s="832">
        <v>10</v>
      </c>
      <c r="R23" s="832"/>
      <c r="S23" s="832"/>
      <c r="T23" s="832"/>
      <c r="U23" s="832"/>
      <c r="V23" s="839">
        <v>4</v>
      </c>
      <c r="W23" s="832"/>
      <c r="X23" s="832"/>
      <c r="Y23" s="436">
        <f>IF(NFI_Expiration=1,IF($A23&lt;VLOOKUP(H$5,NFI,5,0),1,0)*Table_NFI[[#This Row],[Hygiene Kit]],Table_NFI[Hygiene Kit])</f>
        <v>0</v>
      </c>
      <c r="Z23" s="436">
        <f>IF(NFI_Expiration=1,IF($A23&lt;VLOOKUP(I$5,NFI,5,0),1,0)*Table_NFI[[#This Row],[NFI Core Kit]],Table_NFI[NFI Core Kit])</f>
        <v>0</v>
      </c>
      <c r="AA23" s="436">
        <f>IF(NFI_Expiration=1,IF($A23&lt;VLOOKUP(J$5,NFI,5,0),1,0)*Table_NFI[[#This Row],[Sanitary Kit]],Table_NFI[Sanitary Kit])</f>
        <v>0</v>
      </c>
      <c r="AB23" s="436">
        <f>IF(NFI_Expiration=1,IF($A23&lt;VLOOKUP(K$5,NFI,5,0),1,0)*Table_NFI[[#This Row],[Mosquito net]],Table_NFI[Mosquito net])</f>
        <v>6</v>
      </c>
      <c r="AC23" s="436">
        <f>IF(NFI_Expiration=1,IF($A23&lt;VLOOKUP(L$5,NFI,5,0),1,0)*Table_NFI[[#This Row],[Tarpaulin]],Table_NFI[[#This Row],[Tarpaulin]])</f>
        <v>4</v>
      </c>
      <c r="AD23" s="436">
        <f>IF(NFI_Expiration=1,IF($A23&lt;VLOOKUP(M$5,NFI,5,0),1,0)*Table_NFI[[#This Row],[Blanket]],Table_NFI[[#This Row],[Blanket]])</f>
        <v>6</v>
      </c>
      <c r="AE23" s="436">
        <f>IF(NFI_Expiration=1,IF($A23&lt;VLOOKUP(N$5,NFI,5,0),1,0)*Table_NFI[[#This Row],[Kitchen Set]],Table_NFI[Kitchen Set])</f>
        <v>4</v>
      </c>
      <c r="AF23" s="436">
        <f>IF(NFI_Expiration=1,IF($A23&lt;VLOOKUP(O$5,NFI,5,0),1,0)*Table_NFI[[#This Row],[Clothes Kit]],Table_NFI[Clothes Kit])</f>
        <v>0</v>
      </c>
      <c r="AG23" s="436">
        <f>IF(NFI_Expiration=1,IF($A23&lt;VLOOKUP(P$5,NFI,5,0),1,0)*Table_NFI[[#This Row],[Plastic Bucket]],Table_NFI[Plastic Bucket])</f>
        <v>4</v>
      </c>
      <c r="AH23" s="436">
        <f>IF(NFI_Expiration=1,IF($A23&lt;VLOOKUP(Q$5,NFI,5,0),1,0)*Table_NFI[[#This Row],[Plastic Mat]],Table_NFI[Plastic Mat])*IF(Table_NFI[[#This Row],[Distribution Date]]&gt;"2014-04-01",1,2.5)</f>
        <v>25</v>
      </c>
      <c r="AI23" s="436">
        <f>IF(NFI_Expiration=1,IF($A23&lt;VLOOKUP(R$5,NFI,5,0),1,0)*Table_NFI[[#This Row],[Winter Clothes Adult]],Table_NFI[Winter Clothes Adult])</f>
        <v>0</v>
      </c>
      <c r="AJ23" s="436">
        <f>IF(NFI_Expiration=1,IF($A23&lt;VLOOKUP(S$5,NFI,5,0),1,0)*Table_NFI[[#This Row],[Winter Clothes Children]],Table_NFI[Winter Clothes Children])</f>
        <v>0</v>
      </c>
      <c r="AK23" s="436">
        <f>IF(NFI_Expiration=1,IF($A23&lt;VLOOKUP(T$5,NFI,5,0),1,0)*Table_NFI[[#This Row],[Winter Items Other]],Table_NFI[Winter Items Other])</f>
        <v>0</v>
      </c>
      <c r="AL23" s="436">
        <f>IF(NFI_Expiration=1,IF($A23&lt;VLOOKUP(M$5,NFI,5,0),1,0)*Table_NFI[[#This Row],[Winter Blanket]],Table_NFI[[#This Row],[Winter Blanket]])</f>
        <v>0</v>
      </c>
      <c r="AM23" s="436">
        <f>IF(Table_NFI[[#This Row],[Winter Clothes Adult]]+Table_NFI[[#This Row],[Winter Clothes Children]]+Table_NFI[[#This Row],[Winter Items Other]]+Table_NFI[[#This Row],[Winter Blanket]]&gt;0,1,0)</f>
        <v>0</v>
      </c>
      <c r="AN23" s="439">
        <f>IF(NFI_Expiration=1,IF($A23&lt;VLOOKUP(V$5,NFI,5,0),1,0)*Table_NFI[[#This Row],[Jerry Can]],Table_NFI[Jerry Can])</f>
        <v>4</v>
      </c>
      <c r="AO23" s="835" t="str">
        <f>IFERROR(VLOOKUP(Table_NFI[[#This Row],[Camp Name]],CL,2,0),"")</f>
        <v>MMR001CMP004</v>
      </c>
      <c r="AP23" s="836">
        <f ca="1">IF(Table_NFI[[#This Row],[Pcode]]="","",IF(OFFSET(CampList[Opening Date],MATCH(Table_NFI[[#This Row],[Pcode]],CampList[CP_Pcode],0)-1,0,1,1)&gt;=NFI_Monitor_Date,1,0))</f>
        <v>0</v>
      </c>
      <c r="AQ23" s="781" t="str">
        <f>IFERROR(VLOOKUP(Table_NFI[[#This Row],[Camp Name]],CL,3,0),"")</f>
        <v>Open</v>
      </c>
      <c r="AR23" s="439" t="str">
        <f ca="1">IF(Table_NFI[[#This Row],[Pcode]]="","",OFFSET(CampList[Priority],MATCH(Table_NFI[[#This Row],[Pcode]],CampList[CP_Pcode],0)-1,0,1,1))</f>
        <v>P4</v>
      </c>
      <c r="AS23" s="438">
        <f>IFERROR(Table_NFI[[#This Row],[Kitchen Set]]/VLOOKUP(Table_NFI[[#This Row],[Camp Name]],CL,4,0),"")</f>
        <v>0.33333333333333331</v>
      </c>
      <c r="AT23" s="769" t="s">
        <v>1099</v>
      </c>
      <c r="AU23" s="838"/>
    </row>
    <row r="24" spans="1:47" s="774" customFormat="1" x14ac:dyDescent="0.25">
      <c r="A24" s="451">
        <f t="shared" si="0"/>
        <v>5.4666666666666668</v>
      </c>
      <c r="B24" s="829">
        <v>42206</v>
      </c>
      <c r="C24" s="830" t="s">
        <v>454</v>
      </c>
      <c r="D24" s="830" t="s">
        <v>462</v>
      </c>
      <c r="E24" s="830" t="s">
        <v>380</v>
      </c>
      <c r="F24" s="830" t="s">
        <v>813</v>
      </c>
      <c r="G24" s="830" t="s">
        <v>813</v>
      </c>
      <c r="H24" s="831"/>
      <c r="I24" s="831"/>
      <c r="J24" s="831"/>
      <c r="K24" s="831"/>
      <c r="L24" s="831">
        <v>250</v>
      </c>
      <c r="M24" s="831"/>
      <c r="N24" s="831"/>
      <c r="O24" s="831"/>
      <c r="P24" s="832"/>
      <c r="Q24" s="832"/>
      <c r="R24" s="832"/>
      <c r="S24" s="832"/>
      <c r="T24" s="832"/>
      <c r="U24" s="832"/>
      <c r="V24" s="839"/>
      <c r="W24" s="832"/>
      <c r="X24" s="832"/>
      <c r="Y24" s="436">
        <f>IF(NFI_Expiration=1,IF($A24&lt;VLOOKUP(H$5,NFI,5,0),1,0)*Table_NFI[[#This Row],[Hygiene Kit]],Table_NFI[Hygiene Kit])</f>
        <v>0</v>
      </c>
      <c r="Z24" s="436">
        <f>IF(NFI_Expiration=1,IF($A24&lt;VLOOKUP(I$5,NFI,5,0),1,0)*Table_NFI[[#This Row],[NFI Core Kit]],Table_NFI[NFI Core Kit])</f>
        <v>0</v>
      </c>
      <c r="AA24" s="436">
        <f>IF(NFI_Expiration=1,IF($A24&lt;VLOOKUP(J$5,NFI,5,0),1,0)*Table_NFI[[#This Row],[Sanitary Kit]],Table_NFI[Sanitary Kit])</f>
        <v>0</v>
      </c>
      <c r="AB24" s="436">
        <f>IF(NFI_Expiration=1,IF($A24&lt;VLOOKUP(K$5,NFI,5,0),1,0)*Table_NFI[[#This Row],[Mosquito net]],Table_NFI[Mosquito net])</f>
        <v>0</v>
      </c>
      <c r="AC24" s="436">
        <f>IF(NFI_Expiration=1,IF($A24&lt;VLOOKUP(L$5,NFI,5,0),1,0)*Table_NFI[[#This Row],[Tarpaulin]],Table_NFI[[#This Row],[Tarpaulin]])</f>
        <v>250</v>
      </c>
      <c r="AD24" s="436">
        <f>IF(NFI_Expiration=1,IF($A24&lt;VLOOKUP(M$5,NFI,5,0),1,0)*Table_NFI[[#This Row],[Blanket]],Table_NFI[[#This Row],[Blanket]])</f>
        <v>0</v>
      </c>
      <c r="AE24" s="436">
        <f>IF(NFI_Expiration=1,IF($A24&lt;VLOOKUP(N$5,NFI,5,0),1,0)*Table_NFI[[#This Row],[Kitchen Set]],Table_NFI[Kitchen Set])</f>
        <v>0</v>
      </c>
      <c r="AF24" s="436">
        <f>IF(NFI_Expiration=1,IF($A24&lt;VLOOKUP(O$5,NFI,5,0),1,0)*Table_NFI[[#This Row],[Clothes Kit]],Table_NFI[Clothes Kit])</f>
        <v>0</v>
      </c>
      <c r="AG24" s="436">
        <f>IF(NFI_Expiration=1,IF($A24&lt;VLOOKUP(P$5,NFI,5,0),1,0)*Table_NFI[[#This Row],[Plastic Bucket]],Table_NFI[Plastic Bucket])</f>
        <v>0</v>
      </c>
      <c r="AH24" s="436">
        <f>IF(NFI_Expiration=1,IF($A24&lt;VLOOKUP(Q$5,NFI,5,0),1,0)*Table_NFI[[#This Row],[Plastic Mat]],Table_NFI[Plastic Mat])*IF(Table_NFI[[#This Row],[Distribution Date]]&gt;"2014-04-01",1,2.5)</f>
        <v>0</v>
      </c>
      <c r="AI24" s="436">
        <f>IF(NFI_Expiration=1,IF($A24&lt;VLOOKUP(R$5,NFI,5,0),1,0)*Table_NFI[[#This Row],[Winter Clothes Adult]],Table_NFI[Winter Clothes Adult])</f>
        <v>0</v>
      </c>
      <c r="AJ24" s="436">
        <f>IF(NFI_Expiration=1,IF($A24&lt;VLOOKUP(S$5,NFI,5,0),1,0)*Table_NFI[[#This Row],[Winter Clothes Children]],Table_NFI[Winter Clothes Children])</f>
        <v>0</v>
      </c>
      <c r="AK24" s="436">
        <f>IF(NFI_Expiration=1,IF($A24&lt;VLOOKUP(T$5,NFI,5,0),1,0)*Table_NFI[[#This Row],[Winter Items Other]],Table_NFI[Winter Items Other])</f>
        <v>0</v>
      </c>
      <c r="AL24" s="436">
        <f>IF(NFI_Expiration=1,IF($A24&lt;VLOOKUP(M$5,NFI,5,0),1,0)*Table_NFI[[#This Row],[Winter Blanket]],Table_NFI[[#This Row],[Winter Blanket]])</f>
        <v>0</v>
      </c>
      <c r="AM24" s="436">
        <f>IF(Table_NFI[[#This Row],[Winter Clothes Adult]]+Table_NFI[[#This Row],[Winter Clothes Children]]+Table_NFI[[#This Row],[Winter Items Other]]+Table_NFI[[#This Row],[Winter Blanket]]&gt;0,1,0)</f>
        <v>0</v>
      </c>
      <c r="AN24" s="439">
        <f>IF(NFI_Expiration=1,IF($A24&lt;VLOOKUP(V$5,NFI,5,0),1,0)*Table_NFI[[#This Row],[Jerry Can]],Table_NFI[Jerry Can])</f>
        <v>0</v>
      </c>
      <c r="AO24" s="835" t="str">
        <f>IFERROR(VLOOKUP(Table_NFI[[#This Row],[Camp Name]],CL,2,0),"")</f>
        <v>MMR001CMP206</v>
      </c>
      <c r="AP24" s="836">
        <f ca="1">IF(Table_NFI[[#This Row],[Pcode]]="","",IF(OFFSET(CampList[Opening Date],MATCH(Table_NFI[[#This Row],[Pcode]],CampList[CP_Pcode],0)-1,0,1,1)&gt;=NFI_Monitor_Date,1,0))</f>
        <v>0</v>
      </c>
      <c r="AQ24" s="781" t="str">
        <f>IFERROR(VLOOKUP(Table_NFI[[#This Row],[Camp Name]],CL,3,0),"")</f>
        <v>Open</v>
      </c>
      <c r="AR24" s="439" t="str">
        <f ca="1">IF(Table_NFI[[#This Row],[Pcode]]="","",OFFSET(CampList[Priority],MATCH(Table_NFI[[#This Row],[Pcode]],CampList[CP_Pcode],0)-1,0,1,1))</f>
        <v>P4</v>
      </c>
      <c r="AS24" s="438">
        <f>IFERROR(Table_NFI[[#This Row],[Kitchen Set]]/VLOOKUP(Table_NFI[[#This Row],[Camp Name]],CL,4,0),"")</f>
        <v>0</v>
      </c>
      <c r="AT24" s="769" t="s">
        <v>1099</v>
      </c>
      <c r="AU24" s="838" t="s">
        <v>1358</v>
      </c>
    </row>
    <row r="25" spans="1:47" s="774" customFormat="1" ht="15" customHeight="1" x14ac:dyDescent="0.2">
      <c r="A25" s="451">
        <f t="shared" si="0"/>
        <v>7.0333333333333332</v>
      </c>
      <c r="B25" s="768">
        <v>42159</v>
      </c>
      <c r="C25" s="769" t="s">
        <v>454</v>
      </c>
      <c r="D25" s="769" t="s">
        <v>462</v>
      </c>
      <c r="E25" s="769" t="s">
        <v>380</v>
      </c>
      <c r="F25" s="769" t="s">
        <v>185</v>
      </c>
      <c r="G25" s="769" t="s">
        <v>190</v>
      </c>
      <c r="H25" s="436"/>
      <c r="I25" s="439"/>
      <c r="J25" s="439"/>
      <c r="K25" s="439"/>
      <c r="L25" s="437">
        <v>88</v>
      </c>
      <c r="M25" s="437">
        <v>27</v>
      </c>
      <c r="N25" s="437">
        <v>9</v>
      </c>
      <c r="O25" s="437"/>
      <c r="P25" s="439">
        <v>9</v>
      </c>
      <c r="Q25" s="439">
        <v>48</v>
      </c>
      <c r="R25" s="439"/>
      <c r="S25" s="439"/>
      <c r="T25" s="439"/>
      <c r="U25" s="439"/>
      <c r="V25" s="439">
        <v>9</v>
      </c>
      <c r="W25" s="439"/>
      <c r="X25" s="439"/>
      <c r="Y25" s="436">
        <f>IF(NFI_Expiration=1,IF($A25&lt;VLOOKUP(H$5,NFI,5,0),1,0)*Table_NFI[[#This Row],[Hygiene Kit]],Table_NFI[Hygiene Kit])</f>
        <v>0</v>
      </c>
      <c r="Z25" s="436">
        <f>IF(NFI_Expiration=1,IF($A25&lt;VLOOKUP(I$5,NFI,5,0),1,0)*Table_NFI[[#This Row],[NFI Core Kit]],Table_NFI[NFI Core Kit])</f>
        <v>0</v>
      </c>
      <c r="AA25" s="436">
        <f>IF(NFI_Expiration=1,IF($A25&lt;VLOOKUP(J$5,NFI,5,0),1,0)*Table_NFI[[#This Row],[Sanitary Kit]],Table_NFI[Sanitary Kit])</f>
        <v>0</v>
      </c>
      <c r="AB25" s="436">
        <f>IF(NFI_Expiration=1,IF($A25&lt;VLOOKUP(K$5,NFI,5,0),1,0)*Table_NFI[[#This Row],[Mosquito net]],Table_NFI[Mosquito net])</f>
        <v>0</v>
      </c>
      <c r="AC25" s="436">
        <f>IF(NFI_Expiration=1,IF($A25&lt;VLOOKUP(L$5,NFI,5,0),1,0)*Table_NFI[[#This Row],[Tarpaulin]],Table_NFI[[#This Row],[Tarpaulin]])</f>
        <v>88</v>
      </c>
      <c r="AD25" s="436">
        <f>IF(NFI_Expiration=1,IF($A25&lt;VLOOKUP(M$5,NFI,5,0),1,0)*Table_NFI[[#This Row],[Blanket]],Table_NFI[[#This Row],[Blanket]])</f>
        <v>27</v>
      </c>
      <c r="AE25" s="436">
        <f>IF(NFI_Expiration=1,IF($A25&lt;VLOOKUP(N$5,NFI,5,0),1,0)*Table_NFI[[#This Row],[Kitchen Set]],Table_NFI[Kitchen Set])</f>
        <v>9</v>
      </c>
      <c r="AF25" s="436">
        <f>IF(NFI_Expiration=1,IF($A25&lt;VLOOKUP(O$5,NFI,5,0),1,0)*Table_NFI[[#This Row],[Clothes Kit]],Table_NFI[Clothes Kit])</f>
        <v>0</v>
      </c>
      <c r="AG25" s="436">
        <f>IF(NFI_Expiration=1,IF($A25&lt;VLOOKUP(P$5,NFI,5,0),1,0)*Table_NFI[[#This Row],[Plastic Bucket]],Table_NFI[Plastic Bucket])</f>
        <v>9</v>
      </c>
      <c r="AH25" s="436">
        <f>IF(NFI_Expiration=1,IF($A25&lt;VLOOKUP(Q$5,NFI,5,0),1,0)*Table_NFI[[#This Row],[Plastic Mat]],Table_NFI[Plastic Mat])*IF(Table_NFI[[#This Row],[Distribution Date]]&gt;"2014-04-01",1,2.5)</f>
        <v>120</v>
      </c>
      <c r="AI25" s="436">
        <f>IF(NFI_Expiration=1,IF($A25&lt;VLOOKUP(R$5,NFI,5,0),1,0)*Table_NFI[[#This Row],[Winter Clothes Adult]],Table_NFI[Winter Clothes Adult])</f>
        <v>0</v>
      </c>
      <c r="AJ25" s="436">
        <f>IF(NFI_Expiration=1,IF($A25&lt;VLOOKUP(S$5,NFI,5,0),1,0)*Table_NFI[[#This Row],[Winter Clothes Children]],Table_NFI[Winter Clothes Children])</f>
        <v>0</v>
      </c>
      <c r="AK25" s="436">
        <f>IF(NFI_Expiration=1,IF($A25&lt;VLOOKUP(T$5,NFI,5,0),1,0)*Table_NFI[[#This Row],[Winter Items Other]],Table_NFI[Winter Items Other])</f>
        <v>0</v>
      </c>
      <c r="AL25" s="436">
        <f>IF(NFI_Expiration=1,IF($A25&lt;VLOOKUP(M$5,NFI,5,0),1,0)*Table_NFI[[#This Row],[Winter Blanket]],Table_NFI[[#This Row],[Winter Blanket]])</f>
        <v>0</v>
      </c>
      <c r="AM25" s="436">
        <f>IF(Table_NFI[[#This Row],[Winter Clothes Adult]]+Table_NFI[[#This Row],[Winter Clothes Children]]+Table_NFI[[#This Row],[Winter Items Other]]+Table_NFI[[#This Row],[Winter Blanket]]&gt;0,1,0)</f>
        <v>0</v>
      </c>
      <c r="AN25" s="439">
        <f>IF(NFI_Expiration=1,IF($A25&lt;VLOOKUP(V$5,NFI,5,0),1,0)*Table_NFI[[#This Row],[Jerry Can]],Table_NFI[Jerry Can])</f>
        <v>9</v>
      </c>
      <c r="AO25" s="771" t="str">
        <f>IFERROR(VLOOKUP(Table_NFI[[#This Row],[Camp Name]],CL,2,0),"")</f>
        <v>MMR001CMP070</v>
      </c>
      <c r="AP25" s="772">
        <f ca="1">IF(Table_NFI[[#This Row],[Pcode]]="","",IF(OFFSET(CampList[Opening Date],MATCH(Table_NFI[[#This Row],[Pcode]],CampList[CP_Pcode],0)-1,0,1,1)&gt;=NFI_Monitor_Date,1,0))</f>
        <v>0</v>
      </c>
      <c r="AQ25" s="781" t="str">
        <f>IFERROR(VLOOKUP(Table_NFI[[#This Row],[Camp Name]],CL,3,0),"")</f>
        <v>Open</v>
      </c>
      <c r="AR25" s="439" t="str">
        <f ca="1">IF(Table_NFI[[#This Row],[Pcode]]="","",OFFSET(CampList[Priority],MATCH(Table_NFI[[#This Row],[Pcode]],CampList[CP_Pcode],0)-1,0,1,1))</f>
        <v>P3</v>
      </c>
      <c r="AS25" s="438">
        <f>IFERROR(Table_NFI[[#This Row],[Kitchen Set]]/VLOOKUP(Table_NFI[[#This Row],[Camp Name]],CL,4,0),"")</f>
        <v>4.7872340425531915E-2</v>
      </c>
      <c r="AT25" s="769" t="s">
        <v>1099</v>
      </c>
      <c r="AU25" s="826"/>
    </row>
    <row r="26" spans="1:47" s="774" customFormat="1" x14ac:dyDescent="0.25">
      <c r="A26" s="451">
        <f t="shared" si="0"/>
        <v>7.0333333333333332</v>
      </c>
      <c r="B26" s="768">
        <v>42159</v>
      </c>
      <c r="C26" s="769" t="s">
        <v>454</v>
      </c>
      <c r="D26" s="769" t="s">
        <v>462</v>
      </c>
      <c r="E26" s="769" t="s">
        <v>380</v>
      </c>
      <c r="F26" s="769" t="s">
        <v>185</v>
      </c>
      <c r="G26" s="435" t="s">
        <v>209</v>
      </c>
      <c r="H26" s="436"/>
      <c r="I26" s="436"/>
      <c r="J26" s="436"/>
      <c r="K26" s="439"/>
      <c r="L26" s="437">
        <v>80</v>
      </c>
      <c r="M26" s="437"/>
      <c r="N26" s="437"/>
      <c r="O26" s="437"/>
      <c r="P26" s="439"/>
      <c r="Q26" s="439"/>
      <c r="R26" s="436"/>
      <c r="S26" s="436"/>
      <c r="T26" s="436"/>
      <c r="U26" s="439"/>
      <c r="V26" s="439"/>
      <c r="W26" s="436"/>
      <c r="X26" s="439"/>
      <c r="Y26" s="436">
        <f>IF(NFI_Expiration=1,IF($A26&lt;VLOOKUP(H$5,NFI,5,0),1,0)*Table_NFI[[#This Row],[Hygiene Kit]],Table_NFI[Hygiene Kit])</f>
        <v>0</v>
      </c>
      <c r="Z26" s="436">
        <f>IF(NFI_Expiration=1,IF($A26&lt;VLOOKUP(I$5,NFI,5,0),1,0)*Table_NFI[[#This Row],[NFI Core Kit]],Table_NFI[NFI Core Kit])</f>
        <v>0</v>
      </c>
      <c r="AA26" s="436">
        <f>IF(NFI_Expiration=1,IF($A26&lt;VLOOKUP(J$5,NFI,5,0),1,0)*Table_NFI[[#This Row],[Sanitary Kit]],Table_NFI[Sanitary Kit])</f>
        <v>0</v>
      </c>
      <c r="AB26" s="436">
        <f>IF(NFI_Expiration=1,IF($A26&lt;VLOOKUP(K$5,NFI,5,0),1,0)*Table_NFI[[#This Row],[Mosquito net]],Table_NFI[Mosquito net])</f>
        <v>0</v>
      </c>
      <c r="AC26" s="436">
        <f>IF(NFI_Expiration=1,IF($A26&lt;VLOOKUP(L$5,NFI,5,0),1,0)*Table_NFI[[#This Row],[Tarpaulin]],Table_NFI[[#This Row],[Tarpaulin]])</f>
        <v>80</v>
      </c>
      <c r="AD26" s="436">
        <f>IF(NFI_Expiration=1,IF($A26&lt;VLOOKUP(M$5,NFI,5,0),1,0)*Table_NFI[[#This Row],[Blanket]],Table_NFI[[#This Row],[Blanket]])</f>
        <v>0</v>
      </c>
      <c r="AE26" s="436">
        <f>IF(NFI_Expiration=1,IF($A26&lt;VLOOKUP(N$5,NFI,5,0),1,0)*Table_NFI[[#This Row],[Kitchen Set]],Table_NFI[Kitchen Set])</f>
        <v>0</v>
      </c>
      <c r="AF26" s="436">
        <f>IF(NFI_Expiration=1,IF($A26&lt;VLOOKUP(O$5,NFI,5,0),1,0)*Table_NFI[[#This Row],[Clothes Kit]],Table_NFI[Clothes Kit])</f>
        <v>0</v>
      </c>
      <c r="AG26" s="436">
        <f>IF(NFI_Expiration=1,IF($A26&lt;VLOOKUP(P$5,NFI,5,0),1,0)*Table_NFI[[#This Row],[Plastic Bucket]],Table_NFI[Plastic Bucket])</f>
        <v>0</v>
      </c>
      <c r="AH26" s="436">
        <f>IF(NFI_Expiration=1,IF($A26&lt;VLOOKUP(Q$5,NFI,5,0),1,0)*Table_NFI[[#This Row],[Plastic Mat]],Table_NFI[Plastic Mat])*IF(Table_NFI[[#This Row],[Distribution Date]]&gt;"2014-04-01",1,2.5)</f>
        <v>0</v>
      </c>
      <c r="AI26" s="436">
        <f>IF(NFI_Expiration=1,IF($A26&lt;VLOOKUP(R$5,NFI,5,0),1,0)*Table_NFI[[#This Row],[Winter Clothes Adult]],Table_NFI[Winter Clothes Adult])</f>
        <v>0</v>
      </c>
      <c r="AJ26" s="436">
        <f>IF(NFI_Expiration=1,IF($A26&lt;VLOOKUP(S$5,NFI,5,0),1,0)*Table_NFI[[#This Row],[Winter Clothes Children]],Table_NFI[Winter Clothes Children])</f>
        <v>0</v>
      </c>
      <c r="AK26" s="436">
        <f>IF(NFI_Expiration=1,IF($A26&lt;VLOOKUP(T$5,NFI,5,0),1,0)*Table_NFI[[#This Row],[Winter Items Other]],Table_NFI[Winter Items Other])</f>
        <v>0</v>
      </c>
      <c r="AL26" s="436">
        <f>IF(NFI_Expiration=1,IF($A26&lt;VLOOKUP(M$5,NFI,5,0),1,0)*Table_NFI[[#This Row],[Winter Blanket]],Table_NFI[[#This Row],[Winter Blanket]])</f>
        <v>0</v>
      </c>
      <c r="AM26" s="436">
        <f>IF(Table_NFI[[#This Row],[Winter Clothes Adult]]+Table_NFI[[#This Row],[Winter Clothes Children]]+Table_NFI[[#This Row],[Winter Items Other]]+Table_NFI[[#This Row],[Winter Blanket]]&gt;0,1,0)</f>
        <v>0</v>
      </c>
      <c r="AN26" s="439">
        <f>IF(NFI_Expiration=1,IF($A26&lt;VLOOKUP(V$5,NFI,5,0),1,0)*Table_NFI[[#This Row],[Jerry Can]],Table_NFI[Jerry Can])</f>
        <v>0</v>
      </c>
      <c r="AO26" s="771" t="str">
        <f>IFERROR(VLOOKUP(Table_NFI[[#This Row],[Camp Name]],CL,2,0),"")</f>
        <v>MMR001CMP056</v>
      </c>
      <c r="AP26" s="772">
        <f ca="1">IF(Table_NFI[[#This Row],[Pcode]]="","",IF(OFFSET(CampList[Opening Date],MATCH(Table_NFI[[#This Row],[Pcode]],CampList[CP_Pcode],0)-1,0,1,1)&gt;=NFI_Monitor_Date,1,0))</f>
        <v>0</v>
      </c>
      <c r="AQ26" s="781" t="str">
        <f>IFERROR(VLOOKUP(Table_NFI[[#This Row],[Camp Name]],CL,3,0),"")</f>
        <v>Open</v>
      </c>
      <c r="AR26" s="439" t="str">
        <f ca="1">IF(Table_NFI[[#This Row],[Pcode]]="","",OFFSET(CampList[Priority],MATCH(Table_NFI[[#This Row],[Pcode]],CampList[CP_Pcode],0)-1,0,1,1))</f>
        <v>P4</v>
      </c>
      <c r="AS26" s="438">
        <f>IFERROR(Table_NFI[[#This Row],[Kitchen Set]]/VLOOKUP(Table_NFI[[#This Row],[Camp Name]],CL,4,0),"")</f>
        <v>0</v>
      </c>
      <c r="AT26" s="769" t="s">
        <v>1099</v>
      </c>
      <c r="AU26" s="773"/>
    </row>
    <row r="27" spans="1:47" s="774" customFormat="1" x14ac:dyDescent="0.25">
      <c r="A27" s="451">
        <f t="shared" si="0"/>
        <v>7.0333333333333332</v>
      </c>
      <c r="B27" s="768">
        <v>42159</v>
      </c>
      <c r="C27" s="442" t="s">
        <v>454</v>
      </c>
      <c r="D27" s="442" t="s">
        <v>462</v>
      </c>
      <c r="E27" s="775"/>
      <c r="F27" s="435"/>
      <c r="G27" s="435" t="s">
        <v>1461</v>
      </c>
      <c r="H27" s="442"/>
      <c r="I27" s="442"/>
      <c r="J27" s="442"/>
      <c r="K27" s="775"/>
      <c r="L27" s="776">
        <v>37</v>
      </c>
      <c r="M27" s="443"/>
      <c r="N27" s="443"/>
      <c r="O27" s="443"/>
      <c r="P27" s="776"/>
      <c r="Q27" s="443"/>
      <c r="R27" s="442"/>
      <c r="S27" s="442"/>
      <c r="T27" s="442"/>
      <c r="U27" s="442"/>
      <c r="V27" s="442"/>
      <c r="W27" s="442"/>
      <c r="X27" s="442"/>
      <c r="Y27" s="436">
        <f>IF(NFI_Expiration=1,IF($A27&lt;VLOOKUP(H$5,NFI,5,0),1,0)*Table_NFI[[#This Row],[Hygiene Kit]],Table_NFI[Hygiene Kit])</f>
        <v>0</v>
      </c>
      <c r="Z27" s="436">
        <f>IF(NFI_Expiration=1,IF($A27&lt;VLOOKUP(I$5,NFI,5,0),1,0)*Table_NFI[[#This Row],[NFI Core Kit]],Table_NFI[NFI Core Kit])</f>
        <v>0</v>
      </c>
      <c r="AA27" s="436">
        <f>IF(NFI_Expiration=1,IF($A27&lt;VLOOKUP(J$5,NFI,5,0),1,0)*Table_NFI[[#This Row],[Sanitary Kit]],Table_NFI[Sanitary Kit])</f>
        <v>0</v>
      </c>
      <c r="AB27" s="436">
        <f>IF(NFI_Expiration=1,IF($A27&lt;VLOOKUP(K$5,NFI,5,0),1,0)*Table_NFI[[#This Row],[Mosquito net]],Table_NFI[Mosquito net])</f>
        <v>0</v>
      </c>
      <c r="AC27" s="436">
        <f>IF(NFI_Expiration=1,IF($A27&lt;VLOOKUP(L$5,NFI,5,0),1,0)*Table_NFI[[#This Row],[Tarpaulin]],Table_NFI[[#This Row],[Tarpaulin]])</f>
        <v>37</v>
      </c>
      <c r="AD27" s="436">
        <f>IF(NFI_Expiration=1,IF($A27&lt;VLOOKUP(M$5,NFI,5,0),1,0)*Table_NFI[[#This Row],[Blanket]],Table_NFI[[#This Row],[Blanket]])</f>
        <v>0</v>
      </c>
      <c r="AE27" s="436">
        <f>IF(NFI_Expiration=1,IF($A27&lt;VLOOKUP(N$5,NFI,5,0),1,0)*Table_NFI[[#This Row],[Kitchen Set]],Table_NFI[Kitchen Set])</f>
        <v>0</v>
      </c>
      <c r="AF27" s="436">
        <f>IF(NFI_Expiration=1,IF($A27&lt;VLOOKUP(O$5,NFI,5,0),1,0)*Table_NFI[[#This Row],[Clothes Kit]],Table_NFI[Clothes Kit])</f>
        <v>0</v>
      </c>
      <c r="AG27" s="436">
        <f>IF(NFI_Expiration=1,IF($A27&lt;VLOOKUP(P$5,NFI,5,0),1,0)*Table_NFI[[#This Row],[Plastic Bucket]],Table_NFI[Plastic Bucket])</f>
        <v>0</v>
      </c>
      <c r="AH27" s="436">
        <f>IF(NFI_Expiration=1,IF($A27&lt;VLOOKUP(Q$5,NFI,5,0),1,0)*Table_NFI[[#This Row],[Plastic Mat]],Table_NFI[Plastic Mat])*IF(Table_NFI[[#This Row],[Distribution Date]]&gt;"2014-04-01",1,2.5)</f>
        <v>0</v>
      </c>
      <c r="AI27" s="436">
        <f>IF(NFI_Expiration=1,IF($A27&lt;VLOOKUP(R$5,NFI,5,0),1,0)*Table_NFI[[#This Row],[Winter Clothes Adult]],Table_NFI[Winter Clothes Adult])</f>
        <v>0</v>
      </c>
      <c r="AJ27" s="436">
        <f>IF(NFI_Expiration=1,IF($A27&lt;VLOOKUP(S$5,NFI,5,0),1,0)*Table_NFI[[#This Row],[Winter Clothes Children]],Table_NFI[Winter Clothes Children])</f>
        <v>0</v>
      </c>
      <c r="AK27" s="436">
        <f>IF(NFI_Expiration=1,IF($A27&lt;VLOOKUP(T$5,NFI,5,0),1,0)*Table_NFI[[#This Row],[Winter Items Other]],Table_NFI[Winter Items Other])</f>
        <v>0</v>
      </c>
      <c r="AL27" s="436">
        <f>IF(NFI_Expiration=1,IF($A27&lt;VLOOKUP(M$5,NFI,5,0),1,0)*Table_NFI[[#This Row],[Winter Blanket]],Table_NFI[[#This Row],[Winter Blanket]])</f>
        <v>0</v>
      </c>
      <c r="AM27" s="436">
        <f>IF(Table_NFI[[#This Row],[Winter Clothes Adult]]+Table_NFI[[#This Row],[Winter Clothes Children]]+Table_NFI[[#This Row],[Winter Items Other]]+Table_NFI[[#This Row],[Winter Blanket]]&gt;0,1,0)</f>
        <v>0</v>
      </c>
      <c r="AN27" s="439">
        <f>IF(NFI_Expiration=1,IF($A27&lt;VLOOKUP(V$5,NFI,5,0),1,0)*Table_NFI[[#This Row],[Jerry Can]],Table_NFI[Jerry Can])</f>
        <v>0</v>
      </c>
      <c r="AO27" s="771" t="str">
        <f>IFERROR(VLOOKUP(Table_NFI[[#This Row],[Camp Name]],CL,2,0),"")</f>
        <v/>
      </c>
      <c r="AP27" s="772" t="str">
        <f ca="1">IF(Table_NFI[[#This Row],[Pcode]]="","",IF(OFFSET(CampList[Opening Date],MATCH(Table_NFI[[#This Row],[Pcode]],CampList[CP_Pcode],0)-1,0,1,1)&gt;=NFI_Monitor_Date,1,0))</f>
        <v/>
      </c>
      <c r="AQ27" s="781" t="str">
        <f>IFERROR(VLOOKUP(Table_NFI[[#This Row],[Camp Name]],CL,3,0),"")</f>
        <v/>
      </c>
      <c r="AR27" s="439" t="str">
        <f ca="1">IF(Table_NFI[[#This Row],[Pcode]]="","",OFFSET(CampList[Priority],MATCH(Table_NFI[[#This Row],[Pcode]],CampList[CP_Pcode],0)-1,0,1,1))</f>
        <v/>
      </c>
      <c r="AS27" s="438" t="str">
        <f>IFERROR(Table_NFI[[#This Row],[Kitchen Set]]/VLOOKUP(Table_NFI[[#This Row],[Camp Name]],CL,4,0),"")</f>
        <v/>
      </c>
      <c r="AT27" s="769" t="s">
        <v>1099</v>
      </c>
      <c r="AU27" s="773"/>
    </row>
    <row r="28" spans="1:47" s="136" customFormat="1" x14ac:dyDescent="0.25">
      <c r="A28" s="451">
        <f t="shared" si="0"/>
        <v>7.0333333333333332</v>
      </c>
      <c r="B28" s="768">
        <v>42159</v>
      </c>
      <c r="C28" s="769" t="s">
        <v>454</v>
      </c>
      <c r="D28" s="769" t="s">
        <v>462</v>
      </c>
      <c r="E28" s="769" t="s">
        <v>380</v>
      </c>
      <c r="F28" s="769" t="s">
        <v>185</v>
      </c>
      <c r="G28" s="769" t="s">
        <v>1466</v>
      </c>
      <c r="H28" s="436"/>
      <c r="I28" s="439"/>
      <c r="J28" s="436"/>
      <c r="K28" s="439">
        <v>18</v>
      </c>
      <c r="L28" s="437">
        <v>35</v>
      </c>
      <c r="M28" s="437"/>
      <c r="N28" s="437"/>
      <c r="O28" s="437"/>
      <c r="P28" s="439"/>
      <c r="Q28" s="439"/>
      <c r="R28" s="436"/>
      <c r="S28" s="436"/>
      <c r="T28" s="436"/>
      <c r="U28" s="436"/>
      <c r="V28" s="439"/>
      <c r="W28" s="439"/>
      <c r="X28" s="439">
        <v>8</v>
      </c>
      <c r="Y28" s="436">
        <f>IF(NFI_Expiration=1,IF($A28&lt;VLOOKUP(H$5,NFI,5,0),1,0)*Table_NFI[[#This Row],[Hygiene Kit]],Table_NFI[Hygiene Kit])</f>
        <v>0</v>
      </c>
      <c r="Z28" s="436">
        <f>IF(NFI_Expiration=1,IF($A28&lt;VLOOKUP(I$5,NFI,5,0),1,0)*Table_NFI[[#This Row],[NFI Core Kit]],Table_NFI[NFI Core Kit])</f>
        <v>0</v>
      </c>
      <c r="AA28" s="436">
        <f>IF(NFI_Expiration=1,IF($A28&lt;VLOOKUP(J$5,NFI,5,0),1,0)*Table_NFI[[#This Row],[Sanitary Kit]],Table_NFI[Sanitary Kit])</f>
        <v>0</v>
      </c>
      <c r="AB28" s="436">
        <f>IF(NFI_Expiration=1,IF($A28&lt;VLOOKUP(K$5,NFI,5,0),1,0)*Table_NFI[[#This Row],[Mosquito net]],Table_NFI[Mosquito net])</f>
        <v>18</v>
      </c>
      <c r="AC28" s="436">
        <f>IF(NFI_Expiration=1,IF($A28&lt;VLOOKUP(L$5,NFI,5,0),1,0)*Table_NFI[[#This Row],[Tarpaulin]],Table_NFI[[#This Row],[Tarpaulin]])</f>
        <v>35</v>
      </c>
      <c r="AD28" s="436">
        <f>IF(NFI_Expiration=1,IF($A28&lt;VLOOKUP(M$5,NFI,5,0),1,0)*Table_NFI[[#This Row],[Blanket]],Table_NFI[[#This Row],[Blanket]])</f>
        <v>0</v>
      </c>
      <c r="AE28" s="436">
        <f>IF(NFI_Expiration=1,IF($A28&lt;VLOOKUP(N$5,NFI,5,0),1,0)*Table_NFI[[#This Row],[Kitchen Set]],Table_NFI[Kitchen Set])</f>
        <v>0</v>
      </c>
      <c r="AF28" s="436">
        <f>IF(NFI_Expiration=1,IF($A28&lt;VLOOKUP(O$5,NFI,5,0),1,0)*Table_NFI[[#This Row],[Clothes Kit]],Table_NFI[Clothes Kit])</f>
        <v>0</v>
      </c>
      <c r="AG28" s="436">
        <f>IF(NFI_Expiration=1,IF($A28&lt;VLOOKUP(P$5,NFI,5,0),1,0)*Table_NFI[[#This Row],[Plastic Bucket]],Table_NFI[Plastic Bucket])</f>
        <v>0</v>
      </c>
      <c r="AH28" s="436">
        <f>IF(NFI_Expiration=1,IF($A28&lt;VLOOKUP(Q$5,NFI,5,0),1,0)*Table_NFI[[#This Row],[Plastic Mat]],Table_NFI[Plastic Mat])*IF(Table_NFI[[#This Row],[Distribution Date]]&gt;"2014-04-01",1,2.5)</f>
        <v>0</v>
      </c>
      <c r="AI28" s="436">
        <f>IF(NFI_Expiration=1,IF($A28&lt;VLOOKUP(R$5,NFI,5,0),1,0)*Table_NFI[[#This Row],[Winter Clothes Adult]],Table_NFI[Winter Clothes Adult])</f>
        <v>0</v>
      </c>
      <c r="AJ28" s="436">
        <f>IF(NFI_Expiration=1,IF($A28&lt;VLOOKUP(S$5,NFI,5,0),1,0)*Table_NFI[[#This Row],[Winter Clothes Children]],Table_NFI[Winter Clothes Children])</f>
        <v>0</v>
      </c>
      <c r="AK28" s="436">
        <f>IF(NFI_Expiration=1,IF($A28&lt;VLOOKUP(T$5,NFI,5,0),1,0)*Table_NFI[[#This Row],[Winter Items Other]],Table_NFI[Winter Items Other])</f>
        <v>0</v>
      </c>
      <c r="AL28" s="436">
        <f>IF(NFI_Expiration=1,IF($A28&lt;VLOOKUP(M$5,NFI,5,0),1,0)*Table_NFI[[#This Row],[Winter Blanket]],Table_NFI[[#This Row],[Winter Blanket]])</f>
        <v>0</v>
      </c>
      <c r="AM28" s="436">
        <f>IF(Table_NFI[[#This Row],[Winter Clothes Adult]]+Table_NFI[[#This Row],[Winter Clothes Children]]+Table_NFI[[#This Row],[Winter Items Other]]+Table_NFI[[#This Row],[Winter Blanket]]&gt;0,1,0)</f>
        <v>0</v>
      </c>
      <c r="AN28" s="439">
        <f>IF(NFI_Expiration=1,IF($A28&lt;VLOOKUP(V$5,NFI,5,0),1,0)*Table_NFI[[#This Row],[Jerry Can]],Table_NFI[Jerry Can])</f>
        <v>0</v>
      </c>
      <c r="AO28" s="771" t="str">
        <f>IFERROR(VLOOKUP(Table_NFI[[#This Row],[Camp Name]],CL,2,0),"")</f>
        <v/>
      </c>
      <c r="AP28" s="772" t="str">
        <f ca="1">IF(Table_NFI[[#This Row],[Pcode]]="","",IF(OFFSET(CampList[Opening Date],MATCH(Table_NFI[[#This Row],[Pcode]],CampList[CP_Pcode],0)-1,0,1,1)&gt;=NFI_Monitor_Date,1,0))</f>
        <v/>
      </c>
      <c r="AQ28" s="781" t="str">
        <f>IFERROR(VLOOKUP(Table_NFI[[#This Row],[Camp Name]],CL,3,0),"")</f>
        <v/>
      </c>
      <c r="AR28" s="439" t="str">
        <f ca="1">IF(Table_NFI[[#This Row],[Pcode]]="","",OFFSET(CampList[Priority],MATCH(Table_NFI[[#This Row],[Pcode]],CampList[CP_Pcode],0)-1,0,1,1))</f>
        <v/>
      </c>
      <c r="AS28" s="438" t="str">
        <f>IFERROR(Table_NFI[[#This Row],[Kitchen Set]]/VLOOKUP(Table_NFI[[#This Row],[Camp Name]],CL,4,0),"")</f>
        <v/>
      </c>
      <c r="AT28" s="769" t="s">
        <v>1099</v>
      </c>
      <c r="AU28" s="773"/>
    </row>
    <row r="29" spans="1:47" s="774" customFormat="1" x14ac:dyDescent="0.25">
      <c r="A29" s="451">
        <f t="shared" si="0"/>
        <v>7.0666666666666664</v>
      </c>
      <c r="B29" s="768">
        <v>42158</v>
      </c>
      <c r="C29" s="769" t="s">
        <v>454</v>
      </c>
      <c r="D29" s="769" t="s">
        <v>462</v>
      </c>
      <c r="E29" s="769" t="s">
        <v>380</v>
      </c>
      <c r="F29" s="769" t="s">
        <v>151</v>
      </c>
      <c r="G29" s="435" t="s">
        <v>1459</v>
      </c>
      <c r="H29" s="436"/>
      <c r="I29" s="436"/>
      <c r="J29" s="436"/>
      <c r="K29" s="436">
        <v>6</v>
      </c>
      <c r="L29" s="437">
        <v>12</v>
      </c>
      <c r="M29" s="437">
        <v>24</v>
      </c>
      <c r="N29" s="437">
        <v>3</v>
      </c>
      <c r="O29" s="437"/>
      <c r="P29" s="439">
        <v>3</v>
      </c>
      <c r="Q29" s="439">
        <v>9</v>
      </c>
      <c r="R29" s="436"/>
      <c r="S29" s="436"/>
      <c r="T29" s="436"/>
      <c r="U29" s="439"/>
      <c r="V29" s="439">
        <v>3</v>
      </c>
      <c r="W29" s="436"/>
      <c r="X29" s="436"/>
      <c r="Y29" s="436">
        <f>IF(NFI_Expiration=1,IF($A29&lt;VLOOKUP(H$5,NFI,5,0),1,0)*Table_NFI[[#This Row],[Hygiene Kit]],Table_NFI[Hygiene Kit])</f>
        <v>0</v>
      </c>
      <c r="Z29" s="436">
        <f>IF(NFI_Expiration=1,IF($A29&lt;VLOOKUP(I$5,NFI,5,0),1,0)*Table_NFI[[#This Row],[NFI Core Kit]],Table_NFI[NFI Core Kit])</f>
        <v>0</v>
      </c>
      <c r="AA29" s="436">
        <f>IF(NFI_Expiration=1,IF($A29&lt;VLOOKUP(J$5,NFI,5,0),1,0)*Table_NFI[[#This Row],[Sanitary Kit]],Table_NFI[Sanitary Kit])</f>
        <v>0</v>
      </c>
      <c r="AB29" s="436">
        <f>IF(NFI_Expiration=1,IF($A29&lt;VLOOKUP(K$5,NFI,5,0),1,0)*Table_NFI[[#This Row],[Mosquito net]],Table_NFI[Mosquito net])</f>
        <v>6</v>
      </c>
      <c r="AC29" s="436">
        <f>IF(NFI_Expiration=1,IF($A29&lt;VLOOKUP(L$5,NFI,5,0),1,0)*Table_NFI[[#This Row],[Tarpaulin]],Table_NFI[[#This Row],[Tarpaulin]])</f>
        <v>12</v>
      </c>
      <c r="AD29" s="436">
        <f>IF(NFI_Expiration=1,IF($A29&lt;VLOOKUP(M$5,NFI,5,0),1,0)*Table_NFI[[#This Row],[Blanket]],Table_NFI[[#This Row],[Blanket]])</f>
        <v>24</v>
      </c>
      <c r="AE29" s="436">
        <f>IF(NFI_Expiration=1,IF($A29&lt;VLOOKUP(N$5,NFI,5,0),1,0)*Table_NFI[[#This Row],[Kitchen Set]],Table_NFI[Kitchen Set])</f>
        <v>3</v>
      </c>
      <c r="AF29" s="436">
        <f>IF(NFI_Expiration=1,IF($A29&lt;VLOOKUP(O$5,NFI,5,0),1,0)*Table_NFI[[#This Row],[Clothes Kit]],Table_NFI[Clothes Kit])</f>
        <v>0</v>
      </c>
      <c r="AG29" s="436">
        <f>IF(NFI_Expiration=1,IF($A29&lt;VLOOKUP(P$5,NFI,5,0),1,0)*Table_NFI[[#This Row],[Plastic Bucket]],Table_NFI[Plastic Bucket])</f>
        <v>3</v>
      </c>
      <c r="AH29" s="436">
        <f>IF(NFI_Expiration=1,IF($A29&lt;VLOOKUP(Q$5,NFI,5,0),1,0)*Table_NFI[[#This Row],[Plastic Mat]],Table_NFI[Plastic Mat])*IF(Table_NFI[[#This Row],[Distribution Date]]&gt;"2014-04-01",1,2.5)</f>
        <v>22.5</v>
      </c>
      <c r="AI29" s="436">
        <f>IF(NFI_Expiration=1,IF($A29&lt;VLOOKUP(R$5,NFI,5,0),1,0)*Table_NFI[[#This Row],[Winter Clothes Adult]],Table_NFI[Winter Clothes Adult])</f>
        <v>0</v>
      </c>
      <c r="AJ29" s="436">
        <f>IF(NFI_Expiration=1,IF($A29&lt;VLOOKUP(S$5,NFI,5,0),1,0)*Table_NFI[[#This Row],[Winter Clothes Children]],Table_NFI[Winter Clothes Children])</f>
        <v>0</v>
      </c>
      <c r="AK29" s="436">
        <f>IF(NFI_Expiration=1,IF($A29&lt;VLOOKUP(T$5,NFI,5,0),1,0)*Table_NFI[[#This Row],[Winter Items Other]],Table_NFI[Winter Items Other])</f>
        <v>0</v>
      </c>
      <c r="AL29" s="436">
        <f>IF(NFI_Expiration=1,IF($A29&lt;VLOOKUP(M$5,NFI,5,0),1,0)*Table_NFI[[#This Row],[Winter Blanket]],Table_NFI[[#This Row],[Winter Blanket]])</f>
        <v>0</v>
      </c>
      <c r="AM29" s="436">
        <f>IF(Table_NFI[[#This Row],[Winter Clothes Adult]]+Table_NFI[[#This Row],[Winter Clothes Children]]+Table_NFI[[#This Row],[Winter Items Other]]+Table_NFI[[#This Row],[Winter Blanket]]&gt;0,1,0)</f>
        <v>0</v>
      </c>
      <c r="AN29" s="439">
        <f>IF(NFI_Expiration=1,IF($A29&lt;VLOOKUP(V$5,NFI,5,0),1,0)*Table_NFI[[#This Row],[Jerry Can]],Table_NFI[Jerry Can])</f>
        <v>3</v>
      </c>
      <c r="AO29" s="771" t="str">
        <f>IFERROR(VLOOKUP(Table_NFI[[#This Row],[Camp Name]],CL,2,0),"")</f>
        <v/>
      </c>
      <c r="AP29" s="772" t="str">
        <f ca="1">IF(Table_NFI[[#This Row],[Pcode]]="","",IF(OFFSET(CampList[Opening Date],MATCH(Table_NFI[[#This Row],[Pcode]],CampList[CP_Pcode],0)-1,0,1,1)&gt;=NFI_Monitor_Date,1,0))</f>
        <v/>
      </c>
      <c r="AQ29" s="781" t="str">
        <f>IFERROR(VLOOKUP(Table_NFI[[#This Row],[Camp Name]],CL,3,0),"")</f>
        <v/>
      </c>
      <c r="AR29" s="439" t="str">
        <f ca="1">IF(Table_NFI[[#This Row],[Pcode]]="","",OFFSET(CampList[Priority],MATCH(Table_NFI[[#This Row],[Pcode]],CampList[CP_Pcode],0)-1,0,1,1))</f>
        <v/>
      </c>
      <c r="AS29" s="438" t="str">
        <f>IFERROR(Table_NFI[[#This Row],[Kitchen Set]]/VLOOKUP(Table_NFI[[#This Row],[Camp Name]],CL,4,0),"")</f>
        <v/>
      </c>
      <c r="AT29" s="769" t="s">
        <v>1099</v>
      </c>
      <c r="AU29" s="773"/>
    </row>
    <row r="30" spans="1:47" s="774" customFormat="1" x14ac:dyDescent="0.25">
      <c r="A30" s="451">
        <f t="shared" si="0"/>
        <v>7.7666666666666666</v>
      </c>
      <c r="B30" s="768">
        <v>42137</v>
      </c>
      <c r="C30" s="769" t="s">
        <v>454</v>
      </c>
      <c r="D30" s="769" t="s">
        <v>1096</v>
      </c>
      <c r="E30" s="769" t="s">
        <v>380</v>
      </c>
      <c r="F30" s="769" t="s">
        <v>185</v>
      </c>
      <c r="G30" s="435" t="s">
        <v>202</v>
      </c>
      <c r="H30" s="436"/>
      <c r="I30" s="436"/>
      <c r="J30" s="436"/>
      <c r="K30" s="436"/>
      <c r="L30" s="437"/>
      <c r="M30" s="437">
        <v>28</v>
      </c>
      <c r="N30" s="437"/>
      <c r="O30" s="437"/>
      <c r="P30" s="439"/>
      <c r="Q30" s="439"/>
      <c r="R30" s="436"/>
      <c r="S30" s="436"/>
      <c r="T30" s="436"/>
      <c r="U30" s="439"/>
      <c r="V30" s="439"/>
      <c r="W30" s="436"/>
      <c r="X30" s="436"/>
      <c r="Y30" s="436">
        <f>IF(NFI_Expiration=1,IF($A30&lt;VLOOKUP(H$5,NFI,5,0),1,0)*Table_NFI[[#This Row],[Hygiene Kit]],Table_NFI[Hygiene Kit])</f>
        <v>0</v>
      </c>
      <c r="Z30" s="436">
        <f>IF(NFI_Expiration=1,IF($A30&lt;VLOOKUP(I$5,NFI,5,0),1,0)*Table_NFI[[#This Row],[NFI Core Kit]],Table_NFI[NFI Core Kit])</f>
        <v>0</v>
      </c>
      <c r="AA30" s="436">
        <f>IF(NFI_Expiration=1,IF($A30&lt;VLOOKUP(J$5,NFI,5,0),1,0)*Table_NFI[[#This Row],[Sanitary Kit]],Table_NFI[Sanitary Kit])</f>
        <v>0</v>
      </c>
      <c r="AB30" s="436">
        <f>IF(NFI_Expiration=1,IF($A30&lt;VLOOKUP(K$5,NFI,5,0),1,0)*Table_NFI[[#This Row],[Mosquito net]],Table_NFI[Mosquito net])</f>
        <v>0</v>
      </c>
      <c r="AC30" s="436">
        <f>IF(NFI_Expiration=1,IF($A30&lt;VLOOKUP(L$5,NFI,5,0),1,0)*Table_NFI[[#This Row],[Tarpaulin]],Table_NFI[[#This Row],[Tarpaulin]])</f>
        <v>0</v>
      </c>
      <c r="AD30" s="436">
        <f>IF(NFI_Expiration=1,IF($A30&lt;VLOOKUP(M$5,NFI,5,0),1,0)*Table_NFI[[#This Row],[Blanket]],Table_NFI[[#This Row],[Blanket]])</f>
        <v>28</v>
      </c>
      <c r="AE30" s="436">
        <f>IF(NFI_Expiration=1,IF($A30&lt;VLOOKUP(N$5,NFI,5,0),1,0)*Table_NFI[[#This Row],[Kitchen Set]],Table_NFI[Kitchen Set])</f>
        <v>0</v>
      </c>
      <c r="AF30" s="436">
        <f>IF(NFI_Expiration=1,IF($A30&lt;VLOOKUP(O$5,NFI,5,0),1,0)*Table_NFI[[#This Row],[Clothes Kit]],Table_NFI[Clothes Kit])</f>
        <v>0</v>
      </c>
      <c r="AG30" s="436">
        <f>IF(NFI_Expiration=1,IF($A30&lt;VLOOKUP(P$5,NFI,5,0),1,0)*Table_NFI[[#This Row],[Plastic Bucket]],Table_NFI[Plastic Bucket])</f>
        <v>0</v>
      </c>
      <c r="AH30" s="436">
        <f>IF(NFI_Expiration=1,IF($A30&lt;VLOOKUP(Q$5,NFI,5,0),1,0)*Table_NFI[[#This Row],[Plastic Mat]],Table_NFI[Plastic Mat])*IF(Table_NFI[[#This Row],[Distribution Date]]&gt;"2014-04-01",1,2.5)</f>
        <v>0</v>
      </c>
      <c r="AI30" s="436">
        <f>IF(NFI_Expiration=1,IF($A30&lt;VLOOKUP(R$5,NFI,5,0),1,0)*Table_NFI[[#This Row],[Winter Clothes Adult]],Table_NFI[Winter Clothes Adult])</f>
        <v>0</v>
      </c>
      <c r="AJ30" s="436">
        <f>IF(NFI_Expiration=1,IF($A30&lt;VLOOKUP(S$5,NFI,5,0),1,0)*Table_NFI[[#This Row],[Winter Clothes Children]],Table_NFI[Winter Clothes Children])</f>
        <v>0</v>
      </c>
      <c r="AK30" s="436">
        <f>IF(NFI_Expiration=1,IF($A30&lt;VLOOKUP(T$5,NFI,5,0),1,0)*Table_NFI[[#This Row],[Winter Items Other]],Table_NFI[Winter Items Other])</f>
        <v>0</v>
      </c>
      <c r="AL30" s="436">
        <f>IF(NFI_Expiration=1,IF($A30&lt;VLOOKUP(M$5,NFI,5,0),1,0)*Table_NFI[[#This Row],[Winter Blanket]],Table_NFI[[#This Row],[Winter Blanket]])</f>
        <v>0</v>
      </c>
      <c r="AM30" s="436">
        <f>IF(Table_NFI[[#This Row],[Winter Clothes Adult]]+Table_NFI[[#This Row],[Winter Clothes Children]]+Table_NFI[[#This Row],[Winter Items Other]]+Table_NFI[[#This Row],[Winter Blanket]]&gt;0,1,0)</f>
        <v>0</v>
      </c>
      <c r="AN30" s="439">
        <f>IF(NFI_Expiration=1,IF($A30&lt;VLOOKUP(V$5,NFI,5,0),1,0)*Table_NFI[[#This Row],[Jerry Can]],Table_NFI[Jerry Can])</f>
        <v>0</v>
      </c>
      <c r="AO30" s="771" t="str">
        <f>IFERROR(VLOOKUP(Table_NFI[[#This Row],[Camp Name]],CL,2,0),"")</f>
        <v>MMR001CMP062</v>
      </c>
      <c r="AP30" s="772">
        <f ca="1">IF(Table_NFI[[#This Row],[Pcode]]="","",IF(OFFSET(CampList[Opening Date],MATCH(Table_NFI[[#This Row],[Pcode]],CampList[CP_Pcode],0)-1,0,1,1)&gt;=NFI_Monitor_Date,1,0))</f>
        <v>0</v>
      </c>
      <c r="AQ30" s="781" t="str">
        <f>IFERROR(VLOOKUP(Table_NFI[[#This Row],[Camp Name]],CL,3,0),"")</f>
        <v>Open</v>
      </c>
      <c r="AR30" s="439" t="str">
        <f ca="1">IF(Table_NFI[[#This Row],[Pcode]]="","",OFFSET(CampList[Priority],MATCH(Table_NFI[[#This Row],[Pcode]],CampList[CP_Pcode],0)-1,0,1,1))</f>
        <v>P4</v>
      </c>
      <c r="AS30" s="438">
        <f>IFERROR(Table_NFI[[#This Row],[Kitchen Set]]/VLOOKUP(Table_NFI[[#This Row],[Camp Name]],CL,4,0),"")</f>
        <v>0</v>
      </c>
      <c r="AT30" s="769" t="s">
        <v>1099</v>
      </c>
      <c r="AU30" s="773"/>
    </row>
    <row r="31" spans="1:47" s="774" customFormat="1" ht="15" customHeight="1" x14ac:dyDescent="0.2">
      <c r="A31" s="451">
        <f t="shared" si="0"/>
        <v>8.4</v>
      </c>
      <c r="B31" s="768">
        <v>42118</v>
      </c>
      <c r="C31" s="769" t="s">
        <v>454</v>
      </c>
      <c r="D31" s="769" t="s">
        <v>462</v>
      </c>
      <c r="E31" s="769" t="s">
        <v>380</v>
      </c>
      <c r="F31" s="769" t="s">
        <v>185</v>
      </c>
      <c r="G31" s="769" t="s">
        <v>190</v>
      </c>
      <c r="H31" s="436"/>
      <c r="I31" s="439"/>
      <c r="J31" s="439"/>
      <c r="K31" s="439"/>
      <c r="L31" s="437"/>
      <c r="M31" s="437"/>
      <c r="N31" s="437"/>
      <c r="O31" s="437"/>
      <c r="P31" s="439">
        <v>9</v>
      </c>
      <c r="Q31" s="439"/>
      <c r="R31" s="439"/>
      <c r="S31" s="439"/>
      <c r="T31" s="439"/>
      <c r="U31" s="439"/>
      <c r="V31" s="439"/>
      <c r="W31" s="439"/>
      <c r="X31" s="439"/>
      <c r="Y31" s="436">
        <f>IF(NFI_Expiration=1,IF($A31&lt;VLOOKUP(H$5,NFI,5,0),1,0)*Table_NFI[[#This Row],[Hygiene Kit]],Table_NFI[Hygiene Kit])</f>
        <v>0</v>
      </c>
      <c r="Z31" s="436">
        <f>IF(NFI_Expiration=1,IF($A31&lt;VLOOKUP(I$5,NFI,5,0),1,0)*Table_NFI[[#This Row],[NFI Core Kit]],Table_NFI[NFI Core Kit])</f>
        <v>0</v>
      </c>
      <c r="AA31" s="436">
        <f>IF(NFI_Expiration=1,IF($A31&lt;VLOOKUP(J$5,NFI,5,0),1,0)*Table_NFI[[#This Row],[Sanitary Kit]],Table_NFI[Sanitary Kit])</f>
        <v>0</v>
      </c>
      <c r="AB31" s="436">
        <f>IF(NFI_Expiration=1,IF($A31&lt;VLOOKUP(K$5,NFI,5,0),1,0)*Table_NFI[[#This Row],[Mosquito net]],Table_NFI[Mosquito net])</f>
        <v>0</v>
      </c>
      <c r="AC31" s="436">
        <f>IF(NFI_Expiration=1,IF($A31&lt;VLOOKUP(L$5,NFI,5,0),1,0)*Table_NFI[[#This Row],[Tarpaulin]],Table_NFI[[#This Row],[Tarpaulin]])</f>
        <v>0</v>
      </c>
      <c r="AD31" s="436">
        <f>IF(NFI_Expiration=1,IF($A31&lt;VLOOKUP(M$5,NFI,5,0),1,0)*Table_NFI[[#This Row],[Blanket]],Table_NFI[[#This Row],[Blanket]])</f>
        <v>0</v>
      </c>
      <c r="AE31" s="436">
        <f>IF(NFI_Expiration=1,IF($A31&lt;VLOOKUP(N$5,NFI,5,0),1,0)*Table_NFI[[#This Row],[Kitchen Set]],Table_NFI[Kitchen Set])</f>
        <v>0</v>
      </c>
      <c r="AF31" s="436">
        <f>IF(NFI_Expiration=1,IF($A31&lt;VLOOKUP(O$5,NFI,5,0),1,0)*Table_NFI[[#This Row],[Clothes Kit]],Table_NFI[Clothes Kit])</f>
        <v>0</v>
      </c>
      <c r="AG31" s="436">
        <f>IF(NFI_Expiration=1,IF($A31&lt;VLOOKUP(P$5,NFI,5,0),1,0)*Table_NFI[[#This Row],[Plastic Bucket]],Table_NFI[Plastic Bucket])</f>
        <v>9</v>
      </c>
      <c r="AH31" s="436">
        <f>IF(NFI_Expiration=1,IF($A31&lt;VLOOKUP(Q$5,NFI,5,0),1,0)*Table_NFI[[#This Row],[Plastic Mat]],Table_NFI[Plastic Mat])*IF(Table_NFI[[#This Row],[Distribution Date]]&gt;"2014-04-01",1,2.5)</f>
        <v>0</v>
      </c>
      <c r="AI31" s="436">
        <f>IF(NFI_Expiration=1,IF($A31&lt;VLOOKUP(R$5,NFI,5,0),1,0)*Table_NFI[[#This Row],[Winter Clothes Adult]],Table_NFI[Winter Clothes Adult])</f>
        <v>0</v>
      </c>
      <c r="AJ31" s="436">
        <f>IF(NFI_Expiration=1,IF($A31&lt;VLOOKUP(S$5,NFI,5,0),1,0)*Table_NFI[[#This Row],[Winter Clothes Children]],Table_NFI[Winter Clothes Children])</f>
        <v>0</v>
      </c>
      <c r="AK31" s="436">
        <f>IF(NFI_Expiration=1,IF($A31&lt;VLOOKUP(T$5,NFI,5,0),1,0)*Table_NFI[[#This Row],[Winter Items Other]],Table_NFI[Winter Items Other])</f>
        <v>0</v>
      </c>
      <c r="AL31" s="436">
        <f>IF(NFI_Expiration=1,IF($A31&lt;VLOOKUP(M$5,NFI,5,0),1,0)*Table_NFI[[#This Row],[Winter Blanket]],Table_NFI[[#This Row],[Winter Blanket]])</f>
        <v>0</v>
      </c>
      <c r="AM31" s="436">
        <f>IF(Table_NFI[[#This Row],[Winter Clothes Adult]]+Table_NFI[[#This Row],[Winter Clothes Children]]+Table_NFI[[#This Row],[Winter Items Other]]+Table_NFI[[#This Row],[Winter Blanket]]&gt;0,1,0)</f>
        <v>0</v>
      </c>
      <c r="AN31" s="439">
        <f>IF(NFI_Expiration=1,IF($A31&lt;VLOOKUP(V$5,NFI,5,0),1,0)*Table_NFI[[#This Row],[Jerry Can]],Table_NFI[Jerry Can])</f>
        <v>0</v>
      </c>
      <c r="AO31" s="771" t="str">
        <f>IFERROR(VLOOKUP(Table_NFI[[#This Row],[Camp Name]],CL,2,0),"")</f>
        <v>MMR001CMP070</v>
      </c>
      <c r="AP31" s="772">
        <f ca="1">IF(Table_NFI[[#This Row],[Pcode]]="","",IF(OFFSET(CampList[Opening Date],MATCH(Table_NFI[[#This Row],[Pcode]],CampList[CP_Pcode],0)-1,0,1,1)&gt;=NFI_Monitor_Date,1,0))</f>
        <v>0</v>
      </c>
      <c r="AQ31" s="781" t="str">
        <f>IFERROR(VLOOKUP(Table_NFI[[#This Row],[Camp Name]],CL,3,0),"")</f>
        <v>Open</v>
      </c>
      <c r="AR31" s="439" t="str">
        <f ca="1">IF(Table_NFI[[#This Row],[Pcode]]="","",OFFSET(CampList[Priority],MATCH(Table_NFI[[#This Row],[Pcode]],CampList[CP_Pcode],0)-1,0,1,1))</f>
        <v>P3</v>
      </c>
      <c r="AS31" s="438">
        <f>IFERROR(Table_NFI[[#This Row],[Kitchen Set]]/VLOOKUP(Table_NFI[[#This Row],[Camp Name]],CL,4,0),"")</f>
        <v>0</v>
      </c>
      <c r="AT31" s="769" t="s">
        <v>1099</v>
      </c>
      <c r="AU31" s="826"/>
    </row>
    <row r="32" spans="1:47" s="774" customFormat="1" x14ac:dyDescent="0.25">
      <c r="A32" s="451">
        <f t="shared" si="0"/>
        <v>8.4</v>
      </c>
      <c r="B32" s="768">
        <v>42118</v>
      </c>
      <c r="C32" s="769" t="s">
        <v>454</v>
      </c>
      <c r="D32" s="769" t="s">
        <v>1467</v>
      </c>
      <c r="E32" s="769" t="s">
        <v>380</v>
      </c>
      <c r="F32" s="769" t="s">
        <v>185</v>
      </c>
      <c r="G32" s="769" t="s">
        <v>1468</v>
      </c>
      <c r="H32" s="436"/>
      <c r="I32" s="436"/>
      <c r="J32" s="439"/>
      <c r="K32" s="439">
        <v>36</v>
      </c>
      <c r="L32" s="437">
        <v>18</v>
      </c>
      <c r="M32" s="437">
        <v>90</v>
      </c>
      <c r="N32" s="437">
        <v>18</v>
      </c>
      <c r="O32" s="437"/>
      <c r="P32" s="439"/>
      <c r="Q32" s="439">
        <v>90</v>
      </c>
      <c r="R32" s="439"/>
      <c r="S32" s="439"/>
      <c r="T32" s="439"/>
      <c r="U32" s="439"/>
      <c r="V32" s="439">
        <v>18</v>
      </c>
      <c r="W32" s="439"/>
      <c r="X32" s="439"/>
      <c r="Y32" s="436">
        <f>IF(NFI_Expiration=1,IF($A32&lt;VLOOKUP(H$5,NFI,5,0),1,0)*Table_NFI[[#This Row],[Hygiene Kit]],Table_NFI[Hygiene Kit])</f>
        <v>0</v>
      </c>
      <c r="Z32" s="436">
        <f>IF(NFI_Expiration=1,IF($A32&lt;VLOOKUP(I$5,NFI,5,0),1,0)*Table_NFI[[#This Row],[NFI Core Kit]],Table_NFI[NFI Core Kit])</f>
        <v>0</v>
      </c>
      <c r="AA32" s="436">
        <f>IF(NFI_Expiration=1,IF($A32&lt;VLOOKUP(J$5,NFI,5,0),1,0)*Table_NFI[[#This Row],[Sanitary Kit]],Table_NFI[Sanitary Kit])</f>
        <v>0</v>
      </c>
      <c r="AB32" s="436">
        <f>IF(NFI_Expiration=1,IF($A32&lt;VLOOKUP(K$5,NFI,5,0),1,0)*Table_NFI[[#This Row],[Mosquito net]],Table_NFI[Mosquito net])</f>
        <v>36</v>
      </c>
      <c r="AC32" s="436">
        <f>IF(NFI_Expiration=1,IF($A32&lt;VLOOKUP(L$5,NFI,5,0),1,0)*Table_NFI[[#This Row],[Tarpaulin]],Table_NFI[[#This Row],[Tarpaulin]])</f>
        <v>18</v>
      </c>
      <c r="AD32" s="436">
        <f>IF(NFI_Expiration=1,IF($A32&lt;VLOOKUP(M$5,NFI,5,0),1,0)*Table_NFI[[#This Row],[Blanket]],Table_NFI[[#This Row],[Blanket]])</f>
        <v>90</v>
      </c>
      <c r="AE32" s="436">
        <f>IF(NFI_Expiration=1,IF($A32&lt;VLOOKUP(N$5,NFI,5,0),1,0)*Table_NFI[[#This Row],[Kitchen Set]],Table_NFI[Kitchen Set])</f>
        <v>18</v>
      </c>
      <c r="AF32" s="436">
        <f>IF(NFI_Expiration=1,IF($A32&lt;VLOOKUP(O$5,NFI,5,0),1,0)*Table_NFI[[#This Row],[Clothes Kit]],Table_NFI[Clothes Kit])</f>
        <v>0</v>
      </c>
      <c r="AG32" s="436">
        <f>IF(NFI_Expiration=1,IF($A32&lt;VLOOKUP(P$5,NFI,5,0),1,0)*Table_NFI[[#This Row],[Plastic Bucket]],Table_NFI[Plastic Bucket])</f>
        <v>0</v>
      </c>
      <c r="AH32" s="436">
        <f>IF(NFI_Expiration=1,IF($A32&lt;VLOOKUP(Q$5,NFI,5,0),1,0)*Table_NFI[[#This Row],[Plastic Mat]],Table_NFI[Plastic Mat])*IF(Table_NFI[[#This Row],[Distribution Date]]&gt;"2014-04-01",1,2.5)</f>
        <v>225</v>
      </c>
      <c r="AI32" s="436">
        <f>IF(NFI_Expiration=1,IF($A32&lt;VLOOKUP(R$5,NFI,5,0),1,0)*Table_NFI[[#This Row],[Winter Clothes Adult]],Table_NFI[Winter Clothes Adult])</f>
        <v>0</v>
      </c>
      <c r="AJ32" s="436">
        <f>IF(NFI_Expiration=1,IF($A32&lt;VLOOKUP(S$5,NFI,5,0),1,0)*Table_NFI[[#This Row],[Winter Clothes Children]],Table_NFI[Winter Clothes Children])</f>
        <v>0</v>
      </c>
      <c r="AK32" s="436">
        <f>IF(NFI_Expiration=1,IF($A32&lt;VLOOKUP(T$5,NFI,5,0),1,0)*Table_NFI[[#This Row],[Winter Items Other]],Table_NFI[Winter Items Other])</f>
        <v>0</v>
      </c>
      <c r="AL32" s="436">
        <f>IF(NFI_Expiration=1,IF($A32&lt;VLOOKUP(M$5,NFI,5,0),1,0)*Table_NFI[[#This Row],[Winter Blanket]],Table_NFI[[#This Row],[Winter Blanket]])</f>
        <v>0</v>
      </c>
      <c r="AM32" s="436">
        <f>IF(Table_NFI[[#This Row],[Winter Clothes Adult]]+Table_NFI[[#This Row],[Winter Clothes Children]]+Table_NFI[[#This Row],[Winter Items Other]]+Table_NFI[[#This Row],[Winter Blanket]]&gt;0,1,0)</f>
        <v>0</v>
      </c>
      <c r="AN32" s="439">
        <f>IF(NFI_Expiration=1,IF($A32&lt;VLOOKUP(V$5,NFI,5,0),1,0)*Table_NFI[[#This Row],[Jerry Can]],Table_NFI[Jerry Can])</f>
        <v>18</v>
      </c>
      <c r="AO32" s="771" t="str">
        <f>IFERROR(VLOOKUP(Table_NFI[[#This Row],[Camp Name]],CL,2,0),"")</f>
        <v/>
      </c>
      <c r="AP32" s="772" t="str">
        <f ca="1">IF(Table_NFI[[#This Row],[Pcode]]="","",IF(OFFSET(CampList[Opening Date],MATCH(Table_NFI[[#This Row],[Pcode]],CampList[CP_Pcode],0)-1,0,1,1)&gt;=NFI_Monitor_Date,1,0))</f>
        <v/>
      </c>
      <c r="AQ32" s="781" t="str">
        <f>IFERROR(VLOOKUP(Table_NFI[[#This Row],[Camp Name]],CL,3,0),"")</f>
        <v/>
      </c>
      <c r="AR32" s="439" t="str">
        <f ca="1">IF(Table_NFI[[#This Row],[Pcode]]="","",OFFSET(CampList[Priority],MATCH(Table_NFI[[#This Row],[Pcode]],CampList[CP_Pcode],0)-1,0,1,1))</f>
        <v/>
      </c>
      <c r="AS32" s="438" t="str">
        <f>IFERROR(Table_NFI[[#This Row],[Kitchen Set]]/VLOOKUP(Table_NFI[[#This Row],[Camp Name]],CL,4,0),"")</f>
        <v/>
      </c>
      <c r="AT32" s="769" t="s">
        <v>1099</v>
      </c>
      <c r="AU32" s="773"/>
    </row>
    <row r="33" spans="1:47" s="774" customFormat="1" x14ac:dyDescent="0.25">
      <c r="A33" s="451">
        <f t="shared" si="0"/>
        <v>8.6666666666666661</v>
      </c>
      <c r="B33" s="768">
        <v>42110</v>
      </c>
      <c r="C33" s="769" t="s">
        <v>454</v>
      </c>
      <c r="D33" s="769" t="s">
        <v>1282</v>
      </c>
      <c r="E33" s="769" t="s">
        <v>555</v>
      </c>
      <c r="F33" s="769" t="s">
        <v>146</v>
      </c>
      <c r="G33" s="769" t="s">
        <v>1473</v>
      </c>
      <c r="H33" s="436"/>
      <c r="I33" s="436"/>
      <c r="J33" s="439"/>
      <c r="K33" s="439"/>
      <c r="L33" s="437"/>
      <c r="M33" s="437"/>
      <c r="N33" s="437"/>
      <c r="O33" s="437"/>
      <c r="P33" s="439"/>
      <c r="Q33" s="439">
        <v>69</v>
      </c>
      <c r="R33" s="439"/>
      <c r="S33" s="439"/>
      <c r="T33" s="439"/>
      <c r="U33" s="439"/>
      <c r="V33" s="439"/>
      <c r="W33" s="439"/>
      <c r="X33" s="439"/>
      <c r="Y33" s="436">
        <f>IF(NFI_Expiration=1,IF($A33&lt;VLOOKUP(H$5,NFI,5,0),1,0)*Table_NFI[[#This Row],[Hygiene Kit]],Table_NFI[Hygiene Kit])</f>
        <v>0</v>
      </c>
      <c r="Z33" s="436">
        <f>IF(NFI_Expiration=1,IF($A33&lt;VLOOKUP(I$5,NFI,5,0),1,0)*Table_NFI[[#This Row],[NFI Core Kit]],Table_NFI[NFI Core Kit])</f>
        <v>0</v>
      </c>
      <c r="AA33" s="436">
        <f>IF(NFI_Expiration=1,IF($A33&lt;VLOOKUP(J$5,NFI,5,0),1,0)*Table_NFI[[#This Row],[Sanitary Kit]],Table_NFI[Sanitary Kit])</f>
        <v>0</v>
      </c>
      <c r="AB33" s="436">
        <f>IF(NFI_Expiration=1,IF($A33&lt;VLOOKUP(K$5,NFI,5,0),1,0)*Table_NFI[[#This Row],[Mosquito net]],Table_NFI[Mosquito net])</f>
        <v>0</v>
      </c>
      <c r="AC33" s="436">
        <f>IF(NFI_Expiration=1,IF($A33&lt;VLOOKUP(L$5,NFI,5,0),1,0)*Table_NFI[[#This Row],[Tarpaulin]],Table_NFI[[#This Row],[Tarpaulin]])</f>
        <v>0</v>
      </c>
      <c r="AD33" s="436">
        <f>IF(NFI_Expiration=1,IF($A33&lt;VLOOKUP(M$5,NFI,5,0),1,0)*Table_NFI[[#This Row],[Blanket]],Table_NFI[[#This Row],[Blanket]])</f>
        <v>0</v>
      </c>
      <c r="AE33" s="436">
        <f>IF(NFI_Expiration=1,IF($A33&lt;VLOOKUP(N$5,NFI,5,0),1,0)*Table_NFI[[#This Row],[Kitchen Set]],Table_NFI[Kitchen Set])</f>
        <v>0</v>
      </c>
      <c r="AF33" s="436">
        <f>IF(NFI_Expiration=1,IF($A33&lt;VLOOKUP(O$5,NFI,5,0),1,0)*Table_NFI[[#This Row],[Clothes Kit]],Table_NFI[Clothes Kit])</f>
        <v>0</v>
      </c>
      <c r="AG33" s="436">
        <f>IF(NFI_Expiration=1,IF($A33&lt;VLOOKUP(P$5,NFI,5,0),1,0)*Table_NFI[[#This Row],[Plastic Bucket]],Table_NFI[Plastic Bucket])</f>
        <v>0</v>
      </c>
      <c r="AH33" s="436">
        <f>IF(NFI_Expiration=1,IF($A33&lt;VLOOKUP(Q$5,NFI,5,0),1,0)*Table_NFI[[#This Row],[Plastic Mat]],Table_NFI[Plastic Mat])*IF(Table_NFI[[#This Row],[Distribution Date]]&gt;"2014-04-01",1,2.5)</f>
        <v>172.5</v>
      </c>
      <c r="AI33" s="436">
        <f>IF(NFI_Expiration=1,IF($A33&lt;VLOOKUP(R$5,NFI,5,0),1,0)*Table_NFI[[#This Row],[Winter Clothes Adult]],Table_NFI[Winter Clothes Adult])</f>
        <v>0</v>
      </c>
      <c r="AJ33" s="436">
        <f>IF(NFI_Expiration=1,IF($A33&lt;VLOOKUP(S$5,NFI,5,0),1,0)*Table_NFI[[#This Row],[Winter Clothes Children]],Table_NFI[Winter Clothes Children])</f>
        <v>0</v>
      </c>
      <c r="AK33" s="436">
        <f>IF(NFI_Expiration=1,IF($A33&lt;VLOOKUP(T$5,NFI,5,0),1,0)*Table_NFI[[#This Row],[Winter Items Other]],Table_NFI[Winter Items Other])</f>
        <v>0</v>
      </c>
      <c r="AL33" s="436">
        <f>IF(NFI_Expiration=1,IF($A33&lt;VLOOKUP(M$5,NFI,5,0),1,0)*Table_NFI[[#This Row],[Winter Blanket]],Table_NFI[[#This Row],[Winter Blanket]])</f>
        <v>0</v>
      </c>
      <c r="AM33" s="436">
        <f>IF(Table_NFI[[#This Row],[Winter Clothes Adult]]+Table_NFI[[#This Row],[Winter Clothes Children]]+Table_NFI[[#This Row],[Winter Items Other]]+Table_NFI[[#This Row],[Winter Blanket]]&gt;0,1,0)</f>
        <v>0</v>
      </c>
      <c r="AN33" s="439">
        <f>IF(NFI_Expiration=1,IF($A33&lt;VLOOKUP(V$5,NFI,5,0),1,0)*Table_NFI[[#This Row],[Jerry Can]],Table_NFI[Jerry Can])</f>
        <v>0</v>
      </c>
      <c r="AO33" s="771" t="str">
        <f>IFERROR(VLOOKUP(Table_NFI[[#This Row],[Camp Name]],CL,2,0),"")</f>
        <v/>
      </c>
      <c r="AP33" s="772" t="str">
        <f ca="1">IF(Table_NFI[[#This Row],[Pcode]]="","",IF(OFFSET(CampList[Opening Date],MATCH(Table_NFI[[#This Row],[Pcode]],CampList[CP_Pcode],0)-1,0,1,1)&gt;=NFI_Monitor_Date,1,0))</f>
        <v/>
      </c>
      <c r="AQ33" s="781" t="str">
        <f>IFERROR(VLOOKUP(Table_NFI[[#This Row],[Camp Name]],CL,3,0),"")</f>
        <v/>
      </c>
      <c r="AR33" s="439" t="str">
        <f ca="1">IF(Table_NFI[[#This Row],[Pcode]]="","",OFFSET(CampList[Priority],MATCH(Table_NFI[[#This Row],[Pcode]],CampList[CP_Pcode],0)-1,0,1,1))</f>
        <v/>
      </c>
      <c r="AS33" s="438" t="str">
        <f>IFERROR(Table_NFI[[#This Row],[Kitchen Set]]/VLOOKUP(Table_NFI[[#This Row],[Camp Name]],CL,4,0),"")</f>
        <v/>
      </c>
      <c r="AT33" s="769" t="s">
        <v>1099</v>
      </c>
      <c r="AU33" s="773"/>
    </row>
    <row r="34" spans="1:47" s="774" customFormat="1" ht="15" customHeight="1" x14ac:dyDescent="0.2">
      <c r="A34" s="451">
        <f t="shared" si="0"/>
        <v>8.9333333333333336</v>
      </c>
      <c r="B34" s="768">
        <v>42102</v>
      </c>
      <c r="C34" s="769" t="s">
        <v>454</v>
      </c>
      <c r="D34" s="769" t="s">
        <v>462</v>
      </c>
      <c r="E34" s="769" t="s">
        <v>380</v>
      </c>
      <c r="F34" s="769" t="s">
        <v>151</v>
      </c>
      <c r="G34" s="769" t="s">
        <v>1459</v>
      </c>
      <c r="H34" s="436"/>
      <c r="I34" s="439"/>
      <c r="J34" s="439"/>
      <c r="K34" s="439">
        <v>8</v>
      </c>
      <c r="L34" s="437">
        <v>4</v>
      </c>
      <c r="M34" s="437"/>
      <c r="N34" s="437">
        <v>4</v>
      </c>
      <c r="O34" s="437"/>
      <c r="P34" s="439">
        <v>4</v>
      </c>
      <c r="Q34" s="439"/>
      <c r="R34" s="439"/>
      <c r="S34" s="439"/>
      <c r="T34" s="439"/>
      <c r="U34" s="439"/>
      <c r="V34" s="439"/>
      <c r="W34" s="439"/>
      <c r="X34" s="439"/>
      <c r="Y34" s="436">
        <f>IF(NFI_Expiration=1,IF($A34&lt;VLOOKUP(H$5,NFI,5,0),1,0)*Table_NFI[[#This Row],[Hygiene Kit]],Table_NFI[Hygiene Kit])</f>
        <v>0</v>
      </c>
      <c r="Z34" s="436">
        <f>IF(NFI_Expiration=1,IF($A34&lt;VLOOKUP(I$5,NFI,5,0),1,0)*Table_NFI[[#This Row],[NFI Core Kit]],Table_NFI[NFI Core Kit])</f>
        <v>0</v>
      </c>
      <c r="AA34" s="436">
        <f>IF(NFI_Expiration=1,IF($A34&lt;VLOOKUP(J$5,NFI,5,0),1,0)*Table_NFI[[#This Row],[Sanitary Kit]],Table_NFI[Sanitary Kit])</f>
        <v>0</v>
      </c>
      <c r="AB34" s="436">
        <f>IF(NFI_Expiration=1,IF($A34&lt;VLOOKUP(K$5,NFI,5,0),1,0)*Table_NFI[[#This Row],[Mosquito net]],Table_NFI[Mosquito net])</f>
        <v>8</v>
      </c>
      <c r="AC34" s="436">
        <f>IF(NFI_Expiration=1,IF($A34&lt;VLOOKUP(L$5,NFI,5,0),1,0)*Table_NFI[[#This Row],[Tarpaulin]],Table_NFI[[#This Row],[Tarpaulin]])</f>
        <v>4</v>
      </c>
      <c r="AD34" s="436">
        <f>IF(NFI_Expiration=1,IF($A34&lt;VLOOKUP(M$5,NFI,5,0),1,0)*Table_NFI[[#This Row],[Blanket]],Table_NFI[[#This Row],[Blanket]])</f>
        <v>0</v>
      </c>
      <c r="AE34" s="436">
        <f>IF(NFI_Expiration=1,IF($A34&lt;VLOOKUP(N$5,NFI,5,0),1,0)*Table_NFI[[#This Row],[Kitchen Set]],Table_NFI[Kitchen Set])</f>
        <v>4</v>
      </c>
      <c r="AF34" s="436">
        <f>IF(NFI_Expiration=1,IF($A34&lt;VLOOKUP(O$5,NFI,5,0),1,0)*Table_NFI[[#This Row],[Clothes Kit]],Table_NFI[Clothes Kit])</f>
        <v>0</v>
      </c>
      <c r="AG34" s="436">
        <f>IF(NFI_Expiration=1,IF($A34&lt;VLOOKUP(P$5,NFI,5,0),1,0)*Table_NFI[[#This Row],[Plastic Bucket]],Table_NFI[Plastic Bucket])</f>
        <v>4</v>
      </c>
      <c r="AH34" s="436">
        <f>IF(NFI_Expiration=1,IF($A34&lt;VLOOKUP(Q$5,NFI,5,0),1,0)*Table_NFI[[#This Row],[Plastic Mat]],Table_NFI[Plastic Mat])*IF(Table_NFI[[#This Row],[Distribution Date]]&gt;"2014-04-01",1,2.5)</f>
        <v>0</v>
      </c>
      <c r="AI34" s="436">
        <f>IF(NFI_Expiration=1,IF($A34&lt;VLOOKUP(R$5,NFI,5,0),1,0)*Table_NFI[[#This Row],[Winter Clothes Adult]],Table_NFI[Winter Clothes Adult])</f>
        <v>0</v>
      </c>
      <c r="AJ34" s="436">
        <f>IF(NFI_Expiration=1,IF($A34&lt;VLOOKUP(S$5,NFI,5,0),1,0)*Table_NFI[[#This Row],[Winter Clothes Children]],Table_NFI[Winter Clothes Children])</f>
        <v>0</v>
      </c>
      <c r="AK34" s="436">
        <f>IF(NFI_Expiration=1,IF($A34&lt;VLOOKUP(T$5,NFI,5,0),1,0)*Table_NFI[[#This Row],[Winter Items Other]],Table_NFI[Winter Items Other])</f>
        <v>0</v>
      </c>
      <c r="AL34" s="436">
        <f>IF(NFI_Expiration=1,IF($A34&lt;VLOOKUP(M$5,NFI,5,0),1,0)*Table_NFI[[#This Row],[Winter Blanket]],Table_NFI[[#This Row],[Winter Blanket]])</f>
        <v>0</v>
      </c>
      <c r="AM34" s="436">
        <f>IF(Table_NFI[[#This Row],[Winter Clothes Adult]]+Table_NFI[[#This Row],[Winter Clothes Children]]+Table_NFI[[#This Row],[Winter Items Other]]+Table_NFI[[#This Row],[Winter Blanket]]&gt;0,1,0)</f>
        <v>0</v>
      </c>
      <c r="AN34" s="439">
        <f>IF(NFI_Expiration=1,IF($A34&lt;VLOOKUP(V$5,NFI,5,0),1,0)*Table_NFI[[#This Row],[Jerry Can]],Table_NFI[Jerry Can])</f>
        <v>0</v>
      </c>
      <c r="AO34" s="771" t="str">
        <f>IFERROR(VLOOKUP(Table_NFI[[#This Row],[Camp Name]],CL,2,0),"")</f>
        <v/>
      </c>
      <c r="AP34" s="772" t="str">
        <f ca="1">IF(Table_NFI[[#This Row],[Pcode]]="","",IF(OFFSET(CampList[Opening Date],MATCH(Table_NFI[[#This Row],[Pcode]],CampList[CP_Pcode],0)-1,0,1,1)&gt;=NFI_Monitor_Date,1,0))</f>
        <v/>
      </c>
      <c r="AQ34" s="781" t="str">
        <f>IFERROR(VLOOKUP(Table_NFI[[#This Row],[Camp Name]],CL,3,0),"")</f>
        <v/>
      </c>
      <c r="AR34" s="439" t="str">
        <f ca="1">IF(Table_NFI[[#This Row],[Pcode]]="","",OFFSET(CampList[Priority],MATCH(Table_NFI[[#This Row],[Pcode]],CampList[CP_Pcode],0)-1,0,1,1))</f>
        <v/>
      </c>
      <c r="AS34" s="438" t="str">
        <f>IFERROR(Table_NFI[[#This Row],[Kitchen Set]]/VLOOKUP(Table_NFI[[#This Row],[Camp Name]],CL,4,0),"")</f>
        <v/>
      </c>
      <c r="AT34" s="769" t="s">
        <v>1099</v>
      </c>
      <c r="AU34" s="826"/>
    </row>
    <row r="35" spans="1:47" s="774" customFormat="1" x14ac:dyDescent="0.25">
      <c r="A35" s="451">
        <f t="shared" si="0"/>
        <v>9.1</v>
      </c>
      <c r="B35" s="768">
        <v>42097</v>
      </c>
      <c r="C35" s="769" t="s">
        <v>454</v>
      </c>
      <c r="D35" s="769" t="s">
        <v>507</v>
      </c>
      <c r="E35" s="769" t="s">
        <v>380</v>
      </c>
      <c r="F35" s="769" t="s">
        <v>185</v>
      </c>
      <c r="G35" s="769" t="s">
        <v>207</v>
      </c>
      <c r="H35" s="436"/>
      <c r="I35" s="436"/>
      <c r="J35" s="436"/>
      <c r="K35" s="439"/>
      <c r="L35" s="437"/>
      <c r="M35" s="437"/>
      <c r="N35" s="437"/>
      <c r="O35" s="437"/>
      <c r="P35" s="439"/>
      <c r="Q35" s="439"/>
      <c r="R35" s="436"/>
      <c r="S35" s="436"/>
      <c r="T35" s="436"/>
      <c r="U35" s="436"/>
      <c r="V35" s="439"/>
      <c r="W35" s="436"/>
      <c r="X35" s="436"/>
      <c r="Y35" s="436">
        <f>IF(NFI_Expiration=1,IF($A35&lt;VLOOKUP(H$5,NFI,5,0),1,0)*Table_NFI[[#This Row],[Hygiene Kit]],Table_NFI[Hygiene Kit])</f>
        <v>0</v>
      </c>
      <c r="Z35" s="436">
        <f>IF(NFI_Expiration=1,IF($A35&lt;VLOOKUP(I$5,NFI,5,0),1,0)*Table_NFI[[#This Row],[NFI Core Kit]],Table_NFI[NFI Core Kit])</f>
        <v>0</v>
      </c>
      <c r="AA35" s="436">
        <f>IF(NFI_Expiration=1,IF($A35&lt;VLOOKUP(J$5,NFI,5,0),1,0)*Table_NFI[[#This Row],[Sanitary Kit]],Table_NFI[Sanitary Kit])</f>
        <v>0</v>
      </c>
      <c r="AB35" s="436">
        <f>IF(NFI_Expiration=1,IF($A35&lt;VLOOKUP(K$5,NFI,5,0),1,0)*Table_NFI[[#This Row],[Mosquito net]],Table_NFI[Mosquito net])</f>
        <v>0</v>
      </c>
      <c r="AC35" s="436">
        <f>IF(NFI_Expiration=1,IF($A35&lt;VLOOKUP(L$5,NFI,5,0),1,0)*Table_NFI[[#This Row],[Tarpaulin]],Table_NFI[[#This Row],[Tarpaulin]])</f>
        <v>0</v>
      </c>
      <c r="AD35" s="436">
        <f>IF(NFI_Expiration=1,IF($A35&lt;VLOOKUP(M$5,NFI,5,0),1,0)*Table_NFI[[#This Row],[Blanket]],Table_NFI[[#This Row],[Blanket]])</f>
        <v>0</v>
      </c>
      <c r="AE35" s="436">
        <f>IF(NFI_Expiration=1,IF($A35&lt;VLOOKUP(N$5,NFI,5,0),1,0)*Table_NFI[[#This Row],[Kitchen Set]],Table_NFI[Kitchen Set])</f>
        <v>0</v>
      </c>
      <c r="AF35" s="436">
        <f>IF(NFI_Expiration=1,IF($A35&lt;VLOOKUP(O$5,NFI,5,0),1,0)*Table_NFI[[#This Row],[Clothes Kit]],Table_NFI[Clothes Kit])</f>
        <v>0</v>
      </c>
      <c r="AG35" s="436">
        <f>IF(NFI_Expiration=1,IF($A35&lt;VLOOKUP(P$5,NFI,5,0),1,0)*Table_NFI[[#This Row],[Plastic Bucket]],Table_NFI[Plastic Bucket])</f>
        <v>0</v>
      </c>
      <c r="AH35" s="436">
        <f>IF(NFI_Expiration=1,IF($A35&lt;VLOOKUP(Q$5,NFI,5,0),1,0)*Table_NFI[[#This Row],[Plastic Mat]],Table_NFI[Plastic Mat])*IF(Table_NFI[[#This Row],[Distribution Date]]&gt;"2014-04-01",1,2.5)</f>
        <v>0</v>
      </c>
      <c r="AI35" s="436">
        <f>IF(NFI_Expiration=1,IF($A35&lt;VLOOKUP(R$5,NFI,5,0),1,0)*Table_NFI[[#This Row],[Winter Clothes Adult]],Table_NFI[Winter Clothes Adult])</f>
        <v>0</v>
      </c>
      <c r="AJ35" s="436">
        <f>IF(NFI_Expiration=1,IF($A35&lt;VLOOKUP(S$5,NFI,5,0),1,0)*Table_NFI[[#This Row],[Winter Clothes Children]],Table_NFI[Winter Clothes Children])</f>
        <v>0</v>
      </c>
      <c r="AK35" s="436">
        <f>IF(NFI_Expiration=1,IF($A35&lt;VLOOKUP(T$5,NFI,5,0),1,0)*Table_NFI[[#This Row],[Winter Items Other]],Table_NFI[Winter Items Other])</f>
        <v>0</v>
      </c>
      <c r="AL35" s="436">
        <f>IF(NFI_Expiration=1,IF($A35&lt;VLOOKUP(M$5,NFI,5,0),1,0)*Table_NFI[[#This Row],[Winter Blanket]],Table_NFI[[#This Row],[Winter Blanket]])</f>
        <v>0</v>
      </c>
      <c r="AM35" s="436">
        <f>IF(Table_NFI[[#This Row],[Winter Clothes Adult]]+Table_NFI[[#This Row],[Winter Clothes Children]]+Table_NFI[[#This Row],[Winter Items Other]]+Table_NFI[[#This Row],[Winter Blanket]]&gt;0,1,0)</f>
        <v>0</v>
      </c>
      <c r="AN35" s="439">
        <f>IF(NFI_Expiration=1,IF($A35&lt;VLOOKUP(V$5,NFI,5,0),1,0)*Table_NFI[[#This Row],[Jerry Can]],Table_NFI[Jerry Can])</f>
        <v>0</v>
      </c>
      <c r="AO35" s="771" t="str">
        <f>IFERROR(VLOOKUP(Table_NFI[[#This Row],[Camp Name]],CL,2,0),"")</f>
        <v>MMR001CMP058</v>
      </c>
      <c r="AP35" s="772">
        <f ca="1">IF(Table_NFI[[#This Row],[Pcode]]="","",IF(OFFSET(CampList[Opening Date],MATCH(Table_NFI[[#This Row],[Pcode]],CampList[CP_Pcode],0)-1,0,1,1)&gt;=NFI_Monitor_Date,1,0))</f>
        <v>0</v>
      </c>
      <c r="AQ35" s="781" t="str">
        <f>IFERROR(VLOOKUP(Table_NFI[[#This Row],[Camp Name]],CL,3,0),"")</f>
        <v>Closed</v>
      </c>
      <c r="AR35" s="439" t="str">
        <f ca="1">IF(Table_NFI[[#This Row],[Pcode]]="","",OFFSET(CampList[Priority],MATCH(Table_NFI[[#This Row],[Pcode]],CampList[CP_Pcode],0)-1,0,1,1))</f>
        <v>P4</v>
      </c>
      <c r="AS35" s="438" t="str">
        <f>IFERROR(Table_NFI[[#This Row],[Kitchen Set]]/VLOOKUP(Table_NFI[[#This Row],[Camp Name]],CL,4,0),"")</f>
        <v/>
      </c>
      <c r="AT35" s="769" t="s">
        <v>1099</v>
      </c>
      <c r="AU35" s="773"/>
    </row>
    <row r="36" spans="1:47" s="774" customFormat="1" x14ac:dyDescent="0.25">
      <c r="A36" s="451">
        <f t="shared" si="0"/>
        <v>9.1</v>
      </c>
      <c r="B36" s="768">
        <v>42097</v>
      </c>
      <c r="C36" s="769" t="s">
        <v>454</v>
      </c>
      <c r="D36" s="769" t="s">
        <v>454</v>
      </c>
      <c r="E36" s="769" t="s">
        <v>380</v>
      </c>
      <c r="F36" s="769" t="s">
        <v>185</v>
      </c>
      <c r="G36" s="769" t="s">
        <v>215</v>
      </c>
      <c r="H36" s="436"/>
      <c r="I36" s="439"/>
      <c r="J36" s="439"/>
      <c r="K36" s="439"/>
      <c r="L36" s="437"/>
      <c r="M36" s="437"/>
      <c r="N36" s="437"/>
      <c r="O36" s="437"/>
      <c r="P36" s="439"/>
      <c r="Q36" s="439"/>
      <c r="R36" s="436"/>
      <c r="S36" s="436"/>
      <c r="T36" s="436"/>
      <c r="U36" s="439"/>
      <c r="V36" s="439">
        <v>405</v>
      </c>
      <c r="W36" s="436"/>
      <c r="X36" s="439"/>
      <c r="Y36" s="436">
        <f>IF(NFI_Expiration=1,IF($A36&lt;VLOOKUP(H$5,NFI,5,0),1,0)*Table_NFI[[#This Row],[Hygiene Kit]],Table_NFI[Hygiene Kit])</f>
        <v>0</v>
      </c>
      <c r="Z36" s="436">
        <f>IF(NFI_Expiration=1,IF($A36&lt;VLOOKUP(I$5,NFI,5,0),1,0)*Table_NFI[[#This Row],[NFI Core Kit]],Table_NFI[NFI Core Kit])</f>
        <v>0</v>
      </c>
      <c r="AA36" s="436">
        <f>IF(NFI_Expiration=1,IF($A36&lt;VLOOKUP(J$5,NFI,5,0),1,0)*Table_NFI[[#This Row],[Sanitary Kit]],Table_NFI[Sanitary Kit])</f>
        <v>0</v>
      </c>
      <c r="AB36" s="436">
        <f>IF(NFI_Expiration=1,IF($A36&lt;VLOOKUP(K$5,NFI,5,0),1,0)*Table_NFI[[#This Row],[Mosquito net]],Table_NFI[Mosquito net])</f>
        <v>0</v>
      </c>
      <c r="AC36" s="436">
        <f>IF(NFI_Expiration=1,IF($A36&lt;VLOOKUP(L$5,NFI,5,0),1,0)*Table_NFI[[#This Row],[Tarpaulin]],Table_NFI[[#This Row],[Tarpaulin]])</f>
        <v>0</v>
      </c>
      <c r="AD36" s="436">
        <f>IF(NFI_Expiration=1,IF($A36&lt;VLOOKUP(M$5,NFI,5,0),1,0)*Table_NFI[[#This Row],[Blanket]],Table_NFI[[#This Row],[Blanket]])</f>
        <v>0</v>
      </c>
      <c r="AE36" s="436">
        <f>IF(NFI_Expiration=1,IF($A36&lt;VLOOKUP(N$5,NFI,5,0),1,0)*Table_NFI[[#This Row],[Kitchen Set]],Table_NFI[Kitchen Set])</f>
        <v>0</v>
      </c>
      <c r="AF36" s="436">
        <f>IF(NFI_Expiration=1,IF($A36&lt;VLOOKUP(O$5,NFI,5,0),1,0)*Table_NFI[[#This Row],[Clothes Kit]],Table_NFI[Clothes Kit])</f>
        <v>0</v>
      </c>
      <c r="AG36" s="436">
        <f>IF(NFI_Expiration=1,IF($A36&lt;VLOOKUP(P$5,NFI,5,0),1,0)*Table_NFI[[#This Row],[Plastic Bucket]],Table_NFI[Plastic Bucket])</f>
        <v>0</v>
      </c>
      <c r="AH36" s="436">
        <f>IF(NFI_Expiration=1,IF($A36&lt;VLOOKUP(Q$5,NFI,5,0),1,0)*Table_NFI[[#This Row],[Plastic Mat]],Table_NFI[Plastic Mat])*IF(Table_NFI[[#This Row],[Distribution Date]]&gt;"2014-04-01",1,2.5)</f>
        <v>0</v>
      </c>
      <c r="AI36" s="436">
        <f>IF(NFI_Expiration=1,IF($A36&lt;VLOOKUP(R$5,NFI,5,0),1,0)*Table_NFI[[#This Row],[Winter Clothes Adult]],Table_NFI[Winter Clothes Adult])</f>
        <v>0</v>
      </c>
      <c r="AJ36" s="436">
        <f>IF(NFI_Expiration=1,IF($A36&lt;VLOOKUP(S$5,NFI,5,0),1,0)*Table_NFI[[#This Row],[Winter Clothes Children]],Table_NFI[Winter Clothes Children])</f>
        <v>0</v>
      </c>
      <c r="AK36" s="436">
        <f>IF(NFI_Expiration=1,IF($A36&lt;VLOOKUP(T$5,NFI,5,0),1,0)*Table_NFI[[#This Row],[Winter Items Other]],Table_NFI[Winter Items Other])</f>
        <v>0</v>
      </c>
      <c r="AL36" s="436">
        <f>IF(NFI_Expiration=1,IF($A36&lt;VLOOKUP(M$5,NFI,5,0),1,0)*Table_NFI[[#This Row],[Winter Blanket]],Table_NFI[[#This Row],[Winter Blanket]])</f>
        <v>0</v>
      </c>
      <c r="AM36" s="436">
        <f>IF(Table_NFI[[#This Row],[Winter Clothes Adult]]+Table_NFI[[#This Row],[Winter Clothes Children]]+Table_NFI[[#This Row],[Winter Items Other]]+Table_NFI[[#This Row],[Winter Blanket]]&gt;0,1,0)</f>
        <v>0</v>
      </c>
      <c r="AN36" s="439">
        <f>IF(NFI_Expiration=1,IF($A36&lt;VLOOKUP(V$5,NFI,5,0),1,0)*Table_NFI[[#This Row],[Jerry Can]],Table_NFI[Jerry Can])</f>
        <v>405</v>
      </c>
      <c r="AO36" s="771" t="str">
        <f>IFERROR(VLOOKUP(Table_NFI[[#This Row],[Camp Name]],CL,2,0),"")</f>
        <v>MMR001CMP131</v>
      </c>
      <c r="AP36" s="772">
        <f ca="1">IF(Table_NFI[[#This Row],[Pcode]]="","",IF(OFFSET(CampList[Opening Date],MATCH(Table_NFI[[#This Row],[Pcode]],CampList[CP_Pcode],0)-1,0,1,1)&gt;=NFI_Monitor_Date,1,0))</f>
        <v>0</v>
      </c>
      <c r="AQ36" s="781" t="str">
        <f>IFERROR(VLOOKUP(Table_NFI[[#This Row],[Camp Name]],CL,3,0),"")</f>
        <v>Open</v>
      </c>
      <c r="AR36" s="439" t="str">
        <f ca="1">IF(Table_NFI[[#This Row],[Pcode]]="","",OFFSET(CampList[Priority],MATCH(Table_NFI[[#This Row],[Pcode]],CampList[CP_Pcode],0)-1,0,1,1))</f>
        <v>P1</v>
      </c>
      <c r="AS36" s="438">
        <f>IFERROR(Table_NFI[[#This Row],[Kitchen Set]]/VLOOKUP(Table_NFI[[#This Row],[Camp Name]],CL,4,0),"")</f>
        <v>0</v>
      </c>
      <c r="AT36" s="769" t="s">
        <v>1099</v>
      </c>
      <c r="AU36" s="773"/>
    </row>
    <row r="37" spans="1:47" s="774" customFormat="1" x14ac:dyDescent="0.25">
      <c r="A37" s="451">
        <f t="shared" si="0"/>
        <v>9.1</v>
      </c>
      <c r="B37" s="768">
        <v>42097</v>
      </c>
      <c r="C37" s="769" t="s">
        <v>454</v>
      </c>
      <c r="D37" s="769" t="s">
        <v>507</v>
      </c>
      <c r="E37" s="769" t="s">
        <v>380</v>
      </c>
      <c r="F37" s="769" t="s">
        <v>185</v>
      </c>
      <c r="G37" s="769" t="s">
        <v>217</v>
      </c>
      <c r="H37" s="436"/>
      <c r="I37" s="439"/>
      <c r="J37" s="439"/>
      <c r="K37" s="439">
        <v>105</v>
      </c>
      <c r="L37" s="437">
        <v>26</v>
      </c>
      <c r="M37" s="437">
        <v>308</v>
      </c>
      <c r="N37" s="437">
        <v>29</v>
      </c>
      <c r="O37" s="437"/>
      <c r="P37" s="439"/>
      <c r="Q37" s="439">
        <v>69</v>
      </c>
      <c r="R37" s="436"/>
      <c r="S37" s="436"/>
      <c r="T37" s="436"/>
      <c r="U37" s="439"/>
      <c r="V37" s="439"/>
      <c r="W37" s="436"/>
      <c r="X37" s="439"/>
      <c r="Y37" s="436">
        <f>IF(NFI_Expiration=1,IF($A37&lt;VLOOKUP(H$5,NFI,5,0),1,0)*Table_NFI[[#This Row],[Hygiene Kit]],Table_NFI[Hygiene Kit])</f>
        <v>0</v>
      </c>
      <c r="Z37" s="436">
        <f>IF(NFI_Expiration=1,IF($A37&lt;VLOOKUP(I$5,NFI,5,0),1,0)*Table_NFI[[#This Row],[NFI Core Kit]],Table_NFI[NFI Core Kit])</f>
        <v>0</v>
      </c>
      <c r="AA37" s="436">
        <f>IF(NFI_Expiration=1,IF($A37&lt;VLOOKUP(J$5,NFI,5,0),1,0)*Table_NFI[[#This Row],[Sanitary Kit]],Table_NFI[Sanitary Kit])</f>
        <v>0</v>
      </c>
      <c r="AB37" s="436">
        <f>IF(NFI_Expiration=1,IF($A37&lt;VLOOKUP(K$5,NFI,5,0),1,0)*Table_NFI[[#This Row],[Mosquito net]],Table_NFI[Mosquito net])</f>
        <v>105</v>
      </c>
      <c r="AC37" s="436">
        <f>IF(NFI_Expiration=1,IF($A37&lt;VLOOKUP(L$5,NFI,5,0),1,0)*Table_NFI[[#This Row],[Tarpaulin]],Table_NFI[[#This Row],[Tarpaulin]])</f>
        <v>26</v>
      </c>
      <c r="AD37" s="436">
        <f>IF(NFI_Expiration=1,IF($A37&lt;VLOOKUP(M$5,NFI,5,0),1,0)*Table_NFI[[#This Row],[Blanket]],Table_NFI[[#This Row],[Blanket]])</f>
        <v>308</v>
      </c>
      <c r="AE37" s="436">
        <f>IF(NFI_Expiration=1,IF($A37&lt;VLOOKUP(N$5,NFI,5,0),1,0)*Table_NFI[[#This Row],[Kitchen Set]],Table_NFI[Kitchen Set])</f>
        <v>29</v>
      </c>
      <c r="AF37" s="436">
        <f>IF(NFI_Expiration=1,IF($A37&lt;VLOOKUP(O$5,NFI,5,0),1,0)*Table_NFI[[#This Row],[Clothes Kit]],Table_NFI[Clothes Kit])</f>
        <v>0</v>
      </c>
      <c r="AG37" s="436">
        <f>IF(NFI_Expiration=1,IF($A37&lt;VLOOKUP(P$5,NFI,5,0),1,0)*Table_NFI[[#This Row],[Plastic Bucket]],Table_NFI[Plastic Bucket])</f>
        <v>0</v>
      </c>
      <c r="AH37" s="436">
        <f>IF(NFI_Expiration=1,IF($A37&lt;VLOOKUP(Q$5,NFI,5,0),1,0)*Table_NFI[[#This Row],[Plastic Mat]],Table_NFI[Plastic Mat])*IF(Table_NFI[[#This Row],[Distribution Date]]&gt;"2014-04-01",1,2.5)</f>
        <v>172.5</v>
      </c>
      <c r="AI37" s="436">
        <f>IF(NFI_Expiration=1,IF($A37&lt;VLOOKUP(R$5,NFI,5,0),1,0)*Table_NFI[[#This Row],[Winter Clothes Adult]],Table_NFI[Winter Clothes Adult])</f>
        <v>0</v>
      </c>
      <c r="AJ37" s="436">
        <f>IF(NFI_Expiration=1,IF($A37&lt;VLOOKUP(S$5,NFI,5,0),1,0)*Table_NFI[[#This Row],[Winter Clothes Children]],Table_NFI[Winter Clothes Children])</f>
        <v>0</v>
      </c>
      <c r="AK37" s="436">
        <f>IF(NFI_Expiration=1,IF($A37&lt;VLOOKUP(T$5,NFI,5,0),1,0)*Table_NFI[[#This Row],[Winter Items Other]],Table_NFI[Winter Items Other])</f>
        <v>0</v>
      </c>
      <c r="AL37" s="436">
        <f>IF(NFI_Expiration=1,IF($A37&lt;VLOOKUP(M$5,NFI,5,0),1,0)*Table_NFI[[#This Row],[Winter Blanket]],Table_NFI[[#This Row],[Winter Blanket]])</f>
        <v>0</v>
      </c>
      <c r="AM37" s="436">
        <f>IF(Table_NFI[[#This Row],[Winter Clothes Adult]]+Table_NFI[[#This Row],[Winter Clothes Children]]+Table_NFI[[#This Row],[Winter Items Other]]+Table_NFI[[#This Row],[Winter Blanket]]&gt;0,1,0)</f>
        <v>0</v>
      </c>
      <c r="AN37" s="439">
        <f>IF(NFI_Expiration=1,IF($A37&lt;VLOOKUP(V$5,NFI,5,0),1,0)*Table_NFI[[#This Row],[Jerry Can]],Table_NFI[Jerry Can])</f>
        <v>0</v>
      </c>
      <c r="AO37" s="771" t="str">
        <f>IFERROR(VLOOKUP(Table_NFI[[#This Row],[Camp Name]],CL,2,0),"")</f>
        <v>MMR001CMP059</v>
      </c>
      <c r="AP37" s="772">
        <f ca="1">IF(Table_NFI[[#This Row],[Pcode]]="","",IF(OFFSET(CampList[Opening Date],MATCH(Table_NFI[[#This Row],[Pcode]],CampList[CP_Pcode],0)-1,0,1,1)&gt;=NFI_Monitor_Date,1,0))</f>
        <v>0</v>
      </c>
      <c r="AQ37" s="781" t="str">
        <f>IFERROR(VLOOKUP(Table_NFI[[#This Row],[Camp Name]],CL,3,0),"")</f>
        <v>Open</v>
      </c>
      <c r="AR37" s="439" t="str">
        <f ca="1">IF(Table_NFI[[#This Row],[Pcode]]="","",OFFSET(CampList[Priority],MATCH(Table_NFI[[#This Row],[Pcode]],CampList[CP_Pcode],0)-1,0,1,1))</f>
        <v>P4</v>
      </c>
      <c r="AS37" s="438">
        <f>IFERROR(Table_NFI[[#This Row],[Kitchen Set]]/VLOOKUP(Table_NFI[[#This Row],[Camp Name]],CL,4,0),"")</f>
        <v>1.2083333333333333</v>
      </c>
      <c r="AT37" s="769" t="s">
        <v>1099</v>
      </c>
      <c r="AU37" s="773"/>
    </row>
    <row r="38" spans="1:47" s="774" customFormat="1" x14ac:dyDescent="0.25">
      <c r="A38" s="451">
        <f t="shared" si="0"/>
        <v>9.1</v>
      </c>
      <c r="B38" s="768">
        <v>42097</v>
      </c>
      <c r="C38" s="769" t="s">
        <v>454</v>
      </c>
      <c r="D38" s="769" t="s">
        <v>1469</v>
      </c>
      <c r="E38" s="769" t="s">
        <v>380</v>
      </c>
      <c r="F38" s="769" t="s">
        <v>5</v>
      </c>
      <c r="G38" s="769" t="s">
        <v>8</v>
      </c>
      <c r="H38" s="436"/>
      <c r="I38" s="436"/>
      <c r="J38" s="436"/>
      <c r="K38" s="436"/>
      <c r="L38" s="437">
        <v>3</v>
      </c>
      <c r="M38" s="437">
        <v>53</v>
      </c>
      <c r="N38" s="437"/>
      <c r="O38" s="437"/>
      <c r="P38" s="439">
        <v>3</v>
      </c>
      <c r="Q38" s="439">
        <v>11</v>
      </c>
      <c r="R38" s="436"/>
      <c r="S38" s="436"/>
      <c r="T38" s="436"/>
      <c r="U38" s="436"/>
      <c r="V38" s="436">
        <v>3</v>
      </c>
      <c r="W38" s="436"/>
      <c r="X38" s="436"/>
      <c r="Y38" s="436">
        <f>IF(NFI_Expiration=1,IF($A38&lt;VLOOKUP(H$5,NFI,5,0),1,0)*Table_NFI[[#This Row],[Hygiene Kit]],Table_NFI[Hygiene Kit])</f>
        <v>0</v>
      </c>
      <c r="Z38" s="436">
        <f>IF(NFI_Expiration=1,IF($A38&lt;VLOOKUP(I$5,NFI,5,0),1,0)*Table_NFI[[#This Row],[NFI Core Kit]],Table_NFI[NFI Core Kit])</f>
        <v>0</v>
      </c>
      <c r="AA38" s="436">
        <f>IF(NFI_Expiration=1,IF($A38&lt;VLOOKUP(J$5,NFI,5,0),1,0)*Table_NFI[[#This Row],[Sanitary Kit]],Table_NFI[Sanitary Kit])</f>
        <v>0</v>
      </c>
      <c r="AB38" s="436">
        <f>IF(NFI_Expiration=1,IF($A38&lt;VLOOKUP(K$5,NFI,5,0),1,0)*Table_NFI[[#This Row],[Mosquito net]],Table_NFI[Mosquito net])</f>
        <v>0</v>
      </c>
      <c r="AC38" s="436">
        <f>IF(NFI_Expiration=1,IF($A38&lt;VLOOKUP(L$5,NFI,5,0),1,0)*Table_NFI[[#This Row],[Tarpaulin]],Table_NFI[[#This Row],[Tarpaulin]])</f>
        <v>3</v>
      </c>
      <c r="AD38" s="436">
        <f>IF(NFI_Expiration=1,IF($A38&lt;VLOOKUP(M$5,NFI,5,0),1,0)*Table_NFI[[#This Row],[Blanket]],Table_NFI[[#This Row],[Blanket]])</f>
        <v>53</v>
      </c>
      <c r="AE38" s="436">
        <f>IF(NFI_Expiration=1,IF($A38&lt;VLOOKUP(N$5,NFI,5,0),1,0)*Table_NFI[[#This Row],[Kitchen Set]],Table_NFI[Kitchen Set])</f>
        <v>0</v>
      </c>
      <c r="AF38" s="436">
        <f>IF(NFI_Expiration=1,IF($A38&lt;VLOOKUP(O$5,NFI,5,0),1,0)*Table_NFI[[#This Row],[Clothes Kit]],Table_NFI[Clothes Kit])</f>
        <v>0</v>
      </c>
      <c r="AG38" s="436">
        <f>IF(NFI_Expiration=1,IF($A38&lt;VLOOKUP(P$5,NFI,5,0),1,0)*Table_NFI[[#This Row],[Plastic Bucket]],Table_NFI[Plastic Bucket])</f>
        <v>3</v>
      </c>
      <c r="AH38" s="436">
        <f>IF(NFI_Expiration=1,IF($A38&lt;VLOOKUP(Q$5,NFI,5,0),1,0)*Table_NFI[[#This Row],[Plastic Mat]],Table_NFI[Plastic Mat])*IF(Table_NFI[[#This Row],[Distribution Date]]&gt;"2014-04-01",1,2.5)</f>
        <v>27.5</v>
      </c>
      <c r="AI38" s="436">
        <f>IF(NFI_Expiration=1,IF($A38&lt;VLOOKUP(R$5,NFI,5,0),1,0)*Table_NFI[[#This Row],[Winter Clothes Adult]],Table_NFI[Winter Clothes Adult])</f>
        <v>0</v>
      </c>
      <c r="AJ38" s="436">
        <f>IF(NFI_Expiration=1,IF($A38&lt;VLOOKUP(S$5,NFI,5,0),1,0)*Table_NFI[[#This Row],[Winter Clothes Children]],Table_NFI[Winter Clothes Children])</f>
        <v>0</v>
      </c>
      <c r="AK38" s="436">
        <f>IF(NFI_Expiration=1,IF($A38&lt;VLOOKUP(T$5,NFI,5,0),1,0)*Table_NFI[[#This Row],[Winter Items Other]],Table_NFI[Winter Items Other])</f>
        <v>0</v>
      </c>
      <c r="AL38" s="436">
        <f>IF(NFI_Expiration=1,IF($A38&lt;VLOOKUP(M$5,NFI,5,0),1,0)*Table_NFI[[#This Row],[Winter Blanket]],Table_NFI[[#This Row],[Winter Blanket]])</f>
        <v>0</v>
      </c>
      <c r="AM38" s="436">
        <f>IF(Table_NFI[[#This Row],[Winter Clothes Adult]]+Table_NFI[[#This Row],[Winter Clothes Children]]+Table_NFI[[#This Row],[Winter Items Other]]+Table_NFI[[#This Row],[Winter Blanket]]&gt;0,1,0)</f>
        <v>0</v>
      </c>
      <c r="AN38" s="439">
        <f>IF(NFI_Expiration=1,IF($A38&lt;VLOOKUP(V$5,NFI,5,0),1,0)*Table_NFI[[#This Row],[Jerry Can]],Table_NFI[Jerry Can])</f>
        <v>3</v>
      </c>
      <c r="AO38" s="771" t="str">
        <f>IFERROR(VLOOKUP(Table_NFI[[#This Row],[Camp Name]],CL,2,0),"")</f>
        <v>MMR001CMP051</v>
      </c>
      <c r="AP38" s="772">
        <f ca="1">IF(Table_NFI[[#This Row],[Pcode]]="","",IF(OFFSET(CampList[Opening Date],MATCH(Table_NFI[[#This Row],[Pcode]],CampList[CP_Pcode],0)-1,0,1,1)&gt;=NFI_Monitor_Date,1,0))</f>
        <v>0</v>
      </c>
      <c r="AQ38" s="781" t="str">
        <f>IFERROR(VLOOKUP(Table_NFI[[#This Row],[Camp Name]],CL,3,0),"")</f>
        <v>Open</v>
      </c>
      <c r="AR38" s="439" t="str">
        <f ca="1">IF(Table_NFI[[#This Row],[Pcode]]="","",OFFSET(CampList[Priority],MATCH(Table_NFI[[#This Row],[Pcode]],CampList[CP_Pcode],0)-1,0,1,1))</f>
        <v>P4</v>
      </c>
      <c r="AS38" s="438">
        <f>IFERROR(Table_NFI[[#This Row],[Kitchen Set]]/VLOOKUP(Table_NFI[[#This Row],[Camp Name]],CL,4,0),"")</f>
        <v>0</v>
      </c>
      <c r="AT38" s="769" t="s">
        <v>1099</v>
      </c>
      <c r="AU38" s="773"/>
    </row>
    <row r="39" spans="1:47" s="774" customFormat="1" x14ac:dyDescent="0.25">
      <c r="A39" s="451">
        <f t="shared" si="0"/>
        <v>9.1</v>
      </c>
      <c r="B39" s="768">
        <v>42097</v>
      </c>
      <c r="C39" s="769" t="s">
        <v>454</v>
      </c>
      <c r="D39" s="769" t="s">
        <v>1469</v>
      </c>
      <c r="E39" s="769" t="s">
        <v>380</v>
      </c>
      <c r="F39" s="769" t="s">
        <v>5</v>
      </c>
      <c r="G39" s="769" t="s">
        <v>1470</v>
      </c>
      <c r="H39" s="436"/>
      <c r="I39" s="436"/>
      <c r="J39" s="436"/>
      <c r="K39" s="436"/>
      <c r="L39" s="437"/>
      <c r="M39" s="437">
        <v>15</v>
      </c>
      <c r="N39" s="437"/>
      <c r="O39" s="437"/>
      <c r="P39" s="439">
        <v>26</v>
      </c>
      <c r="Q39" s="439">
        <v>720</v>
      </c>
      <c r="R39" s="439"/>
      <c r="S39" s="439"/>
      <c r="T39" s="436"/>
      <c r="U39" s="439"/>
      <c r="V39" s="436">
        <v>26</v>
      </c>
      <c r="W39" s="436"/>
      <c r="X39" s="436"/>
      <c r="Y39" s="436">
        <f>IF(NFI_Expiration=1,IF($A39&lt;VLOOKUP(H$5,NFI,5,0),1,0)*Table_NFI[[#This Row],[Hygiene Kit]],Table_NFI[Hygiene Kit])</f>
        <v>0</v>
      </c>
      <c r="Z39" s="436">
        <f>IF(NFI_Expiration=1,IF($A39&lt;VLOOKUP(I$5,NFI,5,0),1,0)*Table_NFI[[#This Row],[NFI Core Kit]],Table_NFI[NFI Core Kit])</f>
        <v>0</v>
      </c>
      <c r="AA39" s="436">
        <f>IF(NFI_Expiration=1,IF($A39&lt;VLOOKUP(J$5,NFI,5,0),1,0)*Table_NFI[[#This Row],[Sanitary Kit]],Table_NFI[Sanitary Kit])</f>
        <v>0</v>
      </c>
      <c r="AB39" s="436">
        <f>IF(NFI_Expiration=1,IF($A39&lt;VLOOKUP(K$5,NFI,5,0),1,0)*Table_NFI[[#This Row],[Mosquito net]],Table_NFI[Mosquito net])</f>
        <v>0</v>
      </c>
      <c r="AC39" s="436">
        <f>IF(NFI_Expiration=1,IF($A39&lt;VLOOKUP(L$5,NFI,5,0),1,0)*Table_NFI[[#This Row],[Tarpaulin]],Table_NFI[[#This Row],[Tarpaulin]])</f>
        <v>0</v>
      </c>
      <c r="AD39" s="436">
        <f>IF(NFI_Expiration=1,IF($A39&lt;VLOOKUP(M$5,NFI,5,0),1,0)*Table_NFI[[#This Row],[Blanket]],Table_NFI[[#This Row],[Blanket]])</f>
        <v>15</v>
      </c>
      <c r="AE39" s="436">
        <f>IF(NFI_Expiration=1,IF($A39&lt;VLOOKUP(N$5,NFI,5,0),1,0)*Table_NFI[[#This Row],[Kitchen Set]],Table_NFI[Kitchen Set])</f>
        <v>0</v>
      </c>
      <c r="AF39" s="436">
        <f>IF(NFI_Expiration=1,IF($A39&lt;VLOOKUP(O$5,NFI,5,0),1,0)*Table_NFI[[#This Row],[Clothes Kit]],Table_NFI[Clothes Kit])</f>
        <v>0</v>
      </c>
      <c r="AG39" s="436">
        <f>IF(NFI_Expiration=1,IF($A39&lt;VLOOKUP(P$5,NFI,5,0),1,0)*Table_NFI[[#This Row],[Plastic Bucket]],Table_NFI[Plastic Bucket])</f>
        <v>26</v>
      </c>
      <c r="AH39" s="436">
        <f>IF(NFI_Expiration=1,IF($A39&lt;VLOOKUP(Q$5,NFI,5,0),1,0)*Table_NFI[[#This Row],[Plastic Mat]],Table_NFI[Plastic Mat])*IF(Table_NFI[[#This Row],[Distribution Date]]&gt;"2014-04-01",1,2.5)</f>
        <v>1800</v>
      </c>
      <c r="AI39" s="436">
        <f>IF(NFI_Expiration=1,IF($A39&lt;VLOOKUP(R$5,NFI,5,0),1,0)*Table_NFI[[#This Row],[Winter Clothes Adult]],Table_NFI[Winter Clothes Adult])</f>
        <v>0</v>
      </c>
      <c r="AJ39" s="436">
        <f>IF(NFI_Expiration=1,IF($A39&lt;VLOOKUP(S$5,NFI,5,0),1,0)*Table_NFI[[#This Row],[Winter Clothes Children]],Table_NFI[Winter Clothes Children])</f>
        <v>0</v>
      </c>
      <c r="AK39" s="436">
        <f>IF(NFI_Expiration=1,IF($A39&lt;VLOOKUP(T$5,NFI,5,0),1,0)*Table_NFI[[#This Row],[Winter Items Other]],Table_NFI[Winter Items Other])</f>
        <v>0</v>
      </c>
      <c r="AL39" s="436">
        <f>IF(NFI_Expiration=1,IF($A39&lt;VLOOKUP(M$5,NFI,5,0),1,0)*Table_NFI[[#This Row],[Winter Blanket]],Table_NFI[[#This Row],[Winter Blanket]])</f>
        <v>0</v>
      </c>
      <c r="AM39" s="436">
        <f>IF(Table_NFI[[#This Row],[Winter Clothes Adult]]+Table_NFI[[#This Row],[Winter Clothes Children]]+Table_NFI[[#This Row],[Winter Items Other]]+Table_NFI[[#This Row],[Winter Blanket]]&gt;0,1,0)</f>
        <v>0</v>
      </c>
      <c r="AN39" s="439">
        <f>IF(NFI_Expiration=1,IF($A39&lt;VLOOKUP(V$5,NFI,5,0),1,0)*Table_NFI[[#This Row],[Jerry Can]],Table_NFI[Jerry Can])</f>
        <v>26</v>
      </c>
      <c r="AO39" s="771" t="str">
        <f>IFERROR(VLOOKUP(Table_NFI[[#This Row],[Camp Name]],CL,2,0),"")</f>
        <v/>
      </c>
      <c r="AP39" s="772" t="str">
        <f ca="1">IF(Table_NFI[[#This Row],[Pcode]]="","",IF(OFFSET(CampList[Opening Date],MATCH(Table_NFI[[#This Row],[Pcode]],CampList[CP_Pcode],0)-1,0,1,1)&gt;=NFI_Monitor_Date,1,0))</f>
        <v/>
      </c>
      <c r="AQ39" s="781" t="str">
        <f>IFERROR(VLOOKUP(Table_NFI[[#This Row],[Camp Name]],CL,3,0),"")</f>
        <v/>
      </c>
      <c r="AR39" s="439" t="str">
        <f ca="1">IF(Table_NFI[[#This Row],[Pcode]]="","",OFFSET(CampList[Priority],MATCH(Table_NFI[[#This Row],[Pcode]],CampList[CP_Pcode],0)-1,0,1,1))</f>
        <v/>
      </c>
      <c r="AS39" s="438" t="str">
        <f>IFERROR(Table_NFI[[#This Row],[Kitchen Set]]/VLOOKUP(Table_NFI[[#This Row],[Camp Name]],CL,4,0),"")</f>
        <v/>
      </c>
      <c r="AT39" s="769" t="s">
        <v>1099</v>
      </c>
      <c r="AU39" s="773"/>
    </row>
    <row r="40" spans="1:47" s="774" customFormat="1" x14ac:dyDescent="0.25">
      <c r="A40" s="451">
        <f t="shared" si="0"/>
        <v>9.3000000000000007</v>
      </c>
      <c r="B40" s="768">
        <v>42091</v>
      </c>
      <c r="C40" s="769" t="s">
        <v>454</v>
      </c>
      <c r="D40" s="769" t="s">
        <v>1096</v>
      </c>
      <c r="E40" s="769" t="s">
        <v>380</v>
      </c>
      <c r="F40" s="769" t="s">
        <v>151</v>
      </c>
      <c r="G40" s="769" t="s">
        <v>1464</v>
      </c>
      <c r="H40" s="436"/>
      <c r="I40" s="439"/>
      <c r="J40" s="439"/>
      <c r="K40" s="439"/>
      <c r="L40" s="437"/>
      <c r="M40" s="437">
        <v>704</v>
      </c>
      <c r="N40" s="437"/>
      <c r="O40" s="437"/>
      <c r="P40" s="439">
        <v>9</v>
      </c>
      <c r="Q40" s="439"/>
      <c r="R40" s="436"/>
      <c r="S40" s="436"/>
      <c r="T40" s="436"/>
      <c r="U40" s="439"/>
      <c r="V40" s="439"/>
      <c r="W40" s="436"/>
      <c r="X40" s="439"/>
      <c r="Y40" s="436">
        <f>IF(NFI_Expiration=1,IF($A40&lt;VLOOKUP(H$5,NFI,5,0),1,0)*Table_NFI[[#This Row],[Hygiene Kit]],Table_NFI[Hygiene Kit])</f>
        <v>0</v>
      </c>
      <c r="Z40" s="436">
        <f>IF(NFI_Expiration=1,IF($A40&lt;VLOOKUP(I$5,NFI,5,0),1,0)*Table_NFI[[#This Row],[NFI Core Kit]],Table_NFI[NFI Core Kit])</f>
        <v>0</v>
      </c>
      <c r="AA40" s="436">
        <f>IF(NFI_Expiration=1,IF($A40&lt;VLOOKUP(J$5,NFI,5,0),1,0)*Table_NFI[[#This Row],[Sanitary Kit]],Table_NFI[Sanitary Kit])</f>
        <v>0</v>
      </c>
      <c r="AB40" s="436">
        <f>IF(NFI_Expiration=1,IF($A40&lt;VLOOKUP(K$5,NFI,5,0),1,0)*Table_NFI[[#This Row],[Mosquito net]],Table_NFI[Mosquito net])</f>
        <v>0</v>
      </c>
      <c r="AC40" s="436">
        <f>IF(NFI_Expiration=1,IF($A40&lt;VLOOKUP(L$5,NFI,5,0),1,0)*Table_NFI[[#This Row],[Tarpaulin]],Table_NFI[[#This Row],[Tarpaulin]])</f>
        <v>0</v>
      </c>
      <c r="AD40" s="436">
        <f>IF(NFI_Expiration=1,IF($A40&lt;VLOOKUP(M$5,NFI,5,0),1,0)*Table_NFI[[#This Row],[Blanket]],Table_NFI[[#This Row],[Blanket]])</f>
        <v>704</v>
      </c>
      <c r="AE40" s="436">
        <f>IF(NFI_Expiration=1,IF($A40&lt;VLOOKUP(N$5,NFI,5,0),1,0)*Table_NFI[[#This Row],[Kitchen Set]],Table_NFI[Kitchen Set])</f>
        <v>0</v>
      </c>
      <c r="AF40" s="436">
        <f>IF(NFI_Expiration=1,IF($A40&lt;VLOOKUP(O$5,NFI,5,0),1,0)*Table_NFI[[#This Row],[Clothes Kit]],Table_NFI[Clothes Kit])</f>
        <v>0</v>
      </c>
      <c r="AG40" s="436">
        <f>IF(NFI_Expiration=1,IF($A40&lt;VLOOKUP(P$5,NFI,5,0),1,0)*Table_NFI[[#This Row],[Plastic Bucket]],Table_NFI[Plastic Bucket])</f>
        <v>9</v>
      </c>
      <c r="AH40" s="436">
        <f>IF(NFI_Expiration=1,IF($A40&lt;VLOOKUP(Q$5,NFI,5,0),1,0)*Table_NFI[[#This Row],[Plastic Mat]],Table_NFI[Plastic Mat])*IF(Table_NFI[[#This Row],[Distribution Date]]&gt;"2014-04-01",1,2.5)</f>
        <v>0</v>
      </c>
      <c r="AI40" s="436">
        <f>IF(NFI_Expiration=1,IF($A40&lt;VLOOKUP(R$5,NFI,5,0),1,0)*Table_NFI[[#This Row],[Winter Clothes Adult]],Table_NFI[Winter Clothes Adult])</f>
        <v>0</v>
      </c>
      <c r="AJ40" s="436">
        <f>IF(NFI_Expiration=1,IF($A40&lt;VLOOKUP(S$5,NFI,5,0),1,0)*Table_NFI[[#This Row],[Winter Clothes Children]],Table_NFI[Winter Clothes Children])</f>
        <v>0</v>
      </c>
      <c r="AK40" s="436">
        <f>IF(NFI_Expiration=1,IF($A40&lt;VLOOKUP(T$5,NFI,5,0),1,0)*Table_NFI[[#This Row],[Winter Items Other]],Table_NFI[Winter Items Other])</f>
        <v>0</v>
      </c>
      <c r="AL40" s="436">
        <f>IF(NFI_Expiration=1,IF($A40&lt;VLOOKUP(M$5,NFI,5,0),1,0)*Table_NFI[[#This Row],[Winter Blanket]],Table_NFI[[#This Row],[Winter Blanket]])</f>
        <v>0</v>
      </c>
      <c r="AM40" s="436">
        <f>IF(Table_NFI[[#This Row],[Winter Clothes Adult]]+Table_NFI[[#This Row],[Winter Clothes Children]]+Table_NFI[[#This Row],[Winter Items Other]]+Table_NFI[[#This Row],[Winter Blanket]]&gt;0,1,0)</f>
        <v>0</v>
      </c>
      <c r="AN40" s="439">
        <f>IF(NFI_Expiration=1,IF($A40&lt;VLOOKUP(V$5,NFI,5,0),1,0)*Table_NFI[[#This Row],[Jerry Can]],Table_NFI[Jerry Can])</f>
        <v>0</v>
      </c>
      <c r="AO40" s="771" t="str">
        <f>IFERROR(VLOOKUP(Table_NFI[[#This Row],[Camp Name]],CL,2,0),"")</f>
        <v/>
      </c>
      <c r="AP40" s="772" t="str">
        <f ca="1">IF(Table_NFI[[#This Row],[Pcode]]="","",IF(OFFSET(CampList[Opening Date],MATCH(Table_NFI[[#This Row],[Pcode]],CampList[CP_Pcode],0)-1,0,1,1)&gt;=NFI_Monitor_Date,1,0))</f>
        <v/>
      </c>
      <c r="AQ40" s="781" t="str">
        <f>IFERROR(VLOOKUP(Table_NFI[[#This Row],[Camp Name]],CL,3,0),"")</f>
        <v/>
      </c>
      <c r="AR40" s="439" t="str">
        <f ca="1">IF(Table_NFI[[#This Row],[Pcode]]="","",OFFSET(CampList[Priority],MATCH(Table_NFI[[#This Row],[Pcode]],CampList[CP_Pcode],0)-1,0,1,1))</f>
        <v/>
      </c>
      <c r="AS40" s="438" t="str">
        <f>IFERROR(Table_NFI[[#This Row],[Kitchen Set]]/VLOOKUP(Table_NFI[[#This Row],[Camp Name]],CL,4,0),"")</f>
        <v/>
      </c>
      <c r="AT40" s="769" t="s">
        <v>1099</v>
      </c>
      <c r="AU40" s="773"/>
    </row>
    <row r="41" spans="1:47" s="774" customFormat="1" x14ac:dyDescent="0.25">
      <c r="A41" s="451">
        <f t="shared" si="0"/>
        <v>9.3333333333333339</v>
      </c>
      <c r="B41" s="768">
        <v>42090</v>
      </c>
      <c r="C41" s="769" t="s">
        <v>454</v>
      </c>
      <c r="D41" s="769" t="s">
        <v>1096</v>
      </c>
      <c r="E41" s="769" t="s">
        <v>380</v>
      </c>
      <c r="F41" s="769" t="s">
        <v>151</v>
      </c>
      <c r="G41" s="769" t="s">
        <v>198</v>
      </c>
      <c r="H41" s="436"/>
      <c r="I41" s="436"/>
      <c r="J41" s="436"/>
      <c r="K41" s="436"/>
      <c r="L41" s="437"/>
      <c r="M41" s="437">
        <v>357</v>
      </c>
      <c r="N41" s="437"/>
      <c r="O41" s="437"/>
      <c r="P41" s="439"/>
      <c r="Q41" s="439"/>
      <c r="R41" s="436"/>
      <c r="S41" s="436"/>
      <c r="T41" s="436"/>
      <c r="U41" s="436"/>
      <c r="V41" s="436"/>
      <c r="W41" s="436"/>
      <c r="X41" s="436"/>
      <c r="Y41" s="436">
        <f>IF(NFI_Expiration=1,IF($A41&lt;VLOOKUP(H$5,NFI,5,0),1,0)*Table_NFI[[#This Row],[Hygiene Kit]],Table_NFI[Hygiene Kit])</f>
        <v>0</v>
      </c>
      <c r="Z41" s="436">
        <f>IF(NFI_Expiration=1,IF($A41&lt;VLOOKUP(I$5,NFI,5,0),1,0)*Table_NFI[[#This Row],[NFI Core Kit]],Table_NFI[NFI Core Kit])</f>
        <v>0</v>
      </c>
      <c r="AA41" s="436">
        <f>IF(NFI_Expiration=1,IF($A41&lt;VLOOKUP(J$5,NFI,5,0),1,0)*Table_NFI[[#This Row],[Sanitary Kit]],Table_NFI[Sanitary Kit])</f>
        <v>0</v>
      </c>
      <c r="AB41" s="436">
        <f>IF(NFI_Expiration=1,IF($A41&lt;VLOOKUP(K$5,NFI,5,0),1,0)*Table_NFI[[#This Row],[Mosquito net]],Table_NFI[Mosquito net])</f>
        <v>0</v>
      </c>
      <c r="AC41" s="436">
        <f>IF(NFI_Expiration=1,IF($A41&lt;VLOOKUP(L$5,NFI,5,0),1,0)*Table_NFI[[#This Row],[Tarpaulin]],Table_NFI[[#This Row],[Tarpaulin]])</f>
        <v>0</v>
      </c>
      <c r="AD41" s="436">
        <f>IF(NFI_Expiration=1,IF($A41&lt;VLOOKUP(M$5,NFI,5,0),1,0)*Table_NFI[[#This Row],[Blanket]],Table_NFI[[#This Row],[Blanket]])</f>
        <v>357</v>
      </c>
      <c r="AE41" s="436">
        <f>IF(NFI_Expiration=1,IF($A41&lt;VLOOKUP(N$5,NFI,5,0),1,0)*Table_NFI[[#This Row],[Kitchen Set]],Table_NFI[Kitchen Set])</f>
        <v>0</v>
      </c>
      <c r="AF41" s="436">
        <f>IF(NFI_Expiration=1,IF($A41&lt;VLOOKUP(O$5,NFI,5,0),1,0)*Table_NFI[[#This Row],[Clothes Kit]],Table_NFI[Clothes Kit])</f>
        <v>0</v>
      </c>
      <c r="AG41" s="436">
        <f>IF(NFI_Expiration=1,IF($A41&lt;VLOOKUP(P$5,NFI,5,0),1,0)*Table_NFI[[#This Row],[Plastic Bucket]],Table_NFI[Plastic Bucket])</f>
        <v>0</v>
      </c>
      <c r="AH41" s="436">
        <f>IF(NFI_Expiration=1,IF($A41&lt;VLOOKUP(Q$5,NFI,5,0),1,0)*Table_NFI[[#This Row],[Plastic Mat]],Table_NFI[Plastic Mat])*IF(Table_NFI[[#This Row],[Distribution Date]]&gt;"2014-04-01",1,2.5)</f>
        <v>0</v>
      </c>
      <c r="AI41" s="436">
        <f>IF(NFI_Expiration=1,IF($A41&lt;VLOOKUP(R$5,NFI,5,0),1,0)*Table_NFI[[#This Row],[Winter Clothes Adult]],Table_NFI[Winter Clothes Adult])</f>
        <v>0</v>
      </c>
      <c r="AJ41" s="436">
        <f>IF(NFI_Expiration=1,IF($A41&lt;VLOOKUP(S$5,NFI,5,0),1,0)*Table_NFI[[#This Row],[Winter Clothes Children]],Table_NFI[Winter Clothes Children])</f>
        <v>0</v>
      </c>
      <c r="AK41" s="436">
        <f>IF(NFI_Expiration=1,IF($A41&lt;VLOOKUP(T$5,NFI,5,0),1,0)*Table_NFI[[#This Row],[Winter Items Other]],Table_NFI[Winter Items Other])</f>
        <v>0</v>
      </c>
      <c r="AL41" s="436">
        <f>IF(NFI_Expiration=1,IF($A41&lt;VLOOKUP(M$5,NFI,5,0),1,0)*Table_NFI[[#This Row],[Winter Blanket]],Table_NFI[[#This Row],[Winter Blanket]])</f>
        <v>0</v>
      </c>
      <c r="AM41" s="436">
        <f>IF(Table_NFI[[#This Row],[Winter Clothes Adult]]+Table_NFI[[#This Row],[Winter Clothes Children]]+Table_NFI[[#This Row],[Winter Items Other]]+Table_NFI[[#This Row],[Winter Blanket]]&gt;0,1,0)</f>
        <v>0</v>
      </c>
      <c r="AN41" s="439">
        <f>IF(NFI_Expiration=1,IF($A41&lt;VLOOKUP(V$5,NFI,5,0),1,0)*Table_NFI[[#This Row],[Jerry Can]],Table_NFI[Jerry Can])</f>
        <v>0</v>
      </c>
      <c r="AO41" s="771" t="str">
        <f>IFERROR(VLOOKUP(Table_NFI[[#This Row],[Camp Name]],CL,2,0),"")</f>
        <v>MMR001CMP128</v>
      </c>
      <c r="AP41" s="772">
        <f ca="1">IF(Table_NFI[[#This Row],[Pcode]]="","",IF(OFFSET(CampList[Opening Date],MATCH(Table_NFI[[#This Row],[Pcode]],CampList[CP_Pcode],0)-1,0,1,1)&gt;=NFI_Monitor_Date,1,0))</f>
        <v>0</v>
      </c>
      <c r="AQ41" s="781" t="str">
        <f>IFERROR(VLOOKUP(Table_NFI[[#This Row],[Camp Name]],CL,3,0),"")</f>
        <v>Open</v>
      </c>
      <c r="AR41" s="439" t="str">
        <f ca="1">IF(Table_NFI[[#This Row],[Pcode]]="","",OFFSET(CampList[Priority],MATCH(Table_NFI[[#This Row],[Pcode]],CampList[CP_Pcode],0)-1,0,1,1))</f>
        <v>P2</v>
      </c>
      <c r="AS41" s="438">
        <f>IFERROR(Table_NFI[[#This Row],[Kitchen Set]]/VLOOKUP(Table_NFI[[#This Row],[Camp Name]],CL,4,0),"")</f>
        <v>0</v>
      </c>
      <c r="AT41" s="769" t="s">
        <v>1099</v>
      </c>
      <c r="AU41" s="773"/>
    </row>
    <row r="42" spans="1:47" s="774" customFormat="1" ht="15" customHeight="1" x14ac:dyDescent="0.2">
      <c r="A42" s="451">
        <f t="shared" si="0"/>
        <v>9.4</v>
      </c>
      <c r="B42" s="768">
        <v>42088</v>
      </c>
      <c r="C42" s="769" t="s">
        <v>454</v>
      </c>
      <c r="D42" s="769" t="s">
        <v>454</v>
      </c>
      <c r="E42" s="769" t="s">
        <v>380</v>
      </c>
      <c r="F42" s="769" t="s">
        <v>151</v>
      </c>
      <c r="G42" s="769" t="s">
        <v>1460</v>
      </c>
      <c r="H42" s="436"/>
      <c r="I42" s="439"/>
      <c r="J42" s="439"/>
      <c r="K42" s="439">
        <v>1621</v>
      </c>
      <c r="L42" s="437"/>
      <c r="M42" s="437"/>
      <c r="N42" s="437"/>
      <c r="O42" s="437"/>
      <c r="P42" s="439"/>
      <c r="Q42" s="439"/>
      <c r="R42" s="439"/>
      <c r="S42" s="439"/>
      <c r="T42" s="439"/>
      <c r="U42" s="439"/>
      <c r="V42" s="439"/>
      <c r="W42" s="439"/>
      <c r="X42" s="439"/>
      <c r="Y42" s="436">
        <f>IF(NFI_Expiration=1,IF($A42&lt;VLOOKUP(H$5,NFI,5,0),1,0)*Table_NFI[[#This Row],[Hygiene Kit]],Table_NFI[Hygiene Kit])</f>
        <v>0</v>
      </c>
      <c r="Z42" s="436">
        <f>IF(NFI_Expiration=1,IF($A42&lt;VLOOKUP(I$5,NFI,5,0),1,0)*Table_NFI[[#This Row],[NFI Core Kit]],Table_NFI[NFI Core Kit])</f>
        <v>0</v>
      </c>
      <c r="AA42" s="436">
        <f>IF(NFI_Expiration=1,IF($A42&lt;VLOOKUP(J$5,NFI,5,0),1,0)*Table_NFI[[#This Row],[Sanitary Kit]],Table_NFI[Sanitary Kit])</f>
        <v>0</v>
      </c>
      <c r="AB42" s="436">
        <f>IF(NFI_Expiration=1,IF($A42&lt;VLOOKUP(K$5,NFI,5,0),1,0)*Table_NFI[[#This Row],[Mosquito net]],Table_NFI[Mosquito net])</f>
        <v>1621</v>
      </c>
      <c r="AC42" s="436">
        <f>IF(NFI_Expiration=1,IF($A42&lt;VLOOKUP(L$5,NFI,5,0),1,0)*Table_NFI[[#This Row],[Tarpaulin]],Table_NFI[[#This Row],[Tarpaulin]])</f>
        <v>0</v>
      </c>
      <c r="AD42" s="436">
        <f>IF(NFI_Expiration=1,IF($A42&lt;VLOOKUP(M$5,NFI,5,0),1,0)*Table_NFI[[#This Row],[Blanket]],Table_NFI[[#This Row],[Blanket]])</f>
        <v>0</v>
      </c>
      <c r="AE42" s="436">
        <f>IF(NFI_Expiration=1,IF($A42&lt;VLOOKUP(N$5,NFI,5,0),1,0)*Table_NFI[[#This Row],[Kitchen Set]],Table_NFI[Kitchen Set])</f>
        <v>0</v>
      </c>
      <c r="AF42" s="436">
        <f>IF(NFI_Expiration=1,IF($A42&lt;VLOOKUP(O$5,NFI,5,0),1,0)*Table_NFI[[#This Row],[Clothes Kit]],Table_NFI[Clothes Kit])</f>
        <v>0</v>
      </c>
      <c r="AG42" s="436">
        <f>IF(NFI_Expiration=1,IF($A42&lt;VLOOKUP(P$5,NFI,5,0),1,0)*Table_NFI[[#This Row],[Plastic Bucket]],Table_NFI[Plastic Bucket])</f>
        <v>0</v>
      </c>
      <c r="AH42" s="436">
        <f>IF(NFI_Expiration=1,IF($A42&lt;VLOOKUP(Q$5,NFI,5,0),1,0)*Table_NFI[[#This Row],[Plastic Mat]],Table_NFI[Plastic Mat])*IF(Table_NFI[[#This Row],[Distribution Date]]&gt;"2014-04-01",1,2.5)</f>
        <v>0</v>
      </c>
      <c r="AI42" s="436">
        <f>IF(NFI_Expiration=1,IF($A42&lt;VLOOKUP(R$5,NFI,5,0),1,0)*Table_NFI[[#This Row],[Winter Clothes Adult]],Table_NFI[Winter Clothes Adult])</f>
        <v>0</v>
      </c>
      <c r="AJ42" s="436">
        <f>IF(NFI_Expiration=1,IF($A42&lt;VLOOKUP(S$5,NFI,5,0),1,0)*Table_NFI[[#This Row],[Winter Clothes Children]],Table_NFI[Winter Clothes Children])</f>
        <v>0</v>
      </c>
      <c r="AK42" s="436">
        <f>IF(NFI_Expiration=1,IF($A42&lt;VLOOKUP(T$5,NFI,5,0),1,0)*Table_NFI[[#This Row],[Winter Items Other]],Table_NFI[Winter Items Other])</f>
        <v>0</v>
      </c>
      <c r="AL42" s="436">
        <f>IF(NFI_Expiration=1,IF($A42&lt;VLOOKUP(M$5,NFI,5,0),1,0)*Table_NFI[[#This Row],[Winter Blanket]],Table_NFI[[#This Row],[Winter Blanket]])</f>
        <v>0</v>
      </c>
      <c r="AM42" s="436">
        <f>IF(Table_NFI[[#This Row],[Winter Clothes Adult]]+Table_NFI[[#This Row],[Winter Clothes Children]]+Table_NFI[[#This Row],[Winter Items Other]]+Table_NFI[[#This Row],[Winter Blanket]]&gt;0,1,0)</f>
        <v>0</v>
      </c>
      <c r="AN42" s="439">
        <f>IF(NFI_Expiration=1,IF($A42&lt;VLOOKUP(V$5,NFI,5,0),1,0)*Table_NFI[[#This Row],[Jerry Can]],Table_NFI[Jerry Can])</f>
        <v>0</v>
      </c>
      <c r="AO42" s="771" t="str">
        <f>IFERROR(VLOOKUP(Table_NFI[[#This Row],[Camp Name]],CL,2,0),"")</f>
        <v/>
      </c>
      <c r="AP42" s="772" t="str">
        <f ca="1">IF(Table_NFI[[#This Row],[Pcode]]="","",IF(OFFSET(CampList[Opening Date],MATCH(Table_NFI[[#This Row],[Pcode]],CampList[CP_Pcode],0)-1,0,1,1)&gt;=NFI_Monitor_Date,1,0))</f>
        <v/>
      </c>
      <c r="AQ42" s="781" t="str">
        <f>IFERROR(VLOOKUP(Table_NFI[[#This Row],[Camp Name]],CL,3,0),"")</f>
        <v/>
      </c>
      <c r="AR42" s="439" t="str">
        <f ca="1">IF(Table_NFI[[#This Row],[Pcode]]="","",OFFSET(CampList[Priority],MATCH(Table_NFI[[#This Row],[Pcode]],CampList[CP_Pcode],0)-1,0,1,1))</f>
        <v/>
      </c>
      <c r="AS42" s="438" t="str">
        <f>IFERROR(Table_NFI[[#This Row],[Kitchen Set]]/VLOOKUP(Table_NFI[[#This Row],[Camp Name]],CL,4,0),"")</f>
        <v/>
      </c>
      <c r="AT42" s="769" t="s">
        <v>1099</v>
      </c>
      <c r="AU42" s="826"/>
    </row>
    <row r="43" spans="1:47" s="774" customFormat="1" x14ac:dyDescent="0.25">
      <c r="A43" s="451">
        <f t="shared" si="0"/>
        <v>9.4</v>
      </c>
      <c r="B43" s="768">
        <v>42088</v>
      </c>
      <c r="C43" s="769" t="s">
        <v>454</v>
      </c>
      <c r="D43" s="769" t="s">
        <v>454</v>
      </c>
      <c r="E43" s="769" t="s">
        <v>380</v>
      </c>
      <c r="F43" s="769" t="s">
        <v>5</v>
      </c>
      <c r="G43" s="435" t="s">
        <v>1462</v>
      </c>
      <c r="H43" s="436"/>
      <c r="I43" s="436"/>
      <c r="J43" s="436"/>
      <c r="K43" s="436"/>
      <c r="L43" s="437"/>
      <c r="M43" s="437"/>
      <c r="N43" s="437"/>
      <c r="O43" s="437"/>
      <c r="P43" s="439"/>
      <c r="Q43" s="439"/>
      <c r="R43" s="436">
        <v>2086</v>
      </c>
      <c r="S43" s="436">
        <v>3036</v>
      </c>
      <c r="T43" s="436"/>
      <c r="U43" s="439"/>
      <c r="V43" s="439"/>
      <c r="W43" s="436"/>
      <c r="X43" s="436"/>
      <c r="Y43" s="436">
        <f>IF(NFI_Expiration=1,IF($A43&lt;VLOOKUP(H$5,NFI,5,0),1,0)*Table_NFI[[#This Row],[Hygiene Kit]],Table_NFI[Hygiene Kit])</f>
        <v>0</v>
      </c>
      <c r="Z43" s="436">
        <f>IF(NFI_Expiration=1,IF($A43&lt;VLOOKUP(I$5,NFI,5,0),1,0)*Table_NFI[[#This Row],[NFI Core Kit]],Table_NFI[NFI Core Kit])</f>
        <v>0</v>
      </c>
      <c r="AA43" s="436">
        <f>IF(NFI_Expiration=1,IF($A43&lt;VLOOKUP(J$5,NFI,5,0),1,0)*Table_NFI[[#This Row],[Sanitary Kit]],Table_NFI[Sanitary Kit])</f>
        <v>0</v>
      </c>
      <c r="AB43" s="436">
        <f>IF(NFI_Expiration=1,IF($A43&lt;VLOOKUP(K$5,NFI,5,0),1,0)*Table_NFI[[#This Row],[Mosquito net]],Table_NFI[Mosquito net])</f>
        <v>0</v>
      </c>
      <c r="AC43" s="436">
        <f>IF(NFI_Expiration=1,IF($A43&lt;VLOOKUP(L$5,NFI,5,0),1,0)*Table_NFI[[#This Row],[Tarpaulin]],Table_NFI[[#This Row],[Tarpaulin]])</f>
        <v>0</v>
      </c>
      <c r="AD43" s="436">
        <f>IF(NFI_Expiration=1,IF($A43&lt;VLOOKUP(M$5,NFI,5,0),1,0)*Table_NFI[[#This Row],[Blanket]],Table_NFI[[#This Row],[Blanket]])</f>
        <v>0</v>
      </c>
      <c r="AE43" s="436">
        <f>IF(NFI_Expiration=1,IF($A43&lt;VLOOKUP(N$5,NFI,5,0),1,0)*Table_NFI[[#This Row],[Kitchen Set]],Table_NFI[Kitchen Set])</f>
        <v>0</v>
      </c>
      <c r="AF43" s="436">
        <f>IF(NFI_Expiration=1,IF($A43&lt;VLOOKUP(O$5,NFI,5,0),1,0)*Table_NFI[[#This Row],[Clothes Kit]],Table_NFI[Clothes Kit])</f>
        <v>0</v>
      </c>
      <c r="AG43" s="436">
        <f>IF(NFI_Expiration=1,IF($A43&lt;VLOOKUP(P$5,NFI,5,0),1,0)*Table_NFI[[#This Row],[Plastic Bucket]],Table_NFI[Plastic Bucket])</f>
        <v>0</v>
      </c>
      <c r="AH43" s="436">
        <f>IF(NFI_Expiration=1,IF($A43&lt;VLOOKUP(Q$5,NFI,5,0),1,0)*Table_NFI[[#This Row],[Plastic Mat]],Table_NFI[Plastic Mat])*IF(Table_NFI[[#This Row],[Distribution Date]]&gt;"2014-04-01",1,2.5)</f>
        <v>0</v>
      </c>
      <c r="AI43" s="436">
        <f>IF(NFI_Expiration=1,IF($A43&lt;VLOOKUP(R$5,NFI,5,0),1,0)*Table_NFI[[#This Row],[Winter Clothes Adult]],Table_NFI[Winter Clothes Adult])</f>
        <v>2086</v>
      </c>
      <c r="AJ43" s="436">
        <f>IF(NFI_Expiration=1,IF($A43&lt;VLOOKUP(S$5,NFI,5,0),1,0)*Table_NFI[[#This Row],[Winter Clothes Children]],Table_NFI[Winter Clothes Children])</f>
        <v>3036</v>
      </c>
      <c r="AK43" s="436">
        <f>IF(NFI_Expiration=1,IF($A43&lt;VLOOKUP(T$5,NFI,5,0),1,0)*Table_NFI[[#This Row],[Winter Items Other]],Table_NFI[Winter Items Other])</f>
        <v>0</v>
      </c>
      <c r="AL43" s="436">
        <f>IF(NFI_Expiration=1,IF($A43&lt;VLOOKUP(M$5,NFI,5,0),1,0)*Table_NFI[[#This Row],[Winter Blanket]],Table_NFI[[#This Row],[Winter Blanket]])</f>
        <v>0</v>
      </c>
      <c r="AM43" s="436">
        <f>IF(Table_NFI[[#This Row],[Winter Clothes Adult]]+Table_NFI[[#This Row],[Winter Clothes Children]]+Table_NFI[[#This Row],[Winter Items Other]]+Table_NFI[[#This Row],[Winter Blanket]]&gt;0,1,0)</f>
        <v>1</v>
      </c>
      <c r="AN43" s="439">
        <f>IF(NFI_Expiration=1,IF($A43&lt;VLOOKUP(V$5,NFI,5,0),1,0)*Table_NFI[[#This Row],[Jerry Can]],Table_NFI[Jerry Can])</f>
        <v>0</v>
      </c>
      <c r="AO43" s="771" t="str">
        <f>IFERROR(VLOOKUP(Table_NFI[[#This Row],[Camp Name]],CL,2,0),"")</f>
        <v/>
      </c>
      <c r="AP43" s="772" t="str">
        <f ca="1">IF(Table_NFI[[#This Row],[Pcode]]="","",IF(OFFSET(CampList[Opening Date],MATCH(Table_NFI[[#This Row],[Pcode]],CampList[CP_Pcode],0)-1,0,1,1)&gt;=NFI_Monitor_Date,1,0))</f>
        <v/>
      </c>
      <c r="AQ43" s="781" t="str">
        <f>IFERROR(VLOOKUP(Table_NFI[[#This Row],[Camp Name]],CL,3,0),"")</f>
        <v/>
      </c>
      <c r="AR43" s="439" t="str">
        <f ca="1">IF(Table_NFI[[#This Row],[Pcode]]="","",OFFSET(CampList[Priority],MATCH(Table_NFI[[#This Row],[Pcode]],CampList[CP_Pcode],0)-1,0,1,1))</f>
        <v/>
      </c>
      <c r="AS43" s="438" t="str">
        <f>IFERROR(Table_NFI[[#This Row],[Kitchen Set]]/VLOOKUP(Table_NFI[[#This Row],[Camp Name]],CL,4,0),"")</f>
        <v/>
      </c>
      <c r="AT43" s="769" t="s">
        <v>1099</v>
      </c>
      <c r="AU43" s="773"/>
    </row>
    <row r="44" spans="1:47" s="774" customFormat="1" x14ac:dyDescent="0.25">
      <c r="A44" s="451">
        <f t="shared" si="0"/>
        <v>9.4</v>
      </c>
      <c r="B44" s="768">
        <v>42088</v>
      </c>
      <c r="C44" s="769" t="s">
        <v>454</v>
      </c>
      <c r="D44" s="769" t="s">
        <v>1096</v>
      </c>
      <c r="E44" s="769" t="s">
        <v>380</v>
      </c>
      <c r="F44" s="769" t="s">
        <v>151</v>
      </c>
      <c r="G44" s="769" t="s">
        <v>1463</v>
      </c>
      <c r="H44" s="436"/>
      <c r="I44" s="439"/>
      <c r="J44" s="439"/>
      <c r="K44" s="439"/>
      <c r="L44" s="437"/>
      <c r="M44" s="437">
        <v>829</v>
      </c>
      <c r="N44" s="437"/>
      <c r="O44" s="437"/>
      <c r="P44" s="439"/>
      <c r="Q44" s="439"/>
      <c r="R44" s="436"/>
      <c r="S44" s="436"/>
      <c r="T44" s="436"/>
      <c r="U44" s="439"/>
      <c r="V44" s="439"/>
      <c r="W44" s="436"/>
      <c r="X44" s="439"/>
      <c r="Y44" s="436">
        <f>IF(NFI_Expiration=1,IF($A44&lt;VLOOKUP(H$5,NFI,5,0),1,0)*Table_NFI[[#This Row],[Hygiene Kit]],Table_NFI[Hygiene Kit])</f>
        <v>0</v>
      </c>
      <c r="Z44" s="436">
        <f>IF(NFI_Expiration=1,IF($A44&lt;VLOOKUP(I$5,NFI,5,0),1,0)*Table_NFI[[#This Row],[NFI Core Kit]],Table_NFI[NFI Core Kit])</f>
        <v>0</v>
      </c>
      <c r="AA44" s="436">
        <f>IF(NFI_Expiration=1,IF($A44&lt;VLOOKUP(J$5,NFI,5,0),1,0)*Table_NFI[[#This Row],[Sanitary Kit]],Table_NFI[Sanitary Kit])</f>
        <v>0</v>
      </c>
      <c r="AB44" s="436">
        <f>IF(NFI_Expiration=1,IF($A44&lt;VLOOKUP(K$5,NFI,5,0),1,0)*Table_NFI[[#This Row],[Mosquito net]],Table_NFI[Mosquito net])</f>
        <v>0</v>
      </c>
      <c r="AC44" s="436">
        <f>IF(NFI_Expiration=1,IF($A44&lt;VLOOKUP(L$5,NFI,5,0),1,0)*Table_NFI[[#This Row],[Tarpaulin]],Table_NFI[[#This Row],[Tarpaulin]])</f>
        <v>0</v>
      </c>
      <c r="AD44" s="436">
        <f>IF(NFI_Expiration=1,IF($A44&lt;VLOOKUP(M$5,NFI,5,0),1,0)*Table_NFI[[#This Row],[Blanket]],Table_NFI[[#This Row],[Blanket]])</f>
        <v>829</v>
      </c>
      <c r="AE44" s="436">
        <f>IF(NFI_Expiration=1,IF($A44&lt;VLOOKUP(N$5,NFI,5,0),1,0)*Table_NFI[[#This Row],[Kitchen Set]],Table_NFI[Kitchen Set])</f>
        <v>0</v>
      </c>
      <c r="AF44" s="436">
        <f>IF(NFI_Expiration=1,IF($A44&lt;VLOOKUP(O$5,NFI,5,0),1,0)*Table_NFI[[#This Row],[Clothes Kit]],Table_NFI[Clothes Kit])</f>
        <v>0</v>
      </c>
      <c r="AG44" s="436">
        <f>IF(NFI_Expiration=1,IF($A44&lt;VLOOKUP(P$5,NFI,5,0),1,0)*Table_NFI[[#This Row],[Plastic Bucket]],Table_NFI[Plastic Bucket])</f>
        <v>0</v>
      </c>
      <c r="AH44" s="436">
        <f>IF(NFI_Expiration=1,IF($A44&lt;VLOOKUP(Q$5,NFI,5,0),1,0)*Table_NFI[[#This Row],[Plastic Mat]],Table_NFI[Plastic Mat])*IF(Table_NFI[[#This Row],[Distribution Date]]&gt;"2014-04-01",1,2.5)</f>
        <v>0</v>
      </c>
      <c r="AI44" s="436">
        <f>IF(NFI_Expiration=1,IF($A44&lt;VLOOKUP(R$5,NFI,5,0),1,0)*Table_NFI[[#This Row],[Winter Clothes Adult]],Table_NFI[Winter Clothes Adult])</f>
        <v>0</v>
      </c>
      <c r="AJ44" s="436">
        <f>IF(NFI_Expiration=1,IF($A44&lt;VLOOKUP(S$5,NFI,5,0),1,0)*Table_NFI[[#This Row],[Winter Clothes Children]],Table_NFI[Winter Clothes Children])</f>
        <v>0</v>
      </c>
      <c r="AK44" s="436">
        <f>IF(NFI_Expiration=1,IF($A44&lt;VLOOKUP(T$5,NFI,5,0),1,0)*Table_NFI[[#This Row],[Winter Items Other]],Table_NFI[Winter Items Other])</f>
        <v>0</v>
      </c>
      <c r="AL44" s="436">
        <f>IF(NFI_Expiration=1,IF($A44&lt;VLOOKUP(M$5,NFI,5,0),1,0)*Table_NFI[[#This Row],[Winter Blanket]],Table_NFI[[#This Row],[Winter Blanket]])</f>
        <v>0</v>
      </c>
      <c r="AM44" s="436">
        <f>IF(Table_NFI[[#This Row],[Winter Clothes Adult]]+Table_NFI[[#This Row],[Winter Clothes Children]]+Table_NFI[[#This Row],[Winter Items Other]]+Table_NFI[[#This Row],[Winter Blanket]]&gt;0,1,0)</f>
        <v>0</v>
      </c>
      <c r="AN44" s="439">
        <f>IF(NFI_Expiration=1,IF($A44&lt;VLOOKUP(V$5,NFI,5,0),1,0)*Table_NFI[[#This Row],[Jerry Can]],Table_NFI[Jerry Can])</f>
        <v>0</v>
      </c>
      <c r="AO44" s="771" t="str">
        <f>IFERROR(VLOOKUP(Table_NFI[[#This Row],[Camp Name]],CL,2,0),"")</f>
        <v/>
      </c>
      <c r="AP44" s="772" t="str">
        <f ca="1">IF(Table_NFI[[#This Row],[Pcode]]="","",IF(OFFSET(CampList[Opening Date],MATCH(Table_NFI[[#This Row],[Pcode]],CampList[CP_Pcode],0)-1,0,1,1)&gt;=NFI_Monitor_Date,1,0))</f>
        <v/>
      </c>
      <c r="AQ44" s="781" t="str">
        <f>IFERROR(VLOOKUP(Table_NFI[[#This Row],[Camp Name]],CL,3,0),"")</f>
        <v/>
      </c>
      <c r="AR44" s="439" t="str">
        <f ca="1">IF(Table_NFI[[#This Row],[Pcode]]="","",OFFSET(CampList[Priority],MATCH(Table_NFI[[#This Row],[Pcode]],CampList[CP_Pcode],0)-1,0,1,1))</f>
        <v/>
      </c>
      <c r="AS44" s="438" t="str">
        <f>IFERROR(Table_NFI[[#This Row],[Kitchen Set]]/VLOOKUP(Table_NFI[[#This Row],[Camp Name]],CL,4,0),"")</f>
        <v/>
      </c>
      <c r="AT44" s="769" t="s">
        <v>1099</v>
      </c>
      <c r="AU44" s="773"/>
    </row>
    <row r="45" spans="1:47" s="774" customFormat="1" x14ac:dyDescent="0.25">
      <c r="A45" s="451">
        <f t="shared" si="0"/>
        <v>9.6999999999999993</v>
      </c>
      <c r="B45" s="768">
        <v>42079</v>
      </c>
      <c r="C45" s="769" t="s">
        <v>454</v>
      </c>
      <c r="D45" s="769" t="s">
        <v>454</v>
      </c>
      <c r="E45" s="769" t="s">
        <v>380</v>
      </c>
      <c r="F45" s="769" t="s">
        <v>5</v>
      </c>
      <c r="G45" s="769" t="s">
        <v>1462</v>
      </c>
      <c r="H45" s="436"/>
      <c r="I45" s="436"/>
      <c r="J45" s="439"/>
      <c r="K45" s="439"/>
      <c r="L45" s="437"/>
      <c r="M45" s="437"/>
      <c r="N45" s="437"/>
      <c r="O45" s="437"/>
      <c r="P45" s="439"/>
      <c r="Q45" s="439"/>
      <c r="R45" s="436">
        <v>2460</v>
      </c>
      <c r="S45" s="436">
        <v>3600</v>
      </c>
      <c r="T45" s="436"/>
      <c r="U45" s="439"/>
      <c r="V45" s="439"/>
      <c r="W45" s="436"/>
      <c r="X45" s="436"/>
      <c r="Y45" s="436">
        <f>IF(NFI_Expiration=1,IF($A45&lt;VLOOKUP(H$5,NFI,5,0),1,0)*Table_NFI[[#This Row],[Hygiene Kit]],Table_NFI[Hygiene Kit])</f>
        <v>0</v>
      </c>
      <c r="Z45" s="436">
        <f>IF(NFI_Expiration=1,IF($A45&lt;VLOOKUP(I$5,NFI,5,0),1,0)*Table_NFI[[#This Row],[NFI Core Kit]],Table_NFI[NFI Core Kit])</f>
        <v>0</v>
      </c>
      <c r="AA45" s="436">
        <f>IF(NFI_Expiration=1,IF($A45&lt;VLOOKUP(J$5,NFI,5,0),1,0)*Table_NFI[[#This Row],[Sanitary Kit]],Table_NFI[Sanitary Kit])</f>
        <v>0</v>
      </c>
      <c r="AB45" s="436">
        <f>IF(NFI_Expiration=1,IF($A45&lt;VLOOKUP(K$5,NFI,5,0),1,0)*Table_NFI[[#This Row],[Mosquito net]],Table_NFI[Mosquito net])</f>
        <v>0</v>
      </c>
      <c r="AC45" s="436">
        <f>IF(NFI_Expiration=1,IF($A45&lt;VLOOKUP(L$5,NFI,5,0),1,0)*Table_NFI[[#This Row],[Tarpaulin]],Table_NFI[[#This Row],[Tarpaulin]])</f>
        <v>0</v>
      </c>
      <c r="AD45" s="436">
        <f>IF(NFI_Expiration=1,IF($A45&lt;VLOOKUP(M$5,NFI,5,0),1,0)*Table_NFI[[#This Row],[Blanket]],Table_NFI[[#This Row],[Blanket]])</f>
        <v>0</v>
      </c>
      <c r="AE45" s="436">
        <f>IF(NFI_Expiration=1,IF($A45&lt;VLOOKUP(N$5,NFI,5,0),1,0)*Table_NFI[[#This Row],[Kitchen Set]],Table_NFI[Kitchen Set])</f>
        <v>0</v>
      </c>
      <c r="AF45" s="436">
        <f>IF(NFI_Expiration=1,IF($A45&lt;VLOOKUP(O$5,NFI,5,0),1,0)*Table_NFI[[#This Row],[Clothes Kit]],Table_NFI[Clothes Kit])</f>
        <v>0</v>
      </c>
      <c r="AG45" s="436">
        <f>IF(NFI_Expiration=1,IF($A45&lt;VLOOKUP(P$5,NFI,5,0),1,0)*Table_NFI[[#This Row],[Plastic Bucket]],Table_NFI[Plastic Bucket])</f>
        <v>0</v>
      </c>
      <c r="AH45" s="436">
        <f>IF(NFI_Expiration=1,IF($A45&lt;VLOOKUP(Q$5,NFI,5,0),1,0)*Table_NFI[[#This Row],[Plastic Mat]],Table_NFI[Plastic Mat])*IF(Table_NFI[[#This Row],[Distribution Date]]&gt;"2014-04-01",1,2.5)</f>
        <v>0</v>
      </c>
      <c r="AI45" s="436">
        <f>IF(NFI_Expiration=1,IF($A45&lt;VLOOKUP(R$5,NFI,5,0),1,0)*Table_NFI[[#This Row],[Winter Clothes Adult]],Table_NFI[Winter Clothes Adult])</f>
        <v>2460</v>
      </c>
      <c r="AJ45" s="436">
        <f>IF(NFI_Expiration=1,IF($A45&lt;VLOOKUP(S$5,NFI,5,0),1,0)*Table_NFI[[#This Row],[Winter Clothes Children]],Table_NFI[Winter Clothes Children])</f>
        <v>3600</v>
      </c>
      <c r="AK45" s="436">
        <f>IF(NFI_Expiration=1,IF($A45&lt;VLOOKUP(T$5,NFI,5,0),1,0)*Table_NFI[[#This Row],[Winter Items Other]],Table_NFI[Winter Items Other])</f>
        <v>0</v>
      </c>
      <c r="AL45" s="436">
        <f>IF(NFI_Expiration=1,IF($A45&lt;VLOOKUP(M$5,NFI,5,0),1,0)*Table_NFI[[#This Row],[Winter Blanket]],Table_NFI[[#This Row],[Winter Blanket]])</f>
        <v>0</v>
      </c>
      <c r="AM45" s="436">
        <f>IF(Table_NFI[[#This Row],[Winter Clothes Adult]]+Table_NFI[[#This Row],[Winter Clothes Children]]+Table_NFI[[#This Row],[Winter Items Other]]+Table_NFI[[#This Row],[Winter Blanket]]&gt;0,1,0)</f>
        <v>1</v>
      </c>
      <c r="AN45" s="439">
        <f>IF(NFI_Expiration=1,IF($A45&lt;VLOOKUP(V$5,NFI,5,0),1,0)*Table_NFI[[#This Row],[Jerry Can]],Table_NFI[Jerry Can])</f>
        <v>0</v>
      </c>
      <c r="AO45" s="771" t="str">
        <f>IFERROR(VLOOKUP(Table_NFI[[#This Row],[Camp Name]],CL,2,0),"")</f>
        <v/>
      </c>
      <c r="AP45" s="772" t="str">
        <f ca="1">IF(Table_NFI[[#This Row],[Pcode]]="","",IF(OFFSET(CampList[Opening Date],MATCH(Table_NFI[[#This Row],[Pcode]],CampList[CP_Pcode],0)-1,0,1,1)&gt;=NFI_Monitor_Date,1,0))</f>
        <v/>
      </c>
      <c r="AQ45" s="781" t="str">
        <f>IFERROR(VLOOKUP(Table_NFI[[#This Row],[Camp Name]],CL,3,0),"")</f>
        <v/>
      </c>
      <c r="AR45" s="439" t="str">
        <f ca="1">IF(Table_NFI[[#This Row],[Pcode]]="","",OFFSET(CampList[Priority],MATCH(Table_NFI[[#This Row],[Pcode]],CampList[CP_Pcode],0)-1,0,1,1))</f>
        <v/>
      </c>
      <c r="AS45" s="438" t="str">
        <f>IFERROR(Table_NFI[[#This Row],[Kitchen Set]]/VLOOKUP(Table_NFI[[#This Row],[Camp Name]],CL,4,0),"")</f>
        <v/>
      </c>
      <c r="AT45" s="769" t="s">
        <v>1099</v>
      </c>
      <c r="AU45" s="773"/>
    </row>
    <row r="46" spans="1:47" s="774" customFormat="1" x14ac:dyDescent="0.25">
      <c r="A46" s="451">
        <f t="shared" si="0"/>
        <v>9.8000000000000007</v>
      </c>
      <c r="B46" s="829">
        <v>42076</v>
      </c>
      <c r="C46" s="830" t="s">
        <v>454</v>
      </c>
      <c r="D46" s="830" t="s">
        <v>508</v>
      </c>
      <c r="E46" s="830" t="s">
        <v>380</v>
      </c>
      <c r="F46" s="830" t="s">
        <v>310</v>
      </c>
      <c r="G46" s="830" t="s">
        <v>330</v>
      </c>
      <c r="H46" s="831"/>
      <c r="I46" s="831"/>
      <c r="J46" s="831"/>
      <c r="K46" s="831"/>
      <c r="L46" s="831">
        <v>1</v>
      </c>
      <c r="M46" s="831"/>
      <c r="N46" s="831"/>
      <c r="O46" s="831"/>
      <c r="P46" s="832"/>
      <c r="Q46" s="832"/>
      <c r="R46" s="832"/>
      <c r="S46" s="832"/>
      <c r="T46" s="832"/>
      <c r="U46" s="832"/>
      <c r="V46" s="839"/>
      <c r="W46" s="832"/>
      <c r="X46" s="832"/>
      <c r="Y46" s="436">
        <f>IF(NFI_Expiration=1,IF($A46&lt;VLOOKUP(H$5,NFI,5,0),1,0)*Table_NFI[[#This Row],[Hygiene Kit]],Table_NFI[Hygiene Kit])</f>
        <v>0</v>
      </c>
      <c r="Z46" s="436">
        <f>IF(NFI_Expiration=1,IF($A46&lt;VLOOKUP(I$5,NFI,5,0),1,0)*Table_NFI[[#This Row],[NFI Core Kit]],Table_NFI[NFI Core Kit])</f>
        <v>0</v>
      </c>
      <c r="AA46" s="436">
        <f>IF(NFI_Expiration=1,IF($A46&lt;VLOOKUP(J$5,NFI,5,0),1,0)*Table_NFI[[#This Row],[Sanitary Kit]],Table_NFI[Sanitary Kit])</f>
        <v>0</v>
      </c>
      <c r="AB46" s="436">
        <f>IF(NFI_Expiration=1,IF($A46&lt;VLOOKUP(K$5,NFI,5,0),1,0)*Table_NFI[[#This Row],[Mosquito net]],Table_NFI[Mosquito net])</f>
        <v>0</v>
      </c>
      <c r="AC46" s="436">
        <f>IF(NFI_Expiration=1,IF($A46&lt;VLOOKUP(L$5,NFI,5,0),1,0)*Table_NFI[[#This Row],[Tarpaulin]],Table_NFI[[#This Row],[Tarpaulin]])</f>
        <v>1</v>
      </c>
      <c r="AD46" s="436">
        <f>IF(NFI_Expiration=1,IF($A46&lt;VLOOKUP(M$5,NFI,5,0),1,0)*Table_NFI[[#This Row],[Blanket]],Table_NFI[[#This Row],[Blanket]])</f>
        <v>0</v>
      </c>
      <c r="AE46" s="436">
        <f>IF(NFI_Expiration=1,IF($A46&lt;VLOOKUP(N$5,NFI,5,0),1,0)*Table_NFI[[#This Row],[Kitchen Set]],Table_NFI[Kitchen Set])</f>
        <v>0</v>
      </c>
      <c r="AF46" s="436">
        <f>IF(NFI_Expiration=1,IF($A46&lt;VLOOKUP(O$5,NFI,5,0),1,0)*Table_NFI[[#This Row],[Clothes Kit]],Table_NFI[Clothes Kit])</f>
        <v>0</v>
      </c>
      <c r="AG46" s="436">
        <f>IF(NFI_Expiration=1,IF($A46&lt;VLOOKUP(P$5,NFI,5,0),1,0)*Table_NFI[[#This Row],[Plastic Bucket]],Table_NFI[Plastic Bucket])</f>
        <v>0</v>
      </c>
      <c r="AH46" s="436">
        <f>IF(NFI_Expiration=1,IF($A46&lt;VLOOKUP(Q$5,NFI,5,0),1,0)*Table_NFI[[#This Row],[Plastic Mat]],Table_NFI[Plastic Mat])*IF(Table_NFI[[#This Row],[Distribution Date]]&gt;"2014-04-01",1,2.5)</f>
        <v>0</v>
      </c>
      <c r="AI46" s="436">
        <f>IF(NFI_Expiration=1,IF($A46&lt;VLOOKUP(R$5,NFI,5,0),1,0)*Table_NFI[[#This Row],[Winter Clothes Adult]],Table_NFI[Winter Clothes Adult])</f>
        <v>0</v>
      </c>
      <c r="AJ46" s="436">
        <f>IF(NFI_Expiration=1,IF($A46&lt;VLOOKUP(S$5,NFI,5,0),1,0)*Table_NFI[[#This Row],[Winter Clothes Children]],Table_NFI[Winter Clothes Children])</f>
        <v>0</v>
      </c>
      <c r="AK46" s="436">
        <f>IF(NFI_Expiration=1,IF($A46&lt;VLOOKUP(T$5,NFI,5,0),1,0)*Table_NFI[[#This Row],[Winter Items Other]],Table_NFI[Winter Items Other])</f>
        <v>0</v>
      </c>
      <c r="AL46" s="436">
        <f>IF(NFI_Expiration=1,IF($A46&lt;VLOOKUP(M$5,NFI,5,0),1,0)*Table_NFI[[#This Row],[Winter Blanket]],Table_NFI[[#This Row],[Winter Blanket]])</f>
        <v>0</v>
      </c>
      <c r="AM46" s="436">
        <f>IF(Table_NFI[[#This Row],[Winter Clothes Adult]]+Table_NFI[[#This Row],[Winter Clothes Children]]+Table_NFI[[#This Row],[Winter Items Other]]+Table_NFI[[#This Row],[Winter Blanket]]&gt;0,1,0)</f>
        <v>0</v>
      </c>
      <c r="AN46" s="439">
        <f>IF(NFI_Expiration=1,IF($A46&lt;VLOOKUP(V$5,NFI,5,0),1,0)*Table_NFI[[#This Row],[Jerry Can]],Table_NFI[Jerry Can])</f>
        <v>0</v>
      </c>
      <c r="AO46" s="835" t="str">
        <f>IFERROR(VLOOKUP(Table_NFI[[#This Row],[Camp Name]],CL,2,0),"")</f>
        <v>MMR001CMP029</v>
      </c>
      <c r="AP46" s="836">
        <f ca="1">IF(Table_NFI[[#This Row],[Pcode]]="","",IF(OFFSET(CampList[Opening Date],MATCH(Table_NFI[[#This Row],[Pcode]],CampList[CP_Pcode],0)-1,0,1,1)&gt;=NFI_Monitor_Date,1,0))</f>
        <v>0</v>
      </c>
      <c r="AQ46" s="781" t="str">
        <f>IFERROR(VLOOKUP(Table_NFI[[#This Row],[Camp Name]],CL,3,0),"")</f>
        <v>Open</v>
      </c>
      <c r="AR46" s="439" t="str">
        <f ca="1">IF(Table_NFI[[#This Row],[Pcode]]="","",OFFSET(CampList[Priority],MATCH(Table_NFI[[#This Row],[Pcode]],CampList[CP_Pcode],0)-1,0,1,1))</f>
        <v>P4</v>
      </c>
      <c r="AS46" s="438">
        <f>IFERROR(Table_NFI[[#This Row],[Kitchen Set]]/VLOOKUP(Table_NFI[[#This Row],[Camp Name]],CL,4,0),"")</f>
        <v>0</v>
      </c>
      <c r="AT46" s="769" t="s">
        <v>1099</v>
      </c>
      <c r="AU46" s="838"/>
    </row>
    <row r="47" spans="1:47" s="774" customFormat="1" ht="15" customHeight="1" x14ac:dyDescent="0.2">
      <c r="A47" s="451">
        <f t="shared" si="0"/>
        <v>10.066666666666666</v>
      </c>
      <c r="B47" s="768">
        <v>42068</v>
      </c>
      <c r="C47" s="769" t="s">
        <v>454</v>
      </c>
      <c r="D47" s="769" t="s">
        <v>1282</v>
      </c>
      <c r="E47" s="769" t="s">
        <v>555</v>
      </c>
      <c r="F47" s="769" t="s">
        <v>784</v>
      </c>
      <c r="G47" s="769" t="s">
        <v>1465</v>
      </c>
      <c r="H47" s="436"/>
      <c r="I47" s="436">
        <v>43</v>
      </c>
      <c r="J47" s="439">
        <v>43</v>
      </c>
      <c r="K47" s="439">
        <v>85</v>
      </c>
      <c r="L47" s="437">
        <v>43</v>
      </c>
      <c r="M47" s="437">
        <v>95</v>
      </c>
      <c r="N47" s="437">
        <v>43</v>
      </c>
      <c r="O47" s="437">
        <v>43</v>
      </c>
      <c r="P47" s="439">
        <v>43</v>
      </c>
      <c r="Q47" s="439">
        <v>95</v>
      </c>
      <c r="R47" s="439"/>
      <c r="S47" s="439"/>
      <c r="T47" s="439"/>
      <c r="U47" s="439"/>
      <c r="V47" s="439">
        <v>43</v>
      </c>
      <c r="W47" s="439"/>
      <c r="X47" s="439"/>
      <c r="Y47" s="436">
        <f>IF(NFI_Expiration=1,IF($A47&lt;VLOOKUP(H$5,NFI,5,0),1,0)*Table_NFI[[#This Row],[Hygiene Kit]],Table_NFI[Hygiene Kit])</f>
        <v>0</v>
      </c>
      <c r="Z47" s="436">
        <f>IF(NFI_Expiration=1,IF($A47&lt;VLOOKUP(I$5,NFI,5,0),1,0)*Table_NFI[[#This Row],[NFI Core Kit]],Table_NFI[NFI Core Kit])</f>
        <v>43</v>
      </c>
      <c r="AA47" s="436">
        <f>IF(NFI_Expiration=1,IF($A47&lt;VLOOKUP(J$5,NFI,5,0),1,0)*Table_NFI[[#This Row],[Sanitary Kit]],Table_NFI[Sanitary Kit])</f>
        <v>43</v>
      </c>
      <c r="AB47" s="436">
        <f>IF(NFI_Expiration=1,IF($A47&lt;VLOOKUP(K$5,NFI,5,0),1,0)*Table_NFI[[#This Row],[Mosquito net]],Table_NFI[Mosquito net])</f>
        <v>85</v>
      </c>
      <c r="AC47" s="436">
        <f>IF(NFI_Expiration=1,IF($A47&lt;VLOOKUP(L$5,NFI,5,0),1,0)*Table_NFI[[#This Row],[Tarpaulin]],Table_NFI[[#This Row],[Tarpaulin]])</f>
        <v>43</v>
      </c>
      <c r="AD47" s="436">
        <f>IF(NFI_Expiration=1,IF($A47&lt;VLOOKUP(M$5,NFI,5,0),1,0)*Table_NFI[[#This Row],[Blanket]],Table_NFI[[#This Row],[Blanket]])</f>
        <v>95</v>
      </c>
      <c r="AE47" s="436">
        <f>IF(NFI_Expiration=1,IF($A47&lt;VLOOKUP(N$5,NFI,5,0),1,0)*Table_NFI[[#This Row],[Kitchen Set]],Table_NFI[Kitchen Set])</f>
        <v>43</v>
      </c>
      <c r="AF47" s="436">
        <f>IF(NFI_Expiration=1,IF($A47&lt;VLOOKUP(O$5,NFI,5,0),1,0)*Table_NFI[[#This Row],[Clothes Kit]],Table_NFI[Clothes Kit])</f>
        <v>43</v>
      </c>
      <c r="AG47" s="436">
        <f>IF(NFI_Expiration=1,IF($A47&lt;VLOOKUP(P$5,NFI,5,0),1,0)*Table_NFI[[#This Row],[Plastic Bucket]],Table_NFI[Plastic Bucket])</f>
        <v>43</v>
      </c>
      <c r="AH47" s="436">
        <f>IF(NFI_Expiration=1,IF($A47&lt;VLOOKUP(Q$5,NFI,5,0),1,0)*Table_NFI[[#This Row],[Plastic Mat]],Table_NFI[Plastic Mat])*IF(Table_NFI[[#This Row],[Distribution Date]]&gt;"2014-04-01",1,2.5)</f>
        <v>237.5</v>
      </c>
      <c r="AI47" s="436">
        <f>IF(NFI_Expiration=1,IF($A47&lt;VLOOKUP(R$5,NFI,5,0),1,0)*Table_NFI[[#This Row],[Winter Clothes Adult]],Table_NFI[Winter Clothes Adult])</f>
        <v>0</v>
      </c>
      <c r="AJ47" s="436">
        <f>IF(NFI_Expiration=1,IF($A47&lt;VLOOKUP(S$5,NFI,5,0),1,0)*Table_NFI[[#This Row],[Winter Clothes Children]],Table_NFI[Winter Clothes Children])</f>
        <v>0</v>
      </c>
      <c r="AK47" s="436">
        <f>IF(NFI_Expiration=1,IF($A47&lt;VLOOKUP(T$5,NFI,5,0),1,0)*Table_NFI[[#This Row],[Winter Items Other]],Table_NFI[Winter Items Other])</f>
        <v>0</v>
      </c>
      <c r="AL47" s="436">
        <f>IF(NFI_Expiration=1,IF($A47&lt;VLOOKUP(M$5,NFI,5,0),1,0)*Table_NFI[[#This Row],[Winter Blanket]],Table_NFI[[#This Row],[Winter Blanket]])</f>
        <v>0</v>
      </c>
      <c r="AM47" s="436">
        <f>IF(Table_NFI[[#This Row],[Winter Clothes Adult]]+Table_NFI[[#This Row],[Winter Clothes Children]]+Table_NFI[[#This Row],[Winter Items Other]]+Table_NFI[[#This Row],[Winter Blanket]]&gt;0,1,0)</f>
        <v>0</v>
      </c>
      <c r="AN47" s="439">
        <f>IF(NFI_Expiration=1,IF($A47&lt;VLOOKUP(V$5,NFI,5,0),1,0)*Table_NFI[[#This Row],[Jerry Can]],Table_NFI[Jerry Can])</f>
        <v>43</v>
      </c>
      <c r="AO47" s="771" t="str">
        <f>IFERROR(VLOOKUP(Table_NFI[[#This Row],[Camp Name]],CL,2,0),"")</f>
        <v/>
      </c>
      <c r="AP47" s="772" t="str">
        <f ca="1">IF(Table_NFI[[#This Row],[Pcode]]="","",IF(OFFSET(CampList[Opening Date],MATCH(Table_NFI[[#This Row],[Pcode]],CampList[CP_Pcode],0)-1,0,1,1)&gt;=NFI_Monitor_Date,1,0))</f>
        <v/>
      </c>
      <c r="AQ47" s="781" t="str">
        <f>IFERROR(VLOOKUP(Table_NFI[[#This Row],[Camp Name]],CL,3,0),"")</f>
        <v/>
      </c>
      <c r="AR47" s="439" t="str">
        <f ca="1">IF(Table_NFI[[#This Row],[Pcode]]="","",OFFSET(CampList[Priority],MATCH(Table_NFI[[#This Row],[Pcode]],CampList[CP_Pcode],0)-1,0,1,1))</f>
        <v/>
      </c>
      <c r="AS47" s="438" t="str">
        <f>IFERROR(Table_NFI[[#This Row],[Kitchen Set]]/VLOOKUP(Table_NFI[[#This Row],[Camp Name]],CL,4,0),"")</f>
        <v/>
      </c>
      <c r="AT47" s="769" t="s">
        <v>1099</v>
      </c>
      <c r="AU47" s="826"/>
    </row>
    <row r="48" spans="1:47" s="136" customFormat="1" x14ac:dyDescent="0.25">
      <c r="A48" s="451">
        <f t="shared" si="0"/>
        <v>10.466666666666667</v>
      </c>
      <c r="B48" s="768">
        <v>42056</v>
      </c>
      <c r="C48" s="779" t="s">
        <v>454</v>
      </c>
      <c r="D48" s="779" t="s">
        <v>1282</v>
      </c>
      <c r="E48" s="779" t="s">
        <v>555</v>
      </c>
      <c r="F48" s="779" t="s">
        <v>146</v>
      </c>
      <c r="G48" s="779" t="s">
        <v>373</v>
      </c>
      <c r="H48" s="437"/>
      <c r="I48" s="437">
        <v>54</v>
      </c>
      <c r="J48" s="437">
        <v>36</v>
      </c>
      <c r="K48" s="437">
        <v>108</v>
      </c>
      <c r="L48" s="437">
        <v>54</v>
      </c>
      <c r="M48" s="437">
        <v>108</v>
      </c>
      <c r="N48" s="437">
        <v>54</v>
      </c>
      <c r="O48" s="437">
        <v>54</v>
      </c>
      <c r="P48" s="439">
        <v>54</v>
      </c>
      <c r="Q48" s="439">
        <v>108</v>
      </c>
      <c r="R48" s="439"/>
      <c r="S48" s="439"/>
      <c r="T48" s="439"/>
      <c r="U48" s="439"/>
      <c r="V48" s="439">
        <v>54</v>
      </c>
      <c r="W48" s="439"/>
      <c r="X48" s="439"/>
      <c r="Y48" s="436">
        <f>IF(NFI_Expiration=1,IF($A48&lt;VLOOKUP(H$5,NFI,5,0),1,0)*Table_NFI[[#This Row],[Hygiene Kit]],Table_NFI[Hygiene Kit])</f>
        <v>0</v>
      </c>
      <c r="Z48" s="436">
        <f>IF(NFI_Expiration=1,IF($A48&lt;VLOOKUP(I$5,NFI,5,0),1,0)*Table_NFI[[#This Row],[NFI Core Kit]],Table_NFI[NFI Core Kit])</f>
        <v>54</v>
      </c>
      <c r="AA48" s="436">
        <f>IF(NFI_Expiration=1,IF($A48&lt;VLOOKUP(J$5,NFI,5,0),1,0)*Table_NFI[[#This Row],[Sanitary Kit]],Table_NFI[Sanitary Kit])</f>
        <v>36</v>
      </c>
      <c r="AB48" s="436">
        <f>IF(NFI_Expiration=1,IF($A48&lt;VLOOKUP(K$5,NFI,5,0),1,0)*Table_NFI[[#This Row],[Mosquito net]],Table_NFI[Mosquito net])</f>
        <v>108</v>
      </c>
      <c r="AC48" s="436">
        <f>IF(NFI_Expiration=1,IF($A48&lt;VLOOKUP(L$5,NFI,5,0),1,0)*Table_NFI[[#This Row],[Tarpaulin]],Table_NFI[[#This Row],[Tarpaulin]])</f>
        <v>54</v>
      </c>
      <c r="AD48" s="436">
        <f>IF(NFI_Expiration=1,IF($A48&lt;VLOOKUP(M$5,NFI,5,0),1,0)*Table_NFI[[#This Row],[Blanket]],Table_NFI[[#This Row],[Blanket]])</f>
        <v>108</v>
      </c>
      <c r="AE48" s="436">
        <f>IF(NFI_Expiration=1,IF($A48&lt;VLOOKUP(N$5,NFI,5,0),1,0)*Table_NFI[[#This Row],[Kitchen Set]],Table_NFI[Kitchen Set])</f>
        <v>54</v>
      </c>
      <c r="AF48" s="436">
        <f>IF(NFI_Expiration=1,IF($A48&lt;VLOOKUP(O$5,NFI,5,0),1,0)*Table_NFI[[#This Row],[Clothes Kit]],Table_NFI[Clothes Kit])</f>
        <v>54</v>
      </c>
      <c r="AG48" s="436">
        <f>IF(NFI_Expiration=1,IF($A48&lt;VLOOKUP(P$5,NFI,5,0),1,0)*Table_NFI[[#This Row],[Plastic Bucket]],Table_NFI[Plastic Bucket])</f>
        <v>54</v>
      </c>
      <c r="AH48" s="436">
        <f>IF(NFI_Expiration=1,IF($A48&lt;VLOOKUP(Q$5,NFI,5,0),1,0)*Table_NFI[[#This Row],[Plastic Mat]],Table_NFI[Plastic Mat])*IF(Table_NFI[[#This Row],[Distribution Date]]&gt;"2014-04-01",1,2.5)</f>
        <v>270</v>
      </c>
      <c r="AI48" s="436">
        <f>IF(NFI_Expiration=1,IF($A48&lt;VLOOKUP(R$5,NFI,5,0),1,0)*Table_NFI[[#This Row],[Winter Clothes Adult]],Table_NFI[Winter Clothes Adult])</f>
        <v>0</v>
      </c>
      <c r="AJ48" s="436">
        <f>IF(NFI_Expiration=1,IF($A48&lt;VLOOKUP(S$5,NFI,5,0),1,0)*Table_NFI[[#This Row],[Winter Clothes Children]],Table_NFI[Winter Clothes Children])</f>
        <v>0</v>
      </c>
      <c r="AK48" s="436">
        <f>IF(NFI_Expiration=1,IF($A48&lt;VLOOKUP(T$5,NFI,5,0),1,0)*Table_NFI[[#This Row],[Winter Items Other]],Table_NFI[Winter Items Other])</f>
        <v>0</v>
      </c>
      <c r="AL48" s="436">
        <f>IF(NFI_Expiration=1,IF($A48&lt;VLOOKUP(M$5,NFI,5,0),1,0)*Table_NFI[[#This Row],[Winter Blanket]],Table_NFI[[#This Row],[Winter Blanket]])</f>
        <v>0</v>
      </c>
      <c r="AM48" s="436">
        <f>IF(Table_NFI[[#This Row],[Winter Clothes Adult]]+Table_NFI[[#This Row],[Winter Clothes Children]]+Table_NFI[[#This Row],[Winter Items Other]]+Table_NFI[[#This Row],[Winter Blanket]]&gt;0,1,0)</f>
        <v>0</v>
      </c>
      <c r="AN48" s="439">
        <f>IF(NFI_Expiration=1,IF($A48&lt;VLOOKUP(V$5,NFI,5,0),1,0)*Table_NFI[[#This Row],[Jerry Can]],Table_NFI[Jerry Can])</f>
        <v>54</v>
      </c>
      <c r="AO48" s="771" t="str">
        <f>IFERROR(VLOOKUP(Table_NFI[[#This Row],[Camp Name]],CL,2,0),"")</f>
        <v>MMR015CMP020</v>
      </c>
      <c r="AP48" s="772">
        <f ca="1">IF(Table_NFI[[#This Row],[Pcode]]="","",IF(OFFSET(CampList[Opening Date],MATCH(Table_NFI[[#This Row],[Pcode]],CampList[CP_Pcode],0)-1,0,1,1)&gt;=NFI_Monitor_Date,1,0))</f>
        <v>0</v>
      </c>
      <c r="AQ48" s="781" t="str">
        <f>IFERROR(VLOOKUP(Table_NFI[[#This Row],[Camp Name]],CL,3,0),"")</f>
        <v>Open</v>
      </c>
      <c r="AR48" s="439" t="str">
        <f ca="1">IF(Table_NFI[[#This Row],[Pcode]]="","",OFFSET(CampList[Priority],MATCH(Table_NFI[[#This Row],[Pcode]],CampList[CP_Pcode],0)-1,0,1,1))</f>
        <v>P3</v>
      </c>
      <c r="AS48" s="438">
        <f>IFERROR(Table_NFI[[#This Row],[Kitchen Set]]/VLOOKUP(Table_NFI[[#This Row],[Camp Name]],CL,4,0),"")</f>
        <v>0.2857142857142857</v>
      </c>
      <c r="AT48" s="769" t="s">
        <v>1099</v>
      </c>
      <c r="AU48" s="782"/>
    </row>
    <row r="49" spans="1:47" s="774" customFormat="1" x14ac:dyDescent="0.25">
      <c r="A49" s="451">
        <f t="shared" si="0"/>
        <v>10.466666666666667</v>
      </c>
      <c r="B49" s="768">
        <v>42056</v>
      </c>
      <c r="C49" s="769" t="s">
        <v>454</v>
      </c>
      <c r="D49" s="769" t="s">
        <v>454</v>
      </c>
      <c r="E49" s="769" t="s">
        <v>555</v>
      </c>
      <c r="F49" s="769" t="s">
        <v>146</v>
      </c>
      <c r="G49" s="769" t="s">
        <v>1471</v>
      </c>
      <c r="H49" s="436"/>
      <c r="I49" s="439"/>
      <c r="J49" s="436"/>
      <c r="K49" s="439">
        <v>161</v>
      </c>
      <c r="L49" s="437">
        <v>76</v>
      </c>
      <c r="M49" s="437"/>
      <c r="N49" s="437">
        <v>76</v>
      </c>
      <c r="O49" s="437"/>
      <c r="P49" s="439">
        <v>76</v>
      </c>
      <c r="Q49" s="439"/>
      <c r="R49" s="436"/>
      <c r="S49" s="436"/>
      <c r="T49" s="436"/>
      <c r="U49" s="436"/>
      <c r="V49" s="439">
        <v>76</v>
      </c>
      <c r="W49" s="439"/>
      <c r="X49" s="439"/>
      <c r="Y49" s="436">
        <f>IF(NFI_Expiration=1,IF($A49&lt;VLOOKUP(H$5,NFI,5,0),1,0)*Table_NFI[[#This Row],[Hygiene Kit]],Table_NFI[Hygiene Kit])</f>
        <v>0</v>
      </c>
      <c r="Z49" s="436">
        <f>IF(NFI_Expiration=1,IF($A49&lt;VLOOKUP(I$5,NFI,5,0),1,0)*Table_NFI[[#This Row],[NFI Core Kit]],Table_NFI[NFI Core Kit])</f>
        <v>0</v>
      </c>
      <c r="AA49" s="436">
        <f>IF(NFI_Expiration=1,IF($A49&lt;VLOOKUP(J$5,NFI,5,0),1,0)*Table_NFI[[#This Row],[Sanitary Kit]],Table_NFI[Sanitary Kit])</f>
        <v>0</v>
      </c>
      <c r="AB49" s="436">
        <f>IF(NFI_Expiration=1,IF($A49&lt;VLOOKUP(K$5,NFI,5,0),1,0)*Table_NFI[[#This Row],[Mosquito net]],Table_NFI[Mosquito net])</f>
        <v>161</v>
      </c>
      <c r="AC49" s="436">
        <f>IF(NFI_Expiration=1,IF($A49&lt;VLOOKUP(L$5,NFI,5,0),1,0)*Table_NFI[[#This Row],[Tarpaulin]],Table_NFI[[#This Row],[Tarpaulin]])</f>
        <v>76</v>
      </c>
      <c r="AD49" s="436">
        <f>IF(NFI_Expiration=1,IF($A49&lt;VLOOKUP(M$5,NFI,5,0),1,0)*Table_NFI[[#This Row],[Blanket]],Table_NFI[[#This Row],[Blanket]])</f>
        <v>0</v>
      </c>
      <c r="AE49" s="436">
        <f>IF(NFI_Expiration=1,IF($A49&lt;VLOOKUP(N$5,NFI,5,0),1,0)*Table_NFI[[#This Row],[Kitchen Set]],Table_NFI[Kitchen Set])</f>
        <v>76</v>
      </c>
      <c r="AF49" s="436">
        <f>IF(NFI_Expiration=1,IF($A49&lt;VLOOKUP(O$5,NFI,5,0),1,0)*Table_NFI[[#This Row],[Clothes Kit]],Table_NFI[Clothes Kit])</f>
        <v>0</v>
      </c>
      <c r="AG49" s="436">
        <f>IF(NFI_Expiration=1,IF($A49&lt;VLOOKUP(P$5,NFI,5,0),1,0)*Table_NFI[[#This Row],[Plastic Bucket]],Table_NFI[Plastic Bucket])</f>
        <v>76</v>
      </c>
      <c r="AH49" s="436">
        <f>IF(NFI_Expiration=1,IF($A49&lt;VLOOKUP(Q$5,NFI,5,0),1,0)*Table_NFI[[#This Row],[Plastic Mat]],Table_NFI[Plastic Mat])*IF(Table_NFI[[#This Row],[Distribution Date]]&gt;"2014-04-01",1,2.5)</f>
        <v>0</v>
      </c>
      <c r="AI49" s="436">
        <f>IF(NFI_Expiration=1,IF($A49&lt;VLOOKUP(R$5,NFI,5,0),1,0)*Table_NFI[[#This Row],[Winter Clothes Adult]],Table_NFI[Winter Clothes Adult])</f>
        <v>0</v>
      </c>
      <c r="AJ49" s="436">
        <f>IF(NFI_Expiration=1,IF($A49&lt;VLOOKUP(S$5,NFI,5,0),1,0)*Table_NFI[[#This Row],[Winter Clothes Children]],Table_NFI[Winter Clothes Children])</f>
        <v>0</v>
      </c>
      <c r="AK49" s="436">
        <f>IF(NFI_Expiration=1,IF($A49&lt;VLOOKUP(T$5,NFI,5,0),1,0)*Table_NFI[[#This Row],[Winter Items Other]],Table_NFI[Winter Items Other])</f>
        <v>0</v>
      </c>
      <c r="AL49" s="436">
        <f>IF(NFI_Expiration=1,IF($A49&lt;VLOOKUP(M$5,NFI,5,0),1,0)*Table_NFI[[#This Row],[Winter Blanket]],Table_NFI[[#This Row],[Winter Blanket]])</f>
        <v>0</v>
      </c>
      <c r="AM49" s="436">
        <f>IF(Table_NFI[[#This Row],[Winter Clothes Adult]]+Table_NFI[[#This Row],[Winter Clothes Children]]+Table_NFI[[#This Row],[Winter Items Other]]+Table_NFI[[#This Row],[Winter Blanket]]&gt;0,1,0)</f>
        <v>0</v>
      </c>
      <c r="AN49" s="439">
        <f>IF(NFI_Expiration=1,IF($A49&lt;VLOOKUP(V$5,NFI,5,0),1,0)*Table_NFI[[#This Row],[Jerry Can]],Table_NFI[Jerry Can])</f>
        <v>76</v>
      </c>
      <c r="AO49" s="771" t="str">
        <f>IFERROR(VLOOKUP(Table_NFI[[#This Row],[Camp Name]],CL,2,0),"")</f>
        <v/>
      </c>
      <c r="AP49" s="772" t="str">
        <f ca="1">IF(Table_NFI[[#This Row],[Pcode]]="","",IF(OFFSET(CampList[Opening Date],MATCH(Table_NFI[[#This Row],[Pcode]],CampList[CP_Pcode],0)-1,0,1,1)&gt;=NFI_Monitor_Date,1,0))</f>
        <v/>
      </c>
      <c r="AQ49" s="781" t="str">
        <f>IFERROR(VLOOKUP(Table_NFI[[#This Row],[Camp Name]],CL,3,0),"")</f>
        <v/>
      </c>
      <c r="AR49" s="439" t="str">
        <f ca="1">IF(Table_NFI[[#This Row],[Pcode]]="","",OFFSET(CampList[Priority],MATCH(Table_NFI[[#This Row],[Pcode]],CampList[CP_Pcode],0)-1,0,1,1))</f>
        <v/>
      </c>
      <c r="AS49" s="438" t="str">
        <f>IFERROR(Table_NFI[[#This Row],[Kitchen Set]]/VLOOKUP(Table_NFI[[#This Row],[Camp Name]],CL,4,0),"")</f>
        <v/>
      </c>
      <c r="AT49" s="769" t="s">
        <v>1099</v>
      </c>
      <c r="AU49" s="773"/>
    </row>
    <row r="50" spans="1:47" s="774" customFormat="1" x14ac:dyDescent="0.25">
      <c r="A50" s="451">
        <f t="shared" si="0"/>
        <v>10.633333333333333</v>
      </c>
      <c r="B50" s="829">
        <v>42051</v>
      </c>
      <c r="C50" s="830" t="s">
        <v>454</v>
      </c>
      <c r="D50" s="830" t="s">
        <v>508</v>
      </c>
      <c r="E50" s="830" t="s">
        <v>380</v>
      </c>
      <c r="F50" s="830" t="s">
        <v>310</v>
      </c>
      <c r="G50" s="830" t="s">
        <v>194</v>
      </c>
      <c r="H50" s="831"/>
      <c r="I50" s="831"/>
      <c r="J50" s="831"/>
      <c r="K50" s="831"/>
      <c r="L50" s="831"/>
      <c r="M50" s="831"/>
      <c r="N50" s="831"/>
      <c r="O50" s="831"/>
      <c r="P50" s="832"/>
      <c r="Q50" s="832"/>
      <c r="R50" s="832">
        <v>865</v>
      </c>
      <c r="S50" s="832">
        <v>924</v>
      </c>
      <c r="T50" s="832"/>
      <c r="U50" s="832">
        <v>918</v>
      </c>
      <c r="V50" s="839"/>
      <c r="W50" s="832"/>
      <c r="X50" s="832"/>
      <c r="Y50" s="436">
        <f>IF(NFI_Expiration=1,IF($A50&lt;VLOOKUP(H$5,NFI,5,0),1,0)*Table_NFI[[#This Row],[Hygiene Kit]],Table_NFI[Hygiene Kit])</f>
        <v>0</v>
      </c>
      <c r="Z50" s="436">
        <f>IF(NFI_Expiration=1,IF($A50&lt;VLOOKUP(I$5,NFI,5,0),1,0)*Table_NFI[[#This Row],[NFI Core Kit]],Table_NFI[NFI Core Kit])</f>
        <v>0</v>
      </c>
      <c r="AA50" s="436">
        <f>IF(NFI_Expiration=1,IF($A50&lt;VLOOKUP(J$5,NFI,5,0),1,0)*Table_NFI[[#This Row],[Sanitary Kit]],Table_NFI[Sanitary Kit])</f>
        <v>0</v>
      </c>
      <c r="AB50" s="436">
        <f>IF(NFI_Expiration=1,IF($A50&lt;VLOOKUP(K$5,NFI,5,0),1,0)*Table_NFI[[#This Row],[Mosquito net]],Table_NFI[Mosquito net])</f>
        <v>0</v>
      </c>
      <c r="AC50" s="436">
        <f>IF(NFI_Expiration=1,IF($A50&lt;VLOOKUP(L$5,NFI,5,0),1,0)*Table_NFI[[#This Row],[Tarpaulin]],Table_NFI[[#This Row],[Tarpaulin]])</f>
        <v>0</v>
      </c>
      <c r="AD50" s="436">
        <f>IF(NFI_Expiration=1,IF($A50&lt;VLOOKUP(M$5,NFI,5,0),1,0)*Table_NFI[[#This Row],[Blanket]],Table_NFI[[#This Row],[Blanket]])</f>
        <v>0</v>
      </c>
      <c r="AE50" s="436">
        <f>IF(NFI_Expiration=1,IF($A50&lt;VLOOKUP(N$5,NFI,5,0),1,0)*Table_NFI[[#This Row],[Kitchen Set]],Table_NFI[Kitchen Set])</f>
        <v>0</v>
      </c>
      <c r="AF50" s="436">
        <f>IF(NFI_Expiration=1,IF($A50&lt;VLOOKUP(O$5,NFI,5,0),1,0)*Table_NFI[[#This Row],[Clothes Kit]],Table_NFI[Clothes Kit])</f>
        <v>0</v>
      </c>
      <c r="AG50" s="436">
        <f>IF(NFI_Expiration=1,IF($A50&lt;VLOOKUP(P$5,NFI,5,0),1,0)*Table_NFI[[#This Row],[Plastic Bucket]],Table_NFI[Plastic Bucket])</f>
        <v>0</v>
      </c>
      <c r="AH50" s="436">
        <f>IF(NFI_Expiration=1,IF($A50&lt;VLOOKUP(Q$5,NFI,5,0),1,0)*Table_NFI[[#This Row],[Plastic Mat]],Table_NFI[Plastic Mat])*IF(Table_NFI[[#This Row],[Distribution Date]]&gt;"2014-04-01",1,2.5)</f>
        <v>0</v>
      </c>
      <c r="AI50" s="436">
        <f>IF(NFI_Expiration=1,IF($A50&lt;VLOOKUP(R$5,NFI,5,0),1,0)*Table_NFI[[#This Row],[Winter Clothes Adult]],Table_NFI[Winter Clothes Adult])</f>
        <v>865</v>
      </c>
      <c r="AJ50" s="436">
        <f>IF(NFI_Expiration=1,IF($A50&lt;VLOOKUP(S$5,NFI,5,0),1,0)*Table_NFI[[#This Row],[Winter Clothes Children]],Table_NFI[Winter Clothes Children])</f>
        <v>924</v>
      </c>
      <c r="AK50" s="436">
        <f>IF(NFI_Expiration=1,IF($A50&lt;VLOOKUP(T$5,NFI,5,0),1,0)*Table_NFI[[#This Row],[Winter Items Other]],Table_NFI[Winter Items Other])</f>
        <v>0</v>
      </c>
      <c r="AL50" s="436">
        <f>IF(NFI_Expiration=1,IF($A50&lt;VLOOKUP(M$5,NFI,5,0),1,0)*Table_NFI[[#This Row],[Winter Blanket]],Table_NFI[[#This Row],[Winter Blanket]])</f>
        <v>918</v>
      </c>
      <c r="AM50" s="436">
        <f>IF(Table_NFI[[#This Row],[Winter Clothes Adult]]+Table_NFI[[#This Row],[Winter Clothes Children]]+Table_NFI[[#This Row],[Winter Items Other]]+Table_NFI[[#This Row],[Winter Blanket]]&gt;0,1,0)</f>
        <v>1</v>
      </c>
      <c r="AN50" s="439">
        <f>IF(NFI_Expiration=1,IF($A50&lt;VLOOKUP(V$5,NFI,5,0),1,0)*Table_NFI[[#This Row],[Jerry Can]],Table_NFI[Jerry Can])</f>
        <v>0</v>
      </c>
      <c r="AO50" s="835" t="str">
        <f>IFERROR(VLOOKUP(Table_NFI[[#This Row],[Camp Name]],CL,2,0),"")</f>
        <v>MMR001CMP122</v>
      </c>
      <c r="AP50" s="836">
        <f ca="1">IF(Table_NFI[[#This Row],[Pcode]]="","",IF(OFFSET(CampList[Opening Date],MATCH(Table_NFI[[#This Row],[Pcode]],CampList[CP_Pcode],0)-1,0,1,1)&gt;=NFI_Monitor_Date,1,0))</f>
        <v>0</v>
      </c>
      <c r="AQ50" s="781" t="str">
        <f>IFERROR(VLOOKUP(Table_NFI[[#This Row],[Camp Name]],CL,3,0),"")</f>
        <v>Open</v>
      </c>
      <c r="AR50" s="439" t="str">
        <f ca="1">IF(Table_NFI[[#This Row],[Pcode]]="","",OFFSET(CampList[Priority],MATCH(Table_NFI[[#This Row],[Pcode]],CampList[CP_Pcode],0)-1,0,1,1))</f>
        <v>P2</v>
      </c>
      <c r="AS50" s="438">
        <f>IFERROR(Table_NFI[[#This Row],[Kitchen Set]]/VLOOKUP(Table_NFI[[#This Row],[Camp Name]],CL,4,0),"")</f>
        <v>0</v>
      </c>
      <c r="AT50" s="769" t="s">
        <v>1099</v>
      </c>
      <c r="AU50" s="838"/>
    </row>
    <row r="51" spans="1:47" s="136" customFormat="1" x14ac:dyDescent="0.25">
      <c r="A51" s="451">
        <f t="shared" si="0"/>
        <v>10.633333333333333</v>
      </c>
      <c r="B51" s="829">
        <v>42051</v>
      </c>
      <c r="C51" s="830" t="s">
        <v>454</v>
      </c>
      <c r="D51" s="830" t="s">
        <v>508</v>
      </c>
      <c r="E51" s="830" t="s">
        <v>380</v>
      </c>
      <c r="F51" s="830" t="s">
        <v>310</v>
      </c>
      <c r="G51" s="830" t="s">
        <v>196</v>
      </c>
      <c r="H51" s="831"/>
      <c r="I51" s="831"/>
      <c r="J51" s="831"/>
      <c r="K51" s="831"/>
      <c r="L51" s="831"/>
      <c r="M51" s="831"/>
      <c r="N51" s="831"/>
      <c r="O51" s="831"/>
      <c r="P51" s="832"/>
      <c r="Q51" s="832"/>
      <c r="R51" s="832">
        <v>2676</v>
      </c>
      <c r="S51" s="832">
        <v>2672</v>
      </c>
      <c r="T51" s="832"/>
      <c r="U51" s="832">
        <v>3186</v>
      </c>
      <c r="V51" s="839"/>
      <c r="W51" s="832"/>
      <c r="X51" s="832"/>
      <c r="Y51" s="436">
        <f>IF(NFI_Expiration=1,IF($A51&lt;VLOOKUP(H$5,NFI,5,0),1,0)*Table_NFI[[#This Row],[Hygiene Kit]],Table_NFI[Hygiene Kit])</f>
        <v>0</v>
      </c>
      <c r="Z51" s="436">
        <f>IF(NFI_Expiration=1,IF($A51&lt;VLOOKUP(I$5,NFI,5,0),1,0)*Table_NFI[[#This Row],[NFI Core Kit]],Table_NFI[NFI Core Kit])</f>
        <v>0</v>
      </c>
      <c r="AA51" s="436">
        <f>IF(NFI_Expiration=1,IF($A51&lt;VLOOKUP(J$5,NFI,5,0),1,0)*Table_NFI[[#This Row],[Sanitary Kit]],Table_NFI[Sanitary Kit])</f>
        <v>0</v>
      </c>
      <c r="AB51" s="436">
        <f>IF(NFI_Expiration=1,IF($A51&lt;VLOOKUP(K$5,NFI,5,0),1,0)*Table_NFI[[#This Row],[Mosquito net]],Table_NFI[Mosquito net])</f>
        <v>0</v>
      </c>
      <c r="AC51" s="436">
        <f>IF(NFI_Expiration=1,IF($A51&lt;VLOOKUP(L$5,NFI,5,0),1,0)*Table_NFI[[#This Row],[Tarpaulin]],Table_NFI[[#This Row],[Tarpaulin]])</f>
        <v>0</v>
      </c>
      <c r="AD51" s="436">
        <f>IF(NFI_Expiration=1,IF($A51&lt;VLOOKUP(M$5,NFI,5,0),1,0)*Table_NFI[[#This Row],[Blanket]],Table_NFI[[#This Row],[Blanket]])</f>
        <v>0</v>
      </c>
      <c r="AE51" s="436">
        <f>IF(NFI_Expiration=1,IF($A51&lt;VLOOKUP(N$5,NFI,5,0),1,0)*Table_NFI[[#This Row],[Kitchen Set]],Table_NFI[Kitchen Set])</f>
        <v>0</v>
      </c>
      <c r="AF51" s="436">
        <f>IF(NFI_Expiration=1,IF($A51&lt;VLOOKUP(O$5,NFI,5,0),1,0)*Table_NFI[[#This Row],[Clothes Kit]],Table_NFI[Clothes Kit])</f>
        <v>0</v>
      </c>
      <c r="AG51" s="436">
        <f>IF(NFI_Expiration=1,IF($A51&lt;VLOOKUP(P$5,NFI,5,0),1,0)*Table_NFI[[#This Row],[Plastic Bucket]],Table_NFI[Plastic Bucket])</f>
        <v>0</v>
      </c>
      <c r="AH51" s="436">
        <f>IF(NFI_Expiration=1,IF($A51&lt;VLOOKUP(Q$5,NFI,5,0),1,0)*Table_NFI[[#This Row],[Plastic Mat]],Table_NFI[Plastic Mat])*IF(Table_NFI[[#This Row],[Distribution Date]]&gt;"2014-04-01",1,2.5)</f>
        <v>0</v>
      </c>
      <c r="AI51" s="436">
        <f>IF(NFI_Expiration=1,IF($A51&lt;VLOOKUP(R$5,NFI,5,0),1,0)*Table_NFI[[#This Row],[Winter Clothes Adult]],Table_NFI[Winter Clothes Adult])</f>
        <v>2676</v>
      </c>
      <c r="AJ51" s="436">
        <f>IF(NFI_Expiration=1,IF($A51&lt;VLOOKUP(S$5,NFI,5,0),1,0)*Table_NFI[[#This Row],[Winter Clothes Children]],Table_NFI[Winter Clothes Children])</f>
        <v>2672</v>
      </c>
      <c r="AK51" s="436">
        <f>IF(NFI_Expiration=1,IF($A51&lt;VLOOKUP(T$5,NFI,5,0),1,0)*Table_NFI[[#This Row],[Winter Items Other]],Table_NFI[Winter Items Other])</f>
        <v>0</v>
      </c>
      <c r="AL51" s="436">
        <f>IF(NFI_Expiration=1,IF($A51&lt;VLOOKUP(M$5,NFI,5,0),1,0)*Table_NFI[[#This Row],[Winter Blanket]],Table_NFI[[#This Row],[Winter Blanket]])</f>
        <v>3186</v>
      </c>
      <c r="AM51" s="436">
        <f>IF(Table_NFI[[#This Row],[Winter Clothes Adult]]+Table_NFI[[#This Row],[Winter Clothes Children]]+Table_NFI[[#This Row],[Winter Items Other]]+Table_NFI[[#This Row],[Winter Blanket]]&gt;0,1,0)</f>
        <v>1</v>
      </c>
      <c r="AN51" s="439">
        <f>IF(NFI_Expiration=1,IF($A51&lt;VLOOKUP(V$5,NFI,5,0),1,0)*Table_NFI[[#This Row],[Jerry Can]],Table_NFI[Jerry Can])</f>
        <v>0</v>
      </c>
      <c r="AO51" s="835" t="str">
        <f>IFERROR(VLOOKUP(Table_NFI[[#This Row],[Camp Name]],CL,2,0),"")</f>
        <v>MMR001CMP121</v>
      </c>
      <c r="AP51" s="836">
        <f ca="1">IF(Table_NFI[[#This Row],[Pcode]]="","",IF(OFFSET(CampList[Opening Date],MATCH(Table_NFI[[#This Row],[Pcode]],CampList[CP_Pcode],0)-1,0,1,1)&gt;=NFI_Monitor_Date,1,0))</f>
        <v>0</v>
      </c>
      <c r="AQ51" s="781" t="str">
        <f>IFERROR(VLOOKUP(Table_NFI[[#This Row],[Camp Name]],CL,3,0),"")</f>
        <v>Open</v>
      </c>
      <c r="AR51" s="439" t="str">
        <f ca="1">IF(Table_NFI[[#This Row],[Pcode]]="","",OFFSET(CampList[Priority],MATCH(Table_NFI[[#This Row],[Pcode]],CampList[CP_Pcode],0)-1,0,1,1))</f>
        <v>P2</v>
      </c>
      <c r="AS51" s="438">
        <f>IFERROR(Table_NFI[[#This Row],[Kitchen Set]]/VLOOKUP(Table_NFI[[#This Row],[Camp Name]],CL,4,0),"")</f>
        <v>0</v>
      </c>
      <c r="AT51" s="769" t="s">
        <v>1099</v>
      </c>
      <c r="AU51" s="838"/>
    </row>
    <row r="52" spans="1:47" s="774" customFormat="1" x14ac:dyDescent="0.25">
      <c r="A52" s="451">
        <f t="shared" si="0"/>
        <v>10.633333333333333</v>
      </c>
      <c r="B52" s="829">
        <v>42051</v>
      </c>
      <c r="C52" s="830" t="s">
        <v>454</v>
      </c>
      <c r="D52" s="830" t="s">
        <v>508</v>
      </c>
      <c r="E52" s="830" t="s">
        <v>380</v>
      </c>
      <c r="F52" s="830" t="s">
        <v>310</v>
      </c>
      <c r="G52" s="830" t="s">
        <v>1262</v>
      </c>
      <c r="H52" s="831"/>
      <c r="I52" s="831"/>
      <c r="J52" s="831"/>
      <c r="K52" s="831"/>
      <c r="L52" s="831"/>
      <c r="M52" s="831"/>
      <c r="N52" s="831"/>
      <c r="O52" s="831"/>
      <c r="P52" s="832"/>
      <c r="Q52" s="832"/>
      <c r="R52" s="832">
        <v>1119</v>
      </c>
      <c r="S52" s="832">
        <v>1455</v>
      </c>
      <c r="T52" s="832"/>
      <c r="U52" s="832">
        <v>1080</v>
      </c>
      <c r="V52" s="839"/>
      <c r="W52" s="832"/>
      <c r="X52" s="832"/>
      <c r="Y52" s="436">
        <f>IF(NFI_Expiration=1,IF($A52&lt;VLOOKUP(H$5,NFI,5,0),1,0)*Table_NFI[[#This Row],[Hygiene Kit]],Table_NFI[Hygiene Kit])</f>
        <v>0</v>
      </c>
      <c r="Z52" s="436">
        <f>IF(NFI_Expiration=1,IF($A52&lt;VLOOKUP(I$5,NFI,5,0),1,0)*Table_NFI[[#This Row],[NFI Core Kit]],Table_NFI[NFI Core Kit])</f>
        <v>0</v>
      </c>
      <c r="AA52" s="436">
        <f>IF(NFI_Expiration=1,IF($A52&lt;VLOOKUP(J$5,NFI,5,0),1,0)*Table_NFI[[#This Row],[Sanitary Kit]],Table_NFI[Sanitary Kit])</f>
        <v>0</v>
      </c>
      <c r="AB52" s="436">
        <f>IF(NFI_Expiration=1,IF($A52&lt;VLOOKUP(K$5,NFI,5,0),1,0)*Table_NFI[[#This Row],[Mosquito net]],Table_NFI[Mosquito net])</f>
        <v>0</v>
      </c>
      <c r="AC52" s="436">
        <f>IF(NFI_Expiration=1,IF($A52&lt;VLOOKUP(L$5,NFI,5,0),1,0)*Table_NFI[[#This Row],[Tarpaulin]],Table_NFI[[#This Row],[Tarpaulin]])</f>
        <v>0</v>
      </c>
      <c r="AD52" s="436">
        <f>IF(NFI_Expiration=1,IF($A52&lt;VLOOKUP(M$5,NFI,5,0),1,0)*Table_NFI[[#This Row],[Blanket]],Table_NFI[[#This Row],[Blanket]])</f>
        <v>0</v>
      </c>
      <c r="AE52" s="436">
        <f>IF(NFI_Expiration=1,IF($A52&lt;VLOOKUP(N$5,NFI,5,0),1,0)*Table_NFI[[#This Row],[Kitchen Set]],Table_NFI[Kitchen Set])</f>
        <v>0</v>
      </c>
      <c r="AF52" s="436">
        <f>IF(NFI_Expiration=1,IF($A52&lt;VLOOKUP(O$5,NFI,5,0),1,0)*Table_NFI[[#This Row],[Clothes Kit]],Table_NFI[Clothes Kit])</f>
        <v>0</v>
      </c>
      <c r="AG52" s="436">
        <f>IF(NFI_Expiration=1,IF($A52&lt;VLOOKUP(P$5,NFI,5,0),1,0)*Table_NFI[[#This Row],[Plastic Bucket]],Table_NFI[Plastic Bucket])</f>
        <v>0</v>
      </c>
      <c r="AH52" s="436">
        <f>IF(NFI_Expiration=1,IF($A52&lt;VLOOKUP(Q$5,NFI,5,0),1,0)*Table_NFI[[#This Row],[Plastic Mat]],Table_NFI[Plastic Mat])*IF(Table_NFI[[#This Row],[Distribution Date]]&gt;"2014-04-01",1,2.5)</f>
        <v>0</v>
      </c>
      <c r="AI52" s="436">
        <f>IF(NFI_Expiration=1,IF($A52&lt;VLOOKUP(R$5,NFI,5,0),1,0)*Table_NFI[[#This Row],[Winter Clothes Adult]],Table_NFI[Winter Clothes Adult])</f>
        <v>1119</v>
      </c>
      <c r="AJ52" s="436">
        <f>IF(NFI_Expiration=1,IF($A52&lt;VLOOKUP(S$5,NFI,5,0),1,0)*Table_NFI[[#This Row],[Winter Clothes Children]],Table_NFI[Winter Clothes Children])</f>
        <v>1455</v>
      </c>
      <c r="AK52" s="436">
        <f>IF(NFI_Expiration=1,IF($A52&lt;VLOOKUP(T$5,NFI,5,0),1,0)*Table_NFI[[#This Row],[Winter Items Other]],Table_NFI[Winter Items Other])</f>
        <v>0</v>
      </c>
      <c r="AL52" s="436">
        <f>IF(NFI_Expiration=1,IF($A52&lt;VLOOKUP(M$5,NFI,5,0),1,0)*Table_NFI[[#This Row],[Winter Blanket]],Table_NFI[[#This Row],[Winter Blanket]])</f>
        <v>1080</v>
      </c>
      <c r="AM52" s="436">
        <f>IF(Table_NFI[[#This Row],[Winter Clothes Adult]]+Table_NFI[[#This Row],[Winter Clothes Children]]+Table_NFI[[#This Row],[Winter Items Other]]+Table_NFI[[#This Row],[Winter Blanket]]&gt;0,1,0)</f>
        <v>1</v>
      </c>
      <c r="AN52" s="439">
        <f>IF(NFI_Expiration=1,IF($A52&lt;VLOOKUP(V$5,NFI,5,0),1,0)*Table_NFI[[#This Row],[Jerry Can]],Table_NFI[Jerry Can])</f>
        <v>0</v>
      </c>
      <c r="AO52" s="835" t="str">
        <f>IFERROR(VLOOKUP(Table_NFI[[#This Row],[Camp Name]],CL,2,0),"")</f>
        <v>MMR001CMP117</v>
      </c>
      <c r="AP52" s="836">
        <f ca="1">IF(Table_NFI[[#This Row],[Pcode]]="","",IF(OFFSET(CampList[Opening Date],MATCH(Table_NFI[[#This Row],[Pcode]],CampList[CP_Pcode],0)-1,0,1,1)&gt;=NFI_Monitor_Date,1,0))</f>
        <v>0</v>
      </c>
      <c r="AQ52" s="781" t="str">
        <f>IFERROR(VLOOKUP(Table_NFI[[#This Row],[Camp Name]],CL,3,0),"")</f>
        <v>Closed</v>
      </c>
      <c r="AR52" s="439" t="str">
        <f ca="1">IF(Table_NFI[[#This Row],[Pcode]]="","",OFFSET(CampList[Priority],MATCH(Table_NFI[[#This Row],[Pcode]],CampList[CP_Pcode],0)-1,0,1,1))</f>
        <v>P2</v>
      </c>
      <c r="AS52" s="438" t="str">
        <f>IFERROR(Table_NFI[[#This Row],[Kitchen Set]]/VLOOKUP(Table_NFI[[#This Row],[Camp Name]],CL,4,0),"")</f>
        <v/>
      </c>
      <c r="AT52" s="769" t="s">
        <v>1099</v>
      </c>
      <c r="AU52" s="838"/>
    </row>
    <row r="53" spans="1:47" s="774" customFormat="1" x14ac:dyDescent="0.25">
      <c r="A53" s="451">
        <f t="shared" si="0"/>
        <v>10.633333333333333</v>
      </c>
      <c r="B53" s="829">
        <v>42051</v>
      </c>
      <c r="C53" s="830" t="s">
        <v>454</v>
      </c>
      <c r="D53" s="830" t="s">
        <v>508</v>
      </c>
      <c r="E53" s="830" t="s">
        <v>380</v>
      </c>
      <c r="F53" s="830" t="s">
        <v>310</v>
      </c>
      <c r="G53" s="830" t="s">
        <v>353</v>
      </c>
      <c r="H53" s="831"/>
      <c r="I53" s="831"/>
      <c r="J53" s="831"/>
      <c r="K53" s="831"/>
      <c r="L53" s="831"/>
      <c r="M53" s="831"/>
      <c r="N53" s="831"/>
      <c r="O53" s="831"/>
      <c r="P53" s="832"/>
      <c r="Q53" s="832"/>
      <c r="R53" s="832">
        <v>1620</v>
      </c>
      <c r="S53" s="832">
        <v>2207</v>
      </c>
      <c r="T53" s="832"/>
      <c r="U53" s="832">
        <v>1760</v>
      </c>
      <c r="V53" s="839"/>
      <c r="W53" s="832"/>
      <c r="X53" s="832"/>
      <c r="Y53" s="436">
        <f>IF(NFI_Expiration=1,IF($A53&lt;VLOOKUP(H$5,NFI,5,0),1,0)*Table_NFI[[#This Row],[Hygiene Kit]],Table_NFI[Hygiene Kit])</f>
        <v>0</v>
      </c>
      <c r="Z53" s="436">
        <f>IF(NFI_Expiration=1,IF($A53&lt;VLOOKUP(I$5,NFI,5,0),1,0)*Table_NFI[[#This Row],[NFI Core Kit]],Table_NFI[NFI Core Kit])</f>
        <v>0</v>
      </c>
      <c r="AA53" s="436">
        <f>IF(NFI_Expiration=1,IF($A53&lt;VLOOKUP(J$5,NFI,5,0),1,0)*Table_NFI[[#This Row],[Sanitary Kit]],Table_NFI[Sanitary Kit])</f>
        <v>0</v>
      </c>
      <c r="AB53" s="436">
        <f>IF(NFI_Expiration=1,IF($A53&lt;VLOOKUP(K$5,NFI,5,0),1,0)*Table_NFI[[#This Row],[Mosquito net]],Table_NFI[Mosquito net])</f>
        <v>0</v>
      </c>
      <c r="AC53" s="436">
        <f>IF(NFI_Expiration=1,IF($A53&lt;VLOOKUP(L$5,NFI,5,0),1,0)*Table_NFI[[#This Row],[Tarpaulin]],Table_NFI[[#This Row],[Tarpaulin]])</f>
        <v>0</v>
      </c>
      <c r="AD53" s="436">
        <f>IF(NFI_Expiration=1,IF($A53&lt;VLOOKUP(M$5,NFI,5,0),1,0)*Table_NFI[[#This Row],[Blanket]],Table_NFI[[#This Row],[Blanket]])</f>
        <v>0</v>
      </c>
      <c r="AE53" s="436">
        <f>IF(NFI_Expiration=1,IF($A53&lt;VLOOKUP(N$5,NFI,5,0),1,0)*Table_NFI[[#This Row],[Kitchen Set]],Table_NFI[Kitchen Set])</f>
        <v>0</v>
      </c>
      <c r="AF53" s="436">
        <f>IF(NFI_Expiration=1,IF($A53&lt;VLOOKUP(O$5,NFI,5,0),1,0)*Table_NFI[[#This Row],[Clothes Kit]],Table_NFI[Clothes Kit])</f>
        <v>0</v>
      </c>
      <c r="AG53" s="436">
        <f>IF(NFI_Expiration=1,IF($A53&lt;VLOOKUP(P$5,NFI,5,0),1,0)*Table_NFI[[#This Row],[Plastic Bucket]],Table_NFI[Plastic Bucket])</f>
        <v>0</v>
      </c>
      <c r="AH53" s="436">
        <f>IF(NFI_Expiration=1,IF($A53&lt;VLOOKUP(Q$5,NFI,5,0),1,0)*Table_NFI[[#This Row],[Plastic Mat]],Table_NFI[Plastic Mat])*IF(Table_NFI[[#This Row],[Distribution Date]]&gt;"2014-04-01",1,2.5)</f>
        <v>0</v>
      </c>
      <c r="AI53" s="436">
        <f>IF(NFI_Expiration=1,IF($A53&lt;VLOOKUP(R$5,NFI,5,0),1,0)*Table_NFI[[#This Row],[Winter Clothes Adult]],Table_NFI[Winter Clothes Adult])</f>
        <v>1620</v>
      </c>
      <c r="AJ53" s="436">
        <f>IF(NFI_Expiration=1,IF($A53&lt;VLOOKUP(S$5,NFI,5,0),1,0)*Table_NFI[[#This Row],[Winter Clothes Children]],Table_NFI[Winter Clothes Children])</f>
        <v>2207</v>
      </c>
      <c r="AK53" s="436">
        <f>IF(NFI_Expiration=1,IF($A53&lt;VLOOKUP(T$5,NFI,5,0),1,0)*Table_NFI[[#This Row],[Winter Items Other]],Table_NFI[Winter Items Other])</f>
        <v>0</v>
      </c>
      <c r="AL53" s="436">
        <f>IF(NFI_Expiration=1,IF($A53&lt;VLOOKUP(M$5,NFI,5,0),1,0)*Table_NFI[[#This Row],[Winter Blanket]],Table_NFI[[#This Row],[Winter Blanket]])</f>
        <v>1760</v>
      </c>
      <c r="AM53" s="436">
        <f>IF(Table_NFI[[#This Row],[Winter Clothes Adult]]+Table_NFI[[#This Row],[Winter Clothes Children]]+Table_NFI[[#This Row],[Winter Items Other]]+Table_NFI[[#This Row],[Winter Blanket]]&gt;0,1,0)</f>
        <v>1</v>
      </c>
      <c r="AN53" s="439">
        <f>IF(NFI_Expiration=1,IF($A53&lt;VLOOKUP(V$5,NFI,5,0),1,0)*Table_NFI[[#This Row],[Jerry Can]],Table_NFI[Jerry Can])</f>
        <v>0</v>
      </c>
      <c r="AO53" s="835" t="str">
        <f>IFERROR(VLOOKUP(Table_NFI[[#This Row],[Camp Name]],CL,2,0),"")</f>
        <v>MMR001CMP116</v>
      </c>
      <c r="AP53" s="836">
        <f ca="1">IF(Table_NFI[[#This Row],[Pcode]]="","",IF(OFFSET(CampList[Opening Date],MATCH(Table_NFI[[#This Row],[Pcode]],CampList[CP_Pcode],0)-1,0,1,1)&gt;=NFI_Monitor_Date,1,0))</f>
        <v>0</v>
      </c>
      <c r="AQ53" s="781" t="str">
        <f>IFERROR(VLOOKUP(Table_NFI[[#This Row],[Camp Name]],CL,3,0),"")</f>
        <v>Open</v>
      </c>
      <c r="AR53" s="439" t="str">
        <f ca="1">IF(Table_NFI[[#This Row],[Pcode]]="","",OFFSET(CampList[Priority],MATCH(Table_NFI[[#This Row],[Pcode]],CampList[CP_Pcode],0)-1,0,1,1))</f>
        <v>P4</v>
      </c>
      <c r="AS53" s="438">
        <f>IFERROR(Table_NFI[[#This Row],[Kitchen Set]]/VLOOKUP(Table_NFI[[#This Row],[Camp Name]],CL,4,0),"")</f>
        <v>0</v>
      </c>
      <c r="AT53" s="769" t="s">
        <v>1099</v>
      </c>
      <c r="AU53" s="838"/>
    </row>
    <row r="54" spans="1:47" s="774" customFormat="1" x14ac:dyDescent="0.25">
      <c r="A54" s="451">
        <f t="shared" si="0"/>
        <v>10.733333333333333</v>
      </c>
      <c r="B54" s="768">
        <v>42048</v>
      </c>
      <c r="C54" s="779" t="s">
        <v>454</v>
      </c>
      <c r="D54" s="779" t="s">
        <v>1282</v>
      </c>
      <c r="E54" s="779" t="s">
        <v>555</v>
      </c>
      <c r="F54" s="779" t="s">
        <v>146</v>
      </c>
      <c r="G54" s="779" t="s">
        <v>1472</v>
      </c>
      <c r="H54" s="437"/>
      <c r="I54" s="437">
        <v>68</v>
      </c>
      <c r="J54" s="437">
        <v>54</v>
      </c>
      <c r="K54" s="437">
        <v>134</v>
      </c>
      <c r="L54" s="437">
        <v>68</v>
      </c>
      <c r="M54" s="437">
        <v>134</v>
      </c>
      <c r="N54" s="437">
        <v>68</v>
      </c>
      <c r="O54" s="437"/>
      <c r="P54" s="439">
        <v>68</v>
      </c>
      <c r="Q54" s="439">
        <v>134</v>
      </c>
      <c r="R54" s="439"/>
      <c r="S54" s="439"/>
      <c r="T54" s="439"/>
      <c r="U54" s="439"/>
      <c r="V54" s="439">
        <v>68</v>
      </c>
      <c r="W54" s="439"/>
      <c r="X54" s="439"/>
      <c r="Y54" s="436">
        <f>IF(NFI_Expiration=1,IF($A54&lt;VLOOKUP(H$5,NFI,5,0),1,0)*Table_NFI[[#This Row],[Hygiene Kit]],Table_NFI[Hygiene Kit])</f>
        <v>0</v>
      </c>
      <c r="Z54" s="436">
        <f>IF(NFI_Expiration=1,IF($A54&lt;VLOOKUP(I$5,NFI,5,0),1,0)*Table_NFI[[#This Row],[NFI Core Kit]],Table_NFI[NFI Core Kit])</f>
        <v>68</v>
      </c>
      <c r="AA54" s="436">
        <f>IF(NFI_Expiration=1,IF($A54&lt;VLOOKUP(J$5,NFI,5,0),1,0)*Table_NFI[[#This Row],[Sanitary Kit]],Table_NFI[Sanitary Kit])</f>
        <v>54</v>
      </c>
      <c r="AB54" s="436">
        <f>IF(NFI_Expiration=1,IF($A54&lt;VLOOKUP(K$5,NFI,5,0),1,0)*Table_NFI[[#This Row],[Mosquito net]],Table_NFI[Mosquito net])</f>
        <v>134</v>
      </c>
      <c r="AC54" s="436">
        <f>IF(NFI_Expiration=1,IF($A54&lt;VLOOKUP(L$5,NFI,5,0),1,0)*Table_NFI[[#This Row],[Tarpaulin]],Table_NFI[[#This Row],[Tarpaulin]])</f>
        <v>68</v>
      </c>
      <c r="AD54" s="436">
        <f>IF(NFI_Expiration=1,IF($A54&lt;VLOOKUP(M$5,NFI,5,0),1,0)*Table_NFI[[#This Row],[Blanket]],Table_NFI[[#This Row],[Blanket]])</f>
        <v>134</v>
      </c>
      <c r="AE54" s="436">
        <f>IF(NFI_Expiration=1,IF($A54&lt;VLOOKUP(N$5,NFI,5,0),1,0)*Table_NFI[[#This Row],[Kitchen Set]],Table_NFI[Kitchen Set])</f>
        <v>68</v>
      </c>
      <c r="AF54" s="436">
        <f>IF(NFI_Expiration=1,IF($A54&lt;VLOOKUP(O$5,NFI,5,0),1,0)*Table_NFI[[#This Row],[Clothes Kit]],Table_NFI[Clothes Kit])</f>
        <v>0</v>
      </c>
      <c r="AG54" s="436">
        <f>IF(NFI_Expiration=1,IF($A54&lt;VLOOKUP(P$5,NFI,5,0),1,0)*Table_NFI[[#This Row],[Plastic Bucket]],Table_NFI[Plastic Bucket])</f>
        <v>68</v>
      </c>
      <c r="AH54" s="436">
        <f>IF(NFI_Expiration=1,IF($A54&lt;VLOOKUP(Q$5,NFI,5,0),1,0)*Table_NFI[[#This Row],[Plastic Mat]],Table_NFI[Plastic Mat])*IF(Table_NFI[[#This Row],[Distribution Date]]&gt;"2014-04-01",1,2.5)</f>
        <v>335</v>
      </c>
      <c r="AI54" s="436">
        <f>IF(NFI_Expiration=1,IF($A54&lt;VLOOKUP(R$5,NFI,5,0),1,0)*Table_NFI[[#This Row],[Winter Clothes Adult]],Table_NFI[Winter Clothes Adult])</f>
        <v>0</v>
      </c>
      <c r="AJ54" s="436">
        <f>IF(NFI_Expiration=1,IF($A54&lt;VLOOKUP(S$5,NFI,5,0),1,0)*Table_NFI[[#This Row],[Winter Clothes Children]],Table_NFI[Winter Clothes Children])</f>
        <v>0</v>
      </c>
      <c r="AK54" s="436">
        <f>IF(NFI_Expiration=1,IF($A54&lt;VLOOKUP(T$5,NFI,5,0),1,0)*Table_NFI[[#This Row],[Winter Items Other]],Table_NFI[Winter Items Other])</f>
        <v>0</v>
      </c>
      <c r="AL54" s="436">
        <f>IF(NFI_Expiration=1,IF($A54&lt;VLOOKUP(M$5,NFI,5,0),1,0)*Table_NFI[[#This Row],[Winter Blanket]],Table_NFI[[#This Row],[Winter Blanket]])</f>
        <v>0</v>
      </c>
      <c r="AM54" s="436">
        <f>IF(Table_NFI[[#This Row],[Winter Clothes Adult]]+Table_NFI[[#This Row],[Winter Clothes Children]]+Table_NFI[[#This Row],[Winter Items Other]]+Table_NFI[[#This Row],[Winter Blanket]]&gt;0,1,0)</f>
        <v>0</v>
      </c>
      <c r="AN54" s="439">
        <f>IF(NFI_Expiration=1,IF($A54&lt;VLOOKUP(V$5,NFI,5,0),1,0)*Table_NFI[[#This Row],[Jerry Can]],Table_NFI[Jerry Can])</f>
        <v>68</v>
      </c>
      <c r="AO54" s="771" t="str">
        <f>IFERROR(VLOOKUP(Table_NFI[[#This Row],[Camp Name]],CL,2,0),"")</f>
        <v/>
      </c>
      <c r="AP54" s="772" t="str">
        <f ca="1">IF(Table_NFI[[#This Row],[Pcode]]="","",IF(OFFSET(CampList[Opening Date],MATCH(Table_NFI[[#This Row],[Pcode]],CampList[CP_Pcode],0)-1,0,1,1)&gt;=NFI_Monitor_Date,1,0))</f>
        <v/>
      </c>
      <c r="AQ54" s="781" t="str">
        <f>IFERROR(VLOOKUP(Table_NFI[[#This Row],[Camp Name]],CL,3,0),"")</f>
        <v/>
      </c>
      <c r="AR54" s="439" t="str">
        <f ca="1">IF(Table_NFI[[#This Row],[Pcode]]="","",OFFSET(CampList[Priority],MATCH(Table_NFI[[#This Row],[Pcode]],CampList[CP_Pcode],0)-1,0,1,1))</f>
        <v/>
      </c>
      <c r="AS54" s="438" t="str">
        <f>IFERROR(Table_NFI[[#This Row],[Kitchen Set]]/VLOOKUP(Table_NFI[[#This Row],[Camp Name]],CL,4,0),"")</f>
        <v/>
      </c>
      <c r="AT54" s="769" t="s">
        <v>1099</v>
      </c>
      <c r="AU54" s="782"/>
    </row>
    <row r="55" spans="1:47" s="136" customFormat="1" x14ac:dyDescent="0.25">
      <c r="A55" s="451">
        <f t="shared" si="0"/>
        <v>10.733333333333333</v>
      </c>
      <c r="B55" s="829">
        <v>42048</v>
      </c>
      <c r="C55" s="830" t="s">
        <v>454</v>
      </c>
      <c r="D55" s="830" t="s">
        <v>508</v>
      </c>
      <c r="E55" s="830" t="s">
        <v>380</v>
      </c>
      <c r="F55" s="830" t="s">
        <v>237</v>
      </c>
      <c r="G55" s="830" t="s">
        <v>273</v>
      </c>
      <c r="H55" s="831"/>
      <c r="I55" s="831"/>
      <c r="J55" s="831"/>
      <c r="K55" s="831"/>
      <c r="L55" s="831"/>
      <c r="M55" s="831">
        <v>18</v>
      </c>
      <c r="N55" s="831">
        <v>9</v>
      </c>
      <c r="O55" s="831"/>
      <c r="P55" s="832">
        <v>29</v>
      </c>
      <c r="Q55" s="832">
        <v>145</v>
      </c>
      <c r="R55" s="832"/>
      <c r="S55" s="832"/>
      <c r="T55" s="832"/>
      <c r="U55" s="832"/>
      <c r="V55" s="839"/>
      <c r="W55" s="832"/>
      <c r="X55" s="832"/>
      <c r="Y55" s="436">
        <f>IF(NFI_Expiration=1,IF($A55&lt;VLOOKUP(H$5,NFI,5,0),1,0)*Table_NFI[[#This Row],[Hygiene Kit]],Table_NFI[Hygiene Kit])</f>
        <v>0</v>
      </c>
      <c r="Z55" s="436">
        <f>IF(NFI_Expiration=1,IF($A55&lt;VLOOKUP(I$5,NFI,5,0),1,0)*Table_NFI[[#This Row],[NFI Core Kit]],Table_NFI[NFI Core Kit])</f>
        <v>0</v>
      </c>
      <c r="AA55" s="436">
        <f>IF(NFI_Expiration=1,IF($A55&lt;VLOOKUP(J$5,NFI,5,0),1,0)*Table_NFI[[#This Row],[Sanitary Kit]],Table_NFI[Sanitary Kit])</f>
        <v>0</v>
      </c>
      <c r="AB55" s="436">
        <f>IF(NFI_Expiration=1,IF($A55&lt;VLOOKUP(K$5,NFI,5,0),1,0)*Table_NFI[[#This Row],[Mosquito net]],Table_NFI[Mosquito net])</f>
        <v>0</v>
      </c>
      <c r="AC55" s="436">
        <f>IF(NFI_Expiration=1,IF($A55&lt;VLOOKUP(L$5,NFI,5,0),1,0)*Table_NFI[[#This Row],[Tarpaulin]],Table_NFI[[#This Row],[Tarpaulin]])</f>
        <v>0</v>
      </c>
      <c r="AD55" s="436">
        <f>IF(NFI_Expiration=1,IF($A55&lt;VLOOKUP(M$5,NFI,5,0),1,0)*Table_NFI[[#This Row],[Blanket]],Table_NFI[[#This Row],[Blanket]])</f>
        <v>18</v>
      </c>
      <c r="AE55" s="436">
        <f>IF(NFI_Expiration=1,IF($A55&lt;VLOOKUP(N$5,NFI,5,0),1,0)*Table_NFI[[#This Row],[Kitchen Set]],Table_NFI[Kitchen Set])</f>
        <v>9</v>
      </c>
      <c r="AF55" s="436">
        <f>IF(NFI_Expiration=1,IF($A55&lt;VLOOKUP(O$5,NFI,5,0),1,0)*Table_NFI[[#This Row],[Clothes Kit]],Table_NFI[Clothes Kit])</f>
        <v>0</v>
      </c>
      <c r="AG55" s="436">
        <f>IF(NFI_Expiration=1,IF($A55&lt;VLOOKUP(P$5,NFI,5,0),1,0)*Table_NFI[[#This Row],[Plastic Bucket]],Table_NFI[Plastic Bucket])</f>
        <v>29</v>
      </c>
      <c r="AH55" s="436">
        <f>IF(NFI_Expiration=1,IF($A55&lt;VLOOKUP(Q$5,NFI,5,0),1,0)*Table_NFI[[#This Row],[Plastic Mat]],Table_NFI[Plastic Mat])*IF(Table_NFI[[#This Row],[Distribution Date]]&gt;"2014-04-01",1,2.5)</f>
        <v>362.5</v>
      </c>
      <c r="AI55" s="436">
        <f>IF(NFI_Expiration=1,IF($A55&lt;VLOOKUP(R$5,NFI,5,0),1,0)*Table_NFI[[#This Row],[Winter Clothes Adult]],Table_NFI[Winter Clothes Adult])</f>
        <v>0</v>
      </c>
      <c r="AJ55" s="436">
        <f>IF(NFI_Expiration=1,IF($A55&lt;VLOOKUP(S$5,NFI,5,0),1,0)*Table_NFI[[#This Row],[Winter Clothes Children]],Table_NFI[Winter Clothes Children])</f>
        <v>0</v>
      </c>
      <c r="AK55" s="436">
        <f>IF(NFI_Expiration=1,IF($A55&lt;VLOOKUP(T$5,NFI,5,0),1,0)*Table_NFI[[#This Row],[Winter Items Other]],Table_NFI[Winter Items Other])</f>
        <v>0</v>
      </c>
      <c r="AL55" s="436">
        <f>IF(NFI_Expiration=1,IF($A55&lt;VLOOKUP(M$5,NFI,5,0),1,0)*Table_NFI[[#This Row],[Winter Blanket]],Table_NFI[[#This Row],[Winter Blanket]])</f>
        <v>0</v>
      </c>
      <c r="AM55" s="436">
        <f>IF(Table_NFI[[#This Row],[Winter Clothes Adult]]+Table_NFI[[#This Row],[Winter Clothes Children]]+Table_NFI[[#This Row],[Winter Items Other]]+Table_NFI[[#This Row],[Winter Blanket]]&gt;0,1,0)</f>
        <v>0</v>
      </c>
      <c r="AN55" s="439">
        <f>IF(NFI_Expiration=1,IF($A55&lt;VLOOKUP(V$5,NFI,5,0),1,0)*Table_NFI[[#This Row],[Jerry Can]],Table_NFI[Jerry Can])</f>
        <v>0</v>
      </c>
      <c r="AO55" s="835" t="str">
        <f>IFERROR(VLOOKUP(Table_NFI[[#This Row],[Camp Name]],CL,2,0),"")</f>
        <v>MMR001CMP162</v>
      </c>
      <c r="AP55" s="836">
        <f ca="1">IF(Table_NFI[[#This Row],[Pcode]]="","",IF(OFFSET(CampList[Opening Date],MATCH(Table_NFI[[#This Row],[Pcode]],CampList[CP_Pcode],0)-1,0,1,1)&gt;=NFI_Monitor_Date,1,0))</f>
        <v>0</v>
      </c>
      <c r="AQ55" s="781" t="str">
        <f>IFERROR(VLOOKUP(Table_NFI[[#This Row],[Camp Name]],CL,3,0),"")</f>
        <v>Open</v>
      </c>
      <c r="AR55" s="439" t="str">
        <f ca="1">IF(Table_NFI[[#This Row],[Pcode]]="","",OFFSET(CampList[Priority],MATCH(Table_NFI[[#This Row],[Pcode]],CampList[CP_Pcode],0)-1,0,1,1))</f>
        <v>P4</v>
      </c>
      <c r="AS55" s="438">
        <f>IFERROR(Table_NFI[[#This Row],[Kitchen Set]]/VLOOKUP(Table_NFI[[#This Row],[Camp Name]],CL,4,0),"")</f>
        <v>0.2</v>
      </c>
      <c r="AT55" s="769" t="s">
        <v>1099</v>
      </c>
      <c r="AU55" s="838"/>
    </row>
    <row r="56" spans="1:47" s="136" customFormat="1" x14ac:dyDescent="0.25">
      <c r="A56" s="451">
        <f t="shared" si="0"/>
        <v>10.833333333333334</v>
      </c>
      <c r="B56" s="768">
        <v>42045</v>
      </c>
      <c r="C56" s="779" t="s">
        <v>454</v>
      </c>
      <c r="D56" s="779" t="s">
        <v>454</v>
      </c>
      <c r="E56" s="779" t="s">
        <v>555</v>
      </c>
      <c r="F56" s="779" t="s">
        <v>151</v>
      </c>
      <c r="G56" s="779" t="s">
        <v>1474</v>
      </c>
      <c r="H56" s="437"/>
      <c r="I56" s="437">
        <v>200</v>
      </c>
      <c r="J56" s="437"/>
      <c r="K56" s="437">
        <v>86</v>
      </c>
      <c r="L56" s="437">
        <v>28</v>
      </c>
      <c r="M56" s="437">
        <v>173</v>
      </c>
      <c r="N56" s="437">
        <v>28</v>
      </c>
      <c r="O56" s="437"/>
      <c r="P56" s="439">
        <v>43</v>
      </c>
      <c r="Q56" s="439">
        <v>199</v>
      </c>
      <c r="R56" s="439"/>
      <c r="S56" s="439"/>
      <c r="T56" s="439"/>
      <c r="U56" s="439"/>
      <c r="V56" s="439">
        <v>42</v>
      </c>
      <c r="W56" s="439"/>
      <c r="X56" s="439"/>
      <c r="Y56" s="436">
        <f>IF(NFI_Expiration=1,IF($A56&lt;VLOOKUP(H$5,NFI,5,0),1,0)*Table_NFI[[#This Row],[Hygiene Kit]],Table_NFI[Hygiene Kit])</f>
        <v>0</v>
      </c>
      <c r="Z56" s="436">
        <f>IF(NFI_Expiration=1,IF($A56&lt;VLOOKUP(I$5,NFI,5,0),1,0)*Table_NFI[[#This Row],[NFI Core Kit]],Table_NFI[NFI Core Kit])</f>
        <v>200</v>
      </c>
      <c r="AA56" s="436">
        <f>IF(NFI_Expiration=1,IF($A56&lt;VLOOKUP(J$5,NFI,5,0),1,0)*Table_NFI[[#This Row],[Sanitary Kit]],Table_NFI[Sanitary Kit])</f>
        <v>0</v>
      </c>
      <c r="AB56" s="436">
        <f>IF(NFI_Expiration=1,IF($A56&lt;VLOOKUP(K$5,NFI,5,0),1,0)*Table_NFI[[#This Row],[Mosquito net]],Table_NFI[Mosquito net])</f>
        <v>86</v>
      </c>
      <c r="AC56" s="436">
        <f>IF(NFI_Expiration=1,IF($A56&lt;VLOOKUP(L$5,NFI,5,0),1,0)*Table_NFI[[#This Row],[Tarpaulin]],Table_NFI[[#This Row],[Tarpaulin]])</f>
        <v>28</v>
      </c>
      <c r="AD56" s="436">
        <f>IF(NFI_Expiration=1,IF($A56&lt;VLOOKUP(M$5,NFI,5,0),1,0)*Table_NFI[[#This Row],[Blanket]],Table_NFI[[#This Row],[Blanket]])</f>
        <v>173</v>
      </c>
      <c r="AE56" s="436">
        <f>IF(NFI_Expiration=1,IF($A56&lt;VLOOKUP(N$5,NFI,5,0),1,0)*Table_NFI[[#This Row],[Kitchen Set]],Table_NFI[Kitchen Set])</f>
        <v>28</v>
      </c>
      <c r="AF56" s="436">
        <f>IF(NFI_Expiration=1,IF($A56&lt;VLOOKUP(O$5,NFI,5,0),1,0)*Table_NFI[[#This Row],[Clothes Kit]],Table_NFI[Clothes Kit])</f>
        <v>0</v>
      </c>
      <c r="AG56" s="436">
        <f>IF(NFI_Expiration=1,IF($A56&lt;VLOOKUP(P$5,NFI,5,0),1,0)*Table_NFI[[#This Row],[Plastic Bucket]],Table_NFI[Plastic Bucket])</f>
        <v>43</v>
      </c>
      <c r="AH56" s="436">
        <f>IF(NFI_Expiration=1,IF($A56&lt;VLOOKUP(Q$5,NFI,5,0),1,0)*Table_NFI[[#This Row],[Plastic Mat]],Table_NFI[Plastic Mat])*IF(Table_NFI[[#This Row],[Distribution Date]]&gt;"2014-04-01",1,2.5)</f>
        <v>497.5</v>
      </c>
      <c r="AI56" s="436">
        <f>IF(NFI_Expiration=1,IF($A56&lt;VLOOKUP(R$5,NFI,5,0),1,0)*Table_NFI[[#This Row],[Winter Clothes Adult]],Table_NFI[Winter Clothes Adult])</f>
        <v>0</v>
      </c>
      <c r="AJ56" s="436">
        <f>IF(NFI_Expiration=1,IF($A56&lt;VLOOKUP(S$5,NFI,5,0),1,0)*Table_NFI[[#This Row],[Winter Clothes Children]],Table_NFI[Winter Clothes Children])</f>
        <v>0</v>
      </c>
      <c r="AK56" s="436">
        <f>IF(NFI_Expiration=1,IF($A56&lt;VLOOKUP(T$5,NFI,5,0),1,0)*Table_NFI[[#This Row],[Winter Items Other]],Table_NFI[Winter Items Other])</f>
        <v>0</v>
      </c>
      <c r="AL56" s="436">
        <f>IF(NFI_Expiration=1,IF($A56&lt;VLOOKUP(M$5,NFI,5,0),1,0)*Table_NFI[[#This Row],[Winter Blanket]],Table_NFI[[#This Row],[Winter Blanket]])</f>
        <v>0</v>
      </c>
      <c r="AM56" s="436">
        <f>IF(Table_NFI[[#This Row],[Winter Clothes Adult]]+Table_NFI[[#This Row],[Winter Clothes Children]]+Table_NFI[[#This Row],[Winter Items Other]]+Table_NFI[[#This Row],[Winter Blanket]]&gt;0,1,0)</f>
        <v>0</v>
      </c>
      <c r="AN56" s="439">
        <f>IF(NFI_Expiration=1,IF($A56&lt;VLOOKUP(V$5,NFI,5,0),1,0)*Table_NFI[[#This Row],[Jerry Can]],Table_NFI[Jerry Can])</f>
        <v>42</v>
      </c>
      <c r="AO56" s="771" t="str">
        <f>IFERROR(VLOOKUP(Table_NFI[[#This Row],[Camp Name]],CL,2,0),"")</f>
        <v/>
      </c>
      <c r="AP56" s="772" t="str">
        <f ca="1">IF(Table_NFI[[#This Row],[Pcode]]="","",IF(OFFSET(CampList[Opening Date],MATCH(Table_NFI[[#This Row],[Pcode]],CampList[CP_Pcode],0)-1,0,1,1)&gt;=NFI_Monitor_Date,1,0))</f>
        <v/>
      </c>
      <c r="AQ56" s="781" t="str">
        <f>IFERROR(VLOOKUP(Table_NFI[[#This Row],[Camp Name]],CL,3,0),"")</f>
        <v/>
      </c>
      <c r="AR56" s="439" t="str">
        <f ca="1">IF(Table_NFI[[#This Row],[Pcode]]="","",OFFSET(CampList[Priority],MATCH(Table_NFI[[#This Row],[Pcode]],CampList[CP_Pcode],0)-1,0,1,1))</f>
        <v/>
      </c>
      <c r="AS56" s="438" t="str">
        <f>IFERROR(Table_NFI[[#This Row],[Kitchen Set]]/VLOOKUP(Table_NFI[[#This Row],[Camp Name]],CL,4,0),"")</f>
        <v/>
      </c>
      <c r="AT56" s="769" t="s">
        <v>1099</v>
      </c>
      <c r="AU56" s="782"/>
    </row>
    <row r="57" spans="1:47" s="136" customFormat="1" x14ac:dyDescent="0.25">
      <c r="A57" s="451">
        <f t="shared" si="0"/>
        <v>10.833333333333334</v>
      </c>
      <c r="B57" s="768">
        <v>42045</v>
      </c>
      <c r="C57" s="769" t="s">
        <v>454</v>
      </c>
      <c r="D57" s="779" t="s">
        <v>454</v>
      </c>
      <c r="E57" s="779" t="s">
        <v>555</v>
      </c>
      <c r="F57" s="779" t="s">
        <v>151</v>
      </c>
      <c r="G57" s="779" t="s">
        <v>1475</v>
      </c>
      <c r="H57" s="437"/>
      <c r="I57" s="437"/>
      <c r="J57" s="437"/>
      <c r="K57" s="437">
        <v>49</v>
      </c>
      <c r="L57" s="437">
        <v>16</v>
      </c>
      <c r="M57" s="437">
        <v>49</v>
      </c>
      <c r="N57" s="437">
        <v>16</v>
      </c>
      <c r="O57" s="437"/>
      <c r="P57" s="439">
        <v>16</v>
      </c>
      <c r="Q57" s="439">
        <v>92</v>
      </c>
      <c r="R57" s="439"/>
      <c r="S57" s="439"/>
      <c r="T57" s="439"/>
      <c r="U57" s="439"/>
      <c r="V57" s="439">
        <v>15</v>
      </c>
      <c r="W57" s="439"/>
      <c r="X57" s="439"/>
      <c r="Y57" s="436">
        <f>IF(NFI_Expiration=1,IF($A57&lt;VLOOKUP(H$5,NFI,5,0),1,0)*Table_NFI[[#This Row],[Hygiene Kit]],Table_NFI[Hygiene Kit])</f>
        <v>0</v>
      </c>
      <c r="Z57" s="436">
        <f>IF(NFI_Expiration=1,IF($A57&lt;VLOOKUP(I$5,NFI,5,0),1,0)*Table_NFI[[#This Row],[NFI Core Kit]],Table_NFI[NFI Core Kit])</f>
        <v>0</v>
      </c>
      <c r="AA57" s="436">
        <f>IF(NFI_Expiration=1,IF($A57&lt;VLOOKUP(J$5,NFI,5,0),1,0)*Table_NFI[[#This Row],[Sanitary Kit]],Table_NFI[Sanitary Kit])</f>
        <v>0</v>
      </c>
      <c r="AB57" s="436">
        <f>IF(NFI_Expiration=1,IF($A57&lt;VLOOKUP(K$5,NFI,5,0),1,0)*Table_NFI[[#This Row],[Mosquito net]],Table_NFI[Mosquito net])</f>
        <v>49</v>
      </c>
      <c r="AC57" s="436">
        <f>IF(NFI_Expiration=1,IF($A57&lt;VLOOKUP(L$5,NFI,5,0),1,0)*Table_NFI[[#This Row],[Tarpaulin]],Table_NFI[[#This Row],[Tarpaulin]])</f>
        <v>16</v>
      </c>
      <c r="AD57" s="436">
        <f>IF(NFI_Expiration=1,IF($A57&lt;VLOOKUP(M$5,NFI,5,0),1,0)*Table_NFI[[#This Row],[Blanket]],Table_NFI[[#This Row],[Blanket]])</f>
        <v>49</v>
      </c>
      <c r="AE57" s="436">
        <f>IF(NFI_Expiration=1,IF($A57&lt;VLOOKUP(N$5,NFI,5,0),1,0)*Table_NFI[[#This Row],[Kitchen Set]],Table_NFI[Kitchen Set])</f>
        <v>16</v>
      </c>
      <c r="AF57" s="436">
        <f>IF(NFI_Expiration=1,IF($A57&lt;VLOOKUP(O$5,NFI,5,0),1,0)*Table_NFI[[#This Row],[Clothes Kit]],Table_NFI[Clothes Kit])</f>
        <v>0</v>
      </c>
      <c r="AG57" s="436">
        <f>IF(NFI_Expiration=1,IF($A57&lt;VLOOKUP(P$5,NFI,5,0),1,0)*Table_NFI[[#This Row],[Plastic Bucket]],Table_NFI[Plastic Bucket])</f>
        <v>16</v>
      </c>
      <c r="AH57" s="436">
        <f>IF(NFI_Expiration=1,IF($A57&lt;VLOOKUP(Q$5,NFI,5,0),1,0)*Table_NFI[[#This Row],[Plastic Mat]],Table_NFI[Plastic Mat])*IF(Table_NFI[[#This Row],[Distribution Date]]&gt;"2014-04-01",1,2.5)</f>
        <v>230</v>
      </c>
      <c r="AI57" s="436">
        <f>IF(NFI_Expiration=1,IF($A57&lt;VLOOKUP(R$5,NFI,5,0),1,0)*Table_NFI[[#This Row],[Winter Clothes Adult]],Table_NFI[Winter Clothes Adult])</f>
        <v>0</v>
      </c>
      <c r="AJ57" s="436">
        <f>IF(NFI_Expiration=1,IF($A57&lt;VLOOKUP(S$5,NFI,5,0),1,0)*Table_NFI[[#This Row],[Winter Clothes Children]],Table_NFI[Winter Clothes Children])</f>
        <v>0</v>
      </c>
      <c r="AK57" s="436">
        <f>IF(NFI_Expiration=1,IF($A57&lt;VLOOKUP(T$5,NFI,5,0),1,0)*Table_NFI[[#This Row],[Winter Items Other]],Table_NFI[Winter Items Other])</f>
        <v>0</v>
      </c>
      <c r="AL57" s="436">
        <f>IF(NFI_Expiration=1,IF($A57&lt;VLOOKUP(M$5,NFI,5,0),1,0)*Table_NFI[[#This Row],[Winter Blanket]],Table_NFI[[#This Row],[Winter Blanket]])</f>
        <v>0</v>
      </c>
      <c r="AM57" s="436">
        <f>IF(Table_NFI[[#This Row],[Winter Clothes Adult]]+Table_NFI[[#This Row],[Winter Clothes Children]]+Table_NFI[[#This Row],[Winter Items Other]]+Table_NFI[[#This Row],[Winter Blanket]]&gt;0,1,0)</f>
        <v>0</v>
      </c>
      <c r="AN57" s="439">
        <f>IF(NFI_Expiration=1,IF($A57&lt;VLOOKUP(V$5,NFI,5,0),1,0)*Table_NFI[[#This Row],[Jerry Can]],Table_NFI[Jerry Can])</f>
        <v>15</v>
      </c>
      <c r="AO57" s="771" t="str">
        <f>IFERROR(VLOOKUP(Table_NFI[[#This Row],[Camp Name]],CL,2,0),"")</f>
        <v/>
      </c>
      <c r="AP57" s="772" t="str">
        <f ca="1">IF(Table_NFI[[#This Row],[Pcode]]="","",IF(OFFSET(CampList[Opening Date],MATCH(Table_NFI[[#This Row],[Pcode]],CampList[CP_Pcode],0)-1,0,1,1)&gt;=NFI_Monitor_Date,1,0))</f>
        <v/>
      </c>
      <c r="AQ57" s="781" t="str">
        <f>IFERROR(VLOOKUP(Table_NFI[[#This Row],[Camp Name]],CL,3,0),"")</f>
        <v/>
      </c>
      <c r="AR57" s="439" t="str">
        <f ca="1">IF(Table_NFI[[#This Row],[Pcode]]="","",OFFSET(CampList[Priority],MATCH(Table_NFI[[#This Row],[Pcode]],CampList[CP_Pcode],0)-1,0,1,1))</f>
        <v/>
      </c>
      <c r="AS57" s="438" t="str">
        <f>IFERROR(Table_NFI[[#This Row],[Kitchen Set]]/VLOOKUP(Table_NFI[[#This Row],[Camp Name]],CL,4,0),"")</f>
        <v/>
      </c>
      <c r="AT57" s="769" t="s">
        <v>1099</v>
      </c>
      <c r="AU57" s="773"/>
    </row>
    <row r="58" spans="1:47" s="774" customFormat="1" x14ac:dyDescent="0.25">
      <c r="A58" s="451">
        <f t="shared" si="0"/>
        <v>10.833333333333334</v>
      </c>
      <c r="B58" s="768">
        <v>42045</v>
      </c>
      <c r="C58" s="769" t="s">
        <v>454</v>
      </c>
      <c r="D58" s="779" t="s">
        <v>454</v>
      </c>
      <c r="E58" s="779" t="s">
        <v>555</v>
      </c>
      <c r="F58" s="779" t="s">
        <v>151</v>
      </c>
      <c r="G58" s="779" t="s">
        <v>1476</v>
      </c>
      <c r="H58" s="437"/>
      <c r="I58" s="437"/>
      <c r="J58" s="437"/>
      <c r="K58" s="437">
        <v>75</v>
      </c>
      <c r="L58" s="437">
        <v>13</v>
      </c>
      <c r="M58" s="437">
        <v>110</v>
      </c>
      <c r="N58" s="437">
        <v>13</v>
      </c>
      <c r="O58" s="437"/>
      <c r="P58" s="439">
        <v>13</v>
      </c>
      <c r="Q58" s="439">
        <v>45</v>
      </c>
      <c r="R58" s="439"/>
      <c r="S58" s="439"/>
      <c r="T58" s="439"/>
      <c r="U58" s="439"/>
      <c r="V58" s="436"/>
      <c r="W58" s="439"/>
      <c r="X58" s="439"/>
      <c r="Y58" s="436">
        <f>IF(NFI_Expiration=1,IF($A58&lt;VLOOKUP(H$5,NFI,5,0),1,0)*Table_NFI[[#This Row],[Hygiene Kit]],Table_NFI[Hygiene Kit])</f>
        <v>0</v>
      </c>
      <c r="Z58" s="436">
        <f>IF(NFI_Expiration=1,IF($A58&lt;VLOOKUP(I$5,NFI,5,0),1,0)*Table_NFI[[#This Row],[NFI Core Kit]],Table_NFI[NFI Core Kit])</f>
        <v>0</v>
      </c>
      <c r="AA58" s="436">
        <f>IF(NFI_Expiration=1,IF($A58&lt;VLOOKUP(J$5,NFI,5,0),1,0)*Table_NFI[[#This Row],[Sanitary Kit]],Table_NFI[Sanitary Kit])</f>
        <v>0</v>
      </c>
      <c r="AB58" s="436">
        <f>IF(NFI_Expiration=1,IF($A58&lt;VLOOKUP(K$5,NFI,5,0),1,0)*Table_NFI[[#This Row],[Mosquito net]],Table_NFI[Mosquito net])</f>
        <v>75</v>
      </c>
      <c r="AC58" s="436">
        <f>IF(NFI_Expiration=1,IF($A58&lt;VLOOKUP(L$5,NFI,5,0),1,0)*Table_NFI[[#This Row],[Tarpaulin]],Table_NFI[[#This Row],[Tarpaulin]])</f>
        <v>13</v>
      </c>
      <c r="AD58" s="436">
        <f>IF(NFI_Expiration=1,IF($A58&lt;VLOOKUP(M$5,NFI,5,0),1,0)*Table_NFI[[#This Row],[Blanket]],Table_NFI[[#This Row],[Blanket]])</f>
        <v>110</v>
      </c>
      <c r="AE58" s="436">
        <f>IF(NFI_Expiration=1,IF($A58&lt;VLOOKUP(N$5,NFI,5,0),1,0)*Table_NFI[[#This Row],[Kitchen Set]],Table_NFI[Kitchen Set])</f>
        <v>13</v>
      </c>
      <c r="AF58" s="436">
        <f>IF(NFI_Expiration=1,IF($A58&lt;VLOOKUP(O$5,NFI,5,0),1,0)*Table_NFI[[#This Row],[Clothes Kit]],Table_NFI[Clothes Kit])</f>
        <v>0</v>
      </c>
      <c r="AG58" s="436">
        <f>IF(NFI_Expiration=1,IF($A58&lt;VLOOKUP(P$5,NFI,5,0),1,0)*Table_NFI[[#This Row],[Plastic Bucket]],Table_NFI[Plastic Bucket])</f>
        <v>13</v>
      </c>
      <c r="AH58" s="436">
        <f>IF(NFI_Expiration=1,IF($A58&lt;VLOOKUP(Q$5,NFI,5,0),1,0)*Table_NFI[[#This Row],[Plastic Mat]],Table_NFI[Plastic Mat])*IF(Table_NFI[[#This Row],[Distribution Date]]&gt;"2014-04-01",1,2.5)</f>
        <v>112.5</v>
      </c>
      <c r="AI58" s="436">
        <f>IF(NFI_Expiration=1,IF($A58&lt;VLOOKUP(R$5,NFI,5,0),1,0)*Table_NFI[[#This Row],[Winter Clothes Adult]],Table_NFI[Winter Clothes Adult])</f>
        <v>0</v>
      </c>
      <c r="AJ58" s="436">
        <f>IF(NFI_Expiration=1,IF($A58&lt;VLOOKUP(S$5,NFI,5,0),1,0)*Table_NFI[[#This Row],[Winter Clothes Children]],Table_NFI[Winter Clothes Children])</f>
        <v>0</v>
      </c>
      <c r="AK58" s="436">
        <f>IF(NFI_Expiration=1,IF($A58&lt;VLOOKUP(T$5,NFI,5,0),1,0)*Table_NFI[[#This Row],[Winter Items Other]],Table_NFI[Winter Items Other])</f>
        <v>0</v>
      </c>
      <c r="AL58" s="436">
        <f>IF(NFI_Expiration=1,IF($A58&lt;VLOOKUP(M$5,NFI,5,0),1,0)*Table_NFI[[#This Row],[Winter Blanket]],Table_NFI[[#This Row],[Winter Blanket]])</f>
        <v>0</v>
      </c>
      <c r="AM58" s="436">
        <f>IF(Table_NFI[[#This Row],[Winter Clothes Adult]]+Table_NFI[[#This Row],[Winter Clothes Children]]+Table_NFI[[#This Row],[Winter Items Other]]+Table_NFI[[#This Row],[Winter Blanket]]&gt;0,1,0)</f>
        <v>0</v>
      </c>
      <c r="AN58" s="439">
        <f>IF(NFI_Expiration=1,IF($A58&lt;VLOOKUP(V$5,NFI,5,0),1,0)*Table_NFI[[#This Row],[Jerry Can]],Table_NFI[Jerry Can])</f>
        <v>0</v>
      </c>
      <c r="AO58" s="771" t="str">
        <f>IFERROR(VLOOKUP(Table_NFI[[#This Row],[Camp Name]],CL,2,0),"")</f>
        <v/>
      </c>
      <c r="AP58" s="772" t="str">
        <f ca="1">IF(Table_NFI[[#This Row],[Pcode]]="","",IF(OFFSET(CampList[Opening Date],MATCH(Table_NFI[[#This Row],[Pcode]],CampList[CP_Pcode],0)-1,0,1,1)&gt;=NFI_Monitor_Date,1,0))</f>
        <v/>
      </c>
      <c r="AQ58" s="781" t="str">
        <f>IFERROR(VLOOKUP(Table_NFI[[#This Row],[Camp Name]],CL,3,0),"")</f>
        <v/>
      </c>
      <c r="AR58" s="439" t="str">
        <f ca="1">IF(Table_NFI[[#This Row],[Pcode]]="","",OFFSET(CampList[Priority],MATCH(Table_NFI[[#This Row],[Pcode]],CampList[CP_Pcode],0)-1,0,1,1))</f>
        <v/>
      </c>
      <c r="AS58" s="438" t="str">
        <f>IFERROR(Table_NFI[[#This Row],[Kitchen Set]]/VLOOKUP(Table_NFI[[#This Row],[Camp Name]],CL,4,0),"")</f>
        <v/>
      </c>
      <c r="AT58" s="769" t="s">
        <v>1099</v>
      </c>
      <c r="AU58" s="773"/>
    </row>
    <row r="59" spans="1:47" s="774" customFormat="1" x14ac:dyDescent="0.25">
      <c r="A59" s="451">
        <f t="shared" si="0"/>
        <v>10.833333333333334</v>
      </c>
      <c r="B59" s="768">
        <v>42045</v>
      </c>
      <c r="C59" s="769" t="s">
        <v>454</v>
      </c>
      <c r="D59" s="779" t="s">
        <v>454</v>
      </c>
      <c r="E59" s="779" t="s">
        <v>555</v>
      </c>
      <c r="F59" s="779" t="s">
        <v>151</v>
      </c>
      <c r="G59" s="779" t="s">
        <v>1477</v>
      </c>
      <c r="H59" s="437"/>
      <c r="I59" s="437"/>
      <c r="J59" s="437"/>
      <c r="K59" s="437">
        <v>90</v>
      </c>
      <c r="L59" s="437">
        <v>43</v>
      </c>
      <c r="M59" s="437">
        <v>93</v>
      </c>
      <c r="N59" s="437">
        <v>43</v>
      </c>
      <c r="O59" s="437"/>
      <c r="P59" s="439">
        <v>32</v>
      </c>
      <c r="Q59" s="439">
        <v>164</v>
      </c>
      <c r="R59" s="439"/>
      <c r="S59" s="439"/>
      <c r="T59" s="439"/>
      <c r="U59" s="439"/>
      <c r="V59" s="436">
        <v>43</v>
      </c>
      <c r="W59" s="439"/>
      <c r="X59" s="439"/>
      <c r="Y59" s="436">
        <f>IF(NFI_Expiration=1,IF($A59&lt;VLOOKUP(H$5,NFI,5,0),1,0)*Table_NFI[[#This Row],[Hygiene Kit]],Table_NFI[Hygiene Kit])</f>
        <v>0</v>
      </c>
      <c r="Z59" s="436">
        <f>IF(NFI_Expiration=1,IF($A59&lt;VLOOKUP(I$5,NFI,5,0),1,0)*Table_NFI[[#This Row],[NFI Core Kit]],Table_NFI[NFI Core Kit])</f>
        <v>0</v>
      </c>
      <c r="AA59" s="436">
        <f>IF(NFI_Expiration=1,IF($A59&lt;VLOOKUP(J$5,NFI,5,0),1,0)*Table_NFI[[#This Row],[Sanitary Kit]],Table_NFI[Sanitary Kit])</f>
        <v>0</v>
      </c>
      <c r="AB59" s="436">
        <f>IF(NFI_Expiration=1,IF($A59&lt;VLOOKUP(K$5,NFI,5,0),1,0)*Table_NFI[[#This Row],[Mosquito net]],Table_NFI[Mosquito net])</f>
        <v>90</v>
      </c>
      <c r="AC59" s="436">
        <f>IF(NFI_Expiration=1,IF($A59&lt;VLOOKUP(L$5,NFI,5,0),1,0)*Table_NFI[[#This Row],[Tarpaulin]],Table_NFI[[#This Row],[Tarpaulin]])</f>
        <v>43</v>
      </c>
      <c r="AD59" s="436">
        <f>IF(NFI_Expiration=1,IF($A59&lt;VLOOKUP(M$5,NFI,5,0),1,0)*Table_NFI[[#This Row],[Blanket]],Table_NFI[[#This Row],[Blanket]])</f>
        <v>93</v>
      </c>
      <c r="AE59" s="436">
        <f>IF(NFI_Expiration=1,IF($A59&lt;VLOOKUP(N$5,NFI,5,0),1,0)*Table_NFI[[#This Row],[Kitchen Set]],Table_NFI[Kitchen Set])</f>
        <v>43</v>
      </c>
      <c r="AF59" s="436">
        <f>IF(NFI_Expiration=1,IF($A59&lt;VLOOKUP(O$5,NFI,5,0),1,0)*Table_NFI[[#This Row],[Clothes Kit]],Table_NFI[Clothes Kit])</f>
        <v>0</v>
      </c>
      <c r="AG59" s="436">
        <f>IF(NFI_Expiration=1,IF($A59&lt;VLOOKUP(P$5,NFI,5,0),1,0)*Table_NFI[[#This Row],[Plastic Bucket]],Table_NFI[Plastic Bucket])</f>
        <v>32</v>
      </c>
      <c r="AH59" s="436">
        <f>IF(NFI_Expiration=1,IF($A59&lt;VLOOKUP(Q$5,NFI,5,0),1,0)*Table_NFI[[#This Row],[Plastic Mat]],Table_NFI[Plastic Mat])*IF(Table_NFI[[#This Row],[Distribution Date]]&gt;"2014-04-01",1,2.5)</f>
        <v>410</v>
      </c>
      <c r="AI59" s="436">
        <f>IF(NFI_Expiration=1,IF($A59&lt;VLOOKUP(R$5,NFI,5,0),1,0)*Table_NFI[[#This Row],[Winter Clothes Adult]],Table_NFI[Winter Clothes Adult])</f>
        <v>0</v>
      </c>
      <c r="AJ59" s="436">
        <f>IF(NFI_Expiration=1,IF($A59&lt;VLOOKUP(S$5,NFI,5,0),1,0)*Table_NFI[[#This Row],[Winter Clothes Children]],Table_NFI[Winter Clothes Children])</f>
        <v>0</v>
      </c>
      <c r="AK59" s="436">
        <f>IF(NFI_Expiration=1,IF($A59&lt;VLOOKUP(T$5,NFI,5,0),1,0)*Table_NFI[[#This Row],[Winter Items Other]],Table_NFI[Winter Items Other])</f>
        <v>0</v>
      </c>
      <c r="AL59" s="436">
        <f>IF(NFI_Expiration=1,IF($A59&lt;VLOOKUP(M$5,NFI,5,0),1,0)*Table_NFI[[#This Row],[Winter Blanket]],Table_NFI[[#This Row],[Winter Blanket]])</f>
        <v>0</v>
      </c>
      <c r="AM59" s="436">
        <f>IF(Table_NFI[[#This Row],[Winter Clothes Adult]]+Table_NFI[[#This Row],[Winter Clothes Children]]+Table_NFI[[#This Row],[Winter Items Other]]+Table_NFI[[#This Row],[Winter Blanket]]&gt;0,1,0)</f>
        <v>0</v>
      </c>
      <c r="AN59" s="439">
        <f>IF(NFI_Expiration=1,IF($A59&lt;VLOOKUP(V$5,NFI,5,0),1,0)*Table_NFI[[#This Row],[Jerry Can]],Table_NFI[Jerry Can])</f>
        <v>43</v>
      </c>
      <c r="AO59" s="771" t="str">
        <f>IFERROR(VLOOKUP(Table_NFI[[#This Row],[Camp Name]],CL,2,0),"")</f>
        <v/>
      </c>
      <c r="AP59" s="772" t="str">
        <f ca="1">IF(Table_NFI[[#This Row],[Pcode]]="","",IF(OFFSET(CampList[Opening Date],MATCH(Table_NFI[[#This Row],[Pcode]],CampList[CP_Pcode],0)-1,0,1,1)&gt;=NFI_Monitor_Date,1,0))</f>
        <v/>
      </c>
      <c r="AQ59" s="781" t="str">
        <f>IFERROR(VLOOKUP(Table_NFI[[#This Row],[Camp Name]],CL,3,0),"")</f>
        <v/>
      </c>
      <c r="AR59" s="439" t="str">
        <f ca="1">IF(Table_NFI[[#This Row],[Pcode]]="","",OFFSET(CampList[Priority],MATCH(Table_NFI[[#This Row],[Pcode]],CampList[CP_Pcode],0)-1,0,1,1))</f>
        <v/>
      </c>
      <c r="AS59" s="438" t="str">
        <f>IFERROR(Table_NFI[[#This Row],[Kitchen Set]]/VLOOKUP(Table_NFI[[#This Row],[Camp Name]],CL,4,0),"")</f>
        <v/>
      </c>
      <c r="AT59" s="769" t="s">
        <v>1099</v>
      </c>
      <c r="AU59" s="773"/>
    </row>
    <row r="60" spans="1:47" s="774" customFormat="1" x14ac:dyDescent="0.25">
      <c r="A60" s="451">
        <f t="shared" si="0"/>
        <v>10.833333333333334</v>
      </c>
      <c r="B60" s="829">
        <v>42045</v>
      </c>
      <c r="C60" s="830" t="s">
        <v>454</v>
      </c>
      <c r="D60" s="830" t="s">
        <v>462</v>
      </c>
      <c r="E60" s="830" t="s">
        <v>380</v>
      </c>
      <c r="F60" s="830" t="s">
        <v>300</v>
      </c>
      <c r="G60" s="830" t="s">
        <v>1357</v>
      </c>
      <c r="H60" s="831"/>
      <c r="I60" s="831"/>
      <c r="J60" s="831">
        <v>46</v>
      </c>
      <c r="K60" s="831">
        <v>92</v>
      </c>
      <c r="L60" s="831">
        <v>46</v>
      </c>
      <c r="M60" s="831">
        <v>92</v>
      </c>
      <c r="N60" s="831">
        <v>46</v>
      </c>
      <c r="O60" s="831"/>
      <c r="P60" s="832">
        <v>46</v>
      </c>
      <c r="Q60" s="832">
        <v>230</v>
      </c>
      <c r="R60" s="832"/>
      <c r="S60" s="832"/>
      <c r="T60" s="832"/>
      <c r="U60" s="832"/>
      <c r="V60" s="839">
        <v>46</v>
      </c>
      <c r="W60" s="832"/>
      <c r="X60" s="832">
        <v>55</v>
      </c>
      <c r="Y60" s="436">
        <f>IF(NFI_Expiration=1,IF($A60&lt;VLOOKUP(H$5,NFI,5,0),1,0)*Table_NFI[[#This Row],[Hygiene Kit]],Table_NFI[Hygiene Kit])</f>
        <v>0</v>
      </c>
      <c r="Z60" s="436">
        <f>IF(NFI_Expiration=1,IF($A60&lt;VLOOKUP(I$5,NFI,5,0),1,0)*Table_NFI[[#This Row],[NFI Core Kit]],Table_NFI[NFI Core Kit])</f>
        <v>0</v>
      </c>
      <c r="AA60" s="436">
        <f>IF(NFI_Expiration=1,IF($A60&lt;VLOOKUP(J$5,NFI,5,0),1,0)*Table_NFI[[#This Row],[Sanitary Kit]],Table_NFI[Sanitary Kit])</f>
        <v>46</v>
      </c>
      <c r="AB60" s="436">
        <f>IF(NFI_Expiration=1,IF($A60&lt;VLOOKUP(K$5,NFI,5,0),1,0)*Table_NFI[[#This Row],[Mosquito net]],Table_NFI[Mosquito net])</f>
        <v>92</v>
      </c>
      <c r="AC60" s="436">
        <f>IF(NFI_Expiration=1,IF($A60&lt;VLOOKUP(L$5,NFI,5,0),1,0)*Table_NFI[[#This Row],[Tarpaulin]],Table_NFI[[#This Row],[Tarpaulin]])</f>
        <v>46</v>
      </c>
      <c r="AD60" s="436">
        <f>IF(NFI_Expiration=1,IF($A60&lt;VLOOKUP(M$5,NFI,5,0),1,0)*Table_NFI[[#This Row],[Blanket]],Table_NFI[[#This Row],[Blanket]])</f>
        <v>92</v>
      </c>
      <c r="AE60" s="436">
        <f>IF(NFI_Expiration=1,IF($A60&lt;VLOOKUP(N$5,NFI,5,0),1,0)*Table_NFI[[#This Row],[Kitchen Set]],Table_NFI[Kitchen Set])</f>
        <v>46</v>
      </c>
      <c r="AF60" s="436">
        <f>IF(NFI_Expiration=1,IF($A60&lt;VLOOKUP(O$5,NFI,5,0),1,0)*Table_NFI[[#This Row],[Clothes Kit]],Table_NFI[Clothes Kit])</f>
        <v>0</v>
      </c>
      <c r="AG60" s="436">
        <f>IF(NFI_Expiration=1,IF($A60&lt;VLOOKUP(P$5,NFI,5,0),1,0)*Table_NFI[[#This Row],[Plastic Bucket]],Table_NFI[Plastic Bucket])</f>
        <v>46</v>
      </c>
      <c r="AH60" s="436">
        <f>IF(NFI_Expiration=1,IF($A60&lt;VLOOKUP(Q$5,NFI,5,0),1,0)*Table_NFI[[#This Row],[Plastic Mat]],Table_NFI[Plastic Mat])*IF(Table_NFI[[#This Row],[Distribution Date]]&gt;"2014-04-01",1,2.5)</f>
        <v>575</v>
      </c>
      <c r="AI60" s="436">
        <f>IF(NFI_Expiration=1,IF($A60&lt;VLOOKUP(R$5,NFI,5,0),1,0)*Table_NFI[[#This Row],[Winter Clothes Adult]],Table_NFI[Winter Clothes Adult])</f>
        <v>0</v>
      </c>
      <c r="AJ60" s="436">
        <f>IF(NFI_Expiration=1,IF($A60&lt;VLOOKUP(S$5,NFI,5,0),1,0)*Table_NFI[[#This Row],[Winter Clothes Children]],Table_NFI[Winter Clothes Children])</f>
        <v>0</v>
      </c>
      <c r="AK60" s="436">
        <f>IF(NFI_Expiration=1,IF($A60&lt;VLOOKUP(T$5,NFI,5,0),1,0)*Table_NFI[[#This Row],[Winter Items Other]],Table_NFI[Winter Items Other])</f>
        <v>0</v>
      </c>
      <c r="AL60" s="436">
        <f>IF(NFI_Expiration=1,IF($A60&lt;VLOOKUP(M$5,NFI,5,0),1,0)*Table_NFI[[#This Row],[Winter Blanket]],Table_NFI[[#This Row],[Winter Blanket]])</f>
        <v>0</v>
      </c>
      <c r="AM60" s="436">
        <f>IF(Table_NFI[[#This Row],[Winter Clothes Adult]]+Table_NFI[[#This Row],[Winter Clothes Children]]+Table_NFI[[#This Row],[Winter Items Other]]+Table_NFI[[#This Row],[Winter Blanket]]&gt;0,1,0)</f>
        <v>0</v>
      </c>
      <c r="AN60" s="439">
        <f>IF(NFI_Expiration=1,IF($A60&lt;VLOOKUP(V$5,NFI,5,0),1,0)*Table_NFI[[#This Row],[Jerry Can]],Table_NFI[Jerry Can])</f>
        <v>46</v>
      </c>
      <c r="AO60" s="835" t="str">
        <f>IFERROR(VLOOKUP(Table_NFI[[#This Row],[Camp Name]],CL,2,0),"")</f>
        <v/>
      </c>
      <c r="AP60" s="836" t="str">
        <f ca="1">IF(Table_NFI[[#This Row],[Pcode]]="","",IF(OFFSET(CampList[Opening Date],MATCH(Table_NFI[[#This Row],[Pcode]],CampList[CP_Pcode],0)-1,0,1,1)&gt;=NFI_Monitor_Date,1,0))</f>
        <v/>
      </c>
      <c r="AQ60" s="781" t="str">
        <f>IFERROR(VLOOKUP(Table_NFI[[#This Row],[Camp Name]],CL,3,0),"")</f>
        <v/>
      </c>
      <c r="AR60" s="439" t="str">
        <f ca="1">IF(Table_NFI[[#This Row],[Pcode]]="","",OFFSET(CampList[Priority],MATCH(Table_NFI[[#This Row],[Pcode]],CampList[CP_Pcode],0)-1,0,1,1))</f>
        <v/>
      </c>
      <c r="AS60" s="438" t="str">
        <f>IFERROR(Table_NFI[[#This Row],[Kitchen Set]]/VLOOKUP(Table_NFI[[#This Row],[Camp Name]],CL,4,0),"")</f>
        <v/>
      </c>
      <c r="AT60" s="769" t="s">
        <v>1099</v>
      </c>
      <c r="AU60" s="838"/>
    </row>
    <row r="61" spans="1:47" s="774" customFormat="1" x14ac:dyDescent="0.25">
      <c r="A61" s="451">
        <f t="shared" si="0"/>
        <v>11.333333333333334</v>
      </c>
      <c r="B61" s="768">
        <v>42030</v>
      </c>
      <c r="C61" s="769" t="s">
        <v>454</v>
      </c>
      <c r="D61" s="779" t="s">
        <v>508</v>
      </c>
      <c r="E61" s="779" t="s">
        <v>380</v>
      </c>
      <c r="F61" s="779" t="s">
        <v>529</v>
      </c>
      <c r="G61" s="779" t="s">
        <v>1478</v>
      </c>
      <c r="H61" s="437"/>
      <c r="I61" s="437">
        <v>200</v>
      </c>
      <c r="J61" s="437"/>
      <c r="K61" s="437">
        <v>400</v>
      </c>
      <c r="L61" s="437">
        <v>250</v>
      </c>
      <c r="M61" s="437">
        <v>400</v>
      </c>
      <c r="N61" s="437">
        <v>200</v>
      </c>
      <c r="O61" s="437"/>
      <c r="P61" s="439">
        <v>200</v>
      </c>
      <c r="Q61" s="439">
        <v>1200</v>
      </c>
      <c r="R61" s="439"/>
      <c r="S61" s="439"/>
      <c r="T61" s="439"/>
      <c r="U61" s="439"/>
      <c r="V61" s="436">
        <v>200</v>
      </c>
      <c r="W61" s="439"/>
      <c r="X61" s="439">
        <v>30</v>
      </c>
      <c r="Y61" s="436">
        <f>IF(NFI_Expiration=1,IF($A61&lt;VLOOKUP(H$5,NFI,5,0),1,0)*Table_NFI[[#This Row],[Hygiene Kit]],Table_NFI[Hygiene Kit])</f>
        <v>0</v>
      </c>
      <c r="Z61" s="436">
        <f>IF(NFI_Expiration=1,IF($A61&lt;VLOOKUP(I$5,NFI,5,0),1,0)*Table_NFI[[#This Row],[NFI Core Kit]],Table_NFI[NFI Core Kit])</f>
        <v>200</v>
      </c>
      <c r="AA61" s="436">
        <f>IF(NFI_Expiration=1,IF($A61&lt;VLOOKUP(J$5,NFI,5,0),1,0)*Table_NFI[[#This Row],[Sanitary Kit]],Table_NFI[Sanitary Kit])</f>
        <v>0</v>
      </c>
      <c r="AB61" s="436">
        <f>IF(NFI_Expiration=1,IF($A61&lt;VLOOKUP(K$5,NFI,5,0),1,0)*Table_NFI[[#This Row],[Mosquito net]],Table_NFI[Mosquito net])</f>
        <v>400</v>
      </c>
      <c r="AC61" s="436">
        <f>IF(NFI_Expiration=1,IF($A61&lt;VLOOKUP(L$5,NFI,5,0),1,0)*Table_NFI[[#This Row],[Tarpaulin]],Table_NFI[[#This Row],[Tarpaulin]])</f>
        <v>250</v>
      </c>
      <c r="AD61" s="436">
        <f>IF(NFI_Expiration=1,IF($A61&lt;VLOOKUP(M$5,NFI,5,0),1,0)*Table_NFI[[#This Row],[Blanket]],Table_NFI[[#This Row],[Blanket]])</f>
        <v>400</v>
      </c>
      <c r="AE61" s="436">
        <f>IF(NFI_Expiration=1,IF($A61&lt;VLOOKUP(N$5,NFI,5,0),1,0)*Table_NFI[[#This Row],[Kitchen Set]],Table_NFI[Kitchen Set])</f>
        <v>200</v>
      </c>
      <c r="AF61" s="436">
        <f>IF(NFI_Expiration=1,IF($A61&lt;VLOOKUP(O$5,NFI,5,0),1,0)*Table_NFI[[#This Row],[Clothes Kit]],Table_NFI[Clothes Kit])</f>
        <v>0</v>
      </c>
      <c r="AG61" s="436">
        <f>IF(NFI_Expiration=1,IF($A61&lt;VLOOKUP(P$5,NFI,5,0),1,0)*Table_NFI[[#This Row],[Plastic Bucket]],Table_NFI[Plastic Bucket])</f>
        <v>200</v>
      </c>
      <c r="AH61" s="436">
        <f>IF(NFI_Expiration=1,IF($A61&lt;VLOOKUP(Q$5,NFI,5,0),1,0)*Table_NFI[[#This Row],[Plastic Mat]],Table_NFI[Plastic Mat])*IF(Table_NFI[[#This Row],[Distribution Date]]&gt;"2014-04-01",1,2.5)</f>
        <v>3000</v>
      </c>
      <c r="AI61" s="436">
        <f>IF(NFI_Expiration=1,IF($A61&lt;VLOOKUP(R$5,NFI,5,0),1,0)*Table_NFI[[#This Row],[Winter Clothes Adult]],Table_NFI[Winter Clothes Adult])</f>
        <v>0</v>
      </c>
      <c r="AJ61" s="436">
        <f>IF(NFI_Expiration=1,IF($A61&lt;VLOOKUP(S$5,NFI,5,0),1,0)*Table_NFI[[#This Row],[Winter Clothes Children]],Table_NFI[Winter Clothes Children])</f>
        <v>0</v>
      </c>
      <c r="AK61" s="436">
        <f>IF(NFI_Expiration=1,IF($A61&lt;VLOOKUP(T$5,NFI,5,0),1,0)*Table_NFI[[#This Row],[Winter Items Other]],Table_NFI[Winter Items Other])</f>
        <v>0</v>
      </c>
      <c r="AL61" s="436">
        <f>IF(NFI_Expiration=1,IF($A61&lt;VLOOKUP(M$5,NFI,5,0),1,0)*Table_NFI[[#This Row],[Winter Blanket]],Table_NFI[[#This Row],[Winter Blanket]])</f>
        <v>0</v>
      </c>
      <c r="AM61" s="436">
        <f>IF(Table_NFI[[#This Row],[Winter Clothes Adult]]+Table_NFI[[#This Row],[Winter Clothes Children]]+Table_NFI[[#This Row],[Winter Items Other]]+Table_NFI[[#This Row],[Winter Blanket]]&gt;0,1,0)</f>
        <v>0</v>
      </c>
      <c r="AN61" s="439">
        <f>IF(NFI_Expiration=1,IF($A61&lt;VLOOKUP(V$5,NFI,5,0),1,0)*Table_NFI[[#This Row],[Jerry Can]],Table_NFI[Jerry Can])</f>
        <v>200</v>
      </c>
      <c r="AO61" s="771" t="str">
        <f>IFERROR(VLOOKUP(Table_NFI[[#This Row],[Camp Name]],CL,2,0),"")</f>
        <v/>
      </c>
      <c r="AP61" s="772" t="str">
        <f ca="1">IF(Table_NFI[[#This Row],[Pcode]]="","",IF(OFFSET(CampList[Opening Date],MATCH(Table_NFI[[#This Row],[Pcode]],CampList[CP_Pcode],0)-1,0,1,1)&gt;=NFI_Monitor_Date,1,0))</f>
        <v/>
      </c>
      <c r="AQ61" s="781" t="str">
        <f>IFERROR(VLOOKUP(Table_NFI[[#This Row],[Camp Name]],CL,3,0),"")</f>
        <v/>
      </c>
      <c r="AR61" s="439" t="str">
        <f ca="1">IF(Table_NFI[[#This Row],[Pcode]]="","",OFFSET(CampList[Priority],MATCH(Table_NFI[[#This Row],[Pcode]],CampList[CP_Pcode],0)-1,0,1,1))</f>
        <v/>
      </c>
      <c r="AS61" s="438" t="str">
        <f>IFERROR(Table_NFI[[#This Row],[Kitchen Set]]/VLOOKUP(Table_NFI[[#This Row],[Camp Name]],CL,4,0),"")</f>
        <v/>
      </c>
      <c r="AT61" s="769" t="s">
        <v>1099</v>
      </c>
      <c r="AU61" s="773"/>
    </row>
    <row r="62" spans="1:47" s="774" customFormat="1" x14ac:dyDescent="0.25">
      <c r="A62" s="451">
        <f t="shared" si="0"/>
        <v>11.333333333333334</v>
      </c>
      <c r="B62" s="768">
        <v>42030</v>
      </c>
      <c r="C62" s="779" t="s">
        <v>454</v>
      </c>
      <c r="D62" s="779" t="s">
        <v>462</v>
      </c>
      <c r="E62" s="779" t="s">
        <v>380</v>
      </c>
      <c r="F62" s="779" t="s">
        <v>529</v>
      </c>
      <c r="G62" s="779" t="s">
        <v>120</v>
      </c>
      <c r="H62" s="437"/>
      <c r="I62" s="437">
        <v>100</v>
      </c>
      <c r="J62" s="437"/>
      <c r="K62" s="437">
        <v>200</v>
      </c>
      <c r="L62" s="437">
        <v>200</v>
      </c>
      <c r="M62" s="437">
        <v>200</v>
      </c>
      <c r="N62" s="437">
        <v>100</v>
      </c>
      <c r="O62" s="437"/>
      <c r="P62" s="439">
        <v>100</v>
      </c>
      <c r="Q62" s="439">
        <v>500</v>
      </c>
      <c r="R62" s="439"/>
      <c r="S62" s="439"/>
      <c r="T62" s="439"/>
      <c r="U62" s="439"/>
      <c r="V62" s="439">
        <v>100</v>
      </c>
      <c r="W62" s="439"/>
      <c r="X62" s="439"/>
      <c r="Y62" s="436">
        <f>IF(NFI_Expiration=1,IF($A62&lt;VLOOKUP(H$5,NFI,5,0),1,0)*Table_NFI[[#This Row],[Hygiene Kit]],Table_NFI[Hygiene Kit])</f>
        <v>0</v>
      </c>
      <c r="Z62" s="436">
        <f>IF(NFI_Expiration=1,IF($A62&lt;VLOOKUP(I$5,NFI,5,0),1,0)*Table_NFI[[#This Row],[NFI Core Kit]],Table_NFI[NFI Core Kit])</f>
        <v>100</v>
      </c>
      <c r="AA62" s="436">
        <f>IF(NFI_Expiration=1,IF($A62&lt;VLOOKUP(J$5,NFI,5,0),1,0)*Table_NFI[[#This Row],[Sanitary Kit]],Table_NFI[Sanitary Kit])</f>
        <v>0</v>
      </c>
      <c r="AB62" s="436">
        <f>IF(NFI_Expiration=1,IF($A62&lt;VLOOKUP(K$5,NFI,5,0),1,0)*Table_NFI[[#This Row],[Mosquito net]],Table_NFI[Mosquito net])</f>
        <v>200</v>
      </c>
      <c r="AC62" s="436">
        <f>IF(NFI_Expiration=1,IF($A62&lt;VLOOKUP(L$5,NFI,5,0),1,0)*Table_NFI[[#This Row],[Tarpaulin]],Table_NFI[[#This Row],[Tarpaulin]])</f>
        <v>200</v>
      </c>
      <c r="AD62" s="436">
        <f>IF(NFI_Expiration=1,IF($A62&lt;VLOOKUP(M$5,NFI,5,0),1,0)*Table_NFI[[#This Row],[Blanket]],Table_NFI[[#This Row],[Blanket]])</f>
        <v>200</v>
      </c>
      <c r="AE62" s="436">
        <f>IF(NFI_Expiration=1,IF($A62&lt;VLOOKUP(N$5,NFI,5,0),1,0)*Table_NFI[[#This Row],[Kitchen Set]],Table_NFI[Kitchen Set])</f>
        <v>100</v>
      </c>
      <c r="AF62" s="436">
        <f>IF(NFI_Expiration=1,IF($A62&lt;VLOOKUP(O$5,NFI,5,0),1,0)*Table_NFI[[#This Row],[Clothes Kit]],Table_NFI[Clothes Kit])</f>
        <v>0</v>
      </c>
      <c r="AG62" s="436">
        <f>IF(NFI_Expiration=1,IF($A62&lt;VLOOKUP(P$5,NFI,5,0),1,0)*Table_NFI[[#This Row],[Plastic Bucket]],Table_NFI[Plastic Bucket])</f>
        <v>100</v>
      </c>
      <c r="AH62" s="436">
        <f>IF(NFI_Expiration=1,IF($A62&lt;VLOOKUP(Q$5,NFI,5,0),1,0)*Table_NFI[[#This Row],[Plastic Mat]],Table_NFI[Plastic Mat])*IF(Table_NFI[[#This Row],[Distribution Date]]&gt;"2014-04-01",1,2.5)</f>
        <v>1250</v>
      </c>
      <c r="AI62" s="436">
        <f>IF(NFI_Expiration=1,IF($A62&lt;VLOOKUP(R$5,NFI,5,0),1,0)*Table_NFI[[#This Row],[Winter Clothes Adult]],Table_NFI[Winter Clothes Adult])</f>
        <v>0</v>
      </c>
      <c r="AJ62" s="436">
        <f>IF(NFI_Expiration=1,IF($A62&lt;VLOOKUP(S$5,NFI,5,0),1,0)*Table_NFI[[#This Row],[Winter Clothes Children]],Table_NFI[Winter Clothes Children])</f>
        <v>0</v>
      </c>
      <c r="AK62" s="436">
        <f>IF(NFI_Expiration=1,IF($A62&lt;VLOOKUP(T$5,NFI,5,0),1,0)*Table_NFI[[#This Row],[Winter Items Other]],Table_NFI[Winter Items Other])</f>
        <v>0</v>
      </c>
      <c r="AL62" s="436">
        <f>IF(NFI_Expiration=1,IF($A62&lt;VLOOKUP(M$5,NFI,5,0),1,0)*Table_NFI[[#This Row],[Winter Blanket]],Table_NFI[[#This Row],[Winter Blanket]])</f>
        <v>0</v>
      </c>
      <c r="AM62" s="436">
        <f>IF(Table_NFI[[#This Row],[Winter Clothes Adult]]+Table_NFI[[#This Row],[Winter Clothes Children]]+Table_NFI[[#This Row],[Winter Items Other]]+Table_NFI[[#This Row],[Winter Blanket]]&gt;0,1,0)</f>
        <v>0</v>
      </c>
      <c r="AN62" s="439">
        <f>IF(NFI_Expiration=1,IF($A62&lt;VLOOKUP(V$5,NFI,5,0),1,0)*Table_NFI[[#This Row],[Jerry Can]],Table_NFI[Jerry Can])</f>
        <v>100</v>
      </c>
      <c r="AO62" s="771" t="str">
        <f>IFERROR(VLOOKUP(Table_NFI[[#This Row],[Camp Name]],CL,2,0),"")</f>
        <v>MMR001CMP168</v>
      </c>
      <c r="AP62" s="772">
        <f ca="1">IF(Table_NFI[[#This Row],[Pcode]]="","",IF(OFFSET(CampList[Opening Date],MATCH(Table_NFI[[#This Row],[Pcode]],CampList[CP_Pcode],0)-1,0,1,1)&gt;=NFI_Monitor_Date,1,0))</f>
        <v>0</v>
      </c>
      <c r="AQ62" s="781" t="str">
        <f>IFERROR(VLOOKUP(Table_NFI[[#This Row],[Camp Name]],CL,3,0),"")</f>
        <v>Open</v>
      </c>
      <c r="AR62" s="439" t="str">
        <f ca="1">IF(Table_NFI[[#This Row],[Pcode]]="","",OFFSET(CampList[Priority],MATCH(Table_NFI[[#This Row],[Pcode]],CampList[CP_Pcode],0)-1,0,1,1))</f>
        <v>P4</v>
      </c>
      <c r="AS62" s="438">
        <f>IFERROR(Table_NFI[[#This Row],[Kitchen Set]]/VLOOKUP(Table_NFI[[#This Row],[Camp Name]],CL,4,0),"")</f>
        <v>1.3333333333333333</v>
      </c>
      <c r="AT62" s="769" t="s">
        <v>1099</v>
      </c>
      <c r="AU62" s="782" t="s">
        <v>1481</v>
      </c>
    </row>
    <row r="63" spans="1:47" s="774" customFormat="1" ht="25.5" customHeight="1" x14ac:dyDescent="0.2">
      <c r="A63" s="451">
        <f t="shared" si="0"/>
        <v>11.766666666666667</v>
      </c>
      <c r="B63" s="768">
        <v>42017</v>
      </c>
      <c r="C63" s="769" t="s">
        <v>1101</v>
      </c>
      <c r="D63" s="769" t="s">
        <v>907</v>
      </c>
      <c r="E63" s="769" t="s">
        <v>380</v>
      </c>
      <c r="F63" s="769" t="s">
        <v>27</v>
      </c>
      <c r="G63" s="769" t="s">
        <v>28</v>
      </c>
      <c r="H63" s="436"/>
      <c r="I63" s="439"/>
      <c r="J63" s="439"/>
      <c r="K63" s="439"/>
      <c r="L63" s="437"/>
      <c r="M63" s="437"/>
      <c r="N63" s="437"/>
      <c r="O63" s="437"/>
      <c r="P63" s="439"/>
      <c r="Q63" s="439"/>
      <c r="R63" s="436">
        <v>293</v>
      </c>
      <c r="S63" s="436">
        <v>190</v>
      </c>
      <c r="T63" s="439"/>
      <c r="U63" s="439">
        <v>170</v>
      </c>
      <c r="V63" s="439"/>
      <c r="W63" s="439"/>
      <c r="X63" s="439"/>
      <c r="Y63" s="439">
        <f>IF(NFI_Expiration=1,IF($A63&lt;VLOOKUP(H$5,NFI,5,0),1,0)*Table_NFI[[#This Row],[Hygiene Kit]],Table_NFI[Hygiene Kit])</f>
        <v>0</v>
      </c>
      <c r="Z63" s="439">
        <f>IF(NFI_Expiration=1,IF($A63&lt;VLOOKUP(I$5,NFI,5,0),1,0)*Table_NFI[[#This Row],[NFI Core Kit]],Table_NFI[NFI Core Kit])</f>
        <v>0</v>
      </c>
      <c r="AA63" s="439">
        <f>IF(NFI_Expiration=1,IF($A63&lt;VLOOKUP(J$5,NFI,5,0),1,0)*Table_NFI[[#This Row],[Sanitary Kit]],Table_NFI[Sanitary Kit])</f>
        <v>0</v>
      </c>
      <c r="AB63" s="439">
        <f>IF(NFI_Expiration=1,IF($A63&lt;VLOOKUP(K$5,NFI,5,0),1,0)*Table_NFI[[#This Row],[Mosquito net]],Table_NFI[Mosquito net])</f>
        <v>0</v>
      </c>
      <c r="AC63" s="439">
        <f>IF(NFI_Expiration=1,IF($A63&lt;VLOOKUP(L$5,NFI,5,0),1,0)*Table_NFI[[#This Row],[Tarpaulin]],Table_NFI[[#This Row],[Tarpaulin]])</f>
        <v>0</v>
      </c>
      <c r="AD63" s="439">
        <f>IF(NFI_Expiration=1,IF($A63&lt;VLOOKUP(M$5,NFI,5,0),1,0)*Table_NFI[[#This Row],[Blanket]],Table_NFI[[#This Row],[Blanket]])</f>
        <v>0</v>
      </c>
      <c r="AE63" s="439">
        <f>IF(NFI_Expiration=1,IF($A63&lt;VLOOKUP(N$5,NFI,5,0),1,0)*Table_NFI[[#This Row],[Kitchen Set]],Table_NFI[Kitchen Set])</f>
        <v>0</v>
      </c>
      <c r="AF63" s="439">
        <f>IF(NFI_Expiration=1,IF($A63&lt;VLOOKUP(O$5,NFI,5,0),1,0)*Table_NFI[[#This Row],[Clothes Kit]],Table_NFI[Clothes Kit])</f>
        <v>0</v>
      </c>
      <c r="AG63" s="439">
        <f>IF(NFI_Expiration=1,IF($A63&lt;VLOOKUP(P$5,NFI,5,0),1,0)*Table_NFI[[#This Row],[Plastic Bucket]],Table_NFI[Plastic Bucket])</f>
        <v>0</v>
      </c>
      <c r="AH63" s="439">
        <f>IF(NFI_Expiration=1,IF($A63&lt;VLOOKUP(Q$5,NFI,5,0),1,0)*Table_NFI[[#This Row],[Plastic Mat]],Table_NFI[Plastic Mat])*IF(Table_NFI[[#This Row],[Distribution Date]]&gt;"2014-04-01",1,2.5)</f>
        <v>0</v>
      </c>
      <c r="AI63" s="439">
        <f>IF(NFI_Expiration=1,IF($A63&lt;VLOOKUP(R$5,NFI,5,0),1,0)*Table_NFI[[#This Row],[Winter Clothes Adult]],Table_NFI[Winter Clothes Adult])</f>
        <v>293</v>
      </c>
      <c r="AJ63" s="439">
        <f>IF(NFI_Expiration=1,IF($A63&lt;VLOOKUP(S$5,NFI,5,0),1,0)*Table_NFI[[#This Row],[Winter Clothes Children]],Table_NFI[Winter Clothes Children])</f>
        <v>190</v>
      </c>
      <c r="AK63" s="439">
        <f>IF(NFI_Expiration=1,IF($A63&lt;VLOOKUP(T$5,NFI,5,0),1,0)*Table_NFI[[#This Row],[Winter Items Other]],Table_NFI[Winter Items Other])</f>
        <v>0</v>
      </c>
      <c r="AL63" s="439">
        <f>IF(NFI_Expiration=1,IF($A63&lt;VLOOKUP(M$5,NFI,5,0),1,0)*Table_NFI[[#This Row],[Winter Blanket]],Table_NFI[[#This Row],[Winter Blanket]])</f>
        <v>170</v>
      </c>
      <c r="AM63" s="439">
        <f>IF(Table_NFI[[#This Row],[Winter Clothes Adult]]+Table_NFI[[#This Row],[Winter Clothes Children]]+Table_NFI[[#This Row],[Winter Items Other]]+Table_NFI[[#This Row],[Winter Blanket]]&gt;0,1,0)</f>
        <v>1</v>
      </c>
      <c r="AN63" s="439">
        <f>IF(NFI_Expiration=1,IF($A63&lt;VLOOKUP(V$5,NFI,5,0),1,0)*Table_NFI[[#This Row],[Jerry Can]],Table_NFI[Jerry Can])</f>
        <v>0</v>
      </c>
      <c r="AO63" s="781" t="str">
        <f>IFERROR(VLOOKUP(Table_NFI[[#This Row],[Camp Name]],CL,2,0),"")</f>
        <v>MMR001CMP042</v>
      </c>
      <c r="AP63" s="772">
        <f ca="1">IF(Table_NFI[[#This Row],[Pcode]]="","",IF(OFFSET(CampList[Opening Date],MATCH(Table_NFI[[#This Row],[Pcode]],CampList[CP_Pcode],0)-1,0,1,1)&gt;=NFI_Monitor_Date,1,0))</f>
        <v>0</v>
      </c>
      <c r="AQ63" s="781" t="str">
        <f>IFERROR(VLOOKUP(Table_NFI[[#This Row],[Camp Name]],CL,3,0),"")</f>
        <v>Open</v>
      </c>
      <c r="AR63" s="439" t="str">
        <f ca="1">IF(Table_NFI[[#This Row],[Pcode]]="","",OFFSET(CampList[Priority],MATCH(Table_NFI[[#This Row],[Pcode]],CampList[CP_Pcode],0)-1,0,1,1))</f>
        <v>P1</v>
      </c>
      <c r="AS63" s="438">
        <f>IFERROR(Table_NFI[[#This Row],[Kitchen Set]]/VLOOKUP(Table_NFI[[#This Row],[Camp Name]],CL,4,0),"")</f>
        <v>0</v>
      </c>
      <c r="AT63" s="769"/>
      <c r="AU63" s="826"/>
    </row>
    <row r="64" spans="1:47" s="774" customFormat="1" ht="15" customHeight="1" x14ac:dyDescent="0.2">
      <c r="A64" s="451">
        <f t="shared" si="0"/>
        <v>11.766666666666667</v>
      </c>
      <c r="B64" s="768">
        <v>42017</v>
      </c>
      <c r="C64" s="769" t="s">
        <v>1101</v>
      </c>
      <c r="D64" s="769" t="s">
        <v>907</v>
      </c>
      <c r="E64" s="769" t="s">
        <v>380</v>
      </c>
      <c r="F64" s="769" t="s">
        <v>27</v>
      </c>
      <c r="G64" s="769" t="s">
        <v>365</v>
      </c>
      <c r="H64" s="436"/>
      <c r="I64" s="439"/>
      <c r="J64" s="439"/>
      <c r="K64" s="439"/>
      <c r="L64" s="437"/>
      <c r="M64" s="437"/>
      <c r="N64" s="437"/>
      <c r="O64" s="437"/>
      <c r="P64" s="439"/>
      <c r="Q64" s="439"/>
      <c r="R64" s="436">
        <v>350</v>
      </c>
      <c r="S64" s="436">
        <v>236</v>
      </c>
      <c r="T64" s="436"/>
      <c r="U64" s="436">
        <v>203</v>
      </c>
      <c r="V64" s="439"/>
      <c r="W64" s="439"/>
      <c r="X64" s="439"/>
      <c r="Y64" s="439">
        <f>IF(NFI_Expiration=1,IF($A64&lt;VLOOKUP(H$5,NFI,5,0),1,0)*Table_NFI[[#This Row],[Hygiene Kit]],Table_NFI[Hygiene Kit])</f>
        <v>0</v>
      </c>
      <c r="Z64" s="439">
        <f>IF(NFI_Expiration=1,IF($A64&lt;VLOOKUP(I$5,NFI,5,0),1,0)*Table_NFI[[#This Row],[NFI Core Kit]],Table_NFI[NFI Core Kit])</f>
        <v>0</v>
      </c>
      <c r="AA64" s="439">
        <f>IF(NFI_Expiration=1,IF($A64&lt;VLOOKUP(J$5,NFI,5,0),1,0)*Table_NFI[[#This Row],[Sanitary Kit]],Table_NFI[Sanitary Kit])</f>
        <v>0</v>
      </c>
      <c r="AB64" s="439">
        <f>IF(NFI_Expiration=1,IF($A64&lt;VLOOKUP(K$5,NFI,5,0),1,0)*Table_NFI[[#This Row],[Mosquito net]],Table_NFI[Mosquito net])</f>
        <v>0</v>
      </c>
      <c r="AC64" s="439">
        <f>IF(NFI_Expiration=1,IF($A64&lt;VLOOKUP(L$5,NFI,5,0),1,0)*Table_NFI[[#This Row],[Tarpaulin]],Table_NFI[[#This Row],[Tarpaulin]])</f>
        <v>0</v>
      </c>
      <c r="AD64" s="439">
        <f>IF(NFI_Expiration=1,IF($A64&lt;VLOOKUP(M$5,NFI,5,0),1,0)*Table_NFI[[#This Row],[Blanket]],Table_NFI[[#This Row],[Blanket]])</f>
        <v>0</v>
      </c>
      <c r="AE64" s="439">
        <f>IF(NFI_Expiration=1,IF($A64&lt;VLOOKUP(N$5,NFI,5,0),1,0)*Table_NFI[[#This Row],[Kitchen Set]],Table_NFI[Kitchen Set])</f>
        <v>0</v>
      </c>
      <c r="AF64" s="439">
        <f>IF(NFI_Expiration=1,IF($A64&lt;VLOOKUP(O$5,NFI,5,0),1,0)*Table_NFI[[#This Row],[Clothes Kit]],Table_NFI[Clothes Kit])</f>
        <v>0</v>
      </c>
      <c r="AG64" s="439">
        <f>IF(NFI_Expiration=1,IF($A64&lt;VLOOKUP(P$5,NFI,5,0),1,0)*Table_NFI[[#This Row],[Plastic Bucket]],Table_NFI[Plastic Bucket])</f>
        <v>0</v>
      </c>
      <c r="AH64" s="439">
        <f>IF(NFI_Expiration=1,IF($A64&lt;VLOOKUP(Q$5,NFI,5,0),1,0)*Table_NFI[[#This Row],[Plastic Mat]],Table_NFI[Plastic Mat])*IF(Table_NFI[[#This Row],[Distribution Date]]&gt;"2014-04-01",1,2.5)</f>
        <v>0</v>
      </c>
      <c r="AI64" s="439">
        <f>IF(NFI_Expiration=1,IF($A64&lt;VLOOKUP(R$5,NFI,5,0),1,0)*Table_NFI[[#This Row],[Winter Clothes Adult]],Table_NFI[Winter Clothes Adult])</f>
        <v>350</v>
      </c>
      <c r="AJ64" s="439">
        <f>IF(NFI_Expiration=1,IF($A64&lt;VLOOKUP(S$5,NFI,5,0),1,0)*Table_NFI[[#This Row],[Winter Clothes Children]],Table_NFI[Winter Clothes Children])</f>
        <v>236</v>
      </c>
      <c r="AK64" s="439">
        <f>IF(NFI_Expiration=1,IF($A64&lt;VLOOKUP(T$5,NFI,5,0),1,0)*Table_NFI[[#This Row],[Winter Items Other]],Table_NFI[Winter Items Other])</f>
        <v>0</v>
      </c>
      <c r="AL64" s="439">
        <f>IF(NFI_Expiration=1,IF($A64&lt;VLOOKUP(M$5,NFI,5,0),1,0)*Table_NFI[[#This Row],[Winter Blanket]],Table_NFI[[#This Row],[Winter Blanket]])</f>
        <v>203</v>
      </c>
      <c r="AM64" s="439">
        <f>IF(Table_NFI[[#This Row],[Winter Clothes Adult]]+Table_NFI[[#This Row],[Winter Clothes Children]]+Table_NFI[[#This Row],[Winter Items Other]]+Table_NFI[[#This Row],[Winter Blanket]]&gt;0,1,0)</f>
        <v>1</v>
      </c>
      <c r="AN64" s="439">
        <f>IF(NFI_Expiration=1,IF($A64&lt;VLOOKUP(V$5,NFI,5,0),1,0)*Table_NFI[[#This Row],[Jerry Can]],Table_NFI[Jerry Can])</f>
        <v>0</v>
      </c>
      <c r="AO64" s="781" t="str">
        <f>IFERROR(VLOOKUP(Table_NFI[[#This Row],[Camp Name]],CL,2,0),"")</f>
        <v>MMR001CMP195</v>
      </c>
      <c r="AP64" s="772">
        <f ca="1">IF(Table_NFI[[#This Row],[Pcode]]="","",IF(OFFSET(CampList[Opening Date],MATCH(Table_NFI[[#This Row],[Pcode]],CampList[CP_Pcode],0)-1,0,1,1)&gt;=NFI_Monitor_Date,1,0))</f>
        <v>0</v>
      </c>
      <c r="AQ64" s="781" t="str">
        <f>IFERROR(VLOOKUP(Table_NFI[[#This Row],[Camp Name]],CL,3,0),"")</f>
        <v>Open</v>
      </c>
      <c r="AR64" s="439" t="str">
        <f ca="1">IF(Table_NFI[[#This Row],[Pcode]]="","",OFFSET(CampList[Priority],MATCH(Table_NFI[[#This Row],[Pcode]],CampList[CP_Pcode],0)-1,0,1,1))</f>
        <v>P1</v>
      </c>
      <c r="AS64" s="438">
        <f>IFERROR(Table_NFI[[#This Row],[Kitchen Set]]/VLOOKUP(Table_NFI[[#This Row],[Camp Name]],CL,4,0),"")</f>
        <v>0</v>
      </c>
      <c r="AT64" s="769"/>
      <c r="AU64" s="826"/>
    </row>
    <row r="65" spans="1:47" s="774" customFormat="1" ht="15" customHeight="1" x14ac:dyDescent="0.2">
      <c r="A65" s="451">
        <f t="shared" si="0"/>
        <v>11.766666666666667</v>
      </c>
      <c r="B65" s="768">
        <v>42017</v>
      </c>
      <c r="C65" s="769" t="s">
        <v>1101</v>
      </c>
      <c r="D65" s="769" t="s">
        <v>907</v>
      </c>
      <c r="E65" s="769" t="s">
        <v>380</v>
      </c>
      <c r="F65" s="769" t="s">
        <v>185</v>
      </c>
      <c r="G65" s="769" t="s">
        <v>229</v>
      </c>
      <c r="H65" s="436"/>
      <c r="I65" s="439"/>
      <c r="J65" s="439"/>
      <c r="K65" s="439"/>
      <c r="L65" s="437"/>
      <c r="M65" s="437"/>
      <c r="N65" s="437"/>
      <c r="O65" s="437"/>
      <c r="P65" s="439"/>
      <c r="Q65" s="439"/>
      <c r="R65" s="436">
        <v>195</v>
      </c>
      <c r="S65" s="436">
        <v>91</v>
      </c>
      <c r="T65" s="436"/>
      <c r="U65" s="436">
        <v>92</v>
      </c>
      <c r="V65" s="439"/>
      <c r="W65" s="439"/>
      <c r="X65" s="439"/>
      <c r="Y65" s="439">
        <f>IF(NFI_Expiration=1,IF($A65&lt;VLOOKUP(H$5,NFI,5,0),1,0)*Table_NFI[[#This Row],[Hygiene Kit]],Table_NFI[Hygiene Kit])</f>
        <v>0</v>
      </c>
      <c r="Z65" s="439">
        <f>IF(NFI_Expiration=1,IF($A65&lt;VLOOKUP(I$5,NFI,5,0),1,0)*Table_NFI[[#This Row],[NFI Core Kit]],Table_NFI[NFI Core Kit])</f>
        <v>0</v>
      </c>
      <c r="AA65" s="439">
        <f>IF(NFI_Expiration=1,IF($A65&lt;VLOOKUP(J$5,NFI,5,0),1,0)*Table_NFI[[#This Row],[Sanitary Kit]],Table_NFI[Sanitary Kit])</f>
        <v>0</v>
      </c>
      <c r="AB65" s="439">
        <f>IF(NFI_Expiration=1,IF($A65&lt;VLOOKUP(K$5,NFI,5,0),1,0)*Table_NFI[[#This Row],[Mosquito net]],Table_NFI[Mosquito net])</f>
        <v>0</v>
      </c>
      <c r="AC65" s="439">
        <f>IF(NFI_Expiration=1,IF($A65&lt;VLOOKUP(L$5,NFI,5,0),1,0)*Table_NFI[[#This Row],[Tarpaulin]],Table_NFI[[#This Row],[Tarpaulin]])</f>
        <v>0</v>
      </c>
      <c r="AD65" s="439">
        <f>IF(NFI_Expiration=1,IF($A65&lt;VLOOKUP(M$5,NFI,5,0),1,0)*Table_NFI[[#This Row],[Blanket]],Table_NFI[[#This Row],[Blanket]])</f>
        <v>0</v>
      </c>
      <c r="AE65" s="439">
        <f>IF(NFI_Expiration=1,IF($A65&lt;VLOOKUP(N$5,NFI,5,0),1,0)*Table_NFI[[#This Row],[Kitchen Set]],Table_NFI[Kitchen Set])</f>
        <v>0</v>
      </c>
      <c r="AF65" s="439">
        <f>IF(NFI_Expiration=1,IF($A65&lt;VLOOKUP(O$5,NFI,5,0),1,0)*Table_NFI[[#This Row],[Clothes Kit]],Table_NFI[Clothes Kit])</f>
        <v>0</v>
      </c>
      <c r="AG65" s="439">
        <f>IF(NFI_Expiration=1,IF($A65&lt;VLOOKUP(P$5,NFI,5,0),1,0)*Table_NFI[[#This Row],[Plastic Bucket]],Table_NFI[Plastic Bucket])</f>
        <v>0</v>
      </c>
      <c r="AH65" s="439">
        <f>IF(NFI_Expiration=1,IF($A65&lt;VLOOKUP(Q$5,NFI,5,0),1,0)*Table_NFI[[#This Row],[Plastic Mat]],Table_NFI[Plastic Mat])*IF(Table_NFI[[#This Row],[Distribution Date]]&gt;"2014-04-01",1,2.5)</f>
        <v>0</v>
      </c>
      <c r="AI65" s="439">
        <f>IF(NFI_Expiration=1,IF($A65&lt;VLOOKUP(R$5,NFI,5,0),1,0)*Table_NFI[[#This Row],[Winter Clothes Adult]],Table_NFI[Winter Clothes Adult])</f>
        <v>195</v>
      </c>
      <c r="AJ65" s="439">
        <f>IF(NFI_Expiration=1,IF($A65&lt;VLOOKUP(S$5,NFI,5,0),1,0)*Table_NFI[[#This Row],[Winter Clothes Children]],Table_NFI[Winter Clothes Children])</f>
        <v>91</v>
      </c>
      <c r="AK65" s="439">
        <f>IF(NFI_Expiration=1,IF($A65&lt;VLOOKUP(T$5,NFI,5,0),1,0)*Table_NFI[[#This Row],[Winter Items Other]],Table_NFI[Winter Items Other])</f>
        <v>0</v>
      </c>
      <c r="AL65" s="439">
        <f>IF(NFI_Expiration=1,IF($A65&lt;VLOOKUP(M$5,NFI,5,0),1,0)*Table_NFI[[#This Row],[Winter Blanket]],Table_NFI[[#This Row],[Winter Blanket]])</f>
        <v>92</v>
      </c>
      <c r="AM65" s="439">
        <f>IF(Table_NFI[[#This Row],[Winter Clothes Adult]]+Table_NFI[[#This Row],[Winter Clothes Children]]+Table_NFI[[#This Row],[Winter Items Other]]+Table_NFI[[#This Row],[Winter Blanket]]&gt;0,1,0)</f>
        <v>1</v>
      </c>
      <c r="AN65" s="439">
        <f>IF(NFI_Expiration=1,IF($A65&lt;VLOOKUP(V$5,NFI,5,0),1,0)*Table_NFI[[#This Row],[Jerry Can]],Table_NFI[Jerry Can])</f>
        <v>0</v>
      </c>
      <c r="AO65" s="781" t="str">
        <f>IFERROR(VLOOKUP(Table_NFI[[#This Row],[Camp Name]],CL,2,0),"")</f>
        <v>MMR001CMP072</v>
      </c>
      <c r="AP65" s="772">
        <f ca="1">IF(Table_NFI[[#This Row],[Pcode]]="","",IF(OFFSET(CampList[Opening Date],MATCH(Table_NFI[[#This Row],[Pcode]],CampList[CP_Pcode],0)-1,0,1,1)&gt;=NFI_Monitor_Date,1,0))</f>
        <v>0</v>
      </c>
      <c r="AQ65" s="781" t="str">
        <f>IFERROR(VLOOKUP(Table_NFI[[#This Row],[Camp Name]],CL,3,0),"")</f>
        <v>Open</v>
      </c>
      <c r="AR65" s="439" t="str">
        <f ca="1">IF(Table_NFI[[#This Row],[Pcode]]="","",OFFSET(CampList[Priority],MATCH(Table_NFI[[#This Row],[Pcode]],CampList[CP_Pcode],0)-1,0,1,1))</f>
        <v>P3</v>
      </c>
      <c r="AS65" s="438">
        <f>IFERROR(Table_NFI[[#This Row],[Kitchen Set]]/VLOOKUP(Table_NFI[[#This Row],[Camp Name]],CL,4,0),"")</f>
        <v>0</v>
      </c>
      <c r="AT65" s="769"/>
      <c r="AU65" s="826"/>
    </row>
    <row r="66" spans="1:47" s="136" customFormat="1" ht="15" customHeight="1" x14ac:dyDescent="0.2">
      <c r="A66" s="451">
        <f t="shared" si="0"/>
        <v>11.766666666666667</v>
      </c>
      <c r="B66" s="768">
        <v>42017</v>
      </c>
      <c r="C66" s="769" t="s">
        <v>1101</v>
      </c>
      <c r="D66" s="769" t="s">
        <v>907</v>
      </c>
      <c r="E66" s="769" t="s">
        <v>380</v>
      </c>
      <c r="F66" s="769" t="s">
        <v>237</v>
      </c>
      <c r="G66" s="769" t="s">
        <v>273</v>
      </c>
      <c r="H66" s="436"/>
      <c r="I66" s="439"/>
      <c r="J66" s="439"/>
      <c r="K66" s="439"/>
      <c r="L66" s="437"/>
      <c r="M66" s="437"/>
      <c r="N66" s="437"/>
      <c r="O66" s="437"/>
      <c r="P66" s="439"/>
      <c r="Q66" s="439"/>
      <c r="R66" s="436">
        <v>323</v>
      </c>
      <c r="S66" s="436">
        <v>178</v>
      </c>
      <c r="T66" s="436"/>
      <c r="U66" s="436"/>
      <c r="V66" s="439"/>
      <c r="W66" s="439"/>
      <c r="X66" s="439"/>
      <c r="Y66" s="439">
        <f>IF(NFI_Expiration=1,IF($A66&lt;VLOOKUP(H$5,NFI,5,0),1,0)*Table_NFI[[#This Row],[Hygiene Kit]],Table_NFI[Hygiene Kit])</f>
        <v>0</v>
      </c>
      <c r="Z66" s="439">
        <f>IF(NFI_Expiration=1,IF($A66&lt;VLOOKUP(I$5,NFI,5,0),1,0)*Table_NFI[[#This Row],[NFI Core Kit]],Table_NFI[NFI Core Kit])</f>
        <v>0</v>
      </c>
      <c r="AA66" s="439">
        <f>IF(NFI_Expiration=1,IF($A66&lt;VLOOKUP(J$5,NFI,5,0),1,0)*Table_NFI[[#This Row],[Sanitary Kit]],Table_NFI[Sanitary Kit])</f>
        <v>0</v>
      </c>
      <c r="AB66" s="439">
        <f>IF(NFI_Expiration=1,IF($A66&lt;VLOOKUP(K$5,NFI,5,0),1,0)*Table_NFI[[#This Row],[Mosquito net]],Table_NFI[Mosquito net])</f>
        <v>0</v>
      </c>
      <c r="AC66" s="439">
        <f>IF(NFI_Expiration=1,IF($A66&lt;VLOOKUP(L$5,NFI,5,0),1,0)*Table_NFI[[#This Row],[Tarpaulin]],Table_NFI[[#This Row],[Tarpaulin]])</f>
        <v>0</v>
      </c>
      <c r="AD66" s="439">
        <f>IF(NFI_Expiration=1,IF($A66&lt;VLOOKUP(M$5,NFI,5,0),1,0)*Table_NFI[[#This Row],[Blanket]],Table_NFI[[#This Row],[Blanket]])</f>
        <v>0</v>
      </c>
      <c r="AE66" s="439">
        <f>IF(NFI_Expiration=1,IF($A66&lt;VLOOKUP(N$5,NFI,5,0),1,0)*Table_NFI[[#This Row],[Kitchen Set]],Table_NFI[Kitchen Set])</f>
        <v>0</v>
      </c>
      <c r="AF66" s="439">
        <f>IF(NFI_Expiration=1,IF($A66&lt;VLOOKUP(O$5,NFI,5,0),1,0)*Table_NFI[[#This Row],[Clothes Kit]],Table_NFI[Clothes Kit])</f>
        <v>0</v>
      </c>
      <c r="AG66" s="439">
        <f>IF(NFI_Expiration=1,IF($A66&lt;VLOOKUP(P$5,NFI,5,0),1,0)*Table_NFI[[#This Row],[Plastic Bucket]],Table_NFI[Plastic Bucket])</f>
        <v>0</v>
      </c>
      <c r="AH66" s="439">
        <f>IF(NFI_Expiration=1,IF($A66&lt;VLOOKUP(Q$5,NFI,5,0),1,0)*Table_NFI[[#This Row],[Plastic Mat]],Table_NFI[Plastic Mat])*IF(Table_NFI[[#This Row],[Distribution Date]]&gt;"2014-04-01",1,2.5)</f>
        <v>0</v>
      </c>
      <c r="AI66" s="439">
        <f>IF(NFI_Expiration=1,IF($A66&lt;VLOOKUP(R$5,NFI,5,0),1,0)*Table_NFI[[#This Row],[Winter Clothes Adult]],Table_NFI[Winter Clothes Adult])</f>
        <v>323</v>
      </c>
      <c r="AJ66" s="439">
        <f>IF(NFI_Expiration=1,IF($A66&lt;VLOOKUP(S$5,NFI,5,0),1,0)*Table_NFI[[#This Row],[Winter Clothes Children]],Table_NFI[Winter Clothes Children])</f>
        <v>178</v>
      </c>
      <c r="AK66" s="439">
        <f>IF(NFI_Expiration=1,IF($A66&lt;VLOOKUP(T$5,NFI,5,0),1,0)*Table_NFI[[#This Row],[Winter Items Other]],Table_NFI[Winter Items Other])</f>
        <v>0</v>
      </c>
      <c r="AL66" s="439">
        <f>IF(NFI_Expiration=1,IF($A66&lt;VLOOKUP(M$5,NFI,5,0),1,0)*Table_NFI[[#This Row],[Winter Blanket]],Table_NFI[[#This Row],[Winter Blanket]])</f>
        <v>0</v>
      </c>
      <c r="AM66" s="439">
        <f>IF(Table_NFI[[#This Row],[Winter Clothes Adult]]+Table_NFI[[#This Row],[Winter Clothes Children]]+Table_NFI[[#This Row],[Winter Items Other]]+Table_NFI[[#This Row],[Winter Blanket]]&gt;0,1,0)</f>
        <v>1</v>
      </c>
      <c r="AN66" s="439">
        <f>IF(NFI_Expiration=1,IF($A66&lt;VLOOKUP(V$5,NFI,5,0),1,0)*Table_NFI[[#This Row],[Jerry Can]],Table_NFI[Jerry Can])</f>
        <v>0</v>
      </c>
      <c r="AO66" s="781" t="str">
        <f>IFERROR(VLOOKUP(Table_NFI[[#This Row],[Camp Name]],CL,2,0),"")</f>
        <v>MMR001CMP162</v>
      </c>
      <c r="AP66" s="772">
        <f ca="1">IF(Table_NFI[[#This Row],[Pcode]]="","",IF(OFFSET(CampList[Opening Date],MATCH(Table_NFI[[#This Row],[Pcode]],CampList[CP_Pcode],0)-1,0,1,1)&gt;=NFI_Monitor_Date,1,0))</f>
        <v>0</v>
      </c>
      <c r="AQ66" s="781" t="str">
        <f>IFERROR(VLOOKUP(Table_NFI[[#This Row],[Camp Name]],CL,3,0),"")</f>
        <v>Open</v>
      </c>
      <c r="AR66" s="439" t="str">
        <f ca="1">IF(Table_NFI[[#This Row],[Pcode]]="","",OFFSET(CampList[Priority],MATCH(Table_NFI[[#This Row],[Pcode]],CampList[CP_Pcode],0)-1,0,1,1))</f>
        <v>P4</v>
      </c>
      <c r="AS66" s="438">
        <f>IFERROR(Table_NFI[[#This Row],[Kitchen Set]]/VLOOKUP(Table_NFI[[#This Row],[Camp Name]],CL,4,0),"")</f>
        <v>0</v>
      </c>
      <c r="AT66" s="769"/>
      <c r="AU66" s="826"/>
    </row>
    <row r="67" spans="1:47" s="774" customFormat="1" ht="15" customHeight="1" x14ac:dyDescent="0.2">
      <c r="A67" s="451">
        <f t="shared" si="0"/>
        <v>11.766666666666667</v>
      </c>
      <c r="B67" s="768">
        <v>42017</v>
      </c>
      <c r="C67" s="769" t="s">
        <v>1101</v>
      </c>
      <c r="D67" s="769" t="s">
        <v>907</v>
      </c>
      <c r="E67" s="769" t="s">
        <v>380</v>
      </c>
      <c r="F67" s="769" t="s">
        <v>27</v>
      </c>
      <c r="G67" s="769" t="s">
        <v>870</v>
      </c>
      <c r="H67" s="436"/>
      <c r="I67" s="439"/>
      <c r="J67" s="439"/>
      <c r="K67" s="439"/>
      <c r="L67" s="437"/>
      <c r="M67" s="437"/>
      <c r="N67" s="437"/>
      <c r="O67" s="437"/>
      <c r="P67" s="439"/>
      <c r="Q67" s="439"/>
      <c r="R67" s="436">
        <v>187</v>
      </c>
      <c r="S67" s="436">
        <v>137</v>
      </c>
      <c r="T67" s="436"/>
      <c r="U67" s="436">
        <v>118</v>
      </c>
      <c r="V67" s="439"/>
      <c r="W67" s="439"/>
      <c r="X67" s="439"/>
      <c r="Y67" s="439">
        <f>IF(NFI_Expiration=1,IF($A67&lt;VLOOKUP(H$5,NFI,5,0),1,0)*Table_NFI[[#This Row],[Hygiene Kit]],Table_NFI[Hygiene Kit])</f>
        <v>0</v>
      </c>
      <c r="Z67" s="439">
        <f>IF(NFI_Expiration=1,IF($A67&lt;VLOOKUP(I$5,NFI,5,0),1,0)*Table_NFI[[#This Row],[NFI Core Kit]],Table_NFI[NFI Core Kit])</f>
        <v>0</v>
      </c>
      <c r="AA67" s="439">
        <f>IF(NFI_Expiration=1,IF($A67&lt;VLOOKUP(J$5,NFI,5,0),1,0)*Table_NFI[[#This Row],[Sanitary Kit]],Table_NFI[Sanitary Kit])</f>
        <v>0</v>
      </c>
      <c r="AB67" s="439">
        <f>IF(NFI_Expiration=1,IF($A67&lt;VLOOKUP(K$5,NFI,5,0),1,0)*Table_NFI[[#This Row],[Mosquito net]],Table_NFI[Mosquito net])</f>
        <v>0</v>
      </c>
      <c r="AC67" s="439">
        <f>IF(NFI_Expiration=1,IF($A67&lt;VLOOKUP(L$5,NFI,5,0),1,0)*Table_NFI[[#This Row],[Tarpaulin]],Table_NFI[[#This Row],[Tarpaulin]])</f>
        <v>0</v>
      </c>
      <c r="AD67" s="439">
        <f>IF(NFI_Expiration=1,IF($A67&lt;VLOOKUP(M$5,NFI,5,0),1,0)*Table_NFI[[#This Row],[Blanket]],Table_NFI[[#This Row],[Blanket]])</f>
        <v>0</v>
      </c>
      <c r="AE67" s="439">
        <f>IF(NFI_Expiration=1,IF($A67&lt;VLOOKUP(N$5,NFI,5,0),1,0)*Table_NFI[[#This Row],[Kitchen Set]],Table_NFI[Kitchen Set])</f>
        <v>0</v>
      </c>
      <c r="AF67" s="439">
        <f>IF(NFI_Expiration=1,IF($A67&lt;VLOOKUP(O$5,NFI,5,0),1,0)*Table_NFI[[#This Row],[Clothes Kit]],Table_NFI[Clothes Kit])</f>
        <v>0</v>
      </c>
      <c r="AG67" s="439">
        <f>IF(NFI_Expiration=1,IF($A67&lt;VLOOKUP(P$5,NFI,5,0),1,0)*Table_NFI[[#This Row],[Plastic Bucket]],Table_NFI[Plastic Bucket])</f>
        <v>0</v>
      </c>
      <c r="AH67" s="439">
        <f>IF(NFI_Expiration=1,IF($A67&lt;VLOOKUP(Q$5,NFI,5,0),1,0)*Table_NFI[[#This Row],[Plastic Mat]],Table_NFI[Plastic Mat])*IF(Table_NFI[[#This Row],[Distribution Date]]&gt;"2014-04-01",1,2.5)</f>
        <v>0</v>
      </c>
      <c r="AI67" s="439">
        <f>IF(NFI_Expiration=1,IF($A67&lt;VLOOKUP(R$5,NFI,5,0),1,0)*Table_NFI[[#This Row],[Winter Clothes Adult]],Table_NFI[Winter Clothes Adult])</f>
        <v>187</v>
      </c>
      <c r="AJ67" s="439">
        <f>IF(NFI_Expiration=1,IF($A67&lt;VLOOKUP(S$5,NFI,5,0),1,0)*Table_NFI[[#This Row],[Winter Clothes Children]],Table_NFI[Winter Clothes Children])</f>
        <v>137</v>
      </c>
      <c r="AK67" s="439">
        <f>IF(NFI_Expiration=1,IF($A67&lt;VLOOKUP(T$5,NFI,5,0),1,0)*Table_NFI[[#This Row],[Winter Items Other]],Table_NFI[Winter Items Other])</f>
        <v>0</v>
      </c>
      <c r="AL67" s="439">
        <f>IF(NFI_Expiration=1,IF($A67&lt;VLOOKUP(M$5,NFI,5,0),1,0)*Table_NFI[[#This Row],[Winter Blanket]],Table_NFI[[#This Row],[Winter Blanket]])</f>
        <v>118</v>
      </c>
      <c r="AM67" s="439">
        <f>IF(Table_NFI[[#This Row],[Winter Clothes Adult]]+Table_NFI[[#This Row],[Winter Clothes Children]]+Table_NFI[[#This Row],[Winter Items Other]]+Table_NFI[[#This Row],[Winter Blanket]]&gt;0,1,0)</f>
        <v>1</v>
      </c>
      <c r="AN67" s="439">
        <f>IF(NFI_Expiration=1,IF($A67&lt;VLOOKUP(V$5,NFI,5,0),1,0)*Table_NFI[[#This Row],[Jerry Can]],Table_NFI[Jerry Can])</f>
        <v>0</v>
      </c>
      <c r="AO67" s="781" t="str">
        <f>IFERROR(VLOOKUP(Table_NFI[[#This Row],[Camp Name]],CL,2,0),"")</f>
        <v>MMR001CMP210</v>
      </c>
      <c r="AP67" s="772">
        <f ca="1">IF(Table_NFI[[#This Row],[Pcode]]="","",IF(OFFSET(CampList[Opening Date],MATCH(Table_NFI[[#This Row],[Pcode]],CampList[CP_Pcode],0)-1,0,1,1)&gt;=NFI_Monitor_Date,1,0))</f>
        <v>0</v>
      </c>
      <c r="AQ67" s="781" t="str">
        <f>IFERROR(VLOOKUP(Table_NFI[[#This Row],[Camp Name]],CL,3,0),"")</f>
        <v>Open</v>
      </c>
      <c r="AR67" s="439" t="str">
        <f ca="1">IF(Table_NFI[[#This Row],[Pcode]]="","",OFFSET(CampList[Priority],MATCH(Table_NFI[[#This Row],[Pcode]],CampList[CP_Pcode],0)-1,0,1,1))</f>
        <v>P1</v>
      </c>
      <c r="AS67" s="438">
        <f>IFERROR(Table_NFI[[#This Row],[Kitchen Set]]/VLOOKUP(Table_NFI[[#This Row],[Camp Name]],CL,4,0),"")</f>
        <v>0</v>
      </c>
      <c r="AT67" s="769"/>
      <c r="AU67" s="826"/>
    </row>
    <row r="68" spans="1:47" s="136" customFormat="1" ht="15" customHeight="1" x14ac:dyDescent="0.2">
      <c r="A68" s="451">
        <f t="shared" si="0"/>
        <v>11.766666666666667</v>
      </c>
      <c r="B68" s="768">
        <v>42017</v>
      </c>
      <c r="C68" s="769" t="s">
        <v>1101</v>
      </c>
      <c r="D68" s="769" t="s">
        <v>907</v>
      </c>
      <c r="E68" s="769" t="s">
        <v>380</v>
      </c>
      <c r="F68" s="769" t="s">
        <v>529</v>
      </c>
      <c r="G68" s="769" t="s">
        <v>118</v>
      </c>
      <c r="H68" s="436"/>
      <c r="I68" s="439"/>
      <c r="J68" s="439"/>
      <c r="K68" s="439"/>
      <c r="L68" s="437"/>
      <c r="M68" s="437"/>
      <c r="N68" s="437"/>
      <c r="O68" s="437"/>
      <c r="P68" s="439"/>
      <c r="Q68" s="439"/>
      <c r="R68" s="436">
        <v>26</v>
      </c>
      <c r="S68" s="436">
        <v>14</v>
      </c>
      <c r="T68" s="436"/>
      <c r="U68" s="436"/>
      <c r="V68" s="439"/>
      <c r="W68" s="439"/>
      <c r="X68" s="439"/>
      <c r="Y68" s="439">
        <f>IF(NFI_Expiration=1,IF($A68&lt;VLOOKUP(H$5,NFI,5,0),1,0)*Table_NFI[[#This Row],[Hygiene Kit]],Table_NFI[Hygiene Kit])</f>
        <v>0</v>
      </c>
      <c r="Z68" s="439">
        <f>IF(NFI_Expiration=1,IF($A68&lt;VLOOKUP(I$5,NFI,5,0),1,0)*Table_NFI[[#This Row],[NFI Core Kit]],Table_NFI[NFI Core Kit])</f>
        <v>0</v>
      </c>
      <c r="AA68" s="439">
        <f>IF(NFI_Expiration=1,IF($A68&lt;VLOOKUP(J$5,NFI,5,0),1,0)*Table_NFI[[#This Row],[Sanitary Kit]],Table_NFI[Sanitary Kit])</f>
        <v>0</v>
      </c>
      <c r="AB68" s="439">
        <f>IF(NFI_Expiration=1,IF($A68&lt;VLOOKUP(K$5,NFI,5,0),1,0)*Table_NFI[[#This Row],[Mosquito net]],Table_NFI[Mosquito net])</f>
        <v>0</v>
      </c>
      <c r="AC68" s="439">
        <f>IF(NFI_Expiration=1,IF($A68&lt;VLOOKUP(L$5,NFI,5,0),1,0)*Table_NFI[[#This Row],[Tarpaulin]],Table_NFI[[#This Row],[Tarpaulin]])</f>
        <v>0</v>
      </c>
      <c r="AD68" s="439">
        <f>IF(NFI_Expiration=1,IF($A68&lt;VLOOKUP(M$5,NFI,5,0),1,0)*Table_NFI[[#This Row],[Blanket]],Table_NFI[[#This Row],[Blanket]])</f>
        <v>0</v>
      </c>
      <c r="AE68" s="439">
        <f>IF(NFI_Expiration=1,IF($A68&lt;VLOOKUP(N$5,NFI,5,0),1,0)*Table_NFI[[#This Row],[Kitchen Set]],Table_NFI[Kitchen Set])</f>
        <v>0</v>
      </c>
      <c r="AF68" s="439">
        <f>IF(NFI_Expiration=1,IF($A68&lt;VLOOKUP(O$5,NFI,5,0),1,0)*Table_NFI[[#This Row],[Clothes Kit]],Table_NFI[Clothes Kit])</f>
        <v>0</v>
      </c>
      <c r="AG68" s="439">
        <f>IF(NFI_Expiration=1,IF($A68&lt;VLOOKUP(P$5,NFI,5,0),1,0)*Table_NFI[[#This Row],[Plastic Bucket]],Table_NFI[Plastic Bucket])</f>
        <v>0</v>
      </c>
      <c r="AH68" s="439">
        <f>IF(NFI_Expiration=1,IF($A68&lt;VLOOKUP(Q$5,NFI,5,0),1,0)*Table_NFI[[#This Row],[Plastic Mat]],Table_NFI[Plastic Mat])*IF(Table_NFI[[#This Row],[Distribution Date]]&gt;"2014-04-01",1,2.5)</f>
        <v>0</v>
      </c>
      <c r="AI68" s="439">
        <f>IF(NFI_Expiration=1,IF($A68&lt;VLOOKUP(R$5,NFI,5,0),1,0)*Table_NFI[[#This Row],[Winter Clothes Adult]],Table_NFI[Winter Clothes Adult])</f>
        <v>26</v>
      </c>
      <c r="AJ68" s="439">
        <f>IF(NFI_Expiration=1,IF($A68&lt;VLOOKUP(S$5,NFI,5,0),1,0)*Table_NFI[[#This Row],[Winter Clothes Children]],Table_NFI[Winter Clothes Children])</f>
        <v>14</v>
      </c>
      <c r="AK68" s="439">
        <f>IF(NFI_Expiration=1,IF($A68&lt;VLOOKUP(T$5,NFI,5,0),1,0)*Table_NFI[[#This Row],[Winter Items Other]],Table_NFI[Winter Items Other])</f>
        <v>0</v>
      </c>
      <c r="AL68" s="439">
        <f>IF(NFI_Expiration=1,IF($A68&lt;VLOOKUP(M$5,NFI,5,0),1,0)*Table_NFI[[#This Row],[Winter Blanket]],Table_NFI[[#This Row],[Winter Blanket]])</f>
        <v>0</v>
      </c>
      <c r="AM68" s="439">
        <f>IF(Table_NFI[[#This Row],[Winter Clothes Adult]]+Table_NFI[[#This Row],[Winter Clothes Children]]+Table_NFI[[#This Row],[Winter Items Other]]+Table_NFI[[#This Row],[Winter Blanket]]&gt;0,1,0)</f>
        <v>1</v>
      </c>
      <c r="AN68" s="439">
        <f>IF(NFI_Expiration=1,IF($A68&lt;VLOOKUP(V$5,NFI,5,0),1,0)*Table_NFI[[#This Row],[Jerry Can]],Table_NFI[Jerry Can])</f>
        <v>0</v>
      </c>
      <c r="AO68" s="781" t="str">
        <f>IFERROR(VLOOKUP(Table_NFI[[#This Row],[Camp Name]],CL,2,0),"")</f>
        <v>MMR001CMP182</v>
      </c>
      <c r="AP68" s="772">
        <f ca="1">IF(Table_NFI[[#This Row],[Pcode]]="","",IF(OFFSET(CampList[Opening Date],MATCH(Table_NFI[[#This Row],[Pcode]],CampList[CP_Pcode],0)-1,0,1,1)&gt;=NFI_Monitor_Date,1,0))</f>
        <v>0</v>
      </c>
      <c r="AQ68" s="781" t="str">
        <f>IFERROR(VLOOKUP(Table_NFI[[#This Row],[Camp Name]],CL,3,0),"")</f>
        <v>Open</v>
      </c>
      <c r="AR68" s="439" t="str">
        <f ca="1">IF(Table_NFI[[#This Row],[Pcode]]="","",OFFSET(CampList[Priority],MATCH(Table_NFI[[#This Row],[Pcode]],CampList[CP_Pcode],0)-1,0,1,1))</f>
        <v>P4</v>
      </c>
      <c r="AS68" s="438">
        <f>IFERROR(Table_NFI[[#This Row],[Kitchen Set]]/VLOOKUP(Table_NFI[[#This Row],[Camp Name]],CL,4,0),"")</f>
        <v>0</v>
      </c>
      <c r="AT68" s="769"/>
      <c r="AU68" s="826"/>
    </row>
    <row r="69" spans="1:47" s="774" customFormat="1" ht="15" customHeight="1" x14ac:dyDescent="0.2">
      <c r="A69" s="451">
        <f t="shared" si="0"/>
        <v>11.766666666666667</v>
      </c>
      <c r="B69" s="768">
        <v>42017</v>
      </c>
      <c r="C69" s="769" t="s">
        <v>1101</v>
      </c>
      <c r="D69" s="769" t="s">
        <v>907</v>
      </c>
      <c r="E69" s="769" t="s">
        <v>380</v>
      </c>
      <c r="F69" s="769" t="s">
        <v>529</v>
      </c>
      <c r="G69" s="769" t="s">
        <v>124</v>
      </c>
      <c r="H69" s="436"/>
      <c r="I69" s="439"/>
      <c r="J69" s="439"/>
      <c r="K69" s="439"/>
      <c r="L69" s="437"/>
      <c r="M69" s="437"/>
      <c r="N69" s="437"/>
      <c r="O69" s="437"/>
      <c r="P69" s="439"/>
      <c r="Q69" s="439"/>
      <c r="R69" s="436">
        <v>34</v>
      </c>
      <c r="S69" s="436">
        <v>9</v>
      </c>
      <c r="T69" s="436"/>
      <c r="U69" s="436"/>
      <c r="V69" s="439"/>
      <c r="W69" s="439"/>
      <c r="X69" s="439"/>
      <c r="Y69" s="439">
        <f>IF(NFI_Expiration=1,IF($A69&lt;VLOOKUP(H$5,NFI,5,0),1,0)*Table_NFI[[#This Row],[Hygiene Kit]],Table_NFI[Hygiene Kit])</f>
        <v>0</v>
      </c>
      <c r="Z69" s="439">
        <f>IF(NFI_Expiration=1,IF($A69&lt;VLOOKUP(I$5,NFI,5,0),1,0)*Table_NFI[[#This Row],[NFI Core Kit]],Table_NFI[NFI Core Kit])</f>
        <v>0</v>
      </c>
      <c r="AA69" s="439">
        <f>IF(NFI_Expiration=1,IF($A69&lt;VLOOKUP(J$5,NFI,5,0),1,0)*Table_NFI[[#This Row],[Sanitary Kit]],Table_NFI[Sanitary Kit])</f>
        <v>0</v>
      </c>
      <c r="AB69" s="439">
        <f>IF(NFI_Expiration=1,IF($A69&lt;VLOOKUP(K$5,NFI,5,0),1,0)*Table_NFI[[#This Row],[Mosquito net]],Table_NFI[Mosquito net])</f>
        <v>0</v>
      </c>
      <c r="AC69" s="439">
        <f>IF(NFI_Expiration=1,IF($A69&lt;VLOOKUP(L$5,NFI,5,0),1,0)*Table_NFI[[#This Row],[Tarpaulin]],Table_NFI[[#This Row],[Tarpaulin]])</f>
        <v>0</v>
      </c>
      <c r="AD69" s="439">
        <f>IF(NFI_Expiration=1,IF($A69&lt;VLOOKUP(M$5,NFI,5,0),1,0)*Table_NFI[[#This Row],[Blanket]],Table_NFI[[#This Row],[Blanket]])</f>
        <v>0</v>
      </c>
      <c r="AE69" s="439">
        <f>IF(NFI_Expiration=1,IF($A69&lt;VLOOKUP(N$5,NFI,5,0),1,0)*Table_NFI[[#This Row],[Kitchen Set]],Table_NFI[Kitchen Set])</f>
        <v>0</v>
      </c>
      <c r="AF69" s="439">
        <f>IF(NFI_Expiration=1,IF($A69&lt;VLOOKUP(O$5,NFI,5,0),1,0)*Table_NFI[[#This Row],[Clothes Kit]],Table_NFI[Clothes Kit])</f>
        <v>0</v>
      </c>
      <c r="AG69" s="439">
        <f>IF(NFI_Expiration=1,IF($A69&lt;VLOOKUP(P$5,NFI,5,0),1,0)*Table_NFI[[#This Row],[Plastic Bucket]],Table_NFI[Plastic Bucket])</f>
        <v>0</v>
      </c>
      <c r="AH69" s="439">
        <f>IF(NFI_Expiration=1,IF($A69&lt;VLOOKUP(Q$5,NFI,5,0),1,0)*Table_NFI[[#This Row],[Plastic Mat]],Table_NFI[Plastic Mat])*IF(Table_NFI[[#This Row],[Distribution Date]]&gt;"2014-04-01",1,2.5)</f>
        <v>0</v>
      </c>
      <c r="AI69" s="439">
        <f>IF(NFI_Expiration=1,IF($A69&lt;VLOOKUP(R$5,NFI,5,0),1,0)*Table_NFI[[#This Row],[Winter Clothes Adult]],Table_NFI[Winter Clothes Adult])</f>
        <v>34</v>
      </c>
      <c r="AJ69" s="439">
        <f>IF(NFI_Expiration=1,IF($A69&lt;VLOOKUP(S$5,NFI,5,0),1,0)*Table_NFI[[#This Row],[Winter Clothes Children]],Table_NFI[Winter Clothes Children])</f>
        <v>9</v>
      </c>
      <c r="AK69" s="439">
        <f>IF(NFI_Expiration=1,IF($A69&lt;VLOOKUP(T$5,NFI,5,0),1,0)*Table_NFI[[#This Row],[Winter Items Other]],Table_NFI[Winter Items Other])</f>
        <v>0</v>
      </c>
      <c r="AL69" s="439">
        <f>IF(NFI_Expiration=1,IF($A69&lt;VLOOKUP(M$5,NFI,5,0),1,0)*Table_NFI[[#This Row],[Winter Blanket]],Table_NFI[[#This Row],[Winter Blanket]])</f>
        <v>0</v>
      </c>
      <c r="AM69" s="439">
        <f>IF(Table_NFI[[#This Row],[Winter Clothes Adult]]+Table_NFI[[#This Row],[Winter Clothes Children]]+Table_NFI[[#This Row],[Winter Items Other]]+Table_NFI[[#This Row],[Winter Blanket]]&gt;0,1,0)</f>
        <v>1</v>
      </c>
      <c r="AN69" s="439">
        <f>IF(NFI_Expiration=1,IF($A69&lt;VLOOKUP(V$5,NFI,5,0),1,0)*Table_NFI[[#This Row],[Jerry Can]],Table_NFI[Jerry Can])</f>
        <v>0</v>
      </c>
      <c r="AO69" s="781" t="str">
        <f>IFERROR(VLOOKUP(Table_NFI[[#This Row],[Camp Name]],CL,2,0),"")</f>
        <v>MMR001CMP183</v>
      </c>
      <c r="AP69" s="772">
        <f ca="1">IF(Table_NFI[[#This Row],[Pcode]]="","",IF(OFFSET(CampList[Opening Date],MATCH(Table_NFI[[#This Row],[Pcode]],CampList[CP_Pcode],0)-1,0,1,1)&gt;=NFI_Monitor_Date,1,0))</f>
        <v>0</v>
      </c>
      <c r="AQ69" s="781" t="str">
        <f>IFERROR(VLOOKUP(Table_NFI[[#This Row],[Camp Name]],CL,3,0),"")</f>
        <v>Open</v>
      </c>
      <c r="AR69" s="439" t="str">
        <f ca="1">IF(Table_NFI[[#This Row],[Pcode]]="","",OFFSET(CampList[Priority],MATCH(Table_NFI[[#This Row],[Pcode]],CampList[CP_Pcode],0)-1,0,1,1))</f>
        <v>P4</v>
      </c>
      <c r="AS69" s="438">
        <f>IFERROR(Table_NFI[[#This Row],[Kitchen Set]]/VLOOKUP(Table_NFI[[#This Row],[Camp Name]],CL,4,0),"")</f>
        <v>0</v>
      </c>
      <c r="AT69" s="769"/>
      <c r="AU69" s="826"/>
    </row>
    <row r="70" spans="1:47" s="136" customFormat="1" ht="15" customHeight="1" x14ac:dyDescent="0.2">
      <c r="A70" s="451">
        <f t="shared" ref="A70:A133" si="1">IF(ISBLANK(B70),"",(Report_Date-B70)/30)</f>
        <v>11.766666666666667</v>
      </c>
      <c r="B70" s="768">
        <v>42017</v>
      </c>
      <c r="C70" s="769" t="s">
        <v>1101</v>
      </c>
      <c r="D70" s="769" t="s">
        <v>907</v>
      </c>
      <c r="E70" s="769" t="s">
        <v>380</v>
      </c>
      <c r="F70" s="769" t="s">
        <v>27</v>
      </c>
      <c r="G70" s="769" t="s">
        <v>1026</v>
      </c>
      <c r="H70" s="436"/>
      <c r="I70" s="439"/>
      <c r="J70" s="439"/>
      <c r="K70" s="439"/>
      <c r="L70" s="437"/>
      <c r="M70" s="437"/>
      <c r="N70" s="437"/>
      <c r="O70" s="437"/>
      <c r="P70" s="439"/>
      <c r="Q70" s="439"/>
      <c r="R70" s="436">
        <v>111</v>
      </c>
      <c r="S70" s="436">
        <v>56</v>
      </c>
      <c r="T70" s="436"/>
      <c r="U70" s="436">
        <v>58</v>
      </c>
      <c r="V70" s="439"/>
      <c r="W70" s="439"/>
      <c r="X70" s="439"/>
      <c r="Y70" s="439">
        <f>IF(NFI_Expiration=1,IF($A70&lt;VLOOKUP(H$5,NFI,5,0),1,0)*Table_NFI[[#This Row],[Hygiene Kit]],Table_NFI[Hygiene Kit])</f>
        <v>0</v>
      </c>
      <c r="Z70" s="439">
        <f>IF(NFI_Expiration=1,IF($A70&lt;VLOOKUP(I$5,NFI,5,0),1,0)*Table_NFI[[#This Row],[NFI Core Kit]],Table_NFI[NFI Core Kit])</f>
        <v>0</v>
      </c>
      <c r="AA70" s="439">
        <f>IF(NFI_Expiration=1,IF($A70&lt;VLOOKUP(J$5,NFI,5,0),1,0)*Table_NFI[[#This Row],[Sanitary Kit]],Table_NFI[Sanitary Kit])</f>
        <v>0</v>
      </c>
      <c r="AB70" s="439">
        <f>IF(NFI_Expiration=1,IF($A70&lt;VLOOKUP(K$5,NFI,5,0),1,0)*Table_NFI[[#This Row],[Mosquito net]],Table_NFI[Mosquito net])</f>
        <v>0</v>
      </c>
      <c r="AC70" s="439">
        <f>IF(NFI_Expiration=1,IF($A70&lt;VLOOKUP(L$5,NFI,5,0),1,0)*Table_NFI[[#This Row],[Tarpaulin]],Table_NFI[[#This Row],[Tarpaulin]])</f>
        <v>0</v>
      </c>
      <c r="AD70" s="439">
        <f>IF(NFI_Expiration=1,IF($A70&lt;VLOOKUP(M$5,NFI,5,0),1,0)*Table_NFI[[#This Row],[Blanket]],Table_NFI[[#This Row],[Blanket]])</f>
        <v>0</v>
      </c>
      <c r="AE70" s="439">
        <f>IF(NFI_Expiration=1,IF($A70&lt;VLOOKUP(N$5,NFI,5,0),1,0)*Table_NFI[[#This Row],[Kitchen Set]],Table_NFI[Kitchen Set])</f>
        <v>0</v>
      </c>
      <c r="AF70" s="439">
        <f>IF(NFI_Expiration=1,IF($A70&lt;VLOOKUP(O$5,NFI,5,0),1,0)*Table_NFI[[#This Row],[Clothes Kit]],Table_NFI[Clothes Kit])</f>
        <v>0</v>
      </c>
      <c r="AG70" s="439">
        <f>IF(NFI_Expiration=1,IF($A70&lt;VLOOKUP(P$5,NFI,5,0),1,0)*Table_NFI[[#This Row],[Plastic Bucket]],Table_NFI[Plastic Bucket])</f>
        <v>0</v>
      </c>
      <c r="AH70" s="439">
        <f>IF(NFI_Expiration=1,IF($A70&lt;VLOOKUP(Q$5,NFI,5,0),1,0)*Table_NFI[[#This Row],[Plastic Mat]],Table_NFI[Plastic Mat])*IF(Table_NFI[[#This Row],[Distribution Date]]&gt;"2014-04-01",1,2.5)</f>
        <v>0</v>
      </c>
      <c r="AI70" s="439">
        <f>IF(NFI_Expiration=1,IF($A70&lt;VLOOKUP(R$5,NFI,5,0),1,0)*Table_NFI[[#This Row],[Winter Clothes Adult]],Table_NFI[Winter Clothes Adult])</f>
        <v>111</v>
      </c>
      <c r="AJ70" s="439">
        <f>IF(NFI_Expiration=1,IF($A70&lt;VLOOKUP(S$5,NFI,5,0),1,0)*Table_NFI[[#This Row],[Winter Clothes Children]],Table_NFI[Winter Clothes Children])</f>
        <v>56</v>
      </c>
      <c r="AK70" s="439">
        <f>IF(NFI_Expiration=1,IF($A70&lt;VLOOKUP(T$5,NFI,5,0),1,0)*Table_NFI[[#This Row],[Winter Items Other]],Table_NFI[Winter Items Other])</f>
        <v>0</v>
      </c>
      <c r="AL70" s="439">
        <f>IF(NFI_Expiration=1,IF($A70&lt;VLOOKUP(M$5,NFI,5,0),1,0)*Table_NFI[[#This Row],[Winter Blanket]],Table_NFI[[#This Row],[Winter Blanket]])</f>
        <v>58</v>
      </c>
      <c r="AM70" s="439">
        <f>IF(Table_NFI[[#This Row],[Winter Clothes Adult]]+Table_NFI[[#This Row],[Winter Clothes Children]]+Table_NFI[[#This Row],[Winter Items Other]]+Table_NFI[[#This Row],[Winter Blanket]]&gt;0,1,0)</f>
        <v>1</v>
      </c>
      <c r="AN70" s="439">
        <f>IF(NFI_Expiration=1,IF($A70&lt;VLOOKUP(V$5,NFI,5,0),1,0)*Table_NFI[[#This Row],[Jerry Can]],Table_NFI[Jerry Can])</f>
        <v>0</v>
      </c>
      <c r="AO70" s="781" t="str">
        <f>IFERROR(VLOOKUP(Table_NFI[[#This Row],[Camp Name]],CL,2,0),"")</f>
        <v>MMR001CMP225</v>
      </c>
      <c r="AP70" s="772">
        <f ca="1">IF(Table_NFI[[#This Row],[Pcode]]="","",IF(OFFSET(CampList[Opening Date],MATCH(Table_NFI[[#This Row],[Pcode]],CampList[CP_Pcode],0)-1,0,1,1)&gt;=NFI_Monitor_Date,1,0))</f>
        <v>0</v>
      </c>
      <c r="AQ70" s="781" t="str">
        <f>IFERROR(VLOOKUP(Table_NFI[[#This Row],[Camp Name]],CL,3,0),"")</f>
        <v>Open</v>
      </c>
      <c r="AR70" s="439" t="str">
        <f ca="1">IF(Table_NFI[[#This Row],[Pcode]]="","",OFFSET(CampList[Priority],MATCH(Table_NFI[[#This Row],[Pcode]],CampList[CP_Pcode],0)-1,0,1,1))</f>
        <v>P1</v>
      </c>
      <c r="AS70" s="438">
        <f>IFERROR(Table_NFI[[#This Row],[Kitchen Set]]/VLOOKUP(Table_NFI[[#This Row],[Camp Name]],CL,4,0),"")</f>
        <v>0</v>
      </c>
      <c r="AT70" s="769"/>
      <c r="AU70" s="826"/>
    </row>
    <row r="71" spans="1:47" s="136" customFormat="1" ht="15" customHeight="1" x14ac:dyDescent="0.2">
      <c r="A71" s="451">
        <f t="shared" si="1"/>
        <v>11.766666666666667</v>
      </c>
      <c r="B71" s="768">
        <v>42017</v>
      </c>
      <c r="C71" s="769" t="s">
        <v>1101</v>
      </c>
      <c r="D71" s="769" t="s">
        <v>907</v>
      </c>
      <c r="E71" s="769" t="s">
        <v>380</v>
      </c>
      <c r="F71" s="769" t="s">
        <v>185</v>
      </c>
      <c r="G71" s="769" t="s">
        <v>225</v>
      </c>
      <c r="H71" s="436"/>
      <c r="I71" s="439"/>
      <c r="J71" s="439"/>
      <c r="K71" s="439"/>
      <c r="L71" s="437"/>
      <c r="M71" s="437"/>
      <c r="N71" s="437"/>
      <c r="O71" s="437"/>
      <c r="P71" s="439"/>
      <c r="Q71" s="439"/>
      <c r="R71" s="436">
        <v>155</v>
      </c>
      <c r="S71" s="436">
        <v>73</v>
      </c>
      <c r="T71" s="436"/>
      <c r="U71" s="436">
        <v>96</v>
      </c>
      <c r="V71" s="439"/>
      <c r="W71" s="439"/>
      <c r="X71" s="439"/>
      <c r="Y71" s="439">
        <f>IF(NFI_Expiration=1,IF($A71&lt;VLOOKUP(H$5,NFI,5,0),1,0)*Table_NFI[[#This Row],[Hygiene Kit]],Table_NFI[Hygiene Kit])</f>
        <v>0</v>
      </c>
      <c r="Z71" s="439">
        <f>IF(NFI_Expiration=1,IF($A71&lt;VLOOKUP(I$5,NFI,5,0),1,0)*Table_NFI[[#This Row],[NFI Core Kit]],Table_NFI[NFI Core Kit])</f>
        <v>0</v>
      </c>
      <c r="AA71" s="439">
        <f>IF(NFI_Expiration=1,IF($A71&lt;VLOOKUP(J$5,NFI,5,0),1,0)*Table_NFI[[#This Row],[Sanitary Kit]],Table_NFI[Sanitary Kit])</f>
        <v>0</v>
      </c>
      <c r="AB71" s="439">
        <f>IF(NFI_Expiration=1,IF($A71&lt;VLOOKUP(K$5,NFI,5,0),1,0)*Table_NFI[[#This Row],[Mosquito net]],Table_NFI[Mosquito net])</f>
        <v>0</v>
      </c>
      <c r="AC71" s="439">
        <f>IF(NFI_Expiration=1,IF($A71&lt;VLOOKUP(L$5,NFI,5,0),1,0)*Table_NFI[[#This Row],[Tarpaulin]],Table_NFI[[#This Row],[Tarpaulin]])</f>
        <v>0</v>
      </c>
      <c r="AD71" s="439">
        <f>IF(NFI_Expiration=1,IF($A71&lt;VLOOKUP(M$5,NFI,5,0),1,0)*Table_NFI[[#This Row],[Blanket]],Table_NFI[[#This Row],[Blanket]])</f>
        <v>0</v>
      </c>
      <c r="AE71" s="439">
        <f>IF(NFI_Expiration=1,IF($A71&lt;VLOOKUP(N$5,NFI,5,0),1,0)*Table_NFI[[#This Row],[Kitchen Set]],Table_NFI[Kitchen Set])</f>
        <v>0</v>
      </c>
      <c r="AF71" s="439">
        <f>IF(NFI_Expiration=1,IF($A71&lt;VLOOKUP(O$5,NFI,5,0),1,0)*Table_NFI[[#This Row],[Clothes Kit]],Table_NFI[Clothes Kit])</f>
        <v>0</v>
      </c>
      <c r="AG71" s="439">
        <f>IF(NFI_Expiration=1,IF($A71&lt;VLOOKUP(P$5,NFI,5,0),1,0)*Table_NFI[[#This Row],[Plastic Bucket]],Table_NFI[Plastic Bucket])</f>
        <v>0</v>
      </c>
      <c r="AH71" s="439">
        <f>IF(NFI_Expiration=1,IF($A71&lt;VLOOKUP(Q$5,NFI,5,0),1,0)*Table_NFI[[#This Row],[Plastic Mat]],Table_NFI[Plastic Mat])*IF(Table_NFI[[#This Row],[Distribution Date]]&gt;"2014-04-01",1,2.5)</f>
        <v>0</v>
      </c>
      <c r="AI71" s="439">
        <f>IF(NFI_Expiration=1,IF($A71&lt;VLOOKUP(R$5,NFI,5,0),1,0)*Table_NFI[[#This Row],[Winter Clothes Adult]],Table_NFI[Winter Clothes Adult])</f>
        <v>155</v>
      </c>
      <c r="AJ71" s="439">
        <f>IF(NFI_Expiration=1,IF($A71&lt;VLOOKUP(S$5,NFI,5,0),1,0)*Table_NFI[[#This Row],[Winter Clothes Children]],Table_NFI[Winter Clothes Children])</f>
        <v>73</v>
      </c>
      <c r="AK71" s="439">
        <f>IF(NFI_Expiration=1,IF($A71&lt;VLOOKUP(T$5,NFI,5,0),1,0)*Table_NFI[[#This Row],[Winter Items Other]],Table_NFI[Winter Items Other])</f>
        <v>0</v>
      </c>
      <c r="AL71" s="439">
        <f>IF(NFI_Expiration=1,IF($A71&lt;VLOOKUP(M$5,NFI,5,0),1,0)*Table_NFI[[#This Row],[Winter Blanket]],Table_NFI[[#This Row],[Winter Blanket]])</f>
        <v>96</v>
      </c>
      <c r="AM71" s="439">
        <f>IF(Table_NFI[[#This Row],[Winter Clothes Adult]]+Table_NFI[[#This Row],[Winter Clothes Children]]+Table_NFI[[#This Row],[Winter Items Other]]+Table_NFI[[#This Row],[Winter Blanket]]&gt;0,1,0)</f>
        <v>1</v>
      </c>
      <c r="AN71" s="439">
        <f>IF(NFI_Expiration=1,IF($A71&lt;VLOOKUP(V$5,NFI,5,0),1,0)*Table_NFI[[#This Row],[Jerry Can]],Table_NFI[Jerry Can])</f>
        <v>0</v>
      </c>
      <c r="AO71" s="781" t="str">
        <f>IFERROR(VLOOKUP(Table_NFI[[#This Row],[Camp Name]],CL,2,0),"")</f>
        <v>MMR001CMP073</v>
      </c>
      <c r="AP71" s="772">
        <f ca="1">IF(Table_NFI[[#This Row],[Pcode]]="","",IF(OFFSET(CampList[Opening Date],MATCH(Table_NFI[[#This Row],[Pcode]],CampList[CP_Pcode],0)-1,0,1,1)&gt;=NFI_Monitor_Date,1,0))</f>
        <v>0</v>
      </c>
      <c r="AQ71" s="781" t="str">
        <f>IFERROR(VLOOKUP(Table_NFI[[#This Row],[Camp Name]],CL,3,0),"")</f>
        <v>Open</v>
      </c>
      <c r="AR71" s="439" t="str">
        <f ca="1">IF(Table_NFI[[#This Row],[Pcode]]="","",OFFSET(CampList[Priority],MATCH(Table_NFI[[#This Row],[Pcode]],CampList[CP_Pcode],0)-1,0,1,1))</f>
        <v>P3</v>
      </c>
      <c r="AS71" s="438">
        <f>IFERROR(Table_NFI[[#This Row],[Kitchen Set]]/VLOOKUP(Table_NFI[[#This Row],[Camp Name]],CL,4,0),"")</f>
        <v>0</v>
      </c>
      <c r="AT71" s="769"/>
      <c r="AU71" s="826"/>
    </row>
    <row r="72" spans="1:47" s="136" customFormat="1" ht="15" customHeight="1" x14ac:dyDescent="0.2">
      <c r="A72" s="451">
        <f t="shared" si="1"/>
        <v>11.766666666666667</v>
      </c>
      <c r="B72" s="768">
        <v>42017</v>
      </c>
      <c r="C72" s="769" t="s">
        <v>1101</v>
      </c>
      <c r="D72" s="769" t="s">
        <v>907</v>
      </c>
      <c r="E72" s="769" t="s">
        <v>380</v>
      </c>
      <c r="F72" s="769" t="s">
        <v>813</v>
      </c>
      <c r="G72" s="769" t="s">
        <v>813</v>
      </c>
      <c r="H72" s="436"/>
      <c r="I72" s="439"/>
      <c r="J72" s="439"/>
      <c r="K72" s="439"/>
      <c r="L72" s="437"/>
      <c r="M72" s="437"/>
      <c r="N72" s="437"/>
      <c r="O72" s="437"/>
      <c r="P72" s="439"/>
      <c r="Q72" s="439"/>
      <c r="R72" s="436">
        <v>91</v>
      </c>
      <c r="S72" s="436">
        <v>32</v>
      </c>
      <c r="T72" s="436"/>
      <c r="U72" s="436">
        <v>36</v>
      </c>
      <c r="V72" s="439"/>
      <c r="W72" s="439"/>
      <c r="X72" s="439"/>
      <c r="Y72" s="439">
        <f>IF(NFI_Expiration=1,IF($A72&lt;VLOOKUP(H$5,NFI,5,0),1,0)*Table_NFI[[#This Row],[Hygiene Kit]],Table_NFI[Hygiene Kit])</f>
        <v>0</v>
      </c>
      <c r="Z72" s="439">
        <f>IF(NFI_Expiration=1,IF($A72&lt;VLOOKUP(I$5,NFI,5,0),1,0)*Table_NFI[[#This Row],[NFI Core Kit]],Table_NFI[NFI Core Kit])</f>
        <v>0</v>
      </c>
      <c r="AA72" s="439">
        <f>IF(NFI_Expiration=1,IF($A72&lt;VLOOKUP(J$5,NFI,5,0),1,0)*Table_NFI[[#This Row],[Sanitary Kit]],Table_NFI[Sanitary Kit])</f>
        <v>0</v>
      </c>
      <c r="AB72" s="439">
        <f>IF(NFI_Expiration=1,IF($A72&lt;VLOOKUP(K$5,NFI,5,0),1,0)*Table_NFI[[#This Row],[Mosquito net]],Table_NFI[Mosquito net])</f>
        <v>0</v>
      </c>
      <c r="AC72" s="439">
        <f>IF(NFI_Expiration=1,IF($A72&lt;VLOOKUP(L$5,NFI,5,0),1,0)*Table_NFI[[#This Row],[Tarpaulin]],Table_NFI[[#This Row],[Tarpaulin]])</f>
        <v>0</v>
      </c>
      <c r="AD72" s="439">
        <f>IF(NFI_Expiration=1,IF($A72&lt;VLOOKUP(M$5,NFI,5,0),1,0)*Table_NFI[[#This Row],[Blanket]],Table_NFI[[#This Row],[Blanket]])</f>
        <v>0</v>
      </c>
      <c r="AE72" s="439">
        <f>IF(NFI_Expiration=1,IF($A72&lt;VLOOKUP(N$5,NFI,5,0),1,0)*Table_NFI[[#This Row],[Kitchen Set]],Table_NFI[Kitchen Set])</f>
        <v>0</v>
      </c>
      <c r="AF72" s="439">
        <f>IF(NFI_Expiration=1,IF($A72&lt;VLOOKUP(O$5,NFI,5,0),1,0)*Table_NFI[[#This Row],[Clothes Kit]],Table_NFI[Clothes Kit])</f>
        <v>0</v>
      </c>
      <c r="AG72" s="439">
        <f>IF(NFI_Expiration=1,IF($A72&lt;VLOOKUP(P$5,NFI,5,0),1,0)*Table_NFI[[#This Row],[Plastic Bucket]],Table_NFI[Plastic Bucket])</f>
        <v>0</v>
      </c>
      <c r="AH72" s="439">
        <f>IF(NFI_Expiration=1,IF($A72&lt;VLOOKUP(Q$5,NFI,5,0),1,0)*Table_NFI[[#This Row],[Plastic Mat]],Table_NFI[Plastic Mat])*IF(Table_NFI[[#This Row],[Distribution Date]]&gt;"2014-04-01",1,2.5)</f>
        <v>0</v>
      </c>
      <c r="AI72" s="439">
        <f>IF(NFI_Expiration=1,IF($A72&lt;VLOOKUP(R$5,NFI,5,0),1,0)*Table_NFI[[#This Row],[Winter Clothes Adult]],Table_NFI[Winter Clothes Adult])</f>
        <v>91</v>
      </c>
      <c r="AJ72" s="439">
        <f>IF(NFI_Expiration=1,IF($A72&lt;VLOOKUP(S$5,NFI,5,0),1,0)*Table_NFI[[#This Row],[Winter Clothes Children]],Table_NFI[Winter Clothes Children])</f>
        <v>32</v>
      </c>
      <c r="AK72" s="439">
        <f>IF(NFI_Expiration=1,IF($A72&lt;VLOOKUP(T$5,NFI,5,0),1,0)*Table_NFI[[#This Row],[Winter Items Other]],Table_NFI[Winter Items Other])</f>
        <v>0</v>
      </c>
      <c r="AL72" s="439">
        <f>IF(NFI_Expiration=1,IF($A72&lt;VLOOKUP(M$5,NFI,5,0),1,0)*Table_NFI[[#This Row],[Winter Blanket]],Table_NFI[[#This Row],[Winter Blanket]])</f>
        <v>36</v>
      </c>
      <c r="AM72" s="439">
        <f>IF(Table_NFI[[#This Row],[Winter Clothes Adult]]+Table_NFI[[#This Row],[Winter Clothes Children]]+Table_NFI[[#This Row],[Winter Items Other]]+Table_NFI[[#This Row],[Winter Blanket]]&gt;0,1,0)</f>
        <v>1</v>
      </c>
      <c r="AN72" s="439">
        <f>IF(NFI_Expiration=1,IF($A72&lt;VLOOKUP(V$5,NFI,5,0),1,0)*Table_NFI[[#This Row],[Jerry Can]],Table_NFI[Jerry Can])</f>
        <v>0</v>
      </c>
      <c r="AO72" s="781" t="str">
        <f>IFERROR(VLOOKUP(Table_NFI[[#This Row],[Camp Name]],CL,2,0),"")</f>
        <v>MMR001CMP206</v>
      </c>
      <c r="AP72" s="772">
        <f ca="1">IF(Table_NFI[[#This Row],[Pcode]]="","",IF(OFFSET(CampList[Opening Date],MATCH(Table_NFI[[#This Row],[Pcode]],CampList[CP_Pcode],0)-1,0,1,1)&gt;=NFI_Monitor_Date,1,0))</f>
        <v>0</v>
      </c>
      <c r="AQ72" s="781" t="str">
        <f>IFERROR(VLOOKUP(Table_NFI[[#This Row],[Camp Name]],CL,3,0),"")</f>
        <v>Open</v>
      </c>
      <c r="AR72" s="439" t="str">
        <f ca="1">IF(Table_NFI[[#This Row],[Pcode]]="","",OFFSET(CampList[Priority],MATCH(Table_NFI[[#This Row],[Pcode]],CampList[CP_Pcode],0)-1,0,1,1))</f>
        <v>P4</v>
      </c>
      <c r="AS72" s="438">
        <f>IFERROR(Table_NFI[[#This Row],[Kitchen Set]]/VLOOKUP(Table_NFI[[#This Row],[Camp Name]],CL,4,0),"")</f>
        <v>0</v>
      </c>
      <c r="AT72" s="769"/>
      <c r="AU72" s="826"/>
    </row>
    <row r="73" spans="1:47" s="136" customFormat="1" ht="15" customHeight="1" x14ac:dyDescent="0.2">
      <c r="A73" s="451">
        <f t="shared" si="1"/>
        <v>11.766666666666667</v>
      </c>
      <c r="B73" s="768">
        <v>42017</v>
      </c>
      <c r="C73" s="769" t="s">
        <v>1101</v>
      </c>
      <c r="D73" s="769" t="s">
        <v>907</v>
      </c>
      <c r="E73" s="769" t="s">
        <v>380</v>
      </c>
      <c r="F73" s="769" t="s">
        <v>529</v>
      </c>
      <c r="G73" s="769" t="s">
        <v>126</v>
      </c>
      <c r="H73" s="436"/>
      <c r="I73" s="439"/>
      <c r="J73" s="439"/>
      <c r="K73" s="439"/>
      <c r="L73" s="437"/>
      <c r="M73" s="437"/>
      <c r="N73" s="437"/>
      <c r="O73" s="437"/>
      <c r="P73" s="439"/>
      <c r="Q73" s="439"/>
      <c r="R73" s="436">
        <v>94</v>
      </c>
      <c r="S73" s="436">
        <v>58</v>
      </c>
      <c r="T73" s="436"/>
      <c r="U73" s="436"/>
      <c r="V73" s="439"/>
      <c r="W73" s="439"/>
      <c r="X73" s="439"/>
      <c r="Y73" s="439">
        <f>IF(NFI_Expiration=1,IF($A73&lt;VLOOKUP(H$5,NFI,5,0),1,0)*Table_NFI[[#This Row],[Hygiene Kit]],Table_NFI[Hygiene Kit])</f>
        <v>0</v>
      </c>
      <c r="Z73" s="439">
        <f>IF(NFI_Expiration=1,IF($A73&lt;VLOOKUP(I$5,NFI,5,0),1,0)*Table_NFI[[#This Row],[NFI Core Kit]],Table_NFI[NFI Core Kit])</f>
        <v>0</v>
      </c>
      <c r="AA73" s="439">
        <f>IF(NFI_Expiration=1,IF($A73&lt;VLOOKUP(J$5,NFI,5,0),1,0)*Table_NFI[[#This Row],[Sanitary Kit]],Table_NFI[Sanitary Kit])</f>
        <v>0</v>
      </c>
      <c r="AB73" s="439">
        <f>IF(NFI_Expiration=1,IF($A73&lt;VLOOKUP(K$5,NFI,5,0),1,0)*Table_NFI[[#This Row],[Mosquito net]],Table_NFI[Mosquito net])</f>
        <v>0</v>
      </c>
      <c r="AC73" s="439">
        <f>IF(NFI_Expiration=1,IF($A73&lt;VLOOKUP(L$5,NFI,5,0),1,0)*Table_NFI[[#This Row],[Tarpaulin]],Table_NFI[[#This Row],[Tarpaulin]])</f>
        <v>0</v>
      </c>
      <c r="AD73" s="439">
        <f>IF(NFI_Expiration=1,IF($A73&lt;VLOOKUP(M$5,NFI,5,0),1,0)*Table_NFI[[#This Row],[Blanket]],Table_NFI[[#This Row],[Blanket]])</f>
        <v>0</v>
      </c>
      <c r="AE73" s="439">
        <f>IF(NFI_Expiration=1,IF($A73&lt;VLOOKUP(N$5,NFI,5,0),1,0)*Table_NFI[[#This Row],[Kitchen Set]],Table_NFI[Kitchen Set])</f>
        <v>0</v>
      </c>
      <c r="AF73" s="439">
        <f>IF(NFI_Expiration=1,IF($A73&lt;VLOOKUP(O$5,NFI,5,0),1,0)*Table_NFI[[#This Row],[Clothes Kit]],Table_NFI[Clothes Kit])</f>
        <v>0</v>
      </c>
      <c r="AG73" s="439">
        <f>IF(NFI_Expiration=1,IF($A73&lt;VLOOKUP(P$5,NFI,5,0),1,0)*Table_NFI[[#This Row],[Plastic Bucket]],Table_NFI[Plastic Bucket])</f>
        <v>0</v>
      </c>
      <c r="AH73" s="439">
        <f>IF(NFI_Expiration=1,IF($A73&lt;VLOOKUP(Q$5,NFI,5,0),1,0)*Table_NFI[[#This Row],[Plastic Mat]],Table_NFI[Plastic Mat])*IF(Table_NFI[[#This Row],[Distribution Date]]&gt;"2014-04-01",1,2.5)</f>
        <v>0</v>
      </c>
      <c r="AI73" s="439">
        <f>IF(NFI_Expiration=1,IF($A73&lt;VLOOKUP(R$5,NFI,5,0),1,0)*Table_NFI[[#This Row],[Winter Clothes Adult]],Table_NFI[Winter Clothes Adult])</f>
        <v>94</v>
      </c>
      <c r="AJ73" s="439">
        <f>IF(NFI_Expiration=1,IF($A73&lt;VLOOKUP(S$5,NFI,5,0),1,0)*Table_NFI[[#This Row],[Winter Clothes Children]],Table_NFI[Winter Clothes Children])</f>
        <v>58</v>
      </c>
      <c r="AK73" s="439">
        <f>IF(NFI_Expiration=1,IF($A73&lt;VLOOKUP(T$5,NFI,5,0),1,0)*Table_NFI[[#This Row],[Winter Items Other]],Table_NFI[Winter Items Other])</f>
        <v>0</v>
      </c>
      <c r="AL73" s="439">
        <f>IF(NFI_Expiration=1,IF($A73&lt;VLOOKUP(M$5,NFI,5,0),1,0)*Table_NFI[[#This Row],[Winter Blanket]],Table_NFI[[#This Row],[Winter Blanket]])</f>
        <v>0</v>
      </c>
      <c r="AM73" s="439">
        <f>IF(Table_NFI[[#This Row],[Winter Clothes Adult]]+Table_NFI[[#This Row],[Winter Clothes Children]]+Table_NFI[[#This Row],[Winter Items Other]]+Table_NFI[[#This Row],[Winter Blanket]]&gt;0,1,0)</f>
        <v>1</v>
      </c>
      <c r="AN73" s="439">
        <f>IF(NFI_Expiration=1,IF($A73&lt;VLOOKUP(V$5,NFI,5,0),1,0)*Table_NFI[[#This Row],[Jerry Can]],Table_NFI[Jerry Can])</f>
        <v>0</v>
      </c>
      <c r="AO73" s="781" t="str">
        <f>IFERROR(VLOOKUP(Table_NFI[[#This Row],[Camp Name]],CL,2,0),"")</f>
        <v>MMR001CMP184</v>
      </c>
      <c r="AP73" s="772">
        <f ca="1">IF(Table_NFI[[#This Row],[Pcode]]="","",IF(OFFSET(CampList[Opening Date],MATCH(Table_NFI[[#This Row],[Pcode]],CampList[CP_Pcode],0)-1,0,1,1)&gt;=NFI_Monitor_Date,1,0))</f>
        <v>0</v>
      </c>
      <c r="AQ73" s="781" t="str">
        <f>IFERROR(VLOOKUP(Table_NFI[[#This Row],[Camp Name]],CL,3,0),"")</f>
        <v>Open</v>
      </c>
      <c r="AR73" s="439" t="str">
        <f ca="1">IF(Table_NFI[[#This Row],[Pcode]]="","",OFFSET(CampList[Priority],MATCH(Table_NFI[[#This Row],[Pcode]],CampList[CP_Pcode],0)-1,0,1,1))</f>
        <v>P4</v>
      </c>
      <c r="AS73" s="438">
        <f>IFERROR(Table_NFI[[#This Row],[Kitchen Set]]/VLOOKUP(Table_NFI[[#This Row],[Camp Name]],CL,4,0),"")</f>
        <v>0</v>
      </c>
      <c r="AT73" s="769"/>
      <c r="AU73" s="826"/>
    </row>
    <row r="74" spans="1:47" s="136" customFormat="1" ht="15" customHeight="1" x14ac:dyDescent="0.2">
      <c r="A74" s="451">
        <f t="shared" si="1"/>
        <v>11.766666666666667</v>
      </c>
      <c r="B74" s="768">
        <v>42017</v>
      </c>
      <c r="C74" s="769" t="s">
        <v>1101</v>
      </c>
      <c r="D74" s="769" t="s">
        <v>907</v>
      </c>
      <c r="E74" s="769" t="s">
        <v>380</v>
      </c>
      <c r="F74" s="769" t="s">
        <v>529</v>
      </c>
      <c r="G74" s="769" t="s">
        <v>140</v>
      </c>
      <c r="H74" s="436"/>
      <c r="I74" s="439"/>
      <c r="J74" s="439"/>
      <c r="K74" s="439"/>
      <c r="L74" s="437"/>
      <c r="M74" s="437"/>
      <c r="N74" s="437"/>
      <c r="O74" s="437"/>
      <c r="P74" s="439"/>
      <c r="Q74" s="439"/>
      <c r="R74" s="436">
        <v>33</v>
      </c>
      <c r="S74" s="436">
        <v>8</v>
      </c>
      <c r="T74" s="436"/>
      <c r="U74" s="436"/>
      <c r="V74" s="439"/>
      <c r="W74" s="439"/>
      <c r="X74" s="439"/>
      <c r="Y74" s="439">
        <f>IF(NFI_Expiration=1,IF($A74&lt;VLOOKUP(H$5,NFI,5,0),1,0)*Table_NFI[[#This Row],[Hygiene Kit]],Table_NFI[Hygiene Kit])</f>
        <v>0</v>
      </c>
      <c r="Z74" s="439">
        <f>IF(NFI_Expiration=1,IF($A74&lt;VLOOKUP(I$5,NFI,5,0),1,0)*Table_NFI[[#This Row],[NFI Core Kit]],Table_NFI[NFI Core Kit])</f>
        <v>0</v>
      </c>
      <c r="AA74" s="439">
        <f>IF(NFI_Expiration=1,IF($A74&lt;VLOOKUP(J$5,NFI,5,0),1,0)*Table_NFI[[#This Row],[Sanitary Kit]],Table_NFI[Sanitary Kit])</f>
        <v>0</v>
      </c>
      <c r="AB74" s="439">
        <f>IF(NFI_Expiration=1,IF($A74&lt;VLOOKUP(K$5,NFI,5,0),1,0)*Table_NFI[[#This Row],[Mosquito net]],Table_NFI[Mosquito net])</f>
        <v>0</v>
      </c>
      <c r="AC74" s="439">
        <f>IF(NFI_Expiration=1,IF($A74&lt;VLOOKUP(L$5,NFI,5,0),1,0)*Table_NFI[[#This Row],[Tarpaulin]],Table_NFI[[#This Row],[Tarpaulin]])</f>
        <v>0</v>
      </c>
      <c r="AD74" s="439">
        <f>IF(NFI_Expiration=1,IF($A74&lt;VLOOKUP(M$5,NFI,5,0),1,0)*Table_NFI[[#This Row],[Blanket]],Table_NFI[[#This Row],[Blanket]])</f>
        <v>0</v>
      </c>
      <c r="AE74" s="439">
        <f>IF(NFI_Expiration=1,IF($A74&lt;VLOOKUP(N$5,NFI,5,0),1,0)*Table_NFI[[#This Row],[Kitchen Set]],Table_NFI[Kitchen Set])</f>
        <v>0</v>
      </c>
      <c r="AF74" s="439">
        <f>IF(NFI_Expiration=1,IF($A74&lt;VLOOKUP(O$5,NFI,5,0),1,0)*Table_NFI[[#This Row],[Clothes Kit]],Table_NFI[Clothes Kit])</f>
        <v>0</v>
      </c>
      <c r="AG74" s="439">
        <f>IF(NFI_Expiration=1,IF($A74&lt;VLOOKUP(P$5,NFI,5,0),1,0)*Table_NFI[[#This Row],[Plastic Bucket]],Table_NFI[Plastic Bucket])</f>
        <v>0</v>
      </c>
      <c r="AH74" s="439">
        <f>IF(NFI_Expiration=1,IF($A74&lt;VLOOKUP(Q$5,NFI,5,0),1,0)*Table_NFI[[#This Row],[Plastic Mat]],Table_NFI[Plastic Mat])*IF(Table_NFI[[#This Row],[Distribution Date]]&gt;"2014-04-01",1,2.5)</f>
        <v>0</v>
      </c>
      <c r="AI74" s="439">
        <f>IF(NFI_Expiration=1,IF($A74&lt;VLOOKUP(R$5,NFI,5,0),1,0)*Table_NFI[[#This Row],[Winter Clothes Adult]],Table_NFI[Winter Clothes Adult])</f>
        <v>33</v>
      </c>
      <c r="AJ74" s="439">
        <f>IF(NFI_Expiration=1,IF($A74&lt;VLOOKUP(S$5,NFI,5,0),1,0)*Table_NFI[[#This Row],[Winter Clothes Children]],Table_NFI[Winter Clothes Children])</f>
        <v>8</v>
      </c>
      <c r="AK74" s="439">
        <f>IF(NFI_Expiration=1,IF($A74&lt;VLOOKUP(T$5,NFI,5,0),1,0)*Table_NFI[[#This Row],[Winter Items Other]],Table_NFI[Winter Items Other])</f>
        <v>0</v>
      </c>
      <c r="AL74" s="439">
        <f>IF(NFI_Expiration=1,IF($A74&lt;VLOOKUP(M$5,NFI,5,0),1,0)*Table_NFI[[#This Row],[Winter Blanket]],Table_NFI[[#This Row],[Winter Blanket]])</f>
        <v>0</v>
      </c>
      <c r="AM74" s="439">
        <f>IF(Table_NFI[[#This Row],[Winter Clothes Adult]]+Table_NFI[[#This Row],[Winter Clothes Children]]+Table_NFI[[#This Row],[Winter Items Other]]+Table_NFI[[#This Row],[Winter Blanket]]&gt;0,1,0)</f>
        <v>1</v>
      </c>
      <c r="AN74" s="439">
        <f>IF(NFI_Expiration=1,IF($A74&lt;VLOOKUP(V$5,NFI,5,0),1,0)*Table_NFI[[#This Row],[Jerry Can]],Table_NFI[Jerry Can])</f>
        <v>0</v>
      </c>
      <c r="AO74" s="781" t="str">
        <f>IFERROR(VLOOKUP(Table_NFI[[#This Row],[Camp Name]],CL,2,0),"")</f>
        <v>MMR001CMP105</v>
      </c>
      <c r="AP74" s="772">
        <f ca="1">IF(Table_NFI[[#This Row],[Pcode]]="","",IF(OFFSET(CampList[Opening Date],MATCH(Table_NFI[[#This Row],[Pcode]],CampList[CP_Pcode],0)-1,0,1,1)&gt;=NFI_Monitor_Date,1,0))</f>
        <v>0</v>
      </c>
      <c r="AQ74" s="781" t="str">
        <f>IFERROR(VLOOKUP(Table_NFI[[#This Row],[Camp Name]],CL,3,0),"")</f>
        <v>Open</v>
      </c>
      <c r="AR74" s="439" t="str">
        <f ca="1">IF(Table_NFI[[#This Row],[Pcode]]="","",OFFSET(CampList[Priority],MATCH(Table_NFI[[#This Row],[Pcode]],CampList[CP_Pcode],0)-1,0,1,1))</f>
        <v>P4</v>
      </c>
      <c r="AS74" s="438">
        <f>IFERROR(Table_NFI[[#This Row],[Kitchen Set]]/VLOOKUP(Table_NFI[[#This Row],[Camp Name]],CL,4,0),"")</f>
        <v>0</v>
      </c>
      <c r="AT74" s="769"/>
      <c r="AU74" s="826"/>
    </row>
    <row r="75" spans="1:47" s="136" customFormat="1" x14ac:dyDescent="0.25">
      <c r="A75" s="451">
        <f t="shared" si="1"/>
        <v>11.766666666666667</v>
      </c>
      <c r="B75" s="829">
        <v>42017</v>
      </c>
      <c r="C75" s="830" t="s">
        <v>454</v>
      </c>
      <c r="D75" s="830" t="s">
        <v>507</v>
      </c>
      <c r="E75" s="830" t="s">
        <v>380</v>
      </c>
      <c r="F75" s="830" t="s">
        <v>237</v>
      </c>
      <c r="G75" s="830" t="s">
        <v>1258</v>
      </c>
      <c r="H75" s="831"/>
      <c r="I75" s="831"/>
      <c r="J75" s="831"/>
      <c r="K75" s="831"/>
      <c r="L75" s="831">
        <v>2</v>
      </c>
      <c r="M75" s="831"/>
      <c r="N75" s="831"/>
      <c r="O75" s="831"/>
      <c r="P75" s="832"/>
      <c r="Q75" s="832"/>
      <c r="R75" s="832"/>
      <c r="S75" s="832"/>
      <c r="T75" s="832"/>
      <c r="U75" s="832"/>
      <c r="V75" s="839"/>
      <c r="W75" s="832"/>
      <c r="X75" s="832"/>
      <c r="Y75" s="436">
        <f>IF(NFI_Expiration=1,IF($A75&lt;VLOOKUP(H$5,NFI,5,0),1,0)*Table_NFI[[#This Row],[Hygiene Kit]],Table_NFI[Hygiene Kit])</f>
        <v>0</v>
      </c>
      <c r="Z75" s="436">
        <f>IF(NFI_Expiration=1,IF($A75&lt;VLOOKUP(I$5,NFI,5,0),1,0)*Table_NFI[[#This Row],[NFI Core Kit]],Table_NFI[NFI Core Kit])</f>
        <v>0</v>
      </c>
      <c r="AA75" s="436">
        <f>IF(NFI_Expiration=1,IF($A75&lt;VLOOKUP(J$5,NFI,5,0),1,0)*Table_NFI[[#This Row],[Sanitary Kit]],Table_NFI[Sanitary Kit])</f>
        <v>0</v>
      </c>
      <c r="AB75" s="436">
        <f>IF(NFI_Expiration=1,IF($A75&lt;VLOOKUP(K$5,NFI,5,0),1,0)*Table_NFI[[#This Row],[Mosquito net]],Table_NFI[Mosquito net])</f>
        <v>0</v>
      </c>
      <c r="AC75" s="436">
        <f>IF(NFI_Expiration=1,IF($A75&lt;VLOOKUP(L$5,NFI,5,0),1,0)*Table_NFI[[#This Row],[Tarpaulin]],Table_NFI[[#This Row],[Tarpaulin]])</f>
        <v>2</v>
      </c>
      <c r="AD75" s="436">
        <f>IF(NFI_Expiration=1,IF($A75&lt;VLOOKUP(M$5,NFI,5,0),1,0)*Table_NFI[[#This Row],[Blanket]],Table_NFI[[#This Row],[Blanket]])</f>
        <v>0</v>
      </c>
      <c r="AE75" s="436">
        <f>IF(NFI_Expiration=1,IF($A75&lt;VLOOKUP(N$5,NFI,5,0),1,0)*Table_NFI[[#This Row],[Kitchen Set]],Table_NFI[Kitchen Set])</f>
        <v>0</v>
      </c>
      <c r="AF75" s="436">
        <f>IF(NFI_Expiration=1,IF($A75&lt;VLOOKUP(O$5,NFI,5,0),1,0)*Table_NFI[[#This Row],[Clothes Kit]],Table_NFI[Clothes Kit])</f>
        <v>0</v>
      </c>
      <c r="AG75" s="436">
        <f>IF(NFI_Expiration=1,IF($A75&lt;VLOOKUP(P$5,NFI,5,0),1,0)*Table_NFI[[#This Row],[Plastic Bucket]],Table_NFI[Plastic Bucket])</f>
        <v>0</v>
      </c>
      <c r="AH75" s="436">
        <f>IF(NFI_Expiration=1,IF($A75&lt;VLOOKUP(Q$5,NFI,5,0),1,0)*Table_NFI[[#This Row],[Plastic Mat]],Table_NFI[Plastic Mat])*IF(Table_NFI[[#This Row],[Distribution Date]]&gt;"2014-04-01",1,2.5)</f>
        <v>0</v>
      </c>
      <c r="AI75" s="436">
        <f>IF(NFI_Expiration=1,IF($A75&lt;VLOOKUP(R$5,NFI,5,0),1,0)*Table_NFI[[#This Row],[Winter Clothes Adult]],Table_NFI[Winter Clothes Adult])</f>
        <v>0</v>
      </c>
      <c r="AJ75" s="436">
        <f>IF(NFI_Expiration=1,IF($A75&lt;VLOOKUP(S$5,NFI,5,0),1,0)*Table_NFI[[#This Row],[Winter Clothes Children]],Table_NFI[Winter Clothes Children])</f>
        <v>0</v>
      </c>
      <c r="AK75" s="436">
        <f>IF(NFI_Expiration=1,IF($A75&lt;VLOOKUP(T$5,NFI,5,0),1,0)*Table_NFI[[#This Row],[Winter Items Other]],Table_NFI[Winter Items Other])</f>
        <v>0</v>
      </c>
      <c r="AL75" s="436">
        <f>IF(NFI_Expiration=1,IF($A75&lt;VLOOKUP(M$5,NFI,5,0),1,0)*Table_NFI[[#This Row],[Winter Blanket]],Table_NFI[[#This Row],[Winter Blanket]])</f>
        <v>0</v>
      </c>
      <c r="AM75" s="436">
        <f>IF(Table_NFI[[#This Row],[Winter Clothes Adult]]+Table_NFI[[#This Row],[Winter Clothes Children]]+Table_NFI[[#This Row],[Winter Items Other]]+Table_NFI[[#This Row],[Winter Blanket]]&gt;0,1,0)</f>
        <v>0</v>
      </c>
      <c r="AN75" s="439">
        <f>IF(NFI_Expiration=1,IF($A75&lt;VLOOKUP(V$5,NFI,5,0),1,0)*Table_NFI[[#This Row],[Jerry Can]],Table_NFI[Jerry Can])</f>
        <v>0</v>
      </c>
      <c r="AO75" s="835" t="str">
        <f>IFERROR(VLOOKUP(Table_NFI[[#This Row],[Camp Name]],CL,2,0),"")</f>
        <v>MMR001CMP023</v>
      </c>
      <c r="AP75" s="836">
        <f ca="1">IF(Table_NFI[[#This Row],[Pcode]]="","",IF(OFFSET(CampList[Opening Date],MATCH(Table_NFI[[#This Row],[Pcode]],CampList[CP_Pcode],0)-1,0,1,1)&gt;=NFI_Monitor_Date,1,0))</f>
        <v>0</v>
      </c>
      <c r="AQ75" s="781" t="str">
        <f>IFERROR(VLOOKUP(Table_NFI[[#This Row],[Camp Name]],CL,3,0),"")</f>
        <v>Open</v>
      </c>
      <c r="AR75" s="439" t="str">
        <f ca="1">IF(Table_NFI[[#This Row],[Pcode]]="","",OFFSET(CampList[Priority],MATCH(Table_NFI[[#This Row],[Pcode]],CampList[CP_Pcode],0)-1,0,1,1))</f>
        <v>P4</v>
      </c>
      <c r="AS75" s="438">
        <f>IFERROR(Table_NFI[[#This Row],[Kitchen Set]]/VLOOKUP(Table_NFI[[#This Row],[Camp Name]],CL,4,0),"")</f>
        <v>0</v>
      </c>
      <c r="AT75" s="769" t="s">
        <v>1099</v>
      </c>
      <c r="AU75" s="838"/>
    </row>
    <row r="76" spans="1:47" s="136" customFormat="1" x14ac:dyDescent="0.25">
      <c r="A76" s="451">
        <f t="shared" si="1"/>
        <v>11.866666666666667</v>
      </c>
      <c r="B76" s="768">
        <v>42014</v>
      </c>
      <c r="C76" s="769" t="s">
        <v>454</v>
      </c>
      <c r="D76" s="779" t="s">
        <v>454</v>
      </c>
      <c r="E76" s="779" t="s">
        <v>380</v>
      </c>
      <c r="F76" s="779" t="s">
        <v>300</v>
      </c>
      <c r="G76" s="779" t="s">
        <v>897</v>
      </c>
      <c r="H76" s="437"/>
      <c r="I76" s="437"/>
      <c r="J76" s="437">
        <v>55</v>
      </c>
      <c r="K76" s="437">
        <v>110</v>
      </c>
      <c r="L76" s="437">
        <v>55</v>
      </c>
      <c r="M76" s="437">
        <v>110</v>
      </c>
      <c r="N76" s="437">
        <v>55</v>
      </c>
      <c r="O76" s="437"/>
      <c r="P76" s="439">
        <v>55</v>
      </c>
      <c r="Q76" s="439">
        <v>275</v>
      </c>
      <c r="R76" s="439"/>
      <c r="S76" s="439"/>
      <c r="T76" s="439"/>
      <c r="U76" s="439"/>
      <c r="V76" s="439">
        <v>55</v>
      </c>
      <c r="W76" s="439"/>
      <c r="X76" s="439"/>
      <c r="Y76" s="436">
        <f>IF(NFI_Expiration=1,IF($A76&lt;VLOOKUP(H$5,NFI,5,0),1,0)*Table_NFI[[#This Row],[Hygiene Kit]],Table_NFI[Hygiene Kit])</f>
        <v>0</v>
      </c>
      <c r="Z76" s="436">
        <f>IF(NFI_Expiration=1,IF($A76&lt;VLOOKUP(I$5,NFI,5,0),1,0)*Table_NFI[[#This Row],[NFI Core Kit]],Table_NFI[NFI Core Kit])</f>
        <v>0</v>
      </c>
      <c r="AA76" s="436">
        <f>IF(NFI_Expiration=1,IF($A76&lt;VLOOKUP(J$5,NFI,5,0),1,0)*Table_NFI[[#This Row],[Sanitary Kit]],Table_NFI[Sanitary Kit])</f>
        <v>55</v>
      </c>
      <c r="AB76" s="436">
        <f>IF(NFI_Expiration=1,IF($A76&lt;VLOOKUP(K$5,NFI,5,0),1,0)*Table_NFI[[#This Row],[Mosquito net]],Table_NFI[Mosquito net])</f>
        <v>110</v>
      </c>
      <c r="AC76" s="436">
        <f>IF(NFI_Expiration=1,IF($A76&lt;VLOOKUP(L$5,NFI,5,0),1,0)*Table_NFI[[#This Row],[Tarpaulin]],Table_NFI[[#This Row],[Tarpaulin]])</f>
        <v>55</v>
      </c>
      <c r="AD76" s="436">
        <f>IF(NFI_Expiration=1,IF($A76&lt;VLOOKUP(M$5,NFI,5,0),1,0)*Table_NFI[[#This Row],[Blanket]],Table_NFI[[#This Row],[Blanket]])</f>
        <v>110</v>
      </c>
      <c r="AE76" s="436">
        <f>IF(NFI_Expiration=1,IF($A76&lt;VLOOKUP(N$5,NFI,5,0),1,0)*Table_NFI[[#This Row],[Kitchen Set]],Table_NFI[Kitchen Set])</f>
        <v>55</v>
      </c>
      <c r="AF76" s="436">
        <f>IF(NFI_Expiration=1,IF($A76&lt;VLOOKUP(O$5,NFI,5,0),1,0)*Table_NFI[[#This Row],[Clothes Kit]],Table_NFI[Clothes Kit])</f>
        <v>0</v>
      </c>
      <c r="AG76" s="436">
        <f>IF(NFI_Expiration=1,IF($A76&lt;VLOOKUP(P$5,NFI,5,0),1,0)*Table_NFI[[#This Row],[Plastic Bucket]],Table_NFI[Plastic Bucket])</f>
        <v>55</v>
      </c>
      <c r="AH76" s="436">
        <f>IF(NFI_Expiration=1,IF($A76&lt;VLOOKUP(Q$5,NFI,5,0),1,0)*Table_NFI[[#This Row],[Plastic Mat]],Table_NFI[Plastic Mat])*IF(Table_NFI[[#This Row],[Distribution Date]]&gt;"2014-04-01",1,2.5)</f>
        <v>687.5</v>
      </c>
      <c r="AI76" s="436">
        <f>IF(NFI_Expiration=1,IF($A76&lt;VLOOKUP(R$5,NFI,5,0),1,0)*Table_NFI[[#This Row],[Winter Clothes Adult]],Table_NFI[Winter Clothes Adult])</f>
        <v>0</v>
      </c>
      <c r="AJ76" s="436">
        <f>IF(NFI_Expiration=1,IF($A76&lt;VLOOKUP(S$5,NFI,5,0),1,0)*Table_NFI[[#This Row],[Winter Clothes Children]],Table_NFI[Winter Clothes Children])</f>
        <v>0</v>
      </c>
      <c r="AK76" s="436">
        <f>IF(NFI_Expiration=1,IF($A76&lt;VLOOKUP(T$5,NFI,5,0),1,0)*Table_NFI[[#This Row],[Winter Items Other]],Table_NFI[Winter Items Other])</f>
        <v>0</v>
      </c>
      <c r="AL76" s="436">
        <f>IF(NFI_Expiration=1,IF($A76&lt;VLOOKUP(M$5,NFI,5,0),1,0)*Table_NFI[[#This Row],[Winter Blanket]],Table_NFI[[#This Row],[Winter Blanket]])</f>
        <v>0</v>
      </c>
      <c r="AM76" s="436">
        <f>IF(Table_NFI[[#This Row],[Winter Clothes Adult]]+Table_NFI[[#This Row],[Winter Clothes Children]]+Table_NFI[[#This Row],[Winter Items Other]]+Table_NFI[[#This Row],[Winter Blanket]]&gt;0,1,0)</f>
        <v>0</v>
      </c>
      <c r="AN76" s="439">
        <f>IF(NFI_Expiration=1,IF($A76&lt;VLOOKUP(V$5,NFI,5,0),1,0)*Table_NFI[[#This Row],[Jerry Can]],Table_NFI[Jerry Can])</f>
        <v>55</v>
      </c>
      <c r="AO76" s="771" t="str">
        <f>IFERROR(VLOOKUP(Table_NFI[[#This Row],[Camp Name]],CL,2,0),"")</f>
        <v>MMR001CMP220</v>
      </c>
      <c r="AP76" s="772">
        <f ca="1">IF(Table_NFI[[#This Row],[Pcode]]="","",IF(OFFSET(CampList[Opening Date],MATCH(Table_NFI[[#This Row],[Pcode]],CampList[CP_Pcode],0)-1,0,1,1)&gt;=NFI_Monitor_Date,1,0))</f>
        <v>0</v>
      </c>
      <c r="AQ76" s="781" t="str">
        <f>IFERROR(VLOOKUP(Table_NFI[[#This Row],[Camp Name]],CL,3,0),"")</f>
        <v>Closed</v>
      </c>
      <c r="AR76" s="439" t="str">
        <f ca="1">IF(Table_NFI[[#This Row],[Pcode]]="","",OFFSET(CampList[Priority],MATCH(Table_NFI[[#This Row],[Pcode]],CampList[CP_Pcode],0)-1,0,1,1))</f>
        <v>P3</v>
      </c>
      <c r="AS76" s="438" t="str">
        <f>IFERROR(Table_NFI[[#This Row],[Kitchen Set]]/VLOOKUP(Table_NFI[[#This Row],[Camp Name]],CL,4,0),"")</f>
        <v/>
      </c>
      <c r="AT76" s="769" t="s">
        <v>1099</v>
      </c>
      <c r="AU76" s="773"/>
    </row>
    <row r="77" spans="1:47" s="774" customFormat="1" x14ac:dyDescent="0.25">
      <c r="A77" s="451">
        <f t="shared" si="1"/>
        <v>12.166666666666666</v>
      </c>
      <c r="B77" s="829">
        <v>42005</v>
      </c>
      <c r="C77" s="830" t="s">
        <v>454</v>
      </c>
      <c r="D77" s="830" t="s">
        <v>462</v>
      </c>
      <c r="E77" s="830" t="s">
        <v>380</v>
      </c>
      <c r="F77" s="830" t="s">
        <v>310</v>
      </c>
      <c r="G77" s="830" t="s">
        <v>347</v>
      </c>
      <c r="H77" s="831"/>
      <c r="I77" s="831"/>
      <c r="J77" s="831"/>
      <c r="K77" s="831"/>
      <c r="L77" s="831"/>
      <c r="M77" s="831"/>
      <c r="N77" s="831">
        <v>50</v>
      </c>
      <c r="O77" s="831"/>
      <c r="P77" s="832"/>
      <c r="Q77" s="832"/>
      <c r="R77" s="832"/>
      <c r="S77" s="832"/>
      <c r="T77" s="832"/>
      <c r="U77" s="832"/>
      <c r="V77" s="839"/>
      <c r="W77" s="832"/>
      <c r="X77" s="832">
        <v>90</v>
      </c>
      <c r="Y77" s="436">
        <f>IF(NFI_Expiration=1,IF($A77&lt;VLOOKUP(H$5,NFI,5,0),1,0)*Table_NFI[[#This Row],[Hygiene Kit]],Table_NFI[Hygiene Kit])</f>
        <v>0</v>
      </c>
      <c r="Z77" s="436">
        <f>IF(NFI_Expiration=1,IF($A77&lt;VLOOKUP(I$5,NFI,5,0),1,0)*Table_NFI[[#This Row],[NFI Core Kit]],Table_NFI[NFI Core Kit])</f>
        <v>0</v>
      </c>
      <c r="AA77" s="436">
        <f>IF(NFI_Expiration=1,IF($A77&lt;VLOOKUP(J$5,NFI,5,0),1,0)*Table_NFI[[#This Row],[Sanitary Kit]],Table_NFI[Sanitary Kit])</f>
        <v>0</v>
      </c>
      <c r="AB77" s="436">
        <f>IF(NFI_Expiration=1,IF($A77&lt;VLOOKUP(K$5,NFI,5,0),1,0)*Table_NFI[[#This Row],[Mosquito net]],Table_NFI[Mosquito net])</f>
        <v>0</v>
      </c>
      <c r="AC77" s="436">
        <f>IF(NFI_Expiration=1,IF($A77&lt;VLOOKUP(L$5,NFI,5,0),1,0)*Table_NFI[[#This Row],[Tarpaulin]],Table_NFI[[#This Row],[Tarpaulin]])</f>
        <v>0</v>
      </c>
      <c r="AD77" s="436">
        <f>IF(NFI_Expiration=1,IF($A77&lt;VLOOKUP(M$5,NFI,5,0),1,0)*Table_NFI[[#This Row],[Blanket]],Table_NFI[[#This Row],[Blanket]])</f>
        <v>0</v>
      </c>
      <c r="AE77" s="436">
        <f>IF(NFI_Expiration=1,IF($A77&lt;VLOOKUP(N$5,NFI,5,0),1,0)*Table_NFI[[#This Row],[Kitchen Set]],Table_NFI[Kitchen Set])</f>
        <v>0</v>
      </c>
      <c r="AF77" s="436">
        <f>IF(NFI_Expiration=1,IF($A77&lt;VLOOKUP(O$5,NFI,5,0),1,0)*Table_NFI[[#This Row],[Clothes Kit]],Table_NFI[Clothes Kit])</f>
        <v>0</v>
      </c>
      <c r="AG77" s="436">
        <f>IF(NFI_Expiration=1,IF($A77&lt;VLOOKUP(P$5,NFI,5,0),1,0)*Table_NFI[[#This Row],[Plastic Bucket]],Table_NFI[Plastic Bucket])</f>
        <v>0</v>
      </c>
      <c r="AH77" s="436">
        <f>IF(NFI_Expiration=1,IF($A77&lt;VLOOKUP(Q$5,NFI,5,0),1,0)*Table_NFI[[#This Row],[Plastic Mat]],Table_NFI[Plastic Mat])*IF(Table_NFI[[#This Row],[Distribution Date]]&gt;"2014-04-01",1,2.5)</f>
        <v>0</v>
      </c>
      <c r="AI77" s="436">
        <f>IF(NFI_Expiration=1,IF($A77&lt;VLOOKUP(R$5,NFI,5,0),1,0)*Table_NFI[[#This Row],[Winter Clothes Adult]],Table_NFI[Winter Clothes Adult])</f>
        <v>0</v>
      </c>
      <c r="AJ77" s="436">
        <f>IF(NFI_Expiration=1,IF($A77&lt;VLOOKUP(S$5,NFI,5,0),1,0)*Table_NFI[[#This Row],[Winter Clothes Children]],Table_NFI[Winter Clothes Children])</f>
        <v>0</v>
      </c>
      <c r="AK77" s="436">
        <f>IF(NFI_Expiration=1,IF($A77&lt;VLOOKUP(T$5,NFI,5,0),1,0)*Table_NFI[[#This Row],[Winter Items Other]],Table_NFI[Winter Items Other])</f>
        <v>0</v>
      </c>
      <c r="AL77" s="436">
        <f>IF(NFI_Expiration=1,IF($A77&lt;VLOOKUP(M$5,NFI,5,0),1,0)*Table_NFI[[#This Row],[Winter Blanket]],Table_NFI[[#This Row],[Winter Blanket]])</f>
        <v>0</v>
      </c>
      <c r="AM77" s="436">
        <f>IF(Table_NFI[[#This Row],[Winter Clothes Adult]]+Table_NFI[[#This Row],[Winter Clothes Children]]+Table_NFI[[#This Row],[Winter Items Other]]+Table_NFI[[#This Row],[Winter Blanket]]&gt;0,1,0)</f>
        <v>0</v>
      </c>
      <c r="AN77" s="439">
        <f>IF(NFI_Expiration=1,IF($A77&lt;VLOOKUP(V$5,NFI,5,0),1,0)*Table_NFI[[#This Row],[Jerry Can]],Table_NFI[Jerry Can])</f>
        <v>0</v>
      </c>
      <c r="AO77" s="835" t="str">
        <f>IFERROR(VLOOKUP(Table_NFI[[#This Row],[Camp Name]],CL,2,0),"")</f>
        <v>MMR001CMP041</v>
      </c>
      <c r="AP77" s="836">
        <f ca="1">IF(Table_NFI[[#This Row],[Pcode]]="","",IF(OFFSET(CampList[Opening Date],MATCH(Table_NFI[[#This Row],[Pcode]],CampList[CP_Pcode],0)-1,0,1,1)&gt;=NFI_Monitor_Date,1,0))</f>
        <v>0</v>
      </c>
      <c r="AQ77" s="781" t="str">
        <f>IFERROR(VLOOKUP(Table_NFI[[#This Row],[Camp Name]],CL,3,0),"")</f>
        <v>Open</v>
      </c>
      <c r="AR77" s="439" t="str">
        <f ca="1">IF(Table_NFI[[#This Row],[Pcode]]="","",OFFSET(CampList[Priority],MATCH(Table_NFI[[#This Row],[Pcode]],CampList[CP_Pcode],0)-1,0,1,1))</f>
        <v>P1</v>
      </c>
      <c r="AS77" s="438">
        <f>IFERROR(Table_NFI[[#This Row],[Kitchen Set]]/VLOOKUP(Table_NFI[[#This Row],[Camp Name]],CL,4,0),"")</f>
        <v>0.27322404371584702</v>
      </c>
      <c r="AT77" s="769" t="s">
        <v>1099</v>
      </c>
      <c r="AU77" s="838"/>
    </row>
    <row r="78" spans="1:47" s="136" customFormat="1" x14ac:dyDescent="0.25">
      <c r="A78" s="451">
        <f t="shared" si="1"/>
        <v>12.233333333333333</v>
      </c>
      <c r="B78" s="768">
        <v>42003</v>
      </c>
      <c r="C78" s="769" t="s">
        <v>454</v>
      </c>
      <c r="D78" s="769" t="s">
        <v>462</v>
      </c>
      <c r="E78" s="769" t="s">
        <v>380</v>
      </c>
      <c r="F78" s="769" t="s">
        <v>310</v>
      </c>
      <c r="G78" s="769" t="s">
        <v>347</v>
      </c>
      <c r="H78" s="436"/>
      <c r="I78" s="436"/>
      <c r="J78" s="436">
        <v>120</v>
      </c>
      <c r="K78" s="436">
        <v>240</v>
      </c>
      <c r="L78" s="437">
        <v>135</v>
      </c>
      <c r="M78" s="437">
        <v>240</v>
      </c>
      <c r="N78" s="437">
        <v>170</v>
      </c>
      <c r="O78" s="437">
        <v>120</v>
      </c>
      <c r="P78" s="439">
        <v>120</v>
      </c>
      <c r="Q78" s="439">
        <v>600</v>
      </c>
      <c r="R78" s="436"/>
      <c r="S78" s="436"/>
      <c r="T78" s="436"/>
      <c r="U78" s="436"/>
      <c r="V78" s="436"/>
      <c r="W78" s="436"/>
      <c r="X78" s="436"/>
      <c r="Y78" s="436">
        <f>IF(NFI_Expiration=1,IF($A78&lt;VLOOKUP(H$5,NFI,5,0),1,0)*Table_NFI[[#This Row],[Hygiene Kit]],Table_NFI[Hygiene Kit])</f>
        <v>0</v>
      </c>
      <c r="Z78" s="436">
        <f>IF(NFI_Expiration=1,IF($A78&lt;VLOOKUP(I$5,NFI,5,0),1,0)*Table_NFI[[#This Row],[NFI Core Kit]],Table_NFI[NFI Core Kit])</f>
        <v>0</v>
      </c>
      <c r="AA78" s="436">
        <f>IF(NFI_Expiration=1,IF($A78&lt;VLOOKUP(J$5,NFI,5,0),1,0)*Table_NFI[[#This Row],[Sanitary Kit]],Table_NFI[Sanitary Kit])</f>
        <v>0</v>
      </c>
      <c r="AB78" s="436">
        <f>IF(NFI_Expiration=1,IF($A78&lt;VLOOKUP(K$5,NFI,5,0),1,0)*Table_NFI[[#This Row],[Mosquito net]],Table_NFI[Mosquito net])</f>
        <v>0</v>
      </c>
      <c r="AC78" s="436">
        <f>IF(NFI_Expiration=1,IF($A78&lt;VLOOKUP(L$5,NFI,5,0),1,0)*Table_NFI[[#This Row],[Tarpaulin]],Table_NFI[[#This Row],[Tarpaulin]])</f>
        <v>0</v>
      </c>
      <c r="AD78" s="436">
        <f>IF(NFI_Expiration=1,IF($A78&lt;VLOOKUP(M$5,NFI,5,0),1,0)*Table_NFI[[#This Row],[Blanket]],Table_NFI[[#This Row],[Blanket]])</f>
        <v>0</v>
      </c>
      <c r="AE78" s="436">
        <f>IF(NFI_Expiration=1,IF($A78&lt;VLOOKUP(N$5,NFI,5,0),1,0)*Table_NFI[[#This Row],[Kitchen Set]],Table_NFI[Kitchen Set])</f>
        <v>0</v>
      </c>
      <c r="AF78" s="436">
        <f>IF(NFI_Expiration=1,IF($A78&lt;VLOOKUP(O$5,NFI,5,0),1,0)*Table_NFI[[#This Row],[Clothes Kit]],Table_NFI[Clothes Kit])</f>
        <v>0</v>
      </c>
      <c r="AG78" s="436">
        <f>IF(NFI_Expiration=1,IF($A78&lt;VLOOKUP(P$5,NFI,5,0),1,0)*Table_NFI[[#This Row],[Plastic Bucket]],Table_NFI[Plastic Bucket])</f>
        <v>0</v>
      </c>
      <c r="AH78" s="436">
        <f>IF(NFI_Expiration=1,IF($A78&lt;VLOOKUP(Q$5,NFI,5,0),1,0)*Table_NFI[[#This Row],[Plastic Mat]],Table_NFI[Plastic Mat])*IF(Table_NFI[[#This Row],[Distribution Date]]&gt;"2014-04-01",1,2.5)</f>
        <v>0</v>
      </c>
      <c r="AI78" s="436">
        <f>IF(NFI_Expiration=1,IF($A78&lt;VLOOKUP(R$5,NFI,5,0),1,0)*Table_NFI[[#This Row],[Winter Clothes Adult]],Table_NFI[Winter Clothes Adult])</f>
        <v>0</v>
      </c>
      <c r="AJ78" s="436">
        <f>IF(NFI_Expiration=1,IF($A78&lt;VLOOKUP(S$5,NFI,5,0),1,0)*Table_NFI[[#This Row],[Winter Clothes Children]],Table_NFI[Winter Clothes Children])</f>
        <v>0</v>
      </c>
      <c r="AK78" s="436">
        <f>IF(NFI_Expiration=1,IF($A78&lt;VLOOKUP(T$5,NFI,5,0),1,0)*Table_NFI[[#This Row],[Winter Items Other]],Table_NFI[Winter Items Other])</f>
        <v>0</v>
      </c>
      <c r="AL78" s="436">
        <f>IF(NFI_Expiration=1,IF($A78&lt;VLOOKUP(M$5,NFI,5,0),1,0)*Table_NFI[[#This Row],[Winter Blanket]],Table_NFI[[#This Row],[Winter Blanket]])</f>
        <v>0</v>
      </c>
      <c r="AM78" s="436">
        <f>IF(Table_NFI[[#This Row],[Winter Clothes Adult]]+Table_NFI[[#This Row],[Winter Clothes Children]]+Table_NFI[[#This Row],[Winter Items Other]]+Table_NFI[[#This Row],[Winter Blanket]]&gt;0,1,0)</f>
        <v>0</v>
      </c>
      <c r="AN78" s="439">
        <f>IF(NFI_Expiration=1,IF($A78&lt;VLOOKUP(V$5,NFI,5,0),1,0)*Table_NFI[[#This Row],[Jerry Can]],Table_NFI[Jerry Can])</f>
        <v>0</v>
      </c>
      <c r="AO78" s="771" t="str">
        <f>IFERROR(VLOOKUP(Table_NFI[[#This Row],[Camp Name]],CL,2,0),"")</f>
        <v>MMR001CMP041</v>
      </c>
      <c r="AP78" s="772">
        <f ca="1">IF(Table_NFI[[#This Row],[Pcode]]="","",IF(OFFSET(CampList[Opening Date],MATCH(Table_NFI[[#This Row],[Pcode]],CampList[CP_Pcode],0)-1,0,1,1)&gt;=NFI_Monitor_Date,1,0))</f>
        <v>0</v>
      </c>
      <c r="AQ78" s="781" t="str">
        <f>IFERROR(VLOOKUP(Table_NFI[[#This Row],[Camp Name]],CL,3,0),"")</f>
        <v>Open</v>
      </c>
      <c r="AR78" s="439" t="str">
        <f ca="1">IF(Table_NFI[[#This Row],[Pcode]]="","",OFFSET(CampList[Priority],MATCH(Table_NFI[[#This Row],[Pcode]],CampList[CP_Pcode],0)-1,0,1,1))</f>
        <v>P1</v>
      </c>
      <c r="AS78" s="438">
        <f>IFERROR(Table_NFI[[#This Row],[Kitchen Set]]/VLOOKUP(Table_NFI[[#This Row],[Camp Name]],CL,4,0),"")</f>
        <v>0.92896174863387981</v>
      </c>
      <c r="AT78" s="769"/>
      <c r="AU78" s="773"/>
    </row>
    <row r="79" spans="1:47" s="136" customFormat="1" x14ac:dyDescent="0.25">
      <c r="A79" s="451">
        <f t="shared" si="1"/>
        <v>12.6</v>
      </c>
      <c r="B79" s="768">
        <v>41992</v>
      </c>
      <c r="C79" s="769" t="s">
        <v>454</v>
      </c>
      <c r="D79" s="769" t="s">
        <v>462</v>
      </c>
      <c r="E79" s="769" t="s">
        <v>380</v>
      </c>
      <c r="F79" s="769" t="s">
        <v>310</v>
      </c>
      <c r="G79" s="769" t="s">
        <v>336</v>
      </c>
      <c r="H79" s="436"/>
      <c r="I79" s="436"/>
      <c r="J79" s="436"/>
      <c r="K79" s="436"/>
      <c r="L79" s="437"/>
      <c r="M79" s="437"/>
      <c r="N79" s="437"/>
      <c r="O79" s="437"/>
      <c r="P79" s="439"/>
      <c r="Q79" s="439"/>
      <c r="R79" s="436">
        <v>364</v>
      </c>
      <c r="S79" s="436">
        <v>543</v>
      </c>
      <c r="T79" s="436"/>
      <c r="U79" s="436">
        <v>362</v>
      </c>
      <c r="V79" s="436"/>
      <c r="W79" s="436"/>
      <c r="X79" s="436"/>
      <c r="Y79" s="436">
        <f>IF(NFI_Expiration=1,IF($A79&lt;VLOOKUP(H$5,NFI,5,0),1,0)*Table_NFI[[#This Row],[Hygiene Kit]],Table_NFI[Hygiene Kit])</f>
        <v>0</v>
      </c>
      <c r="Z79" s="436">
        <f>IF(NFI_Expiration=1,IF($A79&lt;VLOOKUP(I$5,NFI,5,0),1,0)*Table_NFI[[#This Row],[NFI Core Kit]],Table_NFI[NFI Core Kit])</f>
        <v>0</v>
      </c>
      <c r="AA79" s="436">
        <f>IF(NFI_Expiration=1,IF($A79&lt;VLOOKUP(J$5,NFI,5,0),1,0)*Table_NFI[[#This Row],[Sanitary Kit]],Table_NFI[Sanitary Kit])</f>
        <v>0</v>
      </c>
      <c r="AB79" s="436">
        <f>IF(NFI_Expiration=1,IF($A79&lt;VLOOKUP(K$5,NFI,5,0),1,0)*Table_NFI[[#This Row],[Mosquito net]],Table_NFI[Mosquito net])</f>
        <v>0</v>
      </c>
      <c r="AC79" s="436">
        <f>IF(NFI_Expiration=1,IF($A79&lt;VLOOKUP(L$5,NFI,5,0),1,0)*Table_NFI[[#This Row],[Tarpaulin]],Table_NFI[[#This Row],[Tarpaulin]])</f>
        <v>0</v>
      </c>
      <c r="AD79" s="436">
        <f>IF(NFI_Expiration=1,IF($A79&lt;VLOOKUP(M$5,NFI,5,0),1,0)*Table_NFI[[#This Row],[Blanket]],Table_NFI[[#This Row],[Blanket]])</f>
        <v>0</v>
      </c>
      <c r="AE79" s="436">
        <f>IF(NFI_Expiration=1,IF($A79&lt;VLOOKUP(N$5,NFI,5,0),1,0)*Table_NFI[[#This Row],[Kitchen Set]],Table_NFI[Kitchen Set])</f>
        <v>0</v>
      </c>
      <c r="AF79" s="436">
        <f>IF(NFI_Expiration=1,IF($A79&lt;VLOOKUP(O$5,NFI,5,0),1,0)*Table_NFI[[#This Row],[Clothes Kit]],Table_NFI[Clothes Kit])</f>
        <v>0</v>
      </c>
      <c r="AG79" s="436">
        <f>IF(NFI_Expiration=1,IF($A79&lt;VLOOKUP(P$5,NFI,5,0),1,0)*Table_NFI[[#This Row],[Plastic Bucket]],Table_NFI[Plastic Bucket])</f>
        <v>0</v>
      </c>
      <c r="AH79" s="436">
        <f>IF(NFI_Expiration=1,IF($A79&lt;VLOOKUP(Q$5,NFI,5,0),1,0)*Table_NFI[[#This Row],[Plastic Mat]],Table_NFI[Plastic Mat])*IF(Table_NFI[[#This Row],[Distribution Date]]&gt;"2014-04-01",1,2.5)</f>
        <v>0</v>
      </c>
      <c r="AI79" s="436">
        <f>IF(NFI_Expiration=1,IF($A79&lt;VLOOKUP(R$5,NFI,5,0),1,0)*Table_NFI[[#This Row],[Winter Clothes Adult]],Table_NFI[Winter Clothes Adult])</f>
        <v>0</v>
      </c>
      <c r="AJ79" s="436">
        <f>IF(NFI_Expiration=1,IF($A79&lt;VLOOKUP(S$5,NFI,5,0),1,0)*Table_NFI[[#This Row],[Winter Clothes Children]],Table_NFI[Winter Clothes Children])</f>
        <v>0</v>
      </c>
      <c r="AK79" s="436">
        <f>IF(NFI_Expiration=1,IF($A79&lt;VLOOKUP(T$5,NFI,5,0),1,0)*Table_NFI[[#This Row],[Winter Items Other]],Table_NFI[Winter Items Other])</f>
        <v>0</v>
      </c>
      <c r="AL79" s="436">
        <f>IF(NFI_Expiration=1,IF($A79&lt;VLOOKUP(M$5,NFI,5,0),1,0)*Table_NFI[[#This Row],[Winter Blanket]],Table_NFI[[#This Row],[Winter Blanket]])</f>
        <v>0</v>
      </c>
      <c r="AM79" s="436">
        <f>IF(Table_NFI[[#This Row],[Winter Clothes Adult]]+Table_NFI[[#This Row],[Winter Clothes Children]]+Table_NFI[[#This Row],[Winter Items Other]]+Table_NFI[[#This Row],[Winter Blanket]]&gt;0,1,0)</f>
        <v>1</v>
      </c>
      <c r="AN79" s="439">
        <f>IF(NFI_Expiration=1,IF($A79&lt;VLOOKUP(V$5,NFI,5,0),1,0)*Table_NFI[[#This Row],[Jerry Can]],Table_NFI[Jerry Can])</f>
        <v>0</v>
      </c>
      <c r="AO79" s="771" t="str">
        <f>IFERROR(VLOOKUP(Table_NFI[[#This Row],[Camp Name]],CL,2,0),"")</f>
        <v>MMR001CMP115</v>
      </c>
      <c r="AP79" s="772">
        <f ca="1">IF(Table_NFI[[#This Row],[Pcode]]="","",IF(OFFSET(CampList[Opening Date],MATCH(Table_NFI[[#This Row],[Pcode]],CampList[CP_Pcode],0)-1,0,1,1)&gt;=NFI_Monitor_Date,1,0))</f>
        <v>0</v>
      </c>
      <c r="AQ79" s="781" t="str">
        <f>IFERROR(VLOOKUP(Table_NFI[[#This Row],[Camp Name]],CL,3,0),"")</f>
        <v>Open</v>
      </c>
      <c r="AR79" s="439" t="str">
        <f ca="1">IF(Table_NFI[[#This Row],[Pcode]]="","",OFFSET(CampList[Priority],MATCH(Table_NFI[[#This Row],[Pcode]],CampList[CP_Pcode],0)-1,0,1,1))</f>
        <v>P1</v>
      </c>
      <c r="AS79" s="438">
        <f>IFERROR(Table_NFI[[#This Row],[Kitchen Set]]/VLOOKUP(Table_NFI[[#This Row],[Camp Name]],CL,4,0),"")</f>
        <v>0</v>
      </c>
      <c r="AT79" s="769"/>
      <c r="AU79" s="773"/>
    </row>
    <row r="80" spans="1:47" s="136" customFormat="1" x14ac:dyDescent="0.25">
      <c r="A80" s="451">
        <f t="shared" si="1"/>
        <v>12.6</v>
      </c>
      <c r="B80" s="768">
        <v>41992</v>
      </c>
      <c r="C80" s="769" t="s">
        <v>454</v>
      </c>
      <c r="D80" s="769"/>
      <c r="E80" s="769" t="s">
        <v>380</v>
      </c>
      <c r="F80" s="769" t="s">
        <v>27</v>
      </c>
      <c r="G80" s="769" t="s">
        <v>364</v>
      </c>
      <c r="H80" s="436"/>
      <c r="I80" s="436"/>
      <c r="J80" s="436"/>
      <c r="K80" s="436"/>
      <c r="L80" s="437"/>
      <c r="M80" s="437"/>
      <c r="N80" s="437"/>
      <c r="O80" s="437"/>
      <c r="P80" s="439"/>
      <c r="Q80" s="439"/>
      <c r="R80" s="436">
        <v>320</v>
      </c>
      <c r="S80" s="436">
        <v>465</v>
      </c>
      <c r="T80" s="436"/>
      <c r="U80" s="436">
        <v>310</v>
      </c>
      <c r="V80" s="436"/>
      <c r="W80" s="436"/>
      <c r="X80" s="436"/>
      <c r="Y80" s="436">
        <f>IF(NFI_Expiration=1,IF($A80&lt;VLOOKUP(H$5,NFI,5,0),1,0)*Table_NFI[[#This Row],[Hygiene Kit]],Table_NFI[Hygiene Kit])</f>
        <v>0</v>
      </c>
      <c r="Z80" s="436">
        <f>IF(NFI_Expiration=1,IF($A80&lt;VLOOKUP(I$5,NFI,5,0),1,0)*Table_NFI[[#This Row],[NFI Core Kit]],Table_NFI[NFI Core Kit])</f>
        <v>0</v>
      </c>
      <c r="AA80" s="436">
        <f>IF(NFI_Expiration=1,IF($A80&lt;VLOOKUP(J$5,NFI,5,0),1,0)*Table_NFI[[#This Row],[Sanitary Kit]],Table_NFI[Sanitary Kit])</f>
        <v>0</v>
      </c>
      <c r="AB80" s="436">
        <f>IF(NFI_Expiration=1,IF($A80&lt;VLOOKUP(K$5,NFI,5,0),1,0)*Table_NFI[[#This Row],[Mosquito net]],Table_NFI[Mosquito net])</f>
        <v>0</v>
      </c>
      <c r="AC80" s="436">
        <f>IF(NFI_Expiration=1,IF($A80&lt;VLOOKUP(L$5,NFI,5,0),1,0)*Table_NFI[[#This Row],[Tarpaulin]],Table_NFI[[#This Row],[Tarpaulin]])</f>
        <v>0</v>
      </c>
      <c r="AD80" s="436">
        <f>IF(NFI_Expiration=1,IF($A80&lt;VLOOKUP(M$5,NFI,5,0),1,0)*Table_NFI[[#This Row],[Blanket]],Table_NFI[[#This Row],[Blanket]])</f>
        <v>0</v>
      </c>
      <c r="AE80" s="436">
        <f>IF(NFI_Expiration=1,IF($A80&lt;VLOOKUP(N$5,NFI,5,0),1,0)*Table_NFI[[#This Row],[Kitchen Set]],Table_NFI[Kitchen Set])</f>
        <v>0</v>
      </c>
      <c r="AF80" s="436">
        <f>IF(NFI_Expiration=1,IF($A80&lt;VLOOKUP(O$5,NFI,5,0),1,0)*Table_NFI[[#This Row],[Clothes Kit]],Table_NFI[Clothes Kit])</f>
        <v>0</v>
      </c>
      <c r="AG80" s="436">
        <f>IF(NFI_Expiration=1,IF($A80&lt;VLOOKUP(P$5,NFI,5,0),1,0)*Table_NFI[[#This Row],[Plastic Bucket]],Table_NFI[Plastic Bucket])</f>
        <v>0</v>
      </c>
      <c r="AH80" s="436">
        <f>IF(NFI_Expiration=1,IF($A80&lt;VLOOKUP(Q$5,NFI,5,0),1,0)*Table_NFI[[#This Row],[Plastic Mat]],Table_NFI[Plastic Mat])*IF(Table_NFI[[#This Row],[Distribution Date]]&gt;"2014-04-01",1,2.5)</f>
        <v>0</v>
      </c>
      <c r="AI80" s="436">
        <f>IF(NFI_Expiration=1,IF($A80&lt;VLOOKUP(R$5,NFI,5,0),1,0)*Table_NFI[[#This Row],[Winter Clothes Adult]],Table_NFI[Winter Clothes Adult])</f>
        <v>0</v>
      </c>
      <c r="AJ80" s="436">
        <f>IF(NFI_Expiration=1,IF($A80&lt;VLOOKUP(S$5,NFI,5,0),1,0)*Table_NFI[[#This Row],[Winter Clothes Children]],Table_NFI[Winter Clothes Children])</f>
        <v>0</v>
      </c>
      <c r="AK80" s="436">
        <f>IF(NFI_Expiration=1,IF($A80&lt;VLOOKUP(T$5,NFI,5,0),1,0)*Table_NFI[[#This Row],[Winter Items Other]],Table_NFI[Winter Items Other])</f>
        <v>0</v>
      </c>
      <c r="AL80" s="436">
        <f>IF(NFI_Expiration=1,IF($A80&lt;VLOOKUP(M$5,NFI,5,0),1,0)*Table_NFI[[#This Row],[Winter Blanket]],Table_NFI[[#This Row],[Winter Blanket]])</f>
        <v>0</v>
      </c>
      <c r="AM80" s="436">
        <f>IF(Table_NFI[[#This Row],[Winter Clothes Adult]]+Table_NFI[[#This Row],[Winter Clothes Children]]+Table_NFI[[#This Row],[Winter Items Other]]+Table_NFI[[#This Row],[Winter Blanket]]&gt;0,1,0)</f>
        <v>1</v>
      </c>
      <c r="AN80" s="439">
        <f>IF(NFI_Expiration=1,IF($A80&lt;VLOOKUP(V$5,NFI,5,0),1,0)*Table_NFI[[#This Row],[Jerry Can]],Table_NFI[Jerry Can])</f>
        <v>0</v>
      </c>
      <c r="AO80" s="771" t="str">
        <f>IFERROR(VLOOKUP(Table_NFI[[#This Row],[Camp Name]],CL,2,0),"")</f>
        <v>MMR001CMP043</v>
      </c>
      <c r="AP80" s="772">
        <f ca="1">IF(Table_NFI[[#This Row],[Pcode]]="","",IF(OFFSET(CampList[Opening Date],MATCH(Table_NFI[[#This Row],[Pcode]],CampList[CP_Pcode],0)-1,0,1,1)&gt;=NFI_Monitor_Date,1,0))</f>
        <v>0</v>
      </c>
      <c r="AQ80" s="781" t="str">
        <f>IFERROR(VLOOKUP(Table_NFI[[#This Row],[Camp Name]],CL,3,0),"")</f>
        <v>Open</v>
      </c>
      <c r="AR80" s="439" t="str">
        <f ca="1">IF(Table_NFI[[#This Row],[Pcode]]="","",OFFSET(CampList[Priority],MATCH(Table_NFI[[#This Row],[Pcode]],CampList[CP_Pcode],0)-1,0,1,1))</f>
        <v>P1</v>
      </c>
      <c r="AS80" s="438">
        <f>IFERROR(Table_NFI[[#This Row],[Kitchen Set]]/VLOOKUP(Table_NFI[[#This Row],[Camp Name]],CL,4,0),"")</f>
        <v>0</v>
      </c>
      <c r="AT80" s="769"/>
      <c r="AU80" s="773"/>
    </row>
    <row r="81" spans="1:47" s="136" customFormat="1" x14ac:dyDescent="0.25">
      <c r="A81" s="451">
        <f t="shared" si="1"/>
        <v>12.6</v>
      </c>
      <c r="B81" s="768">
        <v>41992</v>
      </c>
      <c r="C81" s="769" t="s">
        <v>454</v>
      </c>
      <c r="D81" s="769"/>
      <c r="E81" s="769" t="s">
        <v>380</v>
      </c>
      <c r="F81" s="769" t="s">
        <v>310</v>
      </c>
      <c r="G81" s="769" t="s">
        <v>1257</v>
      </c>
      <c r="H81" s="436"/>
      <c r="I81" s="436"/>
      <c r="J81" s="436"/>
      <c r="K81" s="436"/>
      <c r="L81" s="437"/>
      <c r="M81" s="437"/>
      <c r="N81" s="437"/>
      <c r="O81" s="437"/>
      <c r="P81" s="439"/>
      <c r="Q81" s="439"/>
      <c r="R81" s="436">
        <v>384</v>
      </c>
      <c r="S81" s="436">
        <v>573</v>
      </c>
      <c r="T81" s="436"/>
      <c r="U81" s="436">
        <v>382</v>
      </c>
      <c r="V81" s="436"/>
      <c r="W81" s="436"/>
      <c r="X81" s="436"/>
      <c r="Y81" s="436">
        <f>IF(NFI_Expiration=1,IF($A81&lt;VLOOKUP(H$5,NFI,5,0),1,0)*Table_NFI[[#This Row],[Hygiene Kit]],Table_NFI[Hygiene Kit])</f>
        <v>0</v>
      </c>
      <c r="Z81" s="436">
        <f>IF(NFI_Expiration=1,IF($A81&lt;VLOOKUP(I$5,NFI,5,0),1,0)*Table_NFI[[#This Row],[NFI Core Kit]],Table_NFI[NFI Core Kit])</f>
        <v>0</v>
      </c>
      <c r="AA81" s="436">
        <f>IF(NFI_Expiration=1,IF($A81&lt;VLOOKUP(J$5,NFI,5,0),1,0)*Table_NFI[[#This Row],[Sanitary Kit]],Table_NFI[Sanitary Kit])</f>
        <v>0</v>
      </c>
      <c r="AB81" s="436">
        <f>IF(NFI_Expiration=1,IF($A81&lt;VLOOKUP(K$5,NFI,5,0),1,0)*Table_NFI[[#This Row],[Mosquito net]],Table_NFI[Mosquito net])</f>
        <v>0</v>
      </c>
      <c r="AC81" s="436">
        <f>IF(NFI_Expiration=1,IF($A81&lt;VLOOKUP(L$5,NFI,5,0),1,0)*Table_NFI[[#This Row],[Tarpaulin]],Table_NFI[[#This Row],[Tarpaulin]])</f>
        <v>0</v>
      </c>
      <c r="AD81" s="436">
        <f>IF(NFI_Expiration=1,IF($A81&lt;VLOOKUP(M$5,NFI,5,0),1,0)*Table_NFI[[#This Row],[Blanket]],Table_NFI[[#This Row],[Blanket]])</f>
        <v>0</v>
      </c>
      <c r="AE81" s="436">
        <f>IF(NFI_Expiration=1,IF($A81&lt;VLOOKUP(N$5,NFI,5,0),1,0)*Table_NFI[[#This Row],[Kitchen Set]],Table_NFI[Kitchen Set])</f>
        <v>0</v>
      </c>
      <c r="AF81" s="436">
        <f>IF(NFI_Expiration=1,IF($A81&lt;VLOOKUP(O$5,NFI,5,0),1,0)*Table_NFI[[#This Row],[Clothes Kit]],Table_NFI[Clothes Kit])</f>
        <v>0</v>
      </c>
      <c r="AG81" s="436">
        <f>IF(NFI_Expiration=1,IF($A81&lt;VLOOKUP(P$5,NFI,5,0),1,0)*Table_NFI[[#This Row],[Plastic Bucket]],Table_NFI[Plastic Bucket])</f>
        <v>0</v>
      </c>
      <c r="AH81" s="436">
        <f>IF(NFI_Expiration=1,IF($A81&lt;VLOOKUP(Q$5,NFI,5,0),1,0)*Table_NFI[[#This Row],[Plastic Mat]],Table_NFI[Plastic Mat])*IF(Table_NFI[[#This Row],[Distribution Date]]&gt;"2014-04-01",1,2.5)</f>
        <v>0</v>
      </c>
      <c r="AI81" s="436">
        <f>IF(NFI_Expiration=1,IF($A81&lt;VLOOKUP(R$5,NFI,5,0),1,0)*Table_NFI[[#This Row],[Winter Clothes Adult]],Table_NFI[Winter Clothes Adult])</f>
        <v>0</v>
      </c>
      <c r="AJ81" s="436">
        <f>IF(NFI_Expiration=1,IF($A81&lt;VLOOKUP(S$5,NFI,5,0),1,0)*Table_NFI[[#This Row],[Winter Clothes Children]],Table_NFI[Winter Clothes Children])</f>
        <v>0</v>
      </c>
      <c r="AK81" s="436">
        <f>IF(NFI_Expiration=1,IF($A81&lt;VLOOKUP(T$5,NFI,5,0),1,0)*Table_NFI[[#This Row],[Winter Items Other]],Table_NFI[Winter Items Other])</f>
        <v>0</v>
      </c>
      <c r="AL81" s="436">
        <f>IF(NFI_Expiration=1,IF($A81&lt;VLOOKUP(M$5,NFI,5,0),1,0)*Table_NFI[[#This Row],[Winter Blanket]],Table_NFI[[#This Row],[Winter Blanket]])</f>
        <v>0</v>
      </c>
      <c r="AM81" s="436">
        <f>IF(Table_NFI[[#This Row],[Winter Clothes Adult]]+Table_NFI[[#This Row],[Winter Clothes Children]]+Table_NFI[[#This Row],[Winter Items Other]]+Table_NFI[[#This Row],[Winter Blanket]]&gt;0,1,0)</f>
        <v>1</v>
      </c>
      <c r="AN81" s="439">
        <f>IF(NFI_Expiration=1,IF($A81&lt;VLOOKUP(V$5,NFI,5,0),1,0)*Table_NFI[[#This Row],[Jerry Can]],Table_NFI[Jerry Can])</f>
        <v>0</v>
      </c>
      <c r="AO81" s="771" t="str">
        <f>IFERROR(VLOOKUP(Table_NFI[[#This Row],[Camp Name]],CL,2,0),"")</f>
        <v>MMR001CMP120</v>
      </c>
      <c r="AP81" s="772">
        <f ca="1">IF(Table_NFI[[#This Row],[Pcode]]="","",IF(OFFSET(CampList[Opening Date],MATCH(Table_NFI[[#This Row],[Pcode]],CampList[CP_Pcode],0)-1,0,1,1)&gt;=NFI_Monitor_Date,1,0))</f>
        <v>0</v>
      </c>
      <c r="AQ81" s="781" t="str">
        <f>IFERROR(VLOOKUP(Table_NFI[[#This Row],[Camp Name]],CL,3,0),"")</f>
        <v>Open</v>
      </c>
      <c r="AR81" s="439" t="str">
        <f ca="1">IF(Table_NFI[[#This Row],[Pcode]]="","",OFFSET(CampList[Priority],MATCH(Table_NFI[[#This Row],[Pcode]],CampList[CP_Pcode],0)-1,0,1,1))</f>
        <v>P1</v>
      </c>
      <c r="AS81" s="438">
        <f>IFERROR(Table_NFI[[#This Row],[Kitchen Set]]/VLOOKUP(Table_NFI[[#This Row],[Camp Name]],CL,4,0),"")</f>
        <v>0</v>
      </c>
      <c r="AT81" s="769"/>
      <c r="AU81" s="773"/>
    </row>
    <row r="82" spans="1:47" s="136" customFormat="1" x14ac:dyDescent="0.25">
      <c r="A82" s="451">
        <f t="shared" si="1"/>
        <v>12.6</v>
      </c>
      <c r="B82" s="768">
        <v>41992</v>
      </c>
      <c r="C82" s="769" t="s">
        <v>454</v>
      </c>
      <c r="D82" s="769" t="s">
        <v>462</v>
      </c>
      <c r="E82" s="769" t="s">
        <v>380</v>
      </c>
      <c r="F82" s="769" t="s">
        <v>310</v>
      </c>
      <c r="G82" s="769" t="s">
        <v>1259</v>
      </c>
      <c r="H82" s="436"/>
      <c r="I82" s="436"/>
      <c r="J82" s="436"/>
      <c r="K82" s="436"/>
      <c r="L82" s="437"/>
      <c r="M82" s="437"/>
      <c r="N82" s="437"/>
      <c r="O82" s="437"/>
      <c r="P82" s="439"/>
      <c r="Q82" s="439"/>
      <c r="R82" s="436">
        <v>1292</v>
      </c>
      <c r="S82" s="436">
        <v>1938</v>
      </c>
      <c r="T82" s="436"/>
      <c r="U82" s="436">
        <v>1292</v>
      </c>
      <c r="V82" s="436"/>
      <c r="W82" s="436"/>
      <c r="X82" s="436"/>
      <c r="Y82" s="436">
        <f>IF(NFI_Expiration=1,IF($A82&lt;VLOOKUP(H$5,NFI,5,0),1,0)*Table_NFI[[#This Row],[Hygiene Kit]],Table_NFI[Hygiene Kit])</f>
        <v>0</v>
      </c>
      <c r="Z82" s="436">
        <f>IF(NFI_Expiration=1,IF($A82&lt;VLOOKUP(I$5,NFI,5,0),1,0)*Table_NFI[[#This Row],[NFI Core Kit]],Table_NFI[NFI Core Kit])</f>
        <v>0</v>
      </c>
      <c r="AA82" s="436">
        <f>IF(NFI_Expiration=1,IF($A82&lt;VLOOKUP(J$5,NFI,5,0),1,0)*Table_NFI[[#This Row],[Sanitary Kit]],Table_NFI[Sanitary Kit])</f>
        <v>0</v>
      </c>
      <c r="AB82" s="436">
        <f>IF(NFI_Expiration=1,IF($A82&lt;VLOOKUP(K$5,NFI,5,0),1,0)*Table_NFI[[#This Row],[Mosquito net]],Table_NFI[Mosquito net])</f>
        <v>0</v>
      </c>
      <c r="AC82" s="436">
        <f>IF(NFI_Expiration=1,IF($A82&lt;VLOOKUP(L$5,NFI,5,0),1,0)*Table_NFI[[#This Row],[Tarpaulin]],Table_NFI[[#This Row],[Tarpaulin]])</f>
        <v>0</v>
      </c>
      <c r="AD82" s="436">
        <f>IF(NFI_Expiration=1,IF($A82&lt;VLOOKUP(M$5,NFI,5,0),1,0)*Table_NFI[[#This Row],[Blanket]],Table_NFI[[#This Row],[Blanket]])</f>
        <v>0</v>
      </c>
      <c r="AE82" s="436">
        <f>IF(NFI_Expiration=1,IF($A82&lt;VLOOKUP(N$5,NFI,5,0),1,0)*Table_NFI[[#This Row],[Kitchen Set]],Table_NFI[Kitchen Set])</f>
        <v>0</v>
      </c>
      <c r="AF82" s="436">
        <f>IF(NFI_Expiration=1,IF($A82&lt;VLOOKUP(O$5,NFI,5,0),1,0)*Table_NFI[[#This Row],[Clothes Kit]],Table_NFI[Clothes Kit])</f>
        <v>0</v>
      </c>
      <c r="AG82" s="436">
        <f>IF(NFI_Expiration=1,IF($A82&lt;VLOOKUP(P$5,NFI,5,0),1,0)*Table_NFI[[#This Row],[Plastic Bucket]],Table_NFI[Plastic Bucket])</f>
        <v>0</v>
      </c>
      <c r="AH82" s="436">
        <f>IF(NFI_Expiration=1,IF($A82&lt;VLOOKUP(Q$5,NFI,5,0),1,0)*Table_NFI[[#This Row],[Plastic Mat]],Table_NFI[Plastic Mat])*IF(Table_NFI[[#This Row],[Distribution Date]]&gt;"2014-04-01",1,2.5)</f>
        <v>0</v>
      </c>
      <c r="AI82" s="436">
        <f>IF(NFI_Expiration=1,IF($A82&lt;VLOOKUP(R$5,NFI,5,0),1,0)*Table_NFI[[#This Row],[Winter Clothes Adult]],Table_NFI[Winter Clothes Adult])</f>
        <v>0</v>
      </c>
      <c r="AJ82" s="436">
        <f>IF(NFI_Expiration=1,IF($A82&lt;VLOOKUP(S$5,NFI,5,0),1,0)*Table_NFI[[#This Row],[Winter Clothes Children]],Table_NFI[Winter Clothes Children])</f>
        <v>0</v>
      </c>
      <c r="AK82" s="436">
        <f>IF(NFI_Expiration=1,IF($A82&lt;VLOOKUP(T$5,NFI,5,0),1,0)*Table_NFI[[#This Row],[Winter Items Other]],Table_NFI[Winter Items Other])</f>
        <v>0</v>
      </c>
      <c r="AL82" s="436">
        <f>IF(NFI_Expiration=1,IF($A82&lt;VLOOKUP(M$5,NFI,5,0),1,0)*Table_NFI[[#This Row],[Winter Blanket]],Table_NFI[[#This Row],[Winter Blanket]])</f>
        <v>0</v>
      </c>
      <c r="AM82" s="436">
        <f>IF(Table_NFI[[#This Row],[Winter Clothes Adult]]+Table_NFI[[#This Row],[Winter Clothes Children]]+Table_NFI[[#This Row],[Winter Items Other]]+Table_NFI[[#This Row],[Winter Blanket]]&gt;0,1,0)</f>
        <v>1</v>
      </c>
      <c r="AN82" s="439">
        <f>IF(NFI_Expiration=1,IF($A82&lt;VLOOKUP(V$5,NFI,5,0),1,0)*Table_NFI[[#This Row],[Jerry Can]],Table_NFI[Jerry Can])</f>
        <v>0</v>
      </c>
      <c r="AO82" s="771" t="str">
        <f>IFERROR(VLOOKUP(Table_NFI[[#This Row],[Camp Name]],CL,2,0),"")</f>
        <v>MMR001CMP111</v>
      </c>
      <c r="AP82" s="772">
        <f ca="1">IF(Table_NFI[[#This Row],[Pcode]]="","",IF(OFFSET(CampList[Opening Date],MATCH(Table_NFI[[#This Row],[Pcode]],CampList[CP_Pcode],0)-1,0,1,1)&gt;=NFI_Monitor_Date,1,0))</f>
        <v>0</v>
      </c>
      <c r="AQ82" s="781" t="str">
        <f>IFERROR(VLOOKUP(Table_NFI[[#This Row],[Camp Name]],CL,3,0),"")</f>
        <v>Open</v>
      </c>
      <c r="AR82" s="439" t="str">
        <f ca="1">IF(Table_NFI[[#This Row],[Pcode]]="","",OFFSET(CampList[Priority],MATCH(Table_NFI[[#This Row],[Pcode]],CampList[CP_Pcode],0)-1,0,1,1))</f>
        <v>P2</v>
      </c>
      <c r="AS82" s="438">
        <f>IFERROR(Table_NFI[[#This Row],[Kitchen Set]]/VLOOKUP(Table_NFI[[#This Row],[Camp Name]],CL,4,0),"")</f>
        <v>0</v>
      </c>
      <c r="AT82" s="769"/>
      <c r="AU82" s="773"/>
    </row>
    <row r="83" spans="1:47" s="774" customFormat="1" x14ac:dyDescent="0.25">
      <c r="A83" s="451">
        <f t="shared" si="1"/>
        <v>13.066666666666666</v>
      </c>
      <c r="B83" s="768">
        <v>41978</v>
      </c>
      <c r="C83" s="769" t="s">
        <v>454</v>
      </c>
      <c r="D83" s="769" t="s">
        <v>508</v>
      </c>
      <c r="E83" s="769" t="s">
        <v>380</v>
      </c>
      <c r="F83" s="769" t="s">
        <v>310</v>
      </c>
      <c r="G83" s="769" t="s">
        <v>334</v>
      </c>
      <c r="H83" s="436"/>
      <c r="I83" s="436"/>
      <c r="J83" s="436"/>
      <c r="K83" s="436">
        <v>164</v>
      </c>
      <c r="L83" s="437"/>
      <c r="M83" s="437"/>
      <c r="N83" s="437"/>
      <c r="O83" s="437"/>
      <c r="P83" s="439"/>
      <c r="Q83" s="439"/>
      <c r="R83" s="436">
        <v>302</v>
      </c>
      <c r="S83" s="436">
        <v>440</v>
      </c>
      <c r="T83" s="436"/>
      <c r="U83" s="436">
        <v>297</v>
      </c>
      <c r="V83" s="436"/>
      <c r="W83" s="436"/>
      <c r="X83" s="436"/>
      <c r="Y83" s="436">
        <f>IF(NFI_Expiration=1,IF($A83&lt;VLOOKUP(H$5,NFI,5,0),1,0)*Table_NFI[[#This Row],[Hygiene Kit]],Table_NFI[Hygiene Kit])</f>
        <v>0</v>
      </c>
      <c r="Z83" s="436">
        <f>IF(NFI_Expiration=1,IF($A83&lt;VLOOKUP(I$5,NFI,5,0),1,0)*Table_NFI[[#This Row],[NFI Core Kit]],Table_NFI[NFI Core Kit])</f>
        <v>0</v>
      </c>
      <c r="AA83" s="436">
        <f>IF(NFI_Expiration=1,IF($A83&lt;VLOOKUP(J$5,NFI,5,0),1,0)*Table_NFI[[#This Row],[Sanitary Kit]],Table_NFI[Sanitary Kit])</f>
        <v>0</v>
      </c>
      <c r="AB83" s="436">
        <f>IF(NFI_Expiration=1,IF($A83&lt;VLOOKUP(K$5,NFI,5,0),1,0)*Table_NFI[[#This Row],[Mosquito net]],Table_NFI[Mosquito net])</f>
        <v>0</v>
      </c>
      <c r="AC83" s="436">
        <f>IF(NFI_Expiration=1,IF($A83&lt;VLOOKUP(L$5,NFI,5,0),1,0)*Table_NFI[[#This Row],[Tarpaulin]],Table_NFI[[#This Row],[Tarpaulin]])</f>
        <v>0</v>
      </c>
      <c r="AD83" s="436">
        <f>IF(NFI_Expiration=1,IF($A83&lt;VLOOKUP(M$5,NFI,5,0),1,0)*Table_NFI[[#This Row],[Blanket]],Table_NFI[[#This Row],[Blanket]])</f>
        <v>0</v>
      </c>
      <c r="AE83" s="436">
        <f>IF(NFI_Expiration=1,IF($A83&lt;VLOOKUP(N$5,NFI,5,0),1,0)*Table_NFI[[#This Row],[Kitchen Set]],Table_NFI[Kitchen Set])</f>
        <v>0</v>
      </c>
      <c r="AF83" s="436">
        <f>IF(NFI_Expiration=1,IF($A83&lt;VLOOKUP(O$5,NFI,5,0),1,0)*Table_NFI[[#This Row],[Clothes Kit]],Table_NFI[Clothes Kit])</f>
        <v>0</v>
      </c>
      <c r="AG83" s="436">
        <f>IF(NFI_Expiration=1,IF($A83&lt;VLOOKUP(P$5,NFI,5,0),1,0)*Table_NFI[[#This Row],[Plastic Bucket]],Table_NFI[Plastic Bucket])</f>
        <v>0</v>
      </c>
      <c r="AH83" s="436">
        <f>IF(NFI_Expiration=1,IF($A83&lt;VLOOKUP(Q$5,NFI,5,0),1,0)*Table_NFI[[#This Row],[Plastic Mat]],Table_NFI[Plastic Mat])*IF(Table_NFI[[#This Row],[Distribution Date]]&gt;"2014-04-01",1,2.5)</f>
        <v>0</v>
      </c>
      <c r="AI83" s="436">
        <f>IF(NFI_Expiration=1,IF($A83&lt;VLOOKUP(R$5,NFI,5,0),1,0)*Table_NFI[[#This Row],[Winter Clothes Adult]],Table_NFI[Winter Clothes Adult])</f>
        <v>0</v>
      </c>
      <c r="AJ83" s="436">
        <f>IF(NFI_Expiration=1,IF($A83&lt;VLOOKUP(S$5,NFI,5,0),1,0)*Table_NFI[[#This Row],[Winter Clothes Children]],Table_NFI[Winter Clothes Children])</f>
        <v>0</v>
      </c>
      <c r="AK83" s="436">
        <f>IF(NFI_Expiration=1,IF($A83&lt;VLOOKUP(T$5,NFI,5,0),1,0)*Table_NFI[[#This Row],[Winter Items Other]],Table_NFI[Winter Items Other])</f>
        <v>0</v>
      </c>
      <c r="AL83" s="436">
        <f>IF(NFI_Expiration=1,IF($A83&lt;VLOOKUP(M$5,NFI,5,0),1,0)*Table_NFI[[#This Row],[Winter Blanket]],Table_NFI[[#This Row],[Winter Blanket]])</f>
        <v>0</v>
      </c>
      <c r="AM83" s="436">
        <f>IF(Table_NFI[[#This Row],[Winter Clothes Adult]]+Table_NFI[[#This Row],[Winter Clothes Children]]+Table_NFI[[#This Row],[Winter Items Other]]+Table_NFI[[#This Row],[Winter Blanket]]&gt;0,1,0)</f>
        <v>1</v>
      </c>
      <c r="AN83" s="439">
        <f>IF(NFI_Expiration=1,IF($A83&lt;VLOOKUP(V$5,NFI,5,0),1,0)*Table_NFI[[#This Row],[Jerry Can]],Table_NFI[Jerry Can])</f>
        <v>0</v>
      </c>
      <c r="AO83" s="771" t="str">
        <f>IFERROR(VLOOKUP(Table_NFI[[#This Row],[Camp Name]],CL,2,0),"")</f>
        <v>MMR001CMP113</v>
      </c>
      <c r="AP83" s="772">
        <f ca="1">IF(Table_NFI[[#This Row],[Pcode]]="","",IF(OFFSET(CampList[Opening Date],MATCH(Table_NFI[[#This Row],[Pcode]],CampList[CP_Pcode],0)-1,0,1,1)&gt;=NFI_Monitor_Date,1,0))</f>
        <v>0</v>
      </c>
      <c r="AQ83" s="781" t="str">
        <f>IFERROR(VLOOKUP(Table_NFI[[#This Row],[Camp Name]],CL,3,0),"")</f>
        <v>Open</v>
      </c>
      <c r="AR83" s="439" t="str">
        <f ca="1">IF(Table_NFI[[#This Row],[Pcode]]="","",OFFSET(CampList[Priority],MATCH(Table_NFI[[#This Row],[Pcode]],CampList[CP_Pcode],0)-1,0,1,1))</f>
        <v>P1</v>
      </c>
      <c r="AS83" s="438">
        <f>IFERROR(Table_NFI[[#This Row],[Kitchen Set]]/VLOOKUP(Table_NFI[[#This Row],[Camp Name]],CL,4,0),"")</f>
        <v>0</v>
      </c>
      <c r="AT83" s="769"/>
      <c r="AU83" s="773"/>
    </row>
    <row r="84" spans="1:47" s="136" customFormat="1" x14ac:dyDescent="0.25">
      <c r="A84" s="451">
        <f t="shared" si="1"/>
        <v>13.066666666666666</v>
      </c>
      <c r="B84" s="768">
        <v>41978</v>
      </c>
      <c r="C84" s="769" t="s">
        <v>454</v>
      </c>
      <c r="D84" s="769" t="s">
        <v>508</v>
      </c>
      <c r="E84" s="769" t="s">
        <v>380</v>
      </c>
      <c r="F84" s="769" t="s">
        <v>310</v>
      </c>
      <c r="G84" s="769" t="s">
        <v>355</v>
      </c>
      <c r="H84" s="436"/>
      <c r="I84" s="436"/>
      <c r="J84" s="436"/>
      <c r="K84" s="436">
        <v>124</v>
      </c>
      <c r="L84" s="437"/>
      <c r="M84" s="437"/>
      <c r="N84" s="437"/>
      <c r="O84" s="437"/>
      <c r="P84" s="439"/>
      <c r="Q84" s="439"/>
      <c r="R84" s="436">
        <v>262</v>
      </c>
      <c r="S84" s="436">
        <v>400</v>
      </c>
      <c r="T84" s="436"/>
      <c r="U84" s="436">
        <v>257</v>
      </c>
      <c r="V84" s="436"/>
      <c r="W84" s="436"/>
      <c r="X84" s="436"/>
      <c r="Y84" s="436">
        <f>IF(NFI_Expiration=1,IF($A84&lt;VLOOKUP(H$5,NFI,5,0),1,0)*Table_NFI[[#This Row],[Hygiene Kit]],Table_NFI[Hygiene Kit])</f>
        <v>0</v>
      </c>
      <c r="Z84" s="436">
        <f>IF(NFI_Expiration=1,IF($A84&lt;VLOOKUP(I$5,NFI,5,0),1,0)*Table_NFI[[#This Row],[NFI Core Kit]],Table_NFI[NFI Core Kit])</f>
        <v>0</v>
      </c>
      <c r="AA84" s="436">
        <f>IF(NFI_Expiration=1,IF($A84&lt;VLOOKUP(J$5,NFI,5,0),1,0)*Table_NFI[[#This Row],[Sanitary Kit]],Table_NFI[Sanitary Kit])</f>
        <v>0</v>
      </c>
      <c r="AB84" s="436">
        <f>IF(NFI_Expiration=1,IF($A84&lt;VLOOKUP(K$5,NFI,5,0),1,0)*Table_NFI[[#This Row],[Mosquito net]],Table_NFI[Mosquito net])</f>
        <v>0</v>
      </c>
      <c r="AC84" s="436">
        <f>IF(NFI_Expiration=1,IF($A84&lt;VLOOKUP(L$5,NFI,5,0),1,0)*Table_NFI[[#This Row],[Tarpaulin]],Table_NFI[[#This Row],[Tarpaulin]])</f>
        <v>0</v>
      </c>
      <c r="AD84" s="436">
        <f>IF(NFI_Expiration=1,IF($A84&lt;VLOOKUP(M$5,NFI,5,0),1,0)*Table_NFI[[#This Row],[Blanket]],Table_NFI[[#This Row],[Blanket]])</f>
        <v>0</v>
      </c>
      <c r="AE84" s="436">
        <f>IF(NFI_Expiration=1,IF($A84&lt;VLOOKUP(N$5,NFI,5,0),1,0)*Table_NFI[[#This Row],[Kitchen Set]],Table_NFI[Kitchen Set])</f>
        <v>0</v>
      </c>
      <c r="AF84" s="436">
        <f>IF(NFI_Expiration=1,IF($A84&lt;VLOOKUP(O$5,NFI,5,0),1,0)*Table_NFI[[#This Row],[Clothes Kit]],Table_NFI[Clothes Kit])</f>
        <v>0</v>
      </c>
      <c r="AG84" s="436">
        <f>IF(NFI_Expiration=1,IF($A84&lt;VLOOKUP(P$5,NFI,5,0),1,0)*Table_NFI[[#This Row],[Plastic Bucket]],Table_NFI[Plastic Bucket])</f>
        <v>0</v>
      </c>
      <c r="AH84" s="436">
        <f>IF(NFI_Expiration=1,IF($A84&lt;VLOOKUP(Q$5,NFI,5,0),1,0)*Table_NFI[[#This Row],[Plastic Mat]],Table_NFI[Plastic Mat])*IF(Table_NFI[[#This Row],[Distribution Date]]&gt;"2014-04-01",1,2.5)</f>
        <v>0</v>
      </c>
      <c r="AI84" s="436">
        <f>IF(NFI_Expiration=1,IF($A84&lt;VLOOKUP(R$5,NFI,5,0),1,0)*Table_NFI[[#This Row],[Winter Clothes Adult]],Table_NFI[Winter Clothes Adult])</f>
        <v>0</v>
      </c>
      <c r="AJ84" s="436">
        <f>IF(NFI_Expiration=1,IF($A84&lt;VLOOKUP(S$5,NFI,5,0),1,0)*Table_NFI[[#This Row],[Winter Clothes Children]],Table_NFI[Winter Clothes Children])</f>
        <v>0</v>
      </c>
      <c r="AK84" s="436">
        <f>IF(NFI_Expiration=1,IF($A84&lt;VLOOKUP(T$5,NFI,5,0),1,0)*Table_NFI[[#This Row],[Winter Items Other]],Table_NFI[Winter Items Other])</f>
        <v>0</v>
      </c>
      <c r="AL84" s="436">
        <f>IF(NFI_Expiration=1,IF($A84&lt;VLOOKUP(M$5,NFI,5,0),1,0)*Table_NFI[[#This Row],[Winter Blanket]],Table_NFI[[#This Row],[Winter Blanket]])</f>
        <v>0</v>
      </c>
      <c r="AM84" s="436">
        <f>IF(Table_NFI[[#This Row],[Winter Clothes Adult]]+Table_NFI[[#This Row],[Winter Clothes Children]]+Table_NFI[[#This Row],[Winter Items Other]]+Table_NFI[[#This Row],[Winter Blanket]]&gt;0,1,0)</f>
        <v>1</v>
      </c>
      <c r="AN84" s="439">
        <f>IF(NFI_Expiration=1,IF($A84&lt;VLOOKUP(V$5,NFI,5,0),1,0)*Table_NFI[[#This Row],[Jerry Can]],Table_NFI[Jerry Can])</f>
        <v>0</v>
      </c>
      <c r="AO84" s="771" t="str">
        <f>IFERROR(VLOOKUP(Table_NFI[[#This Row],[Camp Name]],CL,2,0),"")</f>
        <v>MMR001CMP160</v>
      </c>
      <c r="AP84" s="772">
        <f ca="1">IF(Table_NFI[[#This Row],[Pcode]]="","",IF(OFFSET(CampList[Opening Date],MATCH(Table_NFI[[#This Row],[Pcode]],CampList[CP_Pcode],0)-1,0,1,1)&gt;=NFI_Monitor_Date,1,0))</f>
        <v>0</v>
      </c>
      <c r="AQ84" s="781" t="str">
        <f>IFERROR(VLOOKUP(Table_NFI[[#This Row],[Camp Name]],CL,3,0),"")</f>
        <v>Open</v>
      </c>
      <c r="AR84" s="439" t="str">
        <f ca="1">IF(Table_NFI[[#This Row],[Pcode]]="","",OFFSET(CampList[Priority],MATCH(Table_NFI[[#This Row],[Pcode]],CampList[CP_Pcode],0)-1,0,1,1))</f>
        <v>P1</v>
      </c>
      <c r="AS84" s="438">
        <f>IFERROR(Table_NFI[[#This Row],[Kitchen Set]]/VLOOKUP(Table_NFI[[#This Row],[Camp Name]],CL,4,0),"")</f>
        <v>0</v>
      </c>
      <c r="AT84" s="769"/>
      <c r="AU84" s="773"/>
    </row>
    <row r="85" spans="1:47" s="136" customFormat="1" x14ac:dyDescent="0.25">
      <c r="A85" s="451">
        <f t="shared" si="1"/>
        <v>13.466666666666667</v>
      </c>
      <c r="B85" s="768">
        <v>41966</v>
      </c>
      <c r="C85" s="769" t="s">
        <v>454</v>
      </c>
      <c r="D85" s="769" t="s">
        <v>462</v>
      </c>
      <c r="E85" s="769" t="s">
        <v>380</v>
      </c>
      <c r="F85" s="769" t="s">
        <v>237</v>
      </c>
      <c r="G85" s="769" t="s">
        <v>253</v>
      </c>
      <c r="H85" s="436"/>
      <c r="I85" s="436"/>
      <c r="J85" s="436"/>
      <c r="K85" s="436">
        <v>72</v>
      </c>
      <c r="L85" s="437">
        <v>36</v>
      </c>
      <c r="M85" s="437">
        <v>72</v>
      </c>
      <c r="N85" s="437">
        <v>36</v>
      </c>
      <c r="O85" s="437"/>
      <c r="P85" s="439">
        <v>36</v>
      </c>
      <c r="Q85" s="439">
        <v>180</v>
      </c>
      <c r="R85" s="436"/>
      <c r="S85" s="436"/>
      <c r="T85" s="436"/>
      <c r="U85" s="436"/>
      <c r="V85" s="436"/>
      <c r="W85" s="436"/>
      <c r="X85" s="436"/>
      <c r="Y85" s="436">
        <f>IF(NFI_Expiration=1,IF($A85&lt;VLOOKUP(H$5,NFI,5,0),1,0)*Table_NFI[[#This Row],[Hygiene Kit]],Table_NFI[Hygiene Kit])</f>
        <v>0</v>
      </c>
      <c r="Z85" s="436">
        <f>IF(NFI_Expiration=1,IF($A85&lt;VLOOKUP(I$5,NFI,5,0),1,0)*Table_NFI[[#This Row],[NFI Core Kit]],Table_NFI[NFI Core Kit])</f>
        <v>0</v>
      </c>
      <c r="AA85" s="436">
        <f>IF(NFI_Expiration=1,IF($A85&lt;VLOOKUP(J$5,NFI,5,0),1,0)*Table_NFI[[#This Row],[Sanitary Kit]],Table_NFI[Sanitary Kit])</f>
        <v>0</v>
      </c>
      <c r="AB85" s="436">
        <f>IF(NFI_Expiration=1,IF($A85&lt;VLOOKUP(K$5,NFI,5,0),1,0)*Table_NFI[[#This Row],[Mosquito net]],Table_NFI[Mosquito net])</f>
        <v>0</v>
      </c>
      <c r="AC85" s="436">
        <f>IF(NFI_Expiration=1,IF($A85&lt;VLOOKUP(L$5,NFI,5,0),1,0)*Table_NFI[[#This Row],[Tarpaulin]],Table_NFI[[#This Row],[Tarpaulin]])</f>
        <v>0</v>
      </c>
      <c r="AD85" s="436">
        <f>IF(NFI_Expiration=1,IF($A85&lt;VLOOKUP(M$5,NFI,5,0),1,0)*Table_NFI[[#This Row],[Blanket]],Table_NFI[[#This Row],[Blanket]])</f>
        <v>0</v>
      </c>
      <c r="AE85" s="436">
        <f>IF(NFI_Expiration=1,IF($A85&lt;VLOOKUP(N$5,NFI,5,0),1,0)*Table_NFI[[#This Row],[Kitchen Set]],Table_NFI[Kitchen Set])</f>
        <v>0</v>
      </c>
      <c r="AF85" s="436">
        <f>IF(NFI_Expiration=1,IF($A85&lt;VLOOKUP(O$5,NFI,5,0),1,0)*Table_NFI[[#This Row],[Clothes Kit]],Table_NFI[Clothes Kit])</f>
        <v>0</v>
      </c>
      <c r="AG85" s="436">
        <f>IF(NFI_Expiration=1,IF($A85&lt;VLOOKUP(P$5,NFI,5,0),1,0)*Table_NFI[[#This Row],[Plastic Bucket]],Table_NFI[Plastic Bucket])</f>
        <v>0</v>
      </c>
      <c r="AH85" s="436">
        <f>IF(NFI_Expiration=1,IF($A85&lt;VLOOKUP(Q$5,NFI,5,0),1,0)*Table_NFI[[#This Row],[Plastic Mat]],Table_NFI[Plastic Mat])*IF(Table_NFI[[#This Row],[Distribution Date]]&gt;"2014-04-01",1,2.5)</f>
        <v>0</v>
      </c>
      <c r="AI85" s="436">
        <f>IF(NFI_Expiration=1,IF($A85&lt;VLOOKUP(R$5,NFI,5,0),1,0)*Table_NFI[[#This Row],[Winter Clothes Adult]],Table_NFI[Winter Clothes Adult])</f>
        <v>0</v>
      </c>
      <c r="AJ85" s="436">
        <f>IF(NFI_Expiration=1,IF($A85&lt;VLOOKUP(S$5,NFI,5,0),1,0)*Table_NFI[[#This Row],[Winter Clothes Children]],Table_NFI[Winter Clothes Children])</f>
        <v>0</v>
      </c>
      <c r="AK85" s="436">
        <f>IF(NFI_Expiration=1,IF($A85&lt;VLOOKUP(T$5,NFI,5,0),1,0)*Table_NFI[[#This Row],[Winter Items Other]],Table_NFI[Winter Items Other])</f>
        <v>0</v>
      </c>
      <c r="AL85" s="436">
        <f>IF(NFI_Expiration=1,IF($A85&lt;VLOOKUP(M$5,NFI,5,0),1,0)*Table_NFI[[#This Row],[Winter Blanket]],Table_NFI[[#This Row],[Winter Blanket]])</f>
        <v>0</v>
      </c>
      <c r="AM85" s="436">
        <f>IF(Table_NFI[[#This Row],[Winter Clothes Adult]]+Table_NFI[[#This Row],[Winter Clothes Children]]+Table_NFI[[#This Row],[Winter Items Other]]+Table_NFI[[#This Row],[Winter Blanket]]&gt;0,1,0)</f>
        <v>0</v>
      </c>
      <c r="AN85" s="439">
        <f>IF(NFI_Expiration=1,IF($A85&lt;VLOOKUP(V$5,NFI,5,0),1,0)*Table_NFI[[#This Row],[Jerry Can]],Table_NFI[Jerry Can])</f>
        <v>0</v>
      </c>
      <c r="AO85" s="771" t="str">
        <f>IFERROR(VLOOKUP(Table_NFI[[#This Row],[Camp Name]],CL,2,0),"")</f>
        <v>MMR001CMP018</v>
      </c>
      <c r="AP85" s="772">
        <f ca="1">IF(Table_NFI[[#This Row],[Pcode]]="","",IF(OFFSET(CampList[Opening Date],MATCH(Table_NFI[[#This Row],[Pcode]],CampList[CP_Pcode],0)-1,0,1,1)&gt;=NFI_Monitor_Date,1,0))</f>
        <v>0</v>
      </c>
      <c r="AQ85" s="781" t="str">
        <f>IFERROR(VLOOKUP(Table_NFI[[#This Row],[Camp Name]],CL,3,0),"")</f>
        <v>Open</v>
      </c>
      <c r="AR85" s="439" t="str">
        <f ca="1">IF(Table_NFI[[#This Row],[Pcode]]="","",OFFSET(CampList[Priority],MATCH(Table_NFI[[#This Row],[Pcode]],CampList[CP_Pcode],0)-1,0,1,1))</f>
        <v>P4</v>
      </c>
      <c r="AS85" s="438">
        <f>IFERROR(Table_NFI[[#This Row],[Kitchen Set]]/VLOOKUP(Table_NFI[[#This Row],[Camp Name]],CL,4,0),"")</f>
        <v>0.17733990147783252</v>
      </c>
      <c r="AT85" s="769"/>
      <c r="AU85" s="773"/>
    </row>
    <row r="86" spans="1:47" s="136" customFormat="1" x14ac:dyDescent="0.25">
      <c r="A86" s="451">
        <f t="shared" si="1"/>
        <v>13.866666666666667</v>
      </c>
      <c r="B86" s="768">
        <v>41954</v>
      </c>
      <c r="C86" s="769" t="s">
        <v>454</v>
      </c>
      <c r="D86" s="769" t="s">
        <v>462</v>
      </c>
      <c r="E86" s="769" t="s">
        <v>380</v>
      </c>
      <c r="F86" s="769" t="s">
        <v>529</v>
      </c>
      <c r="G86" s="769" t="s">
        <v>88</v>
      </c>
      <c r="H86" s="436"/>
      <c r="I86" s="436"/>
      <c r="J86" s="436">
        <v>19</v>
      </c>
      <c r="K86" s="436">
        <v>38</v>
      </c>
      <c r="L86" s="437">
        <v>19</v>
      </c>
      <c r="M86" s="437">
        <v>38</v>
      </c>
      <c r="N86" s="437">
        <v>19</v>
      </c>
      <c r="O86" s="437"/>
      <c r="P86" s="439">
        <v>19</v>
      </c>
      <c r="Q86" s="439">
        <v>95</v>
      </c>
      <c r="R86" s="436"/>
      <c r="S86" s="436"/>
      <c r="T86" s="436"/>
      <c r="U86" s="436"/>
      <c r="V86" s="436"/>
      <c r="W86" s="436"/>
      <c r="X86" s="436"/>
      <c r="Y86" s="436">
        <f>IF(NFI_Expiration=1,IF($A86&lt;VLOOKUP(H$5,NFI,5,0),1,0)*Table_NFI[[#This Row],[Hygiene Kit]],Table_NFI[Hygiene Kit])</f>
        <v>0</v>
      </c>
      <c r="Z86" s="436">
        <f>IF(NFI_Expiration=1,IF($A86&lt;VLOOKUP(I$5,NFI,5,0),1,0)*Table_NFI[[#This Row],[NFI Core Kit]],Table_NFI[NFI Core Kit])</f>
        <v>0</v>
      </c>
      <c r="AA86" s="436">
        <f>IF(NFI_Expiration=1,IF($A86&lt;VLOOKUP(J$5,NFI,5,0),1,0)*Table_NFI[[#This Row],[Sanitary Kit]],Table_NFI[Sanitary Kit])</f>
        <v>0</v>
      </c>
      <c r="AB86" s="436">
        <f>IF(NFI_Expiration=1,IF($A86&lt;VLOOKUP(K$5,NFI,5,0),1,0)*Table_NFI[[#This Row],[Mosquito net]],Table_NFI[Mosquito net])</f>
        <v>0</v>
      </c>
      <c r="AC86" s="436">
        <f>IF(NFI_Expiration=1,IF($A86&lt;VLOOKUP(L$5,NFI,5,0),1,0)*Table_NFI[[#This Row],[Tarpaulin]],Table_NFI[[#This Row],[Tarpaulin]])</f>
        <v>0</v>
      </c>
      <c r="AD86" s="436">
        <f>IF(NFI_Expiration=1,IF($A86&lt;VLOOKUP(M$5,NFI,5,0),1,0)*Table_NFI[[#This Row],[Blanket]],Table_NFI[[#This Row],[Blanket]])</f>
        <v>0</v>
      </c>
      <c r="AE86" s="436">
        <f>IF(NFI_Expiration=1,IF($A86&lt;VLOOKUP(N$5,NFI,5,0),1,0)*Table_NFI[[#This Row],[Kitchen Set]],Table_NFI[Kitchen Set])</f>
        <v>0</v>
      </c>
      <c r="AF86" s="436">
        <f>IF(NFI_Expiration=1,IF($A86&lt;VLOOKUP(O$5,NFI,5,0),1,0)*Table_NFI[[#This Row],[Clothes Kit]],Table_NFI[Clothes Kit])</f>
        <v>0</v>
      </c>
      <c r="AG86" s="436">
        <f>IF(NFI_Expiration=1,IF($A86&lt;VLOOKUP(P$5,NFI,5,0),1,0)*Table_NFI[[#This Row],[Plastic Bucket]],Table_NFI[Plastic Bucket])</f>
        <v>0</v>
      </c>
      <c r="AH86" s="436">
        <f>IF(NFI_Expiration=1,IF($A86&lt;VLOOKUP(Q$5,NFI,5,0),1,0)*Table_NFI[[#This Row],[Plastic Mat]],Table_NFI[Plastic Mat])*IF(Table_NFI[[#This Row],[Distribution Date]]&gt;"2014-04-01",1,2.5)</f>
        <v>0</v>
      </c>
      <c r="AI86" s="436">
        <f>IF(NFI_Expiration=1,IF($A86&lt;VLOOKUP(R$5,NFI,5,0),1,0)*Table_NFI[[#This Row],[Winter Clothes Adult]],Table_NFI[Winter Clothes Adult])</f>
        <v>0</v>
      </c>
      <c r="AJ86" s="436">
        <f>IF(NFI_Expiration=1,IF($A86&lt;VLOOKUP(S$5,NFI,5,0),1,0)*Table_NFI[[#This Row],[Winter Clothes Children]],Table_NFI[Winter Clothes Children])</f>
        <v>0</v>
      </c>
      <c r="AK86" s="436">
        <f>IF(NFI_Expiration=1,IF($A86&lt;VLOOKUP(T$5,NFI,5,0),1,0)*Table_NFI[[#This Row],[Winter Items Other]],Table_NFI[Winter Items Other])</f>
        <v>0</v>
      </c>
      <c r="AL86" s="436">
        <f>IF(NFI_Expiration=1,IF($A86&lt;VLOOKUP(M$5,NFI,5,0),1,0)*Table_NFI[[#This Row],[Winter Blanket]],Table_NFI[[#This Row],[Winter Blanket]])</f>
        <v>0</v>
      </c>
      <c r="AM86" s="436">
        <f>IF(Table_NFI[[#This Row],[Winter Clothes Adult]]+Table_NFI[[#This Row],[Winter Clothes Children]]+Table_NFI[[#This Row],[Winter Items Other]]+Table_NFI[[#This Row],[Winter Blanket]]&gt;0,1,0)</f>
        <v>0</v>
      </c>
      <c r="AN86" s="439">
        <f>IF(NFI_Expiration=1,IF($A86&lt;VLOOKUP(V$5,NFI,5,0),1,0)*Table_NFI[[#This Row],[Jerry Can]],Table_NFI[Jerry Can])</f>
        <v>0</v>
      </c>
      <c r="AO86" s="771" t="str">
        <f>IFERROR(VLOOKUP(Table_NFI[[#This Row],[Camp Name]],CL,2,0),"")</f>
        <v>MMR001CMP148</v>
      </c>
      <c r="AP86" s="772">
        <f ca="1">IF(Table_NFI[[#This Row],[Pcode]]="","",IF(OFFSET(CampList[Opening Date],MATCH(Table_NFI[[#This Row],[Pcode]],CampList[CP_Pcode],0)-1,0,1,1)&gt;=NFI_Monitor_Date,1,0))</f>
        <v>0</v>
      </c>
      <c r="AQ86" s="781" t="str">
        <f>IFERROR(VLOOKUP(Table_NFI[[#This Row],[Camp Name]],CL,3,0),"")</f>
        <v>Open</v>
      </c>
      <c r="AR86" s="439" t="str">
        <f ca="1">IF(Table_NFI[[#This Row],[Pcode]]="","",OFFSET(CampList[Priority],MATCH(Table_NFI[[#This Row],[Pcode]],CampList[CP_Pcode],0)-1,0,1,1))</f>
        <v>P4</v>
      </c>
      <c r="AS86" s="438">
        <f>IFERROR(Table_NFI[[#This Row],[Kitchen Set]]/VLOOKUP(Table_NFI[[#This Row],[Camp Name]],CL,4,0),"")</f>
        <v>1.5833333333333333</v>
      </c>
      <c r="AT86" s="769"/>
      <c r="AU86" s="773"/>
    </row>
    <row r="87" spans="1:47" s="136" customFormat="1" x14ac:dyDescent="0.25">
      <c r="A87" s="451">
        <f t="shared" si="1"/>
        <v>13.9</v>
      </c>
      <c r="B87" s="768">
        <v>41953</v>
      </c>
      <c r="C87" s="769" t="s">
        <v>1101</v>
      </c>
      <c r="D87" s="769" t="s">
        <v>907</v>
      </c>
      <c r="E87" s="769" t="s">
        <v>380</v>
      </c>
      <c r="F87" s="769" t="s">
        <v>529</v>
      </c>
      <c r="G87" s="769" t="s">
        <v>613</v>
      </c>
      <c r="H87" s="436"/>
      <c r="I87" s="436"/>
      <c r="J87" s="436"/>
      <c r="K87" s="436"/>
      <c r="L87" s="437"/>
      <c r="M87" s="437"/>
      <c r="N87" s="437"/>
      <c r="O87" s="437"/>
      <c r="P87" s="439"/>
      <c r="Q87" s="439"/>
      <c r="R87" s="436">
        <v>50</v>
      </c>
      <c r="S87" s="436">
        <v>17</v>
      </c>
      <c r="T87" s="436"/>
      <c r="U87" s="436"/>
      <c r="V87" s="436"/>
      <c r="W87" s="436"/>
      <c r="X87" s="436"/>
      <c r="Y87" s="436">
        <f>IF(NFI_Expiration=1,IF($A87&lt;VLOOKUP(H$5,NFI,5,0),1,0)*Table_NFI[[#This Row],[Hygiene Kit]],Table_NFI[Hygiene Kit])</f>
        <v>0</v>
      </c>
      <c r="Z87" s="436">
        <f>IF(NFI_Expiration=1,IF($A87&lt;VLOOKUP(I$5,NFI,5,0),1,0)*Table_NFI[[#This Row],[NFI Core Kit]],Table_NFI[NFI Core Kit])</f>
        <v>0</v>
      </c>
      <c r="AA87" s="436">
        <f>IF(NFI_Expiration=1,IF($A87&lt;VLOOKUP(J$5,NFI,5,0),1,0)*Table_NFI[[#This Row],[Sanitary Kit]],Table_NFI[Sanitary Kit])</f>
        <v>0</v>
      </c>
      <c r="AB87" s="436">
        <f>IF(NFI_Expiration=1,IF($A87&lt;VLOOKUP(K$5,NFI,5,0),1,0)*Table_NFI[[#This Row],[Mosquito net]],Table_NFI[Mosquito net])</f>
        <v>0</v>
      </c>
      <c r="AC87" s="436">
        <f>IF(NFI_Expiration=1,IF($A87&lt;VLOOKUP(L$5,NFI,5,0),1,0)*Table_NFI[[#This Row],[Tarpaulin]],Table_NFI[[#This Row],[Tarpaulin]])</f>
        <v>0</v>
      </c>
      <c r="AD87" s="436">
        <f>IF(NFI_Expiration=1,IF($A87&lt;VLOOKUP(M$5,NFI,5,0),1,0)*Table_NFI[[#This Row],[Blanket]],Table_NFI[[#This Row],[Blanket]])</f>
        <v>0</v>
      </c>
      <c r="AE87" s="436">
        <f>IF(NFI_Expiration=1,IF($A87&lt;VLOOKUP(N$5,NFI,5,0),1,0)*Table_NFI[[#This Row],[Kitchen Set]],Table_NFI[Kitchen Set])</f>
        <v>0</v>
      </c>
      <c r="AF87" s="436">
        <f>IF(NFI_Expiration=1,IF($A87&lt;VLOOKUP(O$5,NFI,5,0),1,0)*Table_NFI[[#This Row],[Clothes Kit]],Table_NFI[Clothes Kit])</f>
        <v>0</v>
      </c>
      <c r="AG87" s="436">
        <f>IF(NFI_Expiration=1,IF($A87&lt;VLOOKUP(P$5,NFI,5,0),1,0)*Table_NFI[[#This Row],[Plastic Bucket]],Table_NFI[Plastic Bucket])</f>
        <v>0</v>
      </c>
      <c r="AH87" s="436">
        <f>IF(NFI_Expiration=1,IF($A87&lt;VLOOKUP(Q$5,NFI,5,0),1,0)*Table_NFI[[#This Row],[Plastic Mat]],Table_NFI[Plastic Mat])*IF(Table_NFI[[#This Row],[Distribution Date]]&gt;"2014-04-01",1,2.5)</f>
        <v>0</v>
      </c>
      <c r="AI87" s="436">
        <f>IF(NFI_Expiration=1,IF($A87&lt;VLOOKUP(R$5,NFI,5,0),1,0)*Table_NFI[[#This Row],[Winter Clothes Adult]],Table_NFI[Winter Clothes Adult])</f>
        <v>0</v>
      </c>
      <c r="AJ87" s="436">
        <f>IF(NFI_Expiration=1,IF($A87&lt;VLOOKUP(S$5,NFI,5,0),1,0)*Table_NFI[[#This Row],[Winter Clothes Children]],Table_NFI[Winter Clothes Children])</f>
        <v>0</v>
      </c>
      <c r="AK87" s="436">
        <f>IF(NFI_Expiration=1,IF($A87&lt;VLOOKUP(T$5,NFI,5,0),1,0)*Table_NFI[[#This Row],[Winter Items Other]],Table_NFI[Winter Items Other])</f>
        <v>0</v>
      </c>
      <c r="AL87" s="436">
        <f>IF(NFI_Expiration=1,IF($A87&lt;VLOOKUP(M$5,NFI,5,0),1,0)*Table_NFI[[#This Row],[Winter Blanket]],Table_NFI[[#This Row],[Winter Blanket]])</f>
        <v>0</v>
      </c>
      <c r="AM87" s="436">
        <f>IF(Table_NFI[[#This Row],[Winter Clothes Adult]]+Table_NFI[[#This Row],[Winter Clothes Children]]+Table_NFI[[#This Row],[Winter Items Other]]+Table_NFI[[#This Row],[Winter Blanket]]&gt;0,1,0)</f>
        <v>1</v>
      </c>
      <c r="AN87" s="439">
        <f>IF(NFI_Expiration=1,IF($A87&lt;VLOOKUP(V$5,NFI,5,0),1,0)*Table_NFI[[#This Row],[Jerry Can]],Table_NFI[Jerry Can])</f>
        <v>0</v>
      </c>
      <c r="AO87" s="771" t="str">
        <f>IFERROR(VLOOKUP(Table_NFI[[#This Row],[Camp Name]],CL,2,0),"")</f>
        <v>MMR001CMP192</v>
      </c>
      <c r="AP87" s="772">
        <f ca="1">IF(Table_NFI[[#This Row],[Pcode]]="","",IF(OFFSET(CampList[Opening Date],MATCH(Table_NFI[[#This Row],[Pcode]],CampList[CP_Pcode],0)-1,0,1,1)&gt;=NFI_Monitor_Date,1,0))</f>
        <v>0</v>
      </c>
      <c r="AQ87" s="771" t="str">
        <f>IFERROR(VLOOKUP(Table_NFI[[#This Row],[Camp Name]],CL,3,0),"")</f>
        <v>Open</v>
      </c>
      <c r="AR87" s="436" t="str">
        <f ca="1">IF(Table_NFI[[#This Row],[Pcode]]="","",OFFSET(CampList[Priority],MATCH(Table_NFI[[#This Row],[Pcode]],CampList[CP_Pcode],0)-1,0,1,1))</f>
        <v>P4</v>
      </c>
      <c r="AS87" s="438">
        <f>IFERROR(Table_NFI[[#This Row],[Kitchen Set]]/VLOOKUP(Table_NFI[[#This Row],[Camp Name]],CL,4,0),"")</f>
        <v>0</v>
      </c>
      <c r="AT87" s="769"/>
      <c r="AU87" s="773"/>
    </row>
    <row r="88" spans="1:47" s="774" customFormat="1" x14ac:dyDescent="0.25">
      <c r="A88" s="451">
        <f t="shared" si="1"/>
        <v>13.9</v>
      </c>
      <c r="B88" s="768">
        <v>41953</v>
      </c>
      <c r="C88" s="769" t="s">
        <v>1101</v>
      </c>
      <c r="D88" s="769" t="s">
        <v>907</v>
      </c>
      <c r="E88" s="769" t="s">
        <v>380</v>
      </c>
      <c r="F88" s="769" t="s">
        <v>529</v>
      </c>
      <c r="G88" s="769" t="s">
        <v>108</v>
      </c>
      <c r="H88" s="436"/>
      <c r="I88" s="436"/>
      <c r="J88" s="436"/>
      <c r="K88" s="436"/>
      <c r="L88" s="437"/>
      <c r="M88" s="437"/>
      <c r="N88" s="437"/>
      <c r="O88" s="437"/>
      <c r="P88" s="439"/>
      <c r="Q88" s="439"/>
      <c r="R88" s="436">
        <v>117</v>
      </c>
      <c r="S88" s="436">
        <v>65</v>
      </c>
      <c r="T88" s="436"/>
      <c r="U88" s="436"/>
      <c r="V88" s="436"/>
      <c r="W88" s="436"/>
      <c r="X88" s="436"/>
      <c r="Y88" s="436">
        <f>IF(NFI_Expiration=1,IF($A88&lt;VLOOKUP(H$5,NFI,5,0),1,0)*Table_NFI[[#This Row],[Hygiene Kit]],Table_NFI[Hygiene Kit])</f>
        <v>0</v>
      </c>
      <c r="Z88" s="436">
        <f>IF(NFI_Expiration=1,IF($A88&lt;VLOOKUP(I$5,NFI,5,0),1,0)*Table_NFI[[#This Row],[NFI Core Kit]],Table_NFI[NFI Core Kit])</f>
        <v>0</v>
      </c>
      <c r="AA88" s="436">
        <f>IF(NFI_Expiration=1,IF($A88&lt;VLOOKUP(J$5,NFI,5,0),1,0)*Table_NFI[[#This Row],[Sanitary Kit]],Table_NFI[Sanitary Kit])</f>
        <v>0</v>
      </c>
      <c r="AB88" s="436">
        <f>IF(NFI_Expiration=1,IF($A88&lt;VLOOKUP(K$5,NFI,5,0),1,0)*Table_NFI[[#This Row],[Mosquito net]],Table_NFI[Mosquito net])</f>
        <v>0</v>
      </c>
      <c r="AC88" s="436">
        <f>IF(NFI_Expiration=1,IF($A88&lt;VLOOKUP(L$5,NFI,5,0),1,0)*Table_NFI[[#This Row],[Tarpaulin]],Table_NFI[[#This Row],[Tarpaulin]])</f>
        <v>0</v>
      </c>
      <c r="AD88" s="436">
        <f>IF(NFI_Expiration=1,IF($A88&lt;VLOOKUP(M$5,NFI,5,0),1,0)*Table_NFI[[#This Row],[Blanket]],Table_NFI[[#This Row],[Blanket]])</f>
        <v>0</v>
      </c>
      <c r="AE88" s="436">
        <f>IF(NFI_Expiration=1,IF($A88&lt;VLOOKUP(N$5,NFI,5,0),1,0)*Table_NFI[[#This Row],[Kitchen Set]],Table_NFI[Kitchen Set])</f>
        <v>0</v>
      </c>
      <c r="AF88" s="436">
        <f>IF(NFI_Expiration=1,IF($A88&lt;VLOOKUP(O$5,NFI,5,0),1,0)*Table_NFI[[#This Row],[Clothes Kit]],Table_NFI[Clothes Kit])</f>
        <v>0</v>
      </c>
      <c r="AG88" s="436">
        <f>IF(NFI_Expiration=1,IF($A88&lt;VLOOKUP(P$5,NFI,5,0),1,0)*Table_NFI[[#This Row],[Plastic Bucket]],Table_NFI[Plastic Bucket])</f>
        <v>0</v>
      </c>
      <c r="AH88" s="436">
        <f>IF(NFI_Expiration=1,IF($A88&lt;VLOOKUP(Q$5,NFI,5,0),1,0)*Table_NFI[[#This Row],[Plastic Mat]],Table_NFI[Plastic Mat])*IF(Table_NFI[[#This Row],[Distribution Date]]&gt;"2014-04-01",1,2.5)</f>
        <v>0</v>
      </c>
      <c r="AI88" s="436">
        <f>IF(NFI_Expiration=1,IF($A88&lt;VLOOKUP(R$5,NFI,5,0),1,0)*Table_NFI[[#This Row],[Winter Clothes Adult]],Table_NFI[Winter Clothes Adult])</f>
        <v>0</v>
      </c>
      <c r="AJ88" s="436">
        <f>IF(NFI_Expiration=1,IF($A88&lt;VLOOKUP(S$5,NFI,5,0),1,0)*Table_NFI[[#This Row],[Winter Clothes Children]],Table_NFI[Winter Clothes Children])</f>
        <v>0</v>
      </c>
      <c r="AK88" s="436">
        <f>IF(NFI_Expiration=1,IF($A88&lt;VLOOKUP(T$5,NFI,5,0),1,0)*Table_NFI[[#This Row],[Winter Items Other]],Table_NFI[Winter Items Other])</f>
        <v>0</v>
      </c>
      <c r="AL88" s="436">
        <f>IF(NFI_Expiration=1,IF($A88&lt;VLOOKUP(M$5,NFI,5,0),1,0)*Table_NFI[[#This Row],[Winter Blanket]],Table_NFI[[#This Row],[Winter Blanket]])</f>
        <v>0</v>
      </c>
      <c r="AM88" s="436">
        <f>IF(Table_NFI[[#This Row],[Winter Clothes Adult]]+Table_NFI[[#This Row],[Winter Clothes Children]]+Table_NFI[[#This Row],[Winter Items Other]]+Table_NFI[[#This Row],[Winter Blanket]]&gt;0,1,0)</f>
        <v>1</v>
      </c>
      <c r="AN88" s="439">
        <f>IF(NFI_Expiration=1,IF($A88&lt;VLOOKUP(V$5,NFI,5,0),1,0)*Table_NFI[[#This Row],[Jerry Can]],Table_NFI[Jerry Can])</f>
        <v>0</v>
      </c>
      <c r="AO88" s="771" t="str">
        <f>IFERROR(VLOOKUP(Table_NFI[[#This Row],[Camp Name]],CL,2,0),"")</f>
        <v>MMR001CMP103</v>
      </c>
      <c r="AP88" s="772">
        <f ca="1">IF(Table_NFI[[#This Row],[Pcode]]="","",IF(OFFSET(CampList[Opening Date],MATCH(Table_NFI[[#This Row],[Pcode]],CampList[CP_Pcode],0)-1,0,1,1)&gt;=NFI_Monitor_Date,1,0))</f>
        <v>0</v>
      </c>
      <c r="AQ88" s="771" t="str">
        <f>IFERROR(VLOOKUP(Table_NFI[[#This Row],[Camp Name]],CL,3,0),"")</f>
        <v>Open</v>
      </c>
      <c r="AR88" s="436" t="str">
        <f ca="1">IF(Table_NFI[[#This Row],[Pcode]]="","",OFFSET(CampList[Priority],MATCH(Table_NFI[[#This Row],[Pcode]],CampList[CP_Pcode],0)-1,0,1,1))</f>
        <v>P4</v>
      </c>
      <c r="AS88" s="438">
        <f>IFERROR(Table_NFI[[#This Row],[Kitchen Set]]/VLOOKUP(Table_NFI[[#This Row],[Camp Name]],CL,4,0),"")</f>
        <v>0</v>
      </c>
      <c r="AT88" s="769"/>
      <c r="AU88" s="773"/>
    </row>
    <row r="89" spans="1:47" s="136" customFormat="1" x14ac:dyDescent="0.25">
      <c r="A89" s="451">
        <f t="shared" si="1"/>
        <v>13.9</v>
      </c>
      <c r="B89" s="768">
        <v>41953</v>
      </c>
      <c r="C89" s="769" t="s">
        <v>1101</v>
      </c>
      <c r="D89" s="769" t="s">
        <v>907</v>
      </c>
      <c r="E89" s="769" t="s">
        <v>380</v>
      </c>
      <c r="F89" s="769" t="s">
        <v>300</v>
      </c>
      <c r="G89" s="769" t="s">
        <v>897</v>
      </c>
      <c r="H89" s="436"/>
      <c r="I89" s="436"/>
      <c r="J89" s="436"/>
      <c r="K89" s="436"/>
      <c r="L89" s="437"/>
      <c r="M89" s="437"/>
      <c r="N89" s="437"/>
      <c r="O89" s="437"/>
      <c r="P89" s="439"/>
      <c r="Q89" s="439"/>
      <c r="R89" s="436">
        <v>52</v>
      </c>
      <c r="S89" s="436">
        <v>16</v>
      </c>
      <c r="T89" s="436"/>
      <c r="U89" s="436"/>
      <c r="V89" s="436"/>
      <c r="W89" s="436"/>
      <c r="X89" s="436"/>
      <c r="Y89" s="436">
        <f>IF(NFI_Expiration=1,IF($A89&lt;VLOOKUP(H$5,NFI,5,0),1,0)*Table_NFI[[#This Row],[Hygiene Kit]],Table_NFI[Hygiene Kit])</f>
        <v>0</v>
      </c>
      <c r="Z89" s="436">
        <f>IF(NFI_Expiration=1,IF($A89&lt;VLOOKUP(I$5,NFI,5,0),1,0)*Table_NFI[[#This Row],[NFI Core Kit]],Table_NFI[NFI Core Kit])</f>
        <v>0</v>
      </c>
      <c r="AA89" s="436">
        <f>IF(NFI_Expiration=1,IF($A89&lt;VLOOKUP(J$5,NFI,5,0),1,0)*Table_NFI[[#This Row],[Sanitary Kit]],Table_NFI[Sanitary Kit])</f>
        <v>0</v>
      </c>
      <c r="AB89" s="436">
        <f>IF(NFI_Expiration=1,IF($A89&lt;VLOOKUP(K$5,NFI,5,0),1,0)*Table_NFI[[#This Row],[Mosquito net]],Table_NFI[Mosquito net])</f>
        <v>0</v>
      </c>
      <c r="AC89" s="436">
        <f>IF(NFI_Expiration=1,IF($A89&lt;VLOOKUP(L$5,NFI,5,0),1,0)*Table_NFI[[#This Row],[Tarpaulin]],Table_NFI[[#This Row],[Tarpaulin]])</f>
        <v>0</v>
      </c>
      <c r="AD89" s="436">
        <f>IF(NFI_Expiration=1,IF($A89&lt;VLOOKUP(M$5,NFI,5,0),1,0)*Table_NFI[[#This Row],[Blanket]],Table_NFI[[#This Row],[Blanket]])</f>
        <v>0</v>
      </c>
      <c r="AE89" s="436">
        <f>IF(NFI_Expiration=1,IF($A89&lt;VLOOKUP(N$5,NFI,5,0),1,0)*Table_NFI[[#This Row],[Kitchen Set]],Table_NFI[Kitchen Set])</f>
        <v>0</v>
      </c>
      <c r="AF89" s="436">
        <f>IF(NFI_Expiration=1,IF($A89&lt;VLOOKUP(O$5,NFI,5,0),1,0)*Table_NFI[[#This Row],[Clothes Kit]],Table_NFI[Clothes Kit])</f>
        <v>0</v>
      </c>
      <c r="AG89" s="436">
        <f>IF(NFI_Expiration=1,IF($A89&lt;VLOOKUP(P$5,NFI,5,0),1,0)*Table_NFI[[#This Row],[Plastic Bucket]],Table_NFI[Plastic Bucket])</f>
        <v>0</v>
      </c>
      <c r="AH89" s="436">
        <f>IF(NFI_Expiration=1,IF($A89&lt;VLOOKUP(Q$5,NFI,5,0),1,0)*Table_NFI[[#This Row],[Plastic Mat]],Table_NFI[Plastic Mat])*IF(Table_NFI[[#This Row],[Distribution Date]]&gt;"2014-04-01",1,2.5)</f>
        <v>0</v>
      </c>
      <c r="AI89" s="436">
        <f>IF(NFI_Expiration=1,IF($A89&lt;VLOOKUP(R$5,NFI,5,0),1,0)*Table_NFI[[#This Row],[Winter Clothes Adult]],Table_NFI[Winter Clothes Adult])</f>
        <v>0</v>
      </c>
      <c r="AJ89" s="436">
        <f>IF(NFI_Expiration=1,IF($A89&lt;VLOOKUP(S$5,NFI,5,0),1,0)*Table_NFI[[#This Row],[Winter Clothes Children]],Table_NFI[Winter Clothes Children])</f>
        <v>0</v>
      </c>
      <c r="AK89" s="436">
        <f>IF(NFI_Expiration=1,IF($A89&lt;VLOOKUP(T$5,NFI,5,0),1,0)*Table_NFI[[#This Row],[Winter Items Other]],Table_NFI[Winter Items Other])</f>
        <v>0</v>
      </c>
      <c r="AL89" s="436">
        <f>IF(NFI_Expiration=1,IF($A89&lt;VLOOKUP(M$5,NFI,5,0),1,0)*Table_NFI[[#This Row],[Winter Blanket]],Table_NFI[[#This Row],[Winter Blanket]])</f>
        <v>0</v>
      </c>
      <c r="AM89" s="436">
        <f>IF(Table_NFI[[#This Row],[Winter Clothes Adult]]+Table_NFI[[#This Row],[Winter Clothes Children]]+Table_NFI[[#This Row],[Winter Items Other]]+Table_NFI[[#This Row],[Winter Blanket]]&gt;0,1,0)</f>
        <v>1</v>
      </c>
      <c r="AN89" s="439">
        <f>IF(NFI_Expiration=1,IF($A89&lt;VLOOKUP(V$5,NFI,5,0),1,0)*Table_NFI[[#This Row],[Jerry Can]],Table_NFI[Jerry Can])</f>
        <v>0</v>
      </c>
      <c r="AO89" s="771" t="str">
        <f>IFERROR(VLOOKUP(Table_NFI[[#This Row],[Camp Name]],CL,2,0),"")</f>
        <v>MMR001CMP220</v>
      </c>
      <c r="AP89" s="772">
        <f ca="1">IF(Table_NFI[[#This Row],[Pcode]]="","",IF(OFFSET(CampList[Opening Date],MATCH(Table_NFI[[#This Row],[Pcode]],CampList[CP_Pcode],0)-1,0,1,1)&gt;=NFI_Monitor_Date,1,0))</f>
        <v>0</v>
      </c>
      <c r="AQ89" s="771" t="str">
        <f>IFERROR(VLOOKUP(Table_NFI[[#This Row],[Camp Name]],CL,3,0),"")</f>
        <v>Closed</v>
      </c>
      <c r="AR89" s="436" t="str">
        <f ca="1">IF(Table_NFI[[#This Row],[Pcode]]="","",OFFSET(CampList[Priority],MATCH(Table_NFI[[#This Row],[Pcode]],CampList[CP_Pcode],0)-1,0,1,1))</f>
        <v>P3</v>
      </c>
      <c r="AS89" s="438" t="str">
        <f>IFERROR(Table_NFI[[#This Row],[Kitchen Set]]/VLOOKUP(Table_NFI[[#This Row],[Camp Name]],CL,4,0),"")</f>
        <v/>
      </c>
      <c r="AT89" s="769"/>
      <c r="AU89" s="773"/>
    </row>
    <row r="90" spans="1:47" s="186" customFormat="1" x14ac:dyDescent="0.25">
      <c r="A90" s="451">
        <f t="shared" si="1"/>
        <v>13.9</v>
      </c>
      <c r="B90" s="768">
        <v>41953</v>
      </c>
      <c r="C90" s="769" t="s">
        <v>1101</v>
      </c>
      <c r="D90" s="769" t="s">
        <v>907</v>
      </c>
      <c r="E90" s="769" t="s">
        <v>380</v>
      </c>
      <c r="F90" s="769" t="s">
        <v>300</v>
      </c>
      <c r="G90" s="769" t="s">
        <v>301</v>
      </c>
      <c r="H90" s="436"/>
      <c r="I90" s="436"/>
      <c r="J90" s="436"/>
      <c r="K90" s="436"/>
      <c r="L90" s="437"/>
      <c r="M90" s="437"/>
      <c r="N90" s="437"/>
      <c r="O90" s="437"/>
      <c r="P90" s="439"/>
      <c r="Q90" s="439"/>
      <c r="R90" s="436">
        <v>72</v>
      </c>
      <c r="S90" s="436">
        <v>11</v>
      </c>
      <c r="T90" s="436"/>
      <c r="U90" s="436"/>
      <c r="V90" s="695"/>
      <c r="W90" s="695"/>
      <c r="X90" s="695"/>
      <c r="Y90" s="436">
        <f>IF(NFI_Expiration=1,IF($A90&lt;VLOOKUP(H$5,NFI,5,0),1,0)*Table_NFI[[#This Row],[Hygiene Kit]],Table_NFI[Hygiene Kit])</f>
        <v>0</v>
      </c>
      <c r="Z90" s="436">
        <f>IF(NFI_Expiration=1,IF($A90&lt;VLOOKUP(I$5,NFI,5,0),1,0)*Table_NFI[[#This Row],[NFI Core Kit]],Table_NFI[NFI Core Kit])</f>
        <v>0</v>
      </c>
      <c r="AA90" s="436">
        <f>IF(NFI_Expiration=1,IF($A90&lt;VLOOKUP(J$5,NFI,5,0),1,0)*Table_NFI[[#This Row],[Sanitary Kit]],Table_NFI[Sanitary Kit])</f>
        <v>0</v>
      </c>
      <c r="AB90" s="436">
        <f>IF(NFI_Expiration=1,IF($A90&lt;VLOOKUP(K$5,NFI,5,0),1,0)*Table_NFI[[#This Row],[Mosquito net]],Table_NFI[Mosquito net])</f>
        <v>0</v>
      </c>
      <c r="AC90" s="436">
        <f>IF(NFI_Expiration=1,IF($A90&lt;VLOOKUP(L$5,NFI,5,0),1,0)*Table_NFI[[#This Row],[Tarpaulin]],Table_NFI[[#This Row],[Tarpaulin]])</f>
        <v>0</v>
      </c>
      <c r="AD90" s="436">
        <f>IF(NFI_Expiration=1,IF($A90&lt;VLOOKUP(M$5,NFI,5,0),1,0)*Table_NFI[[#This Row],[Blanket]],Table_NFI[[#This Row],[Blanket]])</f>
        <v>0</v>
      </c>
      <c r="AE90" s="436">
        <f>IF(NFI_Expiration=1,IF($A90&lt;VLOOKUP(N$5,NFI,5,0),1,0)*Table_NFI[[#This Row],[Kitchen Set]],Table_NFI[Kitchen Set])</f>
        <v>0</v>
      </c>
      <c r="AF90" s="436">
        <f>IF(NFI_Expiration=1,IF($A90&lt;VLOOKUP(O$5,NFI,5,0),1,0)*Table_NFI[[#This Row],[Clothes Kit]],Table_NFI[Clothes Kit])</f>
        <v>0</v>
      </c>
      <c r="AG90" s="436">
        <f>IF(NFI_Expiration=1,IF($A90&lt;VLOOKUP(P$5,NFI,5,0),1,0)*Table_NFI[[#This Row],[Plastic Bucket]],Table_NFI[Plastic Bucket])</f>
        <v>0</v>
      </c>
      <c r="AH90" s="436">
        <f>IF(NFI_Expiration=1,IF($A90&lt;VLOOKUP(Q$5,NFI,5,0),1,0)*Table_NFI[[#This Row],[Plastic Mat]],Table_NFI[Plastic Mat])*IF(Table_NFI[[#This Row],[Distribution Date]]&gt;"2014-04-01",1,2.5)</f>
        <v>0</v>
      </c>
      <c r="AI90" s="436">
        <f>IF(NFI_Expiration=1,IF($A90&lt;VLOOKUP(R$5,NFI,5,0),1,0)*Table_NFI[[#This Row],[Winter Clothes Adult]],Table_NFI[Winter Clothes Adult])</f>
        <v>0</v>
      </c>
      <c r="AJ90" s="436">
        <f>IF(NFI_Expiration=1,IF($A90&lt;VLOOKUP(S$5,NFI,5,0),1,0)*Table_NFI[[#This Row],[Winter Clothes Children]],Table_NFI[Winter Clothes Children])</f>
        <v>0</v>
      </c>
      <c r="AK90" s="436">
        <f>IF(NFI_Expiration=1,IF($A90&lt;VLOOKUP(T$5,NFI,5,0),1,0)*Table_NFI[[#This Row],[Winter Items Other]],Table_NFI[Winter Items Other])</f>
        <v>0</v>
      </c>
      <c r="AL90" s="436">
        <f>IF(NFI_Expiration=1,IF($A90&lt;VLOOKUP(M$5,NFI,5,0),1,0)*Table_NFI[[#This Row],[Winter Blanket]],Table_NFI[[#This Row],[Winter Blanket]])</f>
        <v>0</v>
      </c>
      <c r="AM90" s="436">
        <f>IF(Table_NFI[[#This Row],[Winter Clothes Adult]]+Table_NFI[[#This Row],[Winter Clothes Children]]+Table_NFI[[#This Row],[Winter Items Other]]+Table_NFI[[#This Row],[Winter Blanket]]&gt;0,1,0)</f>
        <v>1</v>
      </c>
      <c r="AN90" s="488">
        <f>IF(NFI_Expiration=1,IF($A90&lt;VLOOKUP(V$5,NFI,5,0),1,0)*Table_NFI[[#This Row],[Jerry Can]],Table_NFI[Jerry Can])</f>
        <v>0</v>
      </c>
      <c r="AO90" s="771" t="str">
        <f>IFERROR(VLOOKUP(Table_NFI[[#This Row],[Camp Name]],CL,2,0),"")</f>
        <v>MMR001CMP075</v>
      </c>
      <c r="AP90" s="772">
        <f ca="1">IF(Table_NFI[[#This Row],[Pcode]]="","",IF(OFFSET(CampList[Opening Date],MATCH(Table_NFI[[#This Row],[Pcode]],CampList[CP_Pcode],0)-1,0,1,1)&gt;=NFI_Monitor_Date,1,0))</f>
        <v>0</v>
      </c>
      <c r="AQ90" s="771" t="str">
        <f>IFERROR(VLOOKUP(Table_NFI[[#This Row],[Camp Name]],CL,3,0),"")</f>
        <v>Open</v>
      </c>
      <c r="AR90" s="436" t="str">
        <f ca="1">IF(Table_NFI[[#This Row],[Pcode]]="","",OFFSET(CampList[Priority],MATCH(Table_NFI[[#This Row],[Pcode]],CampList[CP_Pcode],0)-1,0,1,1))</f>
        <v>P3</v>
      </c>
      <c r="AS90" s="438">
        <f>IFERROR(Table_NFI[[#This Row],[Kitchen Set]]/VLOOKUP(Table_NFI[[#This Row],[Camp Name]],CL,4,0),"")</f>
        <v>0</v>
      </c>
      <c r="AT90" s="769"/>
      <c r="AU90" s="773"/>
    </row>
    <row r="91" spans="1:47" s="136" customFormat="1" x14ac:dyDescent="0.25">
      <c r="A91" s="451">
        <f t="shared" si="1"/>
        <v>14.133333333333333</v>
      </c>
      <c r="B91" s="768">
        <v>41946</v>
      </c>
      <c r="C91" s="769" t="s">
        <v>454</v>
      </c>
      <c r="D91" s="769" t="s">
        <v>507</v>
      </c>
      <c r="E91" s="769" t="s">
        <v>380</v>
      </c>
      <c r="F91" s="769" t="s">
        <v>310</v>
      </c>
      <c r="G91" s="769" t="s">
        <v>313</v>
      </c>
      <c r="H91" s="436"/>
      <c r="I91" s="436"/>
      <c r="J91" s="436">
        <v>15</v>
      </c>
      <c r="K91" s="436">
        <v>30</v>
      </c>
      <c r="L91" s="437">
        <v>15</v>
      </c>
      <c r="M91" s="437">
        <v>30</v>
      </c>
      <c r="N91" s="437">
        <v>15</v>
      </c>
      <c r="O91" s="437"/>
      <c r="P91" s="439">
        <v>15</v>
      </c>
      <c r="Q91" s="439">
        <v>75</v>
      </c>
      <c r="R91" s="436"/>
      <c r="S91" s="436"/>
      <c r="T91" s="436"/>
      <c r="U91" s="436"/>
      <c r="V91" s="436"/>
      <c r="W91" s="436"/>
      <c r="X91" s="436"/>
      <c r="Y91" s="436">
        <f>IF(NFI_Expiration=1,IF($A91&lt;VLOOKUP(H$5,NFI,5,0),1,0)*Table_NFI[[#This Row],[Hygiene Kit]],Table_NFI[Hygiene Kit])</f>
        <v>0</v>
      </c>
      <c r="Z91" s="436">
        <f>IF(NFI_Expiration=1,IF($A91&lt;VLOOKUP(I$5,NFI,5,0),1,0)*Table_NFI[[#This Row],[NFI Core Kit]],Table_NFI[NFI Core Kit])</f>
        <v>0</v>
      </c>
      <c r="AA91" s="436">
        <f>IF(NFI_Expiration=1,IF($A91&lt;VLOOKUP(J$5,NFI,5,0),1,0)*Table_NFI[[#This Row],[Sanitary Kit]],Table_NFI[Sanitary Kit])</f>
        <v>0</v>
      </c>
      <c r="AB91" s="436">
        <f>IF(NFI_Expiration=1,IF($A91&lt;VLOOKUP(K$5,NFI,5,0),1,0)*Table_NFI[[#This Row],[Mosquito net]],Table_NFI[Mosquito net])</f>
        <v>0</v>
      </c>
      <c r="AC91" s="436">
        <f>IF(NFI_Expiration=1,IF($A91&lt;VLOOKUP(L$5,NFI,5,0),1,0)*Table_NFI[[#This Row],[Tarpaulin]],Table_NFI[[#This Row],[Tarpaulin]])</f>
        <v>0</v>
      </c>
      <c r="AD91" s="436">
        <f>IF(NFI_Expiration=1,IF($A91&lt;VLOOKUP(M$5,NFI,5,0),1,0)*Table_NFI[[#This Row],[Blanket]],Table_NFI[[#This Row],[Blanket]])</f>
        <v>0</v>
      </c>
      <c r="AE91" s="436">
        <f>IF(NFI_Expiration=1,IF($A91&lt;VLOOKUP(N$5,NFI,5,0),1,0)*Table_NFI[[#This Row],[Kitchen Set]],Table_NFI[Kitchen Set])</f>
        <v>0</v>
      </c>
      <c r="AF91" s="436">
        <f>IF(NFI_Expiration=1,IF($A91&lt;VLOOKUP(O$5,NFI,5,0),1,0)*Table_NFI[[#This Row],[Clothes Kit]],Table_NFI[Clothes Kit])</f>
        <v>0</v>
      </c>
      <c r="AG91" s="436">
        <f>IF(NFI_Expiration=1,IF($A91&lt;VLOOKUP(P$5,NFI,5,0),1,0)*Table_NFI[[#This Row],[Plastic Bucket]],Table_NFI[Plastic Bucket])</f>
        <v>0</v>
      </c>
      <c r="AH91" s="436">
        <f>IF(NFI_Expiration=1,IF($A91&lt;VLOOKUP(Q$5,NFI,5,0),1,0)*Table_NFI[[#This Row],[Plastic Mat]],Table_NFI[Plastic Mat])*IF(Table_NFI[[#This Row],[Distribution Date]]&gt;"2014-04-01",1,2.5)</f>
        <v>0</v>
      </c>
      <c r="AI91" s="436">
        <f>IF(NFI_Expiration=1,IF($A91&lt;VLOOKUP(R$5,NFI,5,0),1,0)*Table_NFI[[#This Row],[Winter Clothes Adult]],Table_NFI[Winter Clothes Adult])</f>
        <v>0</v>
      </c>
      <c r="AJ91" s="436">
        <f>IF(NFI_Expiration=1,IF($A91&lt;VLOOKUP(S$5,NFI,5,0),1,0)*Table_NFI[[#This Row],[Winter Clothes Children]],Table_NFI[Winter Clothes Children])</f>
        <v>0</v>
      </c>
      <c r="AK91" s="436">
        <f>IF(NFI_Expiration=1,IF($A91&lt;VLOOKUP(T$5,NFI,5,0),1,0)*Table_NFI[[#This Row],[Winter Items Other]],Table_NFI[Winter Items Other])</f>
        <v>0</v>
      </c>
      <c r="AL91" s="436">
        <f>IF(NFI_Expiration=1,IF($A91&lt;VLOOKUP(M$5,NFI,5,0),1,0)*Table_NFI[[#This Row],[Winter Blanket]],Table_NFI[[#This Row],[Winter Blanket]])</f>
        <v>0</v>
      </c>
      <c r="AM91" s="436">
        <f>IF(Table_NFI[[#This Row],[Winter Clothes Adult]]+Table_NFI[[#This Row],[Winter Clothes Children]]+Table_NFI[[#This Row],[Winter Items Other]]+Table_NFI[[#This Row],[Winter Blanket]]&gt;0,1,0)</f>
        <v>0</v>
      </c>
      <c r="AN91" s="439">
        <f>IF(NFI_Expiration=1,IF($A91&lt;VLOOKUP(V$5,NFI,5,0),1,0)*Table_NFI[[#This Row],[Jerry Can]],Table_NFI[Jerry Can])</f>
        <v>0</v>
      </c>
      <c r="AO91" s="771" t="str">
        <f>IFERROR(VLOOKUP(Table_NFI[[#This Row],[Camp Name]],CL,2,0),"")</f>
        <v>MMR001CMP028</v>
      </c>
      <c r="AP91" s="772">
        <f ca="1">IF(Table_NFI[[#This Row],[Pcode]]="","",IF(OFFSET(CampList[Opening Date],MATCH(Table_NFI[[#This Row],[Pcode]],CampList[CP_Pcode],0)-1,0,1,1)&gt;=NFI_Monitor_Date,1,0))</f>
        <v>0</v>
      </c>
      <c r="AQ91" s="781" t="str">
        <f>IFERROR(VLOOKUP(Table_NFI[[#This Row],[Camp Name]],CL,3,0),"")</f>
        <v>Open</v>
      </c>
      <c r="AR91" s="439" t="str">
        <f ca="1">IF(Table_NFI[[#This Row],[Pcode]]="","",OFFSET(CampList[Priority],MATCH(Table_NFI[[#This Row],[Pcode]],CampList[CP_Pcode],0)-1,0,1,1))</f>
        <v>P4</v>
      </c>
      <c r="AS91" s="438">
        <f>IFERROR(Table_NFI[[#This Row],[Kitchen Set]]/VLOOKUP(Table_NFI[[#This Row],[Camp Name]],CL,4,0),"")</f>
        <v>0.13513513513513514</v>
      </c>
      <c r="AT91" s="769"/>
      <c r="AU91" s="773"/>
    </row>
    <row r="92" spans="1:47" s="774" customFormat="1" x14ac:dyDescent="0.25">
      <c r="A92" s="451">
        <f t="shared" si="1"/>
        <v>14.233333333333333</v>
      </c>
      <c r="B92" s="768">
        <v>41943</v>
      </c>
      <c r="C92" s="769" t="s">
        <v>454</v>
      </c>
      <c r="D92" s="769"/>
      <c r="E92" s="769" t="s">
        <v>380</v>
      </c>
      <c r="F92" s="769" t="s">
        <v>529</v>
      </c>
      <c r="G92" s="769" t="s">
        <v>62</v>
      </c>
      <c r="H92" s="436"/>
      <c r="I92" s="436"/>
      <c r="J92" s="436">
        <v>77</v>
      </c>
      <c r="K92" s="436">
        <v>154</v>
      </c>
      <c r="L92" s="437">
        <v>77</v>
      </c>
      <c r="M92" s="437">
        <v>154</v>
      </c>
      <c r="N92" s="437">
        <v>77</v>
      </c>
      <c r="O92" s="437"/>
      <c r="P92" s="439">
        <v>77</v>
      </c>
      <c r="Q92" s="439">
        <v>385</v>
      </c>
      <c r="R92" s="436"/>
      <c r="S92" s="436"/>
      <c r="T92" s="436"/>
      <c r="U92" s="436"/>
      <c r="V92" s="436"/>
      <c r="W92" s="436"/>
      <c r="X92" s="436"/>
      <c r="Y92" s="436">
        <f>IF(NFI_Expiration=1,IF($A92&lt;VLOOKUP(H$5,NFI,5,0),1,0)*Table_NFI[[#This Row],[Hygiene Kit]],Table_NFI[Hygiene Kit])</f>
        <v>0</v>
      </c>
      <c r="Z92" s="436">
        <f>IF(NFI_Expiration=1,IF($A92&lt;VLOOKUP(I$5,NFI,5,0),1,0)*Table_NFI[[#This Row],[NFI Core Kit]],Table_NFI[NFI Core Kit])</f>
        <v>0</v>
      </c>
      <c r="AA92" s="436">
        <f>IF(NFI_Expiration=1,IF($A92&lt;VLOOKUP(J$5,NFI,5,0),1,0)*Table_NFI[[#This Row],[Sanitary Kit]],Table_NFI[Sanitary Kit])</f>
        <v>0</v>
      </c>
      <c r="AB92" s="436">
        <f>IF(NFI_Expiration=1,IF($A92&lt;VLOOKUP(K$5,NFI,5,0),1,0)*Table_NFI[[#This Row],[Mosquito net]],Table_NFI[Mosquito net])</f>
        <v>0</v>
      </c>
      <c r="AC92" s="436">
        <f>IF(NFI_Expiration=1,IF($A92&lt;VLOOKUP(L$5,NFI,5,0),1,0)*Table_NFI[[#This Row],[Tarpaulin]],Table_NFI[[#This Row],[Tarpaulin]])</f>
        <v>0</v>
      </c>
      <c r="AD92" s="436">
        <f>IF(NFI_Expiration=1,IF($A92&lt;VLOOKUP(M$5,NFI,5,0),1,0)*Table_NFI[[#This Row],[Blanket]],Table_NFI[[#This Row],[Blanket]])</f>
        <v>0</v>
      </c>
      <c r="AE92" s="436">
        <f>IF(NFI_Expiration=1,IF($A92&lt;VLOOKUP(N$5,NFI,5,0),1,0)*Table_NFI[[#This Row],[Kitchen Set]],Table_NFI[Kitchen Set])</f>
        <v>0</v>
      </c>
      <c r="AF92" s="436">
        <f>IF(NFI_Expiration=1,IF($A92&lt;VLOOKUP(O$5,NFI,5,0),1,0)*Table_NFI[[#This Row],[Clothes Kit]],Table_NFI[Clothes Kit])</f>
        <v>0</v>
      </c>
      <c r="AG92" s="436">
        <f>IF(NFI_Expiration=1,IF($A92&lt;VLOOKUP(P$5,NFI,5,0),1,0)*Table_NFI[[#This Row],[Plastic Bucket]],Table_NFI[Plastic Bucket])</f>
        <v>0</v>
      </c>
      <c r="AH92" s="436">
        <f>IF(NFI_Expiration=1,IF($A92&lt;VLOOKUP(Q$5,NFI,5,0),1,0)*Table_NFI[[#This Row],[Plastic Mat]],Table_NFI[Plastic Mat])*IF(Table_NFI[[#This Row],[Distribution Date]]&gt;"2014-04-01",1,2.5)</f>
        <v>0</v>
      </c>
      <c r="AI92" s="436">
        <f>IF(NFI_Expiration=1,IF($A92&lt;VLOOKUP(R$5,NFI,5,0),1,0)*Table_NFI[[#This Row],[Winter Clothes Adult]],Table_NFI[Winter Clothes Adult])</f>
        <v>0</v>
      </c>
      <c r="AJ92" s="436">
        <f>IF(NFI_Expiration=1,IF($A92&lt;VLOOKUP(S$5,NFI,5,0),1,0)*Table_NFI[[#This Row],[Winter Clothes Children]],Table_NFI[Winter Clothes Children])</f>
        <v>0</v>
      </c>
      <c r="AK92" s="436">
        <f>IF(NFI_Expiration=1,IF($A92&lt;VLOOKUP(T$5,NFI,5,0),1,0)*Table_NFI[[#This Row],[Winter Items Other]],Table_NFI[Winter Items Other])</f>
        <v>0</v>
      </c>
      <c r="AL92" s="436">
        <f>IF(NFI_Expiration=1,IF($A92&lt;VLOOKUP(M$5,NFI,5,0),1,0)*Table_NFI[[#This Row],[Winter Blanket]],Table_NFI[[#This Row],[Winter Blanket]])</f>
        <v>0</v>
      </c>
      <c r="AM92" s="436">
        <f>IF(Table_NFI[[#This Row],[Winter Clothes Adult]]+Table_NFI[[#This Row],[Winter Clothes Children]]+Table_NFI[[#This Row],[Winter Items Other]]+Table_NFI[[#This Row],[Winter Blanket]]&gt;0,1,0)</f>
        <v>0</v>
      </c>
      <c r="AN92" s="439">
        <f>IF(NFI_Expiration=1,IF($A92&lt;VLOOKUP(V$5,NFI,5,0),1,0)*Table_NFI[[#This Row],[Jerry Can]],Table_NFI[Jerry Can])</f>
        <v>0</v>
      </c>
      <c r="AO92" s="771" t="str">
        <f>IFERROR(VLOOKUP(Table_NFI[[#This Row],[Camp Name]],CL,2,0),"")</f>
        <v>MMR001CMP179</v>
      </c>
      <c r="AP92" s="772">
        <f ca="1">IF(Table_NFI[[#This Row],[Pcode]]="","",IF(OFFSET(CampList[Opening Date],MATCH(Table_NFI[[#This Row],[Pcode]],CampList[CP_Pcode],0)-1,0,1,1)&gt;=NFI_Monitor_Date,1,0))</f>
        <v>0</v>
      </c>
      <c r="AQ92" s="781" t="str">
        <f>IFERROR(VLOOKUP(Table_NFI[[#This Row],[Camp Name]],CL,3,0),"")</f>
        <v>Open</v>
      </c>
      <c r="AR92" s="439" t="str">
        <f ca="1">IF(Table_NFI[[#This Row],[Pcode]]="","",OFFSET(CampList[Priority],MATCH(Table_NFI[[#This Row],[Pcode]],CampList[CP_Pcode],0)-1,0,1,1))</f>
        <v>P4</v>
      </c>
      <c r="AS92" s="438">
        <f>IFERROR(Table_NFI[[#This Row],[Kitchen Set]]/VLOOKUP(Table_NFI[[#This Row],[Camp Name]],CL,4,0),"")</f>
        <v>1.013157894736842</v>
      </c>
      <c r="AT92" s="769"/>
      <c r="AU92" s="773"/>
    </row>
    <row r="93" spans="1:47" s="774" customFormat="1" x14ac:dyDescent="0.25">
      <c r="A93" s="451">
        <f t="shared" si="1"/>
        <v>14.233333333333333</v>
      </c>
      <c r="B93" s="768">
        <v>41943</v>
      </c>
      <c r="C93" s="769" t="s">
        <v>454</v>
      </c>
      <c r="D93" s="769"/>
      <c r="E93" s="769" t="s">
        <v>380</v>
      </c>
      <c r="F93" s="769" t="s">
        <v>529</v>
      </c>
      <c r="G93" s="769" t="s">
        <v>120</v>
      </c>
      <c r="H93" s="436"/>
      <c r="I93" s="436"/>
      <c r="J93" s="436">
        <v>59</v>
      </c>
      <c r="K93" s="436">
        <v>118</v>
      </c>
      <c r="L93" s="437">
        <v>59</v>
      </c>
      <c r="M93" s="437">
        <v>118</v>
      </c>
      <c r="N93" s="437">
        <v>59</v>
      </c>
      <c r="O93" s="437"/>
      <c r="P93" s="439">
        <v>59</v>
      </c>
      <c r="Q93" s="439">
        <v>295</v>
      </c>
      <c r="R93" s="436"/>
      <c r="S93" s="436"/>
      <c r="T93" s="436"/>
      <c r="U93" s="436"/>
      <c r="V93" s="436"/>
      <c r="W93" s="436"/>
      <c r="X93" s="436"/>
      <c r="Y93" s="436">
        <f>IF(NFI_Expiration=1,IF($A93&lt;VLOOKUP(H$5,NFI,5,0),1,0)*Table_NFI[[#This Row],[Hygiene Kit]],Table_NFI[Hygiene Kit])</f>
        <v>0</v>
      </c>
      <c r="Z93" s="436">
        <f>IF(NFI_Expiration=1,IF($A93&lt;VLOOKUP(I$5,NFI,5,0),1,0)*Table_NFI[[#This Row],[NFI Core Kit]],Table_NFI[NFI Core Kit])</f>
        <v>0</v>
      </c>
      <c r="AA93" s="436">
        <f>IF(NFI_Expiration=1,IF($A93&lt;VLOOKUP(J$5,NFI,5,0),1,0)*Table_NFI[[#This Row],[Sanitary Kit]],Table_NFI[Sanitary Kit])</f>
        <v>0</v>
      </c>
      <c r="AB93" s="436">
        <f>IF(NFI_Expiration=1,IF($A93&lt;VLOOKUP(K$5,NFI,5,0),1,0)*Table_NFI[[#This Row],[Mosquito net]],Table_NFI[Mosquito net])</f>
        <v>0</v>
      </c>
      <c r="AC93" s="436">
        <f>IF(NFI_Expiration=1,IF($A93&lt;VLOOKUP(L$5,NFI,5,0),1,0)*Table_NFI[[#This Row],[Tarpaulin]],Table_NFI[[#This Row],[Tarpaulin]])</f>
        <v>0</v>
      </c>
      <c r="AD93" s="436">
        <f>IF(NFI_Expiration=1,IF($A93&lt;VLOOKUP(M$5,NFI,5,0),1,0)*Table_NFI[[#This Row],[Blanket]],Table_NFI[[#This Row],[Blanket]])</f>
        <v>0</v>
      </c>
      <c r="AE93" s="436">
        <f>IF(NFI_Expiration=1,IF($A93&lt;VLOOKUP(N$5,NFI,5,0),1,0)*Table_NFI[[#This Row],[Kitchen Set]],Table_NFI[Kitchen Set])</f>
        <v>0</v>
      </c>
      <c r="AF93" s="436">
        <f>IF(NFI_Expiration=1,IF($A93&lt;VLOOKUP(O$5,NFI,5,0),1,0)*Table_NFI[[#This Row],[Clothes Kit]],Table_NFI[Clothes Kit])</f>
        <v>0</v>
      </c>
      <c r="AG93" s="436">
        <f>IF(NFI_Expiration=1,IF($A93&lt;VLOOKUP(P$5,NFI,5,0),1,0)*Table_NFI[[#This Row],[Plastic Bucket]],Table_NFI[Plastic Bucket])</f>
        <v>0</v>
      </c>
      <c r="AH93" s="436">
        <f>IF(NFI_Expiration=1,IF($A93&lt;VLOOKUP(Q$5,NFI,5,0),1,0)*Table_NFI[[#This Row],[Plastic Mat]],Table_NFI[Plastic Mat])*IF(Table_NFI[[#This Row],[Distribution Date]]&gt;"2014-04-01",1,2.5)</f>
        <v>0</v>
      </c>
      <c r="AI93" s="436">
        <f>IF(NFI_Expiration=1,IF($A93&lt;VLOOKUP(R$5,NFI,5,0),1,0)*Table_NFI[[#This Row],[Winter Clothes Adult]],Table_NFI[Winter Clothes Adult])</f>
        <v>0</v>
      </c>
      <c r="AJ93" s="436">
        <f>IF(NFI_Expiration=1,IF($A93&lt;VLOOKUP(S$5,NFI,5,0),1,0)*Table_NFI[[#This Row],[Winter Clothes Children]],Table_NFI[Winter Clothes Children])</f>
        <v>0</v>
      </c>
      <c r="AK93" s="436">
        <f>IF(NFI_Expiration=1,IF($A93&lt;VLOOKUP(T$5,NFI,5,0),1,0)*Table_NFI[[#This Row],[Winter Items Other]],Table_NFI[Winter Items Other])</f>
        <v>0</v>
      </c>
      <c r="AL93" s="436">
        <f>IF(NFI_Expiration=1,IF($A93&lt;VLOOKUP(M$5,NFI,5,0),1,0)*Table_NFI[[#This Row],[Winter Blanket]],Table_NFI[[#This Row],[Winter Blanket]])</f>
        <v>0</v>
      </c>
      <c r="AM93" s="436">
        <f>IF(Table_NFI[[#This Row],[Winter Clothes Adult]]+Table_NFI[[#This Row],[Winter Clothes Children]]+Table_NFI[[#This Row],[Winter Items Other]]+Table_NFI[[#This Row],[Winter Blanket]]&gt;0,1,0)</f>
        <v>0</v>
      </c>
      <c r="AN93" s="439">
        <f>IF(NFI_Expiration=1,IF($A93&lt;VLOOKUP(V$5,NFI,5,0),1,0)*Table_NFI[[#This Row],[Jerry Can]],Table_NFI[Jerry Can])</f>
        <v>0</v>
      </c>
      <c r="AO93" s="771" t="str">
        <f>IFERROR(VLOOKUP(Table_NFI[[#This Row],[Camp Name]],CL,2,0),"")</f>
        <v>MMR001CMP168</v>
      </c>
      <c r="AP93" s="772">
        <f ca="1">IF(Table_NFI[[#This Row],[Pcode]]="","",IF(OFFSET(CampList[Opening Date],MATCH(Table_NFI[[#This Row],[Pcode]],CampList[CP_Pcode],0)-1,0,1,1)&gt;=NFI_Monitor_Date,1,0))</f>
        <v>0</v>
      </c>
      <c r="AQ93" s="781" t="str">
        <f>IFERROR(VLOOKUP(Table_NFI[[#This Row],[Camp Name]],CL,3,0),"")</f>
        <v>Open</v>
      </c>
      <c r="AR93" s="439" t="str">
        <f ca="1">IF(Table_NFI[[#This Row],[Pcode]]="","",OFFSET(CampList[Priority],MATCH(Table_NFI[[#This Row],[Pcode]],CampList[CP_Pcode],0)-1,0,1,1))</f>
        <v>P4</v>
      </c>
      <c r="AS93" s="438">
        <f>IFERROR(Table_NFI[[#This Row],[Kitchen Set]]/VLOOKUP(Table_NFI[[#This Row],[Camp Name]],CL,4,0),"")</f>
        <v>0.78666666666666663</v>
      </c>
      <c r="AT93" s="769"/>
      <c r="AU93" s="773"/>
    </row>
    <row r="94" spans="1:47" s="774" customFormat="1" ht="14.45" customHeight="1" x14ac:dyDescent="0.25">
      <c r="A94" s="451">
        <f t="shared" si="1"/>
        <v>14.233333333333333</v>
      </c>
      <c r="B94" s="768">
        <v>41943</v>
      </c>
      <c r="C94" s="769" t="s">
        <v>454</v>
      </c>
      <c r="D94" s="769"/>
      <c r="E94" s="769" t="s">
        <v>380</v>
      </c>
      <c r="F94" s="769" t="s">
        <v>529</v>
      </c>
      <c r="G94" s="769" t="s">
        <v>41</v>
      </c>
      <c r="H94" s="436"/>
      <c r="I94" s="436"/>
      <c r="J94" s="436">
        <v>67</v>
      </c>
      <c r="K94" s="436">
        <v>134</v>
      </c>
      <c r="L94" s="437">
        <v>67</v>
      </c>
      <c r="M94" s="437">
        <v>134</v>
      </c>
      <c r="N94" s="437">
        <v>67</v>
      </c>
      <c r="O94" s="437"/>
      <c r="P94" s="439">
        <v>67</v>
      </c>
      <c r="Q94" s="439">
        <v>335</v>
      </c>
      <c r="R94" s="436"/>
      <c r="S94" s="436"/>
      <c r="T94" s="436"/>
      <c r="U94" s="436"/>
      <c r="V94" s="436"/>
      <c r="W94" s="436"/>
      <c r="X94" s="436"/>
      <c r="Y94" s="436">
        <f>IF(NFI_Expiration=1,IF($A94&lt;VLOOKUP(H$5,NFI,5,0),1,0)*Table_NFI[[#This Row],[Hygiene Kit]],Table_NFI[Hygiene Kit])</f>
        <v>0</v>
      </c>
      <c r="Z94" s="436">
        <f>IF(NFI_Expiration=1,IF($A94&lt;VLOOKUP(I$5,NFI,5,0),1,0)*Table_NFI[[#This Row],[NFI Core Kit]],Table_NFI[NFI Core Kit])</f>
        <v>0</v>
      </c>
      <c r="AA94" s="436">
        <f>IF(NFI_Expiration=1,IF($A94&lt;VLOOKUP(J$5,NFI,5,0),1,0)*Table_NFI[[#This Row],[Sanitary Kit]],Table_NFI[Sanitary Kit])</f>
        <v>0</v>
      </c>
      <c r="AB94" s="436">
        <f>IF(NFI_Expiration=1,IF($A94&lt;VLOOKUP(K$5,NFI,5,0),1,0)*Table_NFI[[#This Row],[Mosquito net]],Table_NFI[Mosquito net])</f>
        <v>0</v>
      </c>
      <c r="AC94" s="436">
        <f>IF(NFI_Expiration=1,IF($A94&lt;VLOOKUP(L$5,NFI,5,0),1,0)*Table_NFI[[#This Row],[Tarpaulin]],Table_NFI[[#This Row],[Tarpaulin]])</f>
        <v>0</v>
      </c>
      <c r="AD94" s="436">
        <f>IF(NFI_Expiration=1,IF($A94&lt;VLOOKUP(M$5,NFI,5,0),1,0)*Table_NFI[[#This Row],[Blanket]],Table_NFI[[#This Row],[Blanket]])</f>
        <v>0</v>
      </c>
      <c r="AE94" s="436">
        <f>IF(NFI_Expiration=1,IF($A94&lt;VLOOKUP(N$5,NFI,5,0),1,0)*Table_NFI[[#This Row],[Kitchen Set]],Table_NFI[Kitchen Set])</f>
        <v>0</v>
      </c>
      <c r="AF94" s="436">
        <f>IF(NFI_Expiration=1,IF($A94&lt;VLOOKUP(O$5,NFI,5,0),1,0)*Table_NFI[[#This Row],[Clothes Kit]],Table_NFI[Clothes Kit])</f>
        <v>0</v>
      </c>
      <c r="AG94" s="436">
        <f>IF(NFI_Expiration=1,IF($A94&lt;VLOOKUP(P$5,NFI,5,0),1,0)*Table_NFI[[#This Row],[Plastic Bucket]],Table_NFI[Plastic Bucket])</f>
        <v>0</v>
      </c>
      <c r="AH94" s="436">
        <f>IF(NFI_Expiration=1,IF($A94&lt;VLOOKUP(Q$5,NFI,5,0),1,0)*Table_NFI[[#This Row],[Plastic Mat]],Table_NFI[Plastic Mat])*IF(Table_NFI[[#This Row],[Distribution Date]]&gt;"2014-04-01",1,2.5)</f>
        <v>0</v>
      </c>
      <c r="AI94" s="436">
        <f>IF(NFI_Expiration=1,IF($A94&lt;VLOOKUP(R$5,NFI,5,0),1,0)*Table_NFI[[#This Row],[Winter Clothes Adult]],Table_NFI[Winter Clothes Adult])</f>
        <v>0</v>
      </c>
      <c r="AJ94" s="436">
        <f>IF(NFI_Expiration=1,IF($A94&lt;VLOOKUP(S$5,NFI,5,0),1,0)*Table_NFI[[#This Row],[Winter Clothes Children]],Table_NFI[Winter Clothes Children])</f>
        <v>0</v>
      </c>
      <c r="AK94" s="436">
        <f>IF(NFI_Expiration=1,IF($A94&lt;VLOOKUP(T$5,NFI,5,0),1,0)*Table_NFI[[#This Row],[Winter Items Other]],Table_NFI[Winter Items Other])</f>
        <v>0</v>
      </c>
      <c r="AL94" s="436">
        <f>IF(NFI_Expiration=1,IF($A94&lt;VLOOKUP(M$5,NFI,5,0),1,0)*Table_NFI[[#This Row],[Winter Blanket]],Table_NFI[[#This Row],[Winter Blanket]])</f>
        <v>0</v>
      </c>
      <c r="AM94" s="436">
        <f>IF(Table_NFI[[#This Row],[Winter Clothes Adult]]+Table_NFI[[#This Row],[Winter Clothes Children]]+Table_NFI[[#This Row],[Winter Items Other]]+Table_NFI[[#This Row],[Winter Blanket]]&gt;0,1,0)</f>
        <v>0</v>
      </c>
      <c r="AN94" s="439">
        <f>IF(NFI_Expiration=1,IF($A94&lt;VLOOKUP(V$5,NFI,5,0),1,0)*Table_NFI[[#This Row],[Jerry Can]],Table_NFI[Jerry Can])</f>
        <v>0</v>
      </c>
      <c r="AO94" s="771" t="str">
        <f>IFERROR(VLOOKUP(Table_NFI[[#This Row],[Camp Name]],CL,2,0),"")</f>
        <v>MMR001CMP176</v>
      </c>
      <c r="AP94" s="772">
        <f ca="1">IF(Table_NFI[[#This Row],[Pcode]]="","",IF(OFFSET(CampList[Opening Date],MATCH(Table_NFI[[#This Row],[Pcode]],CampList[CP_Pcode],0)-1,0,1,1)&gt;=NFI_Monitor_Date,1,0))</f>
        <v>0</v>
      </c>
      <c r="AQ94" s="781" t="str">
        <f>IFERROR(VLOOKUP(Table_NFI[[#This Row],[Camp Name]],CL,3,0),"")</f>
        <v>Open</v>
      </c>
      <c r="AR94" s="439" t="str">
        <f ca="1">IF(Table_NFI[[#This Row],[Pcode]]="","",OFFSET(CampList[Priority],MATCH(Table_NFI[[#This Row],[Pcode]],CampList[CP_Pcode],0)-1,0,1,1))</f>
        <v>P4</v>
      </c>
      <c r="AS94" s="438">
        <f>IFERROR(Table_NFI[[#This Row],[Kitchen Set]]/VLOOKUP(Table_NFI[[#This Row],[Camp Name]],CL,4,0),"")</f>
        <v>1</v>
      </c>
      <c r="AT94" s="769"/>
      <c r="AU94" s="773"/>
    </row>
    <row r="95" spans="1:47" s="774" customFormat="1" x14ac:dyDescent="0.25">
      <c r="A95" s="451">
        <f t="shared" si="1"/>
        <v>14.233333333333333</v>
      </c>
      <c r="B95" s="768">
        <v>41943</v>
      </c>
      <c r="C95" s="769" t="s">
        <v>454</v>
      </c>
      <c r="D95" s="769"/>
      <c r="E95" s="769" t="s">
        <v>380</v>
      </c>
      <c r="F95" s="769" t="s">
        <v>529</v>
      </c>
      <c r="G95" s="769" t="s">
        <v>43</v>
      </c>
      <c r="H95" s="436"/>
      <c r="I95" s="436"/>
      <c r="J95" s="436">
        <v>14</v>
      </c>
      <c r="K95" s="436">
        <v>28</v>
      </c>
      <c r="L95" s="437">
        <v>14</v>
      </c>
      <c r="M95" s="437">
        <v>28</v>
      </c>
      <c r="N95" s="437">
        <v>14</v>
      </c>
      <c r="O95" s="437"/>
      <c r="P95" s="439">
        <v>14</v>
      </c>
      <c r="Q95" s="439">
        <v>70</v>
      </c>
      <c r="R95" s="436"/>
      <c r="S95" s="436"/>
      <c r="T95" s="436"/>
      <c r="U95" s="436"/>
      <c r="V95" s="436"/>
      <c r="W95" s="436"/>
      <c r="X95" s="436"/>
      <c r="Y95" s="436">
        <f>IF(NFI_Expiration=1,IF($A95&lt;VLOOKUP(H$5,NFI,5,0),1,0)*Table_NFI[[#This Row],[Hygiene Kit]],Table_NFI[Hygiene Kit])</f>
        <v>0</v>
      </c>
      <c r="Z95" s="436">
        <f>IF(NFI_Expiration=1,IF($A95&lt;VLOOKUP(I$5,NFI,5,0),1,0)*Table_NFI[[#This Row],[NFI Core Kit]],Table_NFI[NFI Core Kit])</f>
        <v>0</v>
      </c>
      <c r="AA95" s="436">
        <f>IF(NFI_Expiration=1,IF($A95&lt;VLOOKUP(J$5,NFI,5,0),1,0)*Table_NFI[[#This Row],[Sanitary Kit]],Table_NFI[Sanitary Kit])</f>
        <v>0</v>
      </c>
      <c r="AB95" s="436">
        <f>IF(NFI_Expiration=1,IF($A95&lt;VLOOKUP(K$5,NFI,5,0),1,0)*Table_NFI[[#This Row],[Mosquito net]],Table_NFI[Mosquito net])</f>
        <v>0</v>
      </c>
      <c r="AC95" s="436">
        <f>IF(NFI_Expiration=1,IF($A95&lt;VLOOKUP(L$5,NFI,5,0),1,0)*Table_NFI[[#This Row],[Tarpaulin]],Table_NFI[[#This Row],[Tarpaulin]])</f>
        <v>0</v>
      </c>
      <c r="AD95" s="436">
        <f>IF(NFI_Expiration=1,IF($A95&lt;VLOOKUP(M$5,NFI,5,0),1,0)*Table_NFI[[#This Row],[Blanket]],Table_NFI[[#This Row],[Blanket]])</f>
        <v>0</v>
      </c>
      <c r="AE95" s="436">
        <f>IF(NFI_Expiration=1,IF($A95&lt;VLOOKUP(N$5,NFI,5,0),1,0)*Table_NFI[[#This Row],[Kitchen Set]],Table_NFI[Kitchen Set])</f>
        <v>0</v>
      </c>
      <c r="AF95" s="436">
        <f>IF(NFI_Expiration=1,IF($A95&lt;VLOOKUP(O$5,NFI,5,0),1,0)*Table_NFI[[#This Row],[Clothes Kit]],Table_NFI[Clothes Kit])</f>
        <v>0</v>
      </c>
      <c r="AG95" s="436">
        <f>IF(NFI_Expiration=1,IF($A95&lt;VLOOKUP(P$5,NFI,5,0),1,0)*Table_NFI[[#This Row],[Plastic Bucket]],Table_NFI[Plastic Bucket])</f>
        <v>0</v>
      </c>
      <c r="AH95" s="436">
        <f>IF(NFI_Expiration=1,IF($A95&lt;VLOOKUP(Q$5,NFI,5,0),1,0)*Table_NFI[[#This Row],[Plastic Mat]],Table_NFI[Plastic Mat])*IF(Table_NFI[[#This Row],[Distribution Date]]&gt;"2014-04-01",1,2.5)</f>
        <v>0</v>
      </c>
      <c r="AI95" s="436">
        <f>IF(NFI_Expiration=1,IF($A95&lt;VLOOKUP(R$5,NFI,5,0),1,0)*Table_NFI[[#This Row],[Winter Clothes Adult]],Table_NFI[Winter Clothes Adult])</f>
        <v>0</v>
      </c>
      <c r="AJ95" s="436">
        <f>IF(NFI_Expiration=1,IF($A95&lt;VLOOKUP(S$5,NFI,5,0),1,0)*Table_NFI[[#This Row],[Winter Clothes Children]],Table_NFI[Winter Clothes Children])</f>
        <v>0</v>
      </c>
      <c r="AK95" s="436">
        <f>IF(NFI_Expiration=1,IF($A95&lt;VLOOKUP(T$5,NFI,5,0),1,0)*Table_NFI[[#This Row],[Winter Items Other]],Table_NFI[Winter Items Other])</f>
        <v>0</v>
      </c>
      <c r="AL95" s="436">
        <f>IF(NFI_Expiration=1,IF($A95&lt;VLOOKUP(M$5,NFI,5,0),1,0)*Table_NFI[[#This Row],[Winter Blanket]],Table_NFI[[#This Row],[Winter Blanket]])</f>
        <v>0</v>
      </c>
      <c r="AM95" s="436">
        <f>IF(Table_NFI[[#This Row],[Winter Clothes Adult]]+Table_NFI[[#This Row],[Winter Clothes Children]]+Table_NFI[[#This Row],[Winter Items Other]]+Table_NFI[[#This Row],[Winter Blanket]]&gt;0,1,0)</f>
        <v>0</v>
      </c>
      <c r="AN95" s="439">
        <f>IF(NFI_Expiration=1,IF($A95&lt;VLOOKUP(V$5,NFI,5,0),1,0)*Table_NFI[[#This Row],[Jerry Can]],Table_NFI[Jerry Can])</f>
        <v>0</v>
      </c>
      <c r="AO95" s="771" t="str">
        <f>IFERROR(VLOOKUP(Table_NFI[[#This Row],[Camp Name]],CL,2,0),"")</f>
        <v>MMR001CMP190</v>
      </c>
      <c r="AP95" s="772">
        <f ca="1">IF(Table_NFI[[#This Row],[Pcode]]="","",IF(OFFSET(CampList[Opening Date],MATCH(Table_NFI[[#This Row],[Pcode]],CampList[CP_Pcode],0)-1,0,1,1)&gt;=NFI_Monitor_Date,1,0))</f>
        <v>0</v>
      </c>
      <c r="AQ95" s="781" t="str">
        <f>IFERROR(VLOOKUP(Table_NFI[[#This Row],[Camp Name]],CL,3,0),"")</f>
        <v>Open</v>
      </c>
      <c r="AR95" s="439" t="str">
        <f ca="1">IF(Table_NFI[[#This Row],[Pcode]]="","",OFFSET(CampList[Priority],MATCH(Table_NFI[[#This Row],[Pcode]],CampList[CP_Pcode],0)-1,0,1,1))</f>
        <v>P4</v>
      </c>
      <c r="AS95" s="438">
        <f>IFERROR(Table_NFI[[#This Row],[Kitchen Set]]/VLOOKUP(Table_NFI[[#This Row],[Camp Name]],CL,4,0),"")</f>
        <v>1</v>
      </c>
      <c r="AT95" s="769"/>
      <c r="AU95" s="773"/>
    </row>
    <row r="96" spans="1:47" s="774" customFormat="1" x14ac:dyDescent="0.25">
      <c r="A96" s="451">
        <f t="shared" si="1"/>
        <v>14.233333333333333</v>
      </c>
      <c r="B96" s="768">
        <v>41943</v>
      </c>
      <c r="C96" s="769" t="s">
        <v>454</v>
      </c>
      <c r="D96" s="769"/>
      <c r="E96" s="769" t="s">
        <v>380</v>
      </c>
      <c r="F96" s="769" t="s">
        <v>529</v>
      </c>
      <c r="G96" s="769" t="s">
        <v>52</v>
      </c>
      <c r="H96" s="436"/>
      <c r="I96" s="436"/>
      <c r="J96" s="436">
        <v>38</v>
      </c>
      <c r="K96" s="436">
        <v>76</v>
      </c>
      <c r="L96" s="437">
        <v>38</v>
      </c>
      <c r="M96" s="437">
        <v>76</v>
      </c>
      <c r="N96" s="437">
        <v>38</v>
      </c>
      <c r="O96" s="437"/>
      <c r="P96" s="439">
        <v>38</v>
      </c>
      <c r="Q96" s="439">
        <v>190</v>
      </c>
      <c r="R96" s="436"/>
      <c r="S96" s="436"/>
      <c r="T96" s="436"/>
      <c r="U96" s="436"/>
      <c r="V96" s="436"/>
      <c r="W96" s="436"/>
      <c r="X96" s="436"/>
      <c r="Y96" s="436">
        <f>IF(NFI_Expiration=1,IF($A96&lt;VLOOKUP(H$5,NFI,5,0),1,0)*Table_NFI[[#This Row],[Hygiene Kit]],Table_NFI[Hygiene Kit])</f>
        <v>0</v>
      </c>
      <c r="Z96" s="436">
        <f>IF(NFI_Expiration=1,IF($A96&lt;VLOOKUP(I$5,NFI,5,0),1,0)*Table_NFI[[#This Row],[NFI Core Kit]],Table_NFI[NFI Core Kit])</f>
        <v>0</v>
      </c>
      <c r="AA96" s="436">
        <f>IF(NFI_Expiration=1,IF($A96&lt;VLOOKUP(J$5,NFI,5,0),1,0)*Table_NFI[[#This Row],[Sanitary Kit]],Table_NFI[Sanitary Kit])</f>
        <v>0</v>
      </c>
      <c r="AB96" s="436">
        <f>IF(NFI_Expiration=1,IF($A96&lt;VLOOKUP(K$5,NFI,5,0),1,0)*Table_NFI[[#This Row],[Mosquito net]],Table_NFI[Mosquito net])</f>
        <v>0</v>
      </c>
      <c r="AC96" s="436">
        <f>IF(NFI_Expiration=1,IF($A96&lt;VLOOKUP(L$5,NFI,5,0),1,0)*Table_NFI[[#This Row],[Tarpaulin]],Table_NFI[[#This Row],[Tarpaulin]])</f>
        <v>0</v>
      </c>
      <c r="AD96" s="436">
        <f>IF(NFI_Expiration=1,IF($A96&lt;VLOOKUP(M$5,NFI,5,0),1,0)*Table_NFI[[#This Row],[Blanket]],Table_NFI[[#This Row],[Blanket]])</f>
        <v>0</v>
      </c>
      <c r="AE96" s="436">
        <f>IF(NFI_Expiration=1,IF($A96&lt;VLOOKUP(N$5,NFI,5,0),1,0)*Table_NFI[[#This Row],[Kitchen Set]],Table_NFI[Kitchen Set])</f>
        <v>0</v>
      </c>
      <c r="AF96" s="436">
        <f>IF(NFI_Expiration=1,IF($A96&lt;VLOOKUP(O$5,NFI,5,0),1,0)*Table_NFI[[#This Row],[Clothes Kit]],Table_NFI[Clothes Kit])</f>
        <v>0</v>
      </c>
      <c r="AG96" s="436">
        <f>IF(NFI_Expiration=1,IF($A96&lt;VLOOKUP(P$5,NFI,5,0),1,0)*Table_NFI[[#This Row],[Plastic Bucket]],Table_NFI[Plastic Bucket])</f>
        <v>0</v>
      </c>
      <c r="AH96" s="436">
        <f>IF(NFI_Expiration=1,IF($A96&lt;VLOOKUP(Q$5,NFI,5,0),1,0)*Table_NFI[[#This Row],[Plastic Mat]],Table_NFI[Plastic Mat])*IF(Table_NFI[[#This Row],[Distribution Date]]&gt;"2014-04-01",1,2.5)</f>
        <v>0</v>
      </c>
      <c r="AI96" s="436">
        <f>IF(NFI_Expiration=1,IF($A96&lt;VLOOKUP(R$5,NFI,5,0),1,0)*Table_NFI[[#This Row],[Winter Clothes Adult]],Table_NFI[Winter Clothes Adult])</f>
        <v>0</v>
      </c>
      <c r="AJ96" s="436">
        <f>IF(NFI_Expiration=1,IF($A96&lt;VLOOKUP(S$5,NFI,5,0),1,0)*Table_NFI[[#This Row],[Winter Clothes Children]],Table_NFI[Winter Clothes Children])</f>
        <v>0</v>
      </c>
      <c r="AK96" s="436">
        <f>IF(NFI_Expiration=1,IF($A96&lt;VLOOKUP(T$5,NFI,5,0),1,0)*Table_NFI[[#This Row],[Winter Items Other]],Table_NFI[Winter Items Other])</f>
        <v>0</v>
      </c>
      <c r="AL96" s="436">
        <f>IF(NFI_Expiration=1,IF($A96&lt;VLOOKUP(M$5,NFI,5,0),1,0)*Table_NFI[[#This Row],[Winter Blanket]],Table_NFI[[#This Row],[Winter Blanket]])</f>
        <v>0</v>
      </c>
      <c r="AM96" s="436">
        <f>IF(Table_NFI[[#This Row],[Winter Clothes Adult]]+Table_NFI[[#This Row],[Winter Clothes Children]]+Table_NFI[[#This Row],[Winter Items Other]]+Table_NFI[[#This Row],[Winter Blanket]]&gt;0,1,0)</f>
        <v>0</v>
      </c>
      <c r="AN96" s="439">
        <f>IF(NFI_Expiration=1,IF($A96&lt;VLOOKUP(V$5,NFI,5,0),1,0)*Table_NFI[[#This Row],[Jerry Can]],Table_NFI[Jerry Can])</f>
        <v>0</v>
      </c>
      <c r="AO96" s="771" t="str">
        <f>IFERROR(VLOOKUP(Table_NFI[[#This Row],[Camp Name]],CL,2,0),"")</f>
        <v>MMR001CMP169</v>
      </c>
      <c r="AP96" s="772">
        <f ca="1">IF(Table_NFI[[#This Row],[Pcode]]="","",IF(OFFSET(CampList[Opening Date],MATCH(Table_NFI[[#This Row],[Pcode]],CampList[CP_Pcode],0)-1,0,1,1)&gt;=NFI_Monitor_Date,1,0))</f>
        <v>0</v>
      </c>
      <c r="AQ96" s="781" t="str">
        <f>IFERROR(VLOOKUP(Table_NFI[[#This Row],[Camp Name]],CL,3,0),"")</f>
        <v>Open</v>
      </c>
      <c r="AR96" s="439" t="str">
        <f ca="1">IF(Table_NFI[[#This Row],[Pcode]]="","",OFFSET(CampList[Priority],MATCH(Table_NFI[[#This Row],[Pcode]],CampList[CP_Pcode],0)-1,0,1,1))</f>
        <v>P4</v>
      </c>
      <c r="AS96" s="438">
        <f>IFERROR(Table_NFI[[#This Row],[Kitchen Set]]/VLOOKUP(Table_NFI[[#This Row],[Camp Name]],CL,4,0),"")</f>
        <v>1.0857142857142856</v>
      </c>
      <c r="AT96" s="769"/>
      <c r="AU96" s="773"/>
    </row>
    <row r="97" spans="1:47" s="774" customFormat="1" x14ac:dyDescent="0.25">
      <c r="A97" s="451">
        <f t="shared" si="1"/>
        <v>14.233333333333333</v>
      </c>
      <c r="B97" s="768">
        <v>41943</v>
      </c>
      <c r="C97" s="769" t="s">
        <v>454</v>
      </c>
      <c r="D97" s="769"/>
      <c r="E97" s="769" t="s">
        <v>380</v>
      </c>
      <c r="F97" s="769" t="s">
        <v>529</v>
      </c>
      <c r="G97" s="769" t="s">
        <v>72</v>
      </c>
      <c r="H97" s="436"/>
      <c r="I97" s="436"/>
      <c r="J97" s="436">
        <v>5</v>
      </c>
      <c r="K97" s="436">
        <v>10</v>
      </c>
      <c r="L97" s="437">
        <v>5</v>
      </c>
      <c r="M97" s="437">
        <v>10</v>
      </c>
      <c r="N97" s="437">
        <v>5</v>
      </c>
      <c r="O97" s="437"/>
      <c r="P97" s="439">
        <v>5</v>
      </c>
      <c r="Q97" s="439">
        <v>25</v>
      </c>
      <c r="R97" s="436"/>
      <c r="S97" s="436"/>
      <c r="T97" s="436"/>
      <c r="U97" s="436"/>
      <c r="V97" s="436"/>
      <c r="W97" s="436"/>
      <c r="X97" s="436"/>
      <c r="Y97" s="436">
        <f>IF(NFI_Expiration=1,IF($A97&lt;VLOOKUP(H$5,NFI,5,0),1,0)*Table_NFI[[#This Row],[Hygiene Kit]],Table_NFI[Hygiene Kit])</f>
        <v>0</v>
      </c>
      <c r="Z97" s="436">
        <f>IF(NFI_Expiration=1,IF($A97&lt;VLOOKUP(I$5,NFI,5,0),1,0)*Table_NFI[[#This Row],[NFI Core Kit]],Table_NFI[NFI Core Kit])</f>
        <v>0</v>
      </c>
      <c r="AA97" s="436">
        <f>IF(NFI_Expiration=1,IF($A97&lt;VLOOKUP(J$5,NFI,5,0),1,0)*Table_NFI[[#This Row],[Sanitary Kit]],Table_NFI[Sanitary Kit])</f>
        <v>0</v>
      </c>
      <c r="AB97" s="436">
        <f>IF(NFI_Expiration=1,IF($A97&lt;VLOOKUP(K$5,NFI,5,0),1,0)*Table_NFI[[#This Row],[Mosquito net]],Table_NFI[Mosquito net])</f>
        <v>0</v>
      </c>
      <c r="AC97" s="436">
        <f>IF(NFI_Expiration=1,IF($A97&lt;VLOOKUP(L$5,NFI,5,0),1,0)*Table_NFI[[#This Row],[Tarpaulin]],Table_NFI[[#This Row],[Tarpaulin]])</f>
        <v>0</v>
      </c>
      <c r="AD97" s="436">
        <f>IF(NFI_Expiration=1,IF($A97&lt;VLOOKUP(M$5,NFI,5,0),1,0)*Table_NFI[[#This Row],[Blanket]],Table_NFI[[#This Row],[Blanket]])</f>
        <v>0</v>
      </c>
      <c r="AE97" s="436">
        <f>IF(NFI_Expiration=1,IF($A97&lt;VLOOKUP(N$5,NFI,5,0),1,0)*Table_NFI[[#This Row],[Kitchen Set]],Table_NFI[Kitchen Set])</f>
        <v>0</v>
      </c>
      <c r="AF97" s="436">
        <f>IF(NFI_Expiration=1,IF($A97&lt;VLOOKUP(O$5,NFI,5,0),1,0)*Table_NFI[[#This Row],[Clothes Kit]],Table_NFI[Clothes Kit])</f>
        <v>0</v>
      </c>
      <c r="AG97" s="436">
        <f>IF(NFI_Expiration=1,IF($A97&lt;VLOOKUP(P$5,NFI,5,0),1,0)*Table_NFI[[#This Row],[Plastic Bucket]],Table_NFI[Plastic Bucket])</f>
        <v>0</v>
      </c>
      <c r="AH97" s="436">
        <f>IF(NFI_Expiration=1,IF($A97&lt;VLOOKUP(Q$5,NFI,5,0),1,0)*Table_NFI[[#This Row],[Plastic Mat]],Table_NFI[Plastic Mat])*IF(Table_NFI[[#This Row],[Distribution Date]]&gt;"2014-04-01",1,2.5)</f>
        <v>0</v>
      </c>
      <c r="AI97" s="436">
        <f>IF(NFI_Expiration=1,IF($A97&lt;VLOOKUP(R$5,NFI,5,0),1,0)*Table_NFI[[#This Row],[Winter Clothes Adult]],Table_NFI[Winter Clothes Adult])</f>
        <v>0</v>
      </c>
      <c r="AJ97" s="436">
        <f>IF(NFI_Expiration=1,IF($A97&lt;VLOOKUP(S$5,NFI,5,0),1,0)*Table_NFI[[#This Row],[Winter Clothes Children]],Table_NFI[Winter Clothes Children])</f>
        <v>0</v>
      </c>
      <c r="AK97" s="436">
        <f>IF(NFI_Expiration=1,IF($A97&lt;VLOOKUP(T$5,NFI,5,0),1,0)*Table_NFI[[#This Row],[Winter Items Other]],Table_NFI[Winter Items Other])</f>
        <v>0</v>
      </c>
      <c r="AL97" s="436">
        <f>IF(NFI_Expiration=1,IF($A97&lt;VLOOKUP(M$5,NFI,5,0),1,0)*Table_NFI[[#This Row],[Winter Blanket]],Table_NFI[[#This Row],[Winter Blanket]])</f>
        <v>0</v>
      </c>
      <c r="AM97" s="436">
        <f>IF(Table_NFI[[#This Row],[Winter Clothes Adult]]+Table_NFI[[#This Row],[Winter Clothes Children]]+Table_NFI[[#This Row],[Winter Items Other]]+Table_NFI[[#This Row],[Winter Blanket]]&gt;0,1,0)</f>
        <v>0</v>
      </c>
      <c r="AN97" s="439">
        <f>IF(NFI_Expiration=1,IF($A97&lt;VLOOKUP(V$5,NFI,5,0),1,0)*Table_NFI[[#This Row],[Jerry Can]],Table_NFI[Jerry Can])</f>
        <v>0</v>
      </c>
      <c r="AO97" s="771" t="str">
        <f>IFERROR(VLOOKUP(Table_NFI[[#This Row],[Camp Name]],CL,2,0),"")</f>
        <v>MMR001CMP109</v>
      </c>
      <c r="AP97" s="772">
        <f ca="1">IF(Table_NFI[[#This Row],[Pcode]]="","",IF(OFFSET(CampList[Opening Date],MATCH(Table_NFI[[#This Row],[Pcode]],CampList[CP_Pcode],0)-1,0,1,1)&gt;=NFI_Monitor_Date,1,0))</f>
        <v>0</v>
      </c>
      <c r="AQ97" s="781" t="str">
        <f>IFERROR(VLOOKUP(Table_NFI[[#This Row],[Camp Name]],CL,3,0),"")</f>
        <v>Open</v>
      </c>
      <c r="AR97" s="439" t="str">
        <f ca="1">IF(Table_NFI[[#This Row],[Pcode]]="","",OFFSET(CampList[Priority],MATCH(Table_NFI[[#This Row],[Pcode]],CampList[CP_Pcode],0)-1,0,1,1))</f>
        <v>P4</v>
      </c>
      <c r="AS97" s="438">
        <f>IFERROR(Table_NFI[[#This Row],[Kitchen Set]]/VLOOKUP(Table_NFI[[#This Row],[Camp Name]],CL,4,0),"")</f>
        <v>0.83333333333333337</v>
      </c>
      <c r="AT97" s="769"/>
      <c r="AU97" s="773"/>
    </row>
    <row r="98" spans="1:47" s="774" customFormat="1" x14ac:dyDescent="0.25">
      <c r="A98" s="451">
        <f t="shared" si="1"/>
        <v>14.233333333333333</v>
      </c>
      <c r="B98" s="768">
        <v>41943</v>
      </c>
      <c r="C98" s="769" t="s">
        <v>454</v>
      </c>
      <c r="D98" s="769"/>
      <c r="E98" s="769" t="s">
        <v>380</v>
      </c>
      <c r="F98" s="769" t="s">
        <v>529</v>
      </c>
      <c r="G98" s="769" t="s">
        <v>76</v>
      </c>
      <c r="H98" s="436"/>
      <c r="I98" s="436"/>
      <c r="J98" s="436">
        <v>67</v>
      </c>
      <c r="K98" s="436">
        <v>134</v>
      </c>
      <c r="L98" s="437">
        <v>67</v>
      </c>
      <c r="M98" s="437">
        <v>134</v>
      </c>
      <c r="N98" s="437">
        <v>67</v>
      </c>
      <c r="O98" s="437"/>
      <c r="P98" s="439">
        <v>67</v>
      </c>
      <c r="Q98" s="439">
        <v>335</v>
      </c>
      <c r="R98" s="436"/>
      <c r="S98" s="436"/>
      <c r="T98" s="436"/>
      <c r="U98" s="436"/>
      <c r="V98" s="436"/>
      <c r="W98" s="436"/>
      <c r="X98" s="436"/>
      <c r="Y98" s="436">
        <f>IF(NFI_Expiration=1,IF($A98&lt;VLOOKUP(H$5,NFI,5,0),1,0)*Table_NFI[[#This Row],[Hygiene Kit]],Table_NFI[Hygiene Kit])</f>
        <v>0</v>
      </c>
      <c r="Z98" s="436">
        <f>IF(NFI_Expiration=1,IF($A98&lt;VLOOKUP(I$5,NFI,5,0),1,0)*Table_NFI[[#This Row],[NFI Core Kit]],Table_NFI[NFI Core Kit])</f>
        <v>0</v>
      </c>
      <c r="AA98" s="436">
        <f>IF(NFI_Expiration=1,IF($A98&lt;VLOOKUP(J$5,NFI,5,0),1,0)*Table_NFI[[#This Row],[Sanitary Kit]],Table_NFI[Sanitary Kit])</f>
        <v>0</v>
      </c>
      <c r="AB98" s="436">
        <f>IF(NFI_Expiration=1,IF($A98&lt;VLOOKUP(K$5,NFI,5,0),1,0)*Table_NFI[[#This Row],[Mosquito net]],Table_NFI[Mosquito net])</f>
        <v>0</v>
      </c>
      <c r="AC98" s="436">
        <f>IF(NFI_Expiration=1,IF($A98&lt;VLOOKUP(L$5,NFI,5,0),1,0)*Table_NFI[[#This Row],[Tarpaulin]],Table_NFI[[#This Row],[Tarpaulin]])</f>
        <v>0</v>
      </c>
      <c r="AD98" s="436">
        <f>IF(NFI_Expiration=1,IF($A98&lt;VLOOKUP(M$5,NFI,5,0),1,0)*Table_NFI[[#This Row],[Blanket]],Table_NFI[[#This Row],[Blanket]])</f>
        <v>0</v>
      </c>
      <c r="AE98" s="436">
        <f>IF(NFI_Expiration=1,IF($A98&lt;VLOOKUP(N$5,NFI,5,0),1,0)*Table_NFI[[#This Row],[Kitchen Set]],Table_NFI[Kitchen Set])</f>
        <v>0</v>
      </c>
      <c r="AF98" s="436">
        <f>IF(NFI_Expiration=1,IF($A98&lt;VLOOKUP(O$5,NFI,5,0),1,0)*Table_NFI[[#This Row],[Clothes Kit]],Table_NFI[Clothes Kit])</f>
        <v>0</v>
      </c>
      <c r="AG98" s="436">
        <f>IF(NFI_Expiration=1,IF($A98&lt;VLOOKUP(P$5,NFI,5,0),1,0)*Table_NFI[[#This Row],[Plastic Bucket]],Table_NFI[Plastic Bucket])</f>
        <v>0</v>
      </c>
      <c r="AH98" s="436">
        <f>IF(NFI_Expiration=1,IF($A98&lt;VLOOKUP(Q$5,NFI,5,0),1,0)*Table_NFI[[#This Row],[Plastic Mat]],Table_NFI[Plastic Mat])*IF(Table_NFI[[#This Row],[Distribution Date]]&gt;"2014-04-01",1,2.5)</f>
        <v>0</v>
      </c>
      <c r="AI98" s="436">
        <f>IF(NFI_Expiration=1,IF($A98&lt;VLOOKUP(R$5,NFI,5,0),1,0)*Table_NFI[[#This Row],[Winter Clothes Adult]],Table_NFI[Winter Clothes Adult])</f>
        <v>0</v>
      </c>
      <c r="AJ98" s="436">
        <f>IF(NFI_Expiration=1,IF($A98&lt;VLOOKUP(S$5,NFI,5,0),1,0)*Table_NFI[[#This Row],[Winter Clothes Children]],Table_NFI[Winter Clothes Children])</f>
        <v>0</v>
      </c>
      <c r="AK98" s="436">
        <f>IF(NFI_Expiration=1,IF($A98&lt;VLOOKUP(T$5,NFI,5,0),1,0)*Table_NFI[[#This Row],[Winter Items Other]],Table_NFI[Winter Items Other])</f>
        <v>0</v>
      </c>
      <c r="AL98" s="436">
        <f>IF(NFI_Expiration=1,IF($A98&lt;VLOOKUP(M$5,NFI,5,0),1,0)*Table_NFI[[#This Row],[Winter Blanket]],Table_NFI[[#This Row],[Winter Blanket]])</f>
        <v>0</v>
      </c>
      <c r="AM98" s="436">
        <f>IF(Table_NFI[[#This Row],[Winter Clothes Adult]]+Table_NFI[[#This Row],[Winter Clothes Children]]+Table_NFI[[#This Row],[Winter Items Other]]+Table_NFI[[#This Row],[Winter Blanket]]&gt;0,1,0)</f>
        <v>0</v>
      </c>
      <c r="AN98" s="439">
        <f>IF(NFI_Expiration=1,IF($A98&lt;VLOOKUP(V$5,NFI,5,0),1,0)*Table_NFI[[#This Row],[Jerry Can]],Table_NFI[Jerry Can])</f>
        <v>0</v>
      </c>
      <c r="AO98" s="771" t="str">
        <f>IFERROR(VLOOKUP(Table_NFI[[#This Row],[Camp Name]],CL,2,0),"")</f>
        <v>MMR001CMP174</v>
      </c>
      <c r="AP98" s="772">
        <f ca="1">IF(Table_NFI[[#This Row],[Pcode]]="","",IF(OFFSET(CampList[Opening Date],MATCH(Table_NFI[[#This Row],[Pcode]],CampList[CP_Pcode],0)-1,0,1,1)&gt;=NFI_Monitor_Date,1,0))</f>
        <v>0</v>
      </c>
      <c r="AQ98" s="781" t="str">
        <f>IFERROR(VLOOKUP(Table_NFI[[#This Row],[Camp Name]],CL,3,0),"")</f>
        <v>Open</v>
      </c>
      <c r="AR98" s="439" t="str">
        <f ca="1">IF(Table_NFI[[#This Row],[Pcode]]="","",OFFSET(CampList[Priority],MATCH(Table_NFI[[#This Row],[Pcode]],CampList[CP_Pcode],0)-1,0,1,1))</f>
        <v>P4</v>
      </c>
      <c r="AS98" s="438">
        <f>IFERROR(Table_NFI[[#This Row],[Kitchen Set]]/VLOOKUP(Table_NFI[[#This Row],[Camp Name]],CL,4,0),"")</f>
        <v>1.0307692307692307</v>
      </c>
      <c r="AT98" s="769"/>
      <c r="AU98" s="773"/>
    </row>
    <row r="99" spans="1:47" s="774" customFormat="1" x14ac:dyDescent="0.25">
      <c r="A99" s="451">
        <f t="shared" si="1"/>
        <v>14.233333333333333</v>
      </c>
      <c r="B99" s="768">
        <v>41943</v>
      </c>
      <c r="C99" s="769" t="s">
        <v>454</v>
      </c>
      <c r="D99" s="769"/>
      <c r="E99" s="769" t="s">
        <v>380</v>
      </c>
      <c r="F99" s="769" t="s">
        <v>529</v>
      </c>
      <c r="G99" s="769" t="s">
        <v>44</v>
      </c>
      <c r="H99" s="436"/>
      <c r="I99" s="436"/>
      <c r="J99" s="436">
        <v>10</v>
      </c>
      <c r="K99" s="436">
        <v>20</v>
      </c>
      <c r="L99" s="437">
        <v>10</v>
      </c>
      <c r="M99" s="437">
        <v>20</v>
      </c>
      <c r="N99" s="437">
        <v>10</v>
      </c>
      <c r="O99" s="437"/>
      <c r="P99" s="439">
        <v>10</v>
      </c>
      <c r="Q99" s="439">
        <v>50</v>
      </c>
      <c r="R99" s="436"/>
      <c r="S99" s="436"/>
      <c r="T99" s="436"/>
      <c r="U99" s="436"/>
      <c r="V99" s="436"/>
      <c r="W99" s="436"/>
      <c r="X99" s="436"/>
      <c r="Y99" s="436">
        <f>IF(NFI_Expiration=1,IF($A99&lt;VLOOKUP(H$5,NFI,5,0),1,0)*Table_NFI[[#This Row],[Hygiene Kit]],Table_NFI[Hygiene Kit])</f>
        <v>0</v>
      </c>
      <c r="Z99" s="436">
        <f>IF(NFI_Expiration=1,IF($A99&lt;VLOOKUP(I$5,NFI,5,0),1,0)*Table_NFI[[#This Row],[NFI Core Kit]],Table_NFI[NFI Core Kit])</f>
        <v>0</v>
      </c>
      <c r="AA99" s="436">
        <f>IF(NFI_Expiration=1,IF($A99&lt;VLOOKUP(J$5,NFI,5,0),1,0)*Table_NFI[[#This Row],[Sanitary Kit]],Table_NFI[Sanitary Kit])</f>
        <v>0</v>
      </c>
      <c r="AB99" s="436">
        <f>IF(NFI_Expiration=1,IF($A99&lt;VLOOKUP(K$5,NFI,5,0),1,0)*Table_NFI[[#This Row],[Mosquito net]],Table_NFI[Mosquito net])</f>
        <v>0</v>
      </c>
      <c r="AC99" s="436">
        <f>IF(NFI_Expiration=1,IF($A99&lt;VLOOKUP(L$5,NFI,5,0),1,0)*Table_NFI[[#This Row],[Tarpaulin]],Table_NFI[[#This Row],[Tarpaulin]])</f>
        <v>0</v>
      </c>
      <c r="AD99" s="436">
        <f>IF(NFI_Expiration=1,IF($A99&lt;VLOOKUP(M$5,NFI,5,0),1,0)*Table_NFI[[#This Row],[Blanket]],Table_NFI[[#This Row],[Blanket]])</f>
        <v>0</v>
      </c>
      <c r="AE99" s="436">
        <f>IF(NFI_Expiration=1,IF($A99&lt;VLOOKUP(N$5,NFI,5,0),1,0)*Table_NFI[[#This Row],[Kitchen Set]],Table_NFI[Kitchen Set])</f>
        <v>0</v>
      </c>
      <c r="AF99" s="436">
        <f>IF(NFI_Expiration=1,IF($A99&lt;VLOOKUP(O$5,NFI,5,0),1,0)*Table_NFI[[#This Row],[Clothes Kit]],Table_NFI[Clothes Kit])</f>
        <v>0</v>
      </c>
      <c r="AG99" s="436">
        <f>IF(NFI_Expiration=1,IF($A99&lt;VLOOKUP(P$5,NFI,5,0),1,0)*Table_NFI[[#This Row],[Plastic Bucket]],Table_NFI[Plastic Bucket])</f>
        <v>0</v>
      </c>
      <c r="AH99" s="436">
        <f>IF(NFI_Expiration=1,IF($A99&lt;VLOOKUP(Q$5,NFI,5,0),1,0)*Table_NFI[[#This Row],[Plastic Mat]],Table_NFI[Plastic Mat])*IF(Table_NFI[[#This Row],[Distribution Date]]&gt;"2014-04-01",1,2.5)</f>
        <v>0</v>
      </c>
      <c r="AI99" s="436">
        <f>IF(NFI_Expiration=1,IF($A99&lt;VLOOKUP(R$5,NFI,5,0),1,0)*Table_NFI[[#This Row],[Winter Clothes Adult]],Table_NFI[Winter Clothes Adult])</f>
        <v>0</v>
      </c>
      <c r="AJ99" s="436">
        <f>IF(NFI_Expiration=1,IF($A99&lt;VLOOKUP(S$5,NFI,5,0),1,0)*Table_NFI[[#This Row],[Winter Clothes Children]],Table_NFI[Winter Clothes Children])</f>
        <v>0</v>
      </c>
      <c r="AK99" s="436">
        <f>IF(NFI_Expiration=1,IF($A99&lt;VLOOKUP(T$5,NFI,5,0),1,0)*Table_NFI[[#This Row],[Winter Items Other]],Table_NFI[Winter Items Other])</f>
        <v>0</v>
      </c>
      <c r="AL99" s="436">
        <f>IF(NFI_Expiration=1,IF($A99&lt;VLOOKUP(M$5,NFI,5,0),1,0)*Table_NFI[[#This Row],[Winter Blanket]],Table_NFI[[#This Row],[Winter Blanket]])</f>
        <v>0</v>
      </c>
      <c r="AM99" s="436">
        <f>IF(Table_NFI[[#This Row],[Winter Clothes Adult]]+Table_NFI[[#This Row],[Winter Clothes Children]]+Table_NFI[[#This Row],[Winter Items Other]]+Table_NFI[[#This Row],[Winter Blanket]]&gt;0,1,0)</f>
        <v>0</v>
      </c>
      <c r="AN99" s="439">
        <f>IF(NFI_Expiration=1,IF($A99&lt;VLOOKUP(V$5,NFI,5,0),1,0)*Table_NFI[[#This Row],[Jerry Can]],Table_NFI[Jerry Can])</f>
        <v>0</v>
      </c>
      <c r="AO99" s="771" t="str">
        <f>IFERROR(VLOOKUP(Table_NFI[[#This Row],[Camp Name]],CL,2,0),"")</f>
        <v>MMR001CMP191</v>
      </c>
      <c r="AP99" s="772">
        <f ca="1">IF(Table_NFI[[#This Row],[Pcode]]="","",IF(OFFSET(CampList[Opening Date],MATCH(Table_NFI[[#This Row],[Pcode]],CampList[CP_Pcode],0)-1,0,1,1)&gt;=NFI_Monitor_Date,1,0))</f>
        <v>0</v>
      </c>
      <c r="AQ99" s="781" t="str">
        <f>IFERROR(VLOOKUP(Table_NFI[[#This Row],[Camp Name]],CL,3,0),"")</f>
        <v>Open</v>
      </c>
      <c r="AR99" s="439" t="str">
        <f ca="1">IF(Table_NFI[[#This Row],[Pcode]]="","",OFFSET(CampList[Priority],MATCH(Table_NFI[[#This Row],[Pcode]],CampList[CP_Pcode],0)-1,0,1,1))</f>
        <v>P4</v>
      </c>
      <c r="AS99" s="438">
        <f>IFERROR(Table_NFI[[#This Row],[Kitchen Set]]/VLOOKUP(Table_NFI[[#This Row],[Camp Name]],CL,4,0),"")</f>
        <v>0.76923076923076927</v>
      </c>
      <c r="AT99" s="769"/>
      <c r="AU99" s="773"/>
    </row>
    <row r="100" spans="1:47" s="774" customFormat="1" x14ac:dyDescent="0.25">
      <c r="A100" s="451">
        <f t="shared" si="1"/>
        <v>14.233333333333333</v>
      </c>
      <c r="B100" s="768">
        <v>41943</v>
      </c>
      <c r="C100" s="769" t="s">
        <v>454</v>
      </c>
      <c r="D100" s="769"/>
      <c r="E100" s="769" t="s">
        <v>380</v>
      </c>
      <c r="F100" s="769" t="s">
        <v>529</v>
      </c>
      <c r="G100" s="769" t="s">
        <v>1072</v>
      </c>
      <c r="H100" s="436"/>
      <c r="I100" s="436"/>
      <c r="J100" s="436">
        <v>64</v>
      </c>
      <c r="K100" s="436">
        <v>128</v>
      </c>
      <c r="L100" s="437">
        <v>64</v>
      </c>
      <c r="M100" s="437">
        <v>128</v>
      </c>
      <c r="N100" s="437">
        <v>64</v>
      </c>
      <c r="O100" s="437"/>
      <c r="P100" s="439">
        <v>64</v>
      </c>
      <c r="Q100" s="439">
        <v>320</v>
      </c>
      <c r="R100" s="436"/>
      <c r="S100" s="436"/>
      <c r="T100" s="436"/>
      <c r="U100" s="436"/>
      <c r="V100" s="436"/>
      <c r="W100" s="436"/>
      <c r="X100" s="436"/>
      <c r="Y100" s="436">
        <f>IF(NFI_Expiration=1,IF($A100&lt;VLOOKUP(H$5,NFI,5,0),1,0)*Table_NFI[[#This Row],[Hygiene Kit]],Table_NFI[Hygiene Kit])</f>
        <v>0</v>
      </c>
      <c r="Z100" s="436">
        <f>IF(NFI_Expiration=1,IF($A100&lt;VLOOKUP(I$5,NFI,5,0),1,0)*Table_NFI[[#This Row],[NFI Core Kit]],Table_NFI[NFI Core Kit])</f>
        <v>0</v>
      </c>
      <c r="AA100" s="436">
        <f>IF(NFI_Expiration=1,IF($A100&lt;VLOOKUP(J$5,NFI,5,0),1,0)*Table_NFI[[#This Row],[Sanitary Kit]],Table_NFI[Sanitary Kit])</f>
        <v>0</v>
      </c>
      <c r="AB100" s="436">
        <f>IF(NFI_Expiration=1,IF($A100&lt;VLOOKUP(K$5,NFI,5,0),1,0)*Table_NFI[[#This Row],[Mosquito net]],Table_NFI[Mosquito net])</f>
        <v>0</v>
      </c>
      <c r="AC100" s="436">
        <f>IF(NFI_Expiration=1,IF($A100&lt;VLOOKUP(L$5,NFI,5,0),1,0)*Table_NFI[[#This Row],[Tarpaulin]],Table_NFI[[#This Row],[Tarpaulin]])</f>
        <v>0</v>
      </c>
      <c r="AD100" s="436">
        <f>IF(NFI_Expiration=1,IF($A100&lt;VLOOKUP(M$5,NFI,5,0),1,0)*Table_NFI[[#This Row],[Blanket]],Table_NFI[[#This Row],[Blanket]])</f>
        <v>0</v>
      </c>
      <c r="AE100" s="436">
        <f>IF(NFI_Expiration=1,IF($A100&lt;VLOOKUP(N$5,NFI,5,0),1,0)*Table_NFI[[#This Row],[Kitchen Set]],Table_NFI[Kitchen Set])</f>
        <v>0</v>
      </c>
      <c r="AF100" s="436">
        <f>IF(NFI_Expiration=1,IF($A100&lt;VLOOKUP(O$5,NFI,5,0),1,0)*Table_NFI[[#This Row],[Clothes Kit]],Table_NFI[Clothes Kit])</f>
        <v>0</v>
      </c>
      <c r="AG100" s="436">
        <f>IF(NFI_Expiration=1,IF($A100&lt;VLOOKUP(P$5,NFI,5,0),1,0)*Table_NFI[[#This Row],[Plastic Bucket]],Table_NFI[Plastic Bucket])</f>
        <v>0</v>
      </c>
      <c r="AH100" s="436">
        <f>IF(NFI_Expiration=1,IF($A100&lt;VLOOKUP(Q$5,NFI,5,0),1,0)*Table_NFI[[#This Row],[Plastic Mat]],Table_NFI[Plastic Mat])*IF(Table_NFI[[#This Row],[Distribution Date]]&gt;"2014-04-01",1,2.5)</f>
        <v>0</v>
      </c>
      <c r="AI100" s="436">
        <f>IF(NFI_Expiration=1,IF($A100&lt;VLOOKUP(R$5,NFI,5,0),1,0)*Table_NFI[[#This Row],[Winter Clothes Adult]],Table_NFI[Winter Clothes Adult])</f>
        <v>0</v>
      </c>
      <c r="AJ100" s="436">
        <f>IF(NFI_Expiration=1,IF($A100&lt;VLOOKUP(S$5,NFI,5,0),1,0)*Table_NFI[[#This Row],[Winter Clothes Children]],Table_NFI[Winter Clothes Children])</f>
        <v>0</v>
      </c>
      <c r="AK100" s="436">
        <f>IF(NFI_Expiration=1,IF($A100&lt;VLOOKUP(T$5,NFI,5,0),1,0)*Table_NFI[[#This Row],[Winter Items Other]],Table_NFI[Winter Items Other])</f>
        <v>0</v>
      </c>
      <c r="AL100" s="436">
        <f>IF(NFI_Expiration=1,IF($A100&lt;VLOOKUP(M$5,NFI,5,0),1,0)*Table_NFI[[#This Row],[Winter Blanket]],Table_NFI[[#This Row],[Winter Blanket]])</f>
        <v>0</v>
      </c>
      <c r="AM100" s="436">
        <f>IF(Table_NFI[[#This Row],[Winter Clothes Adult]]+Table_NFI[[#This Row],[Winter Clothes Children]]+Table_NFI[[#This Row],[Winter Items Other]]+Table_NFI[[#This Row],[Winter Blanket]]&gt;0,1,0)</f>
        <v>0</v>
      </c>
      <c r="AN100" s="439">
        <f>IF(NFI_Expiration=1,IF($A100&lt;VLOOKUP(V$5,NFI,5,0),1,0)*Table_NFI[[#This Row],[Jerry Can]],Table_NFI[Jerry Can])</f>
        <v>0</v>
      </c>
      <c r="AO100" s="771" t="str">
        <f>IFERROR(VLOOKUP(Table_NFI[[#This Row],[Camp Name]],CL,2,0),"")</f>
        <v>MMR001CMP229</v>
      </c>
      <c r="AP100" s="772">
        <f ca="1">IF(Table_NFI[[#This Row],[Pcode]]="","",IF(OFFSET(CampList[Opening Date],MATCH(Table_NFI[[#This Row],[Pcode]],CampList[CP_Pcode],0)-1,0,1,1)&gt;=NFI_Monitor_Date,1,0))</f>
        <v>0</v>
      </c>
      <c r="AQ100" s="781" t="str">
        <f>IFERROR(VLOOKUP(Table_NFI[[#This Row],[Camp Name]],CL,3,0),"")</f>
        <v>Open</v>
      </c>
      <c r="AR100" s="439" t="str">
        <f ca="1">IF(Table_NFI[[#This Row],[Pcode]]="","",OFFSET(CampList[Priority],MATCH(Table_NFI[[#This Row],[Pcode]],CampList[CP_Pcode],0)-1,0,1,1))</f>
        <v>P4</v>
      </c>
      <c r="AS100" s="438">
        <f>IFERROR(Table_NFI[[#This Row],[Kitchen Set]]/VLOOKUP(Table_NFI[[#This Row],[Camp Name]],CL,4,0),"")</f>
        <v>0.55172413793103448</v>
      </c>
      <c r="AT100" s="769"/>
      <c r="AU100" s="773"/>
    </row>
    <row r="101" spans="1:47" s="774" customFormat="1" x14ac:dyDescent="0.25">
      <c r="A101" s="451">
        <f t="shared" si="1"/>
        <v>14.233333333333333</v>
      </c>
      <c r="B101" s="768">
        <v>41943</v>
      </c>
      <c r="C101" s="769" t="s">
        <v>454</v>
      </c>
      <c r="D101" s="769"/>
      <c r="E101" s="769" t="s">
        <v>380</v>
      </c>
      <c r="F101" s="769" t="s">
        <v>529</v>
      </c>
      <c r="G101" s="769" t="s">
        <v>90</v>
      </c>
      <c r="H101" s="436"/>
      <c r="I101" s="436"/>
      <c r="J101" s="436">
        <v>25</v>
      </c>
      <c r="K101" s="436">
        <v>50</v>
      </c>
      <c r="L101" s="437">
        <v>25</v>
      </c>
      <c r="M101" s="437">
        <v>50</v>
      </c>
      <c r="N101" s="437">
        <v>25</v>
      </c>
      <c r="O101" s="437"/>
      <c r="P101" s="439">
        <v>25</v>
      </c>
      <c r="Q101" s="439">
        <v>125</v>
      </c>
      <c r="R101" s="436"/>
      <c r="S101" s="436"/>
      <c r="T101" s="436"/>
      <c r="U101" s="436"/>
      <c r="V101" s="436"/>
      <c r="W101" s="436"/>
      <c r="X101" s="436"/>
      <c r="Y101" s="436">
        <f>IF(NFI_Expiration=1,IF($A101&lt;VLOOKUP(H$5,NFI,5,0),1,0)*Table_NFI[[#This Row],[Hygiene Kit]],Table_NFI[Hygiene Kit])</f>
        <v>0</v>
      </c>
      <c r="Z101" s="436">
        <f>IF(NFI_Expiration=1,IF($A101&lt;VLOOKUP(I$5,NFI,5,0),1,0)*Table_NFI[[#This Row],[NFI Core Kit]],Table_NFI[NFI Core Kit])</f>
        <v>0</v>
      </c>
      <c r="AA101" s="436">
        <f>IF(NFI_Expiration=1,IF($A101&lt;VLOOKUP(J$5,NFI,5,0),1,0)*Table_NFI[[#This Row],[Sanitary Kit]],Table_NFI[Sanitary Kit])</f>
        <v>0</v>
      </c>
      <c r="AB101" s="436">
        <f>IF(NFI_Expiration=1,IF($A101&lt;VLOOKUP(K$5,NFI,5,0),1,0)*Table_NFI[[#This Row],[Mosquito net]],Table_NFI[Mosquito net])</f>
        <v>0</v>
      </c>
      <c r="AC101" s="436">
        <f>IF(NFI_Expiration=1,IF($A101&lt;VLOOKUP(L$5,NFI,5,0),1,0)*Table_NFI[[#This Row],[Tarpaulin]],Table_NFI[[#This Row],[Tarpaulin]])</f>
        <v>0</v>
      </c>
      <c r="AD101" s="436">
        <f>IF(NFI_Expiration=1,IF($A101&lt;VLOOKUP(M$5,NFI,5,0),1,0)*Table_NFI[[#This Row],[Blanket]],Table_NFI[[#This Row],[Blanket]])</f>
        <v>0</v>
      </c>
      <c r="AE101" s="436">
        <f>IF(NFI_Expiration=1,IF($A101&lt;VLOOKUP(N$5,NFI,5,0),1,0)*Table_NFI[[#This Row],[Kitchen Set]],Table_NFI[Kitchen Set])</f>
        <v>0</v>
      </c>
      <c r="AF101" s="436">
        <f>IF(NFI_Expiration=1,IF($A101&lt;VLOOKUP(O$5,NFI,5,0),1,0)*Table_NFI[[#This Row],[Clothes Kit]],Table_NFI[Clothes Kit])</f>
        <v>0</v>
      </c>
      <c r="AG101" s="436">
        <f>IF(NFI_Expiration=1,IF($A101&lt;VLOOKUP(P$5,NFI,5,0),1,0)*Table_NFI[[#This Row],[Plastic Bucket]],Table_NFI[Plastic Bucket])</f>
        <v>0</v>
      </c>
      <c r="AH101" s="436">
        <f>IF(NFI_Expiration=1,IF($A101&lt;VLOOKUP(Q$5,NFI,5,0),1,0)*Table_NFI[[#This Row],[Plastic Mat]],Table_NFI[Plastic Mat])*IF(Table_NFI[[#This Row],[Distribution Date]]&gt;"2014-04-01",1,2.5)</f>
        <v>0</v>
      </c>
      <c r="AI101" s="436">
        <f>IF(NFI_Expiration=1,IF($A101&lt;VLOOKUP(R$5,NFI,5,0),1,0)*Table_NFI[[#This Row],[Winter Clothes Adult]],Table_NFI[Winter Clothes Adult])</f>
        <v>0</v>
      </c>
      <c r="AJ101" s="436">
        <f>IF(NFI_Expiration=1,IF($A101&lt;VLOOKUP(S$5,NFI,5,0),1,0)*Table_NFI[[#This Row],[Winter Clothes Children]],Table_NFI[Winter Clothes Children])</f>
        <v>0</v>
      </c>
      <c r="AK101" s="436">
        <f>IF(NFI_Expiration=1,IF($A101&lt;VLOOKUP(T$5,NFI,5,0),1,0)*Table_NFI[[#This Row],[Winter Items Other]],Table_NFI[Winter Items Other])</f>
        <v>0</v>
      </c>
      <c r="AL101" s="436">
        <f>IF(NFI_Expiration=1,IF($A101&lt;VLOOKUP(M$5,NFI,5,0),1,0)*Table_NFI[[#This Row],[Winter Blanket]],Table_NFI[[#This Row],[Winter Blanket]])</f>
        <v>0</v>
      </c>
      <c r="AM101" s="436">
        <f>IF(Table_NFI[[#This Row],[Winter Clothes Adult]]+Table_NFI[[#This Row],[Winter Clothes Children]]+Table_NFI[[#This Row],[Winter Items Other]]+Table_NFI[[#This Row],[Winter Blanket]]&gt;0,1,0)</f>
        <v>0</v>
      </c>
      <c r="AN101" s="439">
        <f>IF(NFI_Expiration=1,IF($A101&lt;VLOOKUP(V$5,NFI,5,0),1,0)*Table_NFI[[#This Row],[Jerry Can]],Table_NFI[Jerry Can])</f>
        <v>0</v>
      </c>
      <c r="AO101" s="771" t="str">
        <f>IFERROR(VLOOKUP(Table_NFI[[#This Row],[Camp Name]],CL,2,0),"")</f>
        <v>MMR001CMP181</v>
      </c>
      <c r="AP101" s="772">
        <f ca="1">IF(Table_NFI[[#This Row],[Pcode]]="","",IF(OFFSET(CampList[Opening Date],MATCH(Table_NFI[[#This Row],[Pcode]],CampList[CP_Pcode],0)-1,0,1,1)&gt;=NFI_Monitor_Date,1,0))</f>
        <v>0</v>
      </c>
      <c r="AQ101" s="781" t="str">
        <f>IFERROR(VLOOKUP(Table_NFI[[#This Row],[Camp Name]],CL,3,0),"")</f>
        <v>Open</v>
      </c>
      <c r="AR101" s="439" t="str">
        <f ca="1">IF(Table_NFI[[#This Row],[Pcode]]="","",OFFSET(CampList[Priority],MATCH(Table_NFI[[#This Row],[Pcode]],CampList[CP_Pcode],0)-1,0,1,1))</f>
        <v>P4</v>
      </c>
      <c r="AS101" s="438">
        <f>IFERROR(Table_NFI[[#This Row],[Kitchen Set]]/VLOOKUP(Table_NFI[[#This Row],[Camp Name]],CL,4,0),"")</f>
        <v>1</v>
      </c>
      <c r="AT101" s="769"/>
      <c r="AU101" s="773"/>
    </row>
    <row r="102" spans="1:47" s="774" customFormat="1" x14ac:dyDescent="0.25">
      <c r="A102" s="451">
        <f t="shared" si="1"/>
        <v>14.233333333333333</v>
      </c>
      <c r="B102" s="768">
        <v>41943</v>
      </c>
      <c r="C102" s="769" t="s">
        <v>454</v>
      </c>
      <c r="D102" s="769"/>
      <c r="E102" s="769" t="s">
        <v>380</v>
      </c>
      <c r="F102" s="769" t="s">
        <v>529</v>
      </c>
      <c r="G102" s="769" t="s">
        <v>92</v>
      </c>
      <c r="H102" s="436"/>
      <c r="I102" s="436"/>
      <c r="J102" s="436">
        <v>15</v>
      </c>
      <c r="K102" s="436">
        <v>30</v>
      </c>
      <c r="L102" s="437">
        <v>15</v>
      </c>
      <c r="M102" s="437">
        <v>30</v>
      </c>
      <c r="N102" s="437">
        <v>15</v>
      </c>
      <c r="O102" s="437"/>
      <c r="P102" s="439">
        <v>15</v>
      </c>
      <c r="Q102" s="439">
        <v>75</v>
      </c>
      <c r="R102" s="436"/>
      <c r="S102" s="436"/>
      <c r="T102" s="436"/>
      <c r="U102" s="436"/>
      <c r="V102" s="436"/>
      <c r="W102" s="436"/>
      <c r="X102" s="436"/>
      <c r="Y102" s="436">
        <f>IF(NFI_Expiration=1,IF($A102&lt;VLOOKUP(H$5,NFI,5,0),1,0)*Table_NFI[[#This Row],[Hygiene Kit]],Table_NFI[Hygiene Kit])</f>
        <v>0</v>
      </c>
      <c r="Z102" s="436">
        <f>IF(NFI_Expiration=1,IF($A102&lt;VLOOKUP(I$5,NFI,5,0),1,0)*Table_NFI[[#This Row],[NFI Core Kit]],Table_NFI[NFI Core Kit])</f>
        <v>0</v>
      </c>
      <c r="AA102" s="436">
        <f>IF(NFI_Expiration=1,IF($A102&lt;VLOOKUP(J$5,NFI,5,0),1,0)*Table_NFI[[#This Row],[Sanitary Kit]],Table_NFI[Sanitary Kit])</f>
        <v>0</v>
      </c>
      <c r="AB102" s="436">
        <f>IF(NFI_Expiration=1,IF($A102&lt;VLOOKUP(K$5,NFI,5,0),1,0)*Table_NFI[[#This Row],[Mosquito net]],Table_NFI[Mosquito net])</f>
        <v>0</v>
      </c>
      <c r="AC102" s="436">
        <f>IF(NFI_Expiration=1,IF($A102&lt;VLOOKUP(L$5,NFI,5,0),1,0)*Table_NFI[[#This Row],[Tarpaulin]],Table_NFI[[#This Row],[Tarpaulin]])</f>
        <v>0</v>
      </c>
      <c r="AD102" s="436">
        <f>IF(NFI_Expiration=1,IF($A102&lt;VLOOKUP(M$5,NFI,5,0),1,0)*Table_NFI[[#This Row],[Blanket]],Table_NFI[[#This Row],[Blanket]])</f>
        <v>0</v>
      </c>
      <c r="AE102" s="436">
        <f>IF(NFI_Expiration=1,IF($A102&lt;VLOOKUP(N$5,NFI,5,0),1,0)*Table_NFI[[#This Row],[Kitchen Set]],Table_NFI[Kitchen Set])</f>
        <v>0</v>
      </c>
      <c r="AF102" s="436">
        <f>IF(NFI_Expiration=1,IF($A102&lt;VLOOKUP(O$5,NFI,5,0),1,0)*Table_NFI[[#This Row],[Clothes Kit]],Table_NFI[Clothes Kit])</f>
        <v>0</v>
      </c>
      <c r="AG102" s="436">
        <f>IF(NFI_Expiration=1,IF($A102&lt;VLOOKUP(P$5,NFI,5,0),1,0)*Table_NFI[[#This Row],[Plastic Bucket]],Table_NFI[Plastic Bucket])</f>
        <v>0</v>
      </c>
      <c r="AH102" s="436">
        <f>IF(NFI_Expiration=1,IF($A102&lt;VLOOKUP(Q$5,NFI,5,0),1,0)*Table_NFI[[#This Row],[Plastic Mat]],Table_NFI[Plastic Mat])*IF(Table_NFI[[#This Row],[Distribution Date]]&gt;"2014-04-01",1,2.5)</f>
        <v>0</v>
      </c>
      <c r="AI102" s="436">
        <f>IF(NFI_Expiration=1,IF($A102&lt;VLOOKUP(R$5,NFI,5,0),1,0)*Table_NFI[[#This Row],[Winter Clothes Adult]],Table_NFI[Winter Clothes Adult])</f>
        <v>0</v>
      </c>
      <c r="AJ102" s="436">
        <f>IF(NFI_Expiration=1,IF($A102&lt;VLOOKUP(S$5,NFI,5,0),1,0)*Table_NFI[[#This Row],[Winter Clothes Children]],Table_NFI[Winter Clothes Children])</f>
        <v>0</v>
      </c>
      <c r="AK102" s="436">
        <f>IF(NFI_Expiration=1,IF($A102&lt;VLOOKUP(T$5,NFI,5,0),1,0)*Table_NFI[[#This Row],[Winter Items Other]],Table_NFI[Winter Items Other])</f>
        <v>0</v>
      </c>
      <c r="AL102" s="436">
        <f>IF(NFI_Expiration=1,IF($A102&lt;VLOOKUP(M$5,NFI,5,0),1,0)*Table_NFI[[#This Row],[Winter Blanket]],Table_NFI[[#This Row],[Winter Blanket]])</f>
        <v>0</v>
      </c>
      <c r="AM102" s="436">
        <f>IF(Table_NFI[[#This Row],[Winter Clothes Adult]]+Table_NFI[[#This Row],[Winter Clothes Children]]+Table_NFI[[#This Row],[Winter Items Other]]+Table_NFI[[#This Row],[Winter Blanket]]&gt;0,1,0)</f>
        <v>0</v>
      </c>
      <c r="AN102" s="439">
        <f>IF(NFI_Expiration=1,IF($A102&lt;VLOOKUP(V$5,NFI,5,0),1,0)*Table_NFI[[#This Row],[Jerry Can]],Table_NFI[Jerry Can])</f>
        <v>0</v>
      </c>
      <c r="AO102" s="771" t="str">
        <f>IFERROR(VLOOKUP(Table_NFI[[#This Row],[Camp Name]],CL,2,0),"")</f>
        <v>MMR001CMP167</v>
      </c>
      <c r="AP102" s="772">
        <f ca="1">IF(Table_NFI[[#This Row],[Pcode]]="","",IF(OFFSET(CampList[Opening Date],MATCH(Table_NFI[[#This Row],[Pcode]],CampList[CP_Pcode],0)-1,0,1,1)&gt;=NFI_Monitor_Date,1,0))</f>
        <v>0</v>
      </c>
      <c r="AQ102" s="781" t="str">
        <f>IFERROR(VLOOKUP(Table_NFI[[#This Row],[Camp Name]],CL,3,0),"")</f>
        <v>Open</v>
      </c>
      <c r="AR102" s="439" t="str">
        <f ca="1">IF(Table_NFI[[#This Row],[Pcode]]="","",OFFSET(CampList[Priority],MATCH(Table_NFI[[#This Row],[Pcode]],CampList[CP_Pcode],0)-1,0,1,1))</f>
        <v>P4</v>
      </c>
      <c r="AS102" s="438">
        <f>IFERROR(Table_NFI[[#This Row],[Kitchen Set]]/VLOOKUP(Table_NFI[[#This Row],[Camp Name]],CL,4,0),"")</f>
        <v>1</v>
      </c>
      <c r="AT102" s="769"/>
      <c r="AU102" s="773"/>
    </row>
    <row r="103" spans="1:47" s="774" customFormat="1" x14ac:dyDescent="0.25">
      <c r="A103" s="451">
        <f t="shared" si="1"/>
        <v>14.233333333333333</v>
      </c>
      <c r="B103" s="768">
        <v>41943</v>
      </c>
      <c r="C103" s="769" t="s">
        <v>1101</v>
      </c>
      <c r="D103" s="769" t="s">
        <v>907</v>
      </c>
      <c r="E103" s="769" t="s">
        <v>380</v>
      </c>
      <c r="F103" s="769" t="s">
        <v>899</v>
      </c>
      <c r="G103" s="769" t="s">
        <v>901</v>
      </c>
      <c r="H103" s="436"/>
      <c r="I103" s="436"/>
      <c r="J103" s="436"/>
      <c r="K103" s="436"/>
      <c r="L103" s="437"/>
      <c r="M103" s="437"/>
      <c r="N103" s="437"/>
      <c r="O103" s="437"/>
      <c r="P103" s="439"/>
      <c r="Q103" s="439"/>
      <c r="R103" s="436">
        <v>20</v>
      </c>
      <c r="S103" s="436">
        <v>8</v>
      </c>
      <c r="T103" s="436"/>
      <c r="U103" s="436"/>
      <c r="V103" s="436"/>
      <c r="W103" s="436"/>
      <c r="X103" s="436"/>
      <c r="Y103" s="436">
        <f>IF(NFI_Expiration=1,IF($A103&lt;VLOOKUP(H$5,NFI,5,0),1,0)*Table_NFI[[#This Row],[Hygiene Kit]],Table_NFI[Hygiene Kit])</f>
        <v>0</v>
      </c>
      <c r="Z103" s="436">
        <f>IF(NFI_Expiration=1,IF($A103&lt;VLOOKUP(I$5,NFI,5,0),1,0)*Table_NFI[[#This Row],[NFI Core Kit]],Table_NFI[NFI Core Kit])</f>
        <v>0</v>
      </c>
      <c r="AA103" s="436">
        <f>IF(NFI_Expiration=1,IF($A103&lt;VLOOKUP(J$5,NFI,5,0),1,0)*Table_NFI[[#This Row],[Sanitary Kit]],Table_NFI[Sanitary Kit])</f>
        <v>0</v>
      </c>
      <c r="AB103" s="436">
        <f>IF(NFI_Expiration=1,IF($A103&lt;VLOOKUP(K$5,NFI,5,0),1,0)*Table_NFI[[#This Row],[Mosquito net]],Table_NFI[Mosquito net])</f>
        <v>0</v>
      </c>
      <c r="AC103" s="436">
        <f>IF(NFI_Expiration=1,IF($A103&lt;VLOOKUP(L$5,NFI,5,0),1,0)*Table_NFI[[#This Row],[Tarpaulin]],Table_NFI[[#This Row],[Tarpaulin]])</f>
        <v>0</v>
      </c>
      <c r="AD103" s="436">
        <f>IF(NFI_Expiration=1,IF($A103&lt;VLOOKUP(M$5,NFI,5,0),1,0)*Table_NFI[[#This Row],[Blanket]],Table_NFI[[#This Row],[Blanket]])</f>
        <v>0</v>
      </c>
      <c r="AE103" s="436">
        <f>IF(NFI_Expiration=1,IF($A103&lt;VLOOKUP(N$5,NFI,5,0),1,0)*Table_NFI[[#This Row],[Kitchen Set]],Table_NFI[Kitchen Set])</f>
        <v>0</v>
      </c>
      <c r="AF103" s="436">
        <f>IF(NFI_Expiration=1,IF($A103&lt;VLOOKUP(O$5,NFI,5,0),1,0)*Table_NFI[[#This Row],[Clothes Kit]],Table_NFI[Clothes Kit])</f>
        <v>0</v>
      </c>
      <c r="AG103" s="436">
        <f>IF(NFI_Expiration=1,IF($A103&lt;VLOOKUP(P$5,NFI,5,0),1,0)*Table_NFI[[#This Row],[Plastic Bucket]],Table_NFI[Plastic Bucket])</f>
        <v>0</v>
      </c>
      <c r="AH103" s="436">
        <f>IF(NFI_Expiration=1,IF($A103&lt;VLOOKUP(Q$5,NFI,5,0),1,0)*Table_NFI[[#This Row],[Plastic Mat]],Table_NFI[Plastic Mat])*IF(Table_NFI[[#This Row],[Distribution Date]]&gt;"2014-04-01",1,2.5)</f>
        <v>0</v>
      </c>
      <c r="AI103" s="436">
        <f>IF(NFI_Expiration=1,IF($A103&lt;VLOOKUP(R$5,NFI,5,0),1,0)*Table_NFI[[#This Row],[Winter Clothes Adult]],Table_NFI[Winter Clothes Adult])</f>
        <v>0</v>
      </c>
      <c r="AJ103" s="436">
        <f>IF(NFI_Expiration=1,IF($A103&lt;VLOOKUP(S$5,NFI,5,0),1,0)*Table_NFI[[#This Row],[Winter Clothes Children]],Table_NFI[Winter Clothes Children])</f>
        <v>0</v>
      </c>
      <c r="AK103" s="436">
        <f>IF(NFI_Expiration=1,IF($A103&lt;VLOOKUP(T$5,NFI,5,0),1,0)*Table_NFI[[#This Row],[Winter Items Other]],Table_NFI[Winter Items Other])</f>
        <v>0</v>
      </c>
      <c r="AL103" s="436">
        <f>IF(NFI_Expiration=1,IF($A103&lt;VLOOKUP(M$5,NFI,5,0),1,0)*Table_NFI[[#This Row],[Winter Blanket]],Table_NFI[[#This Row],[Winter Blanket]])</f>
        <v>0</v>
      </c>
      <c r="AM103" s="436">
        <f>IF(Table_NFI[[#This Row],[Winter Clothes Adult]]+Table_NFI[[#This Row],[Winter Clothes Children]]+Table_NFI[[#This Row],[Winter Items Other]]+Table_NFI[[#This Row],[Winter Blanket]]&gt;0,1,0)</f>
        <v>1</v>
      </c>
      <c r="AN103" s="439">
        <f>IF(NFI_Expiration=1,IF($A103&lt;VLOOKUP(V$5,NFI,5,0),1,0)*Table_NFI[[#This Row],[Jerry Can]],Table_NFI[Jerry Can])</f>
        <v>0</v>
      </c>
      <c r="AO103" s="771" t="str">
        <f>IFERROR(VLOOKUP(Table_NFI[[#This Row],[Camp Name]],CL,2,0),"")</f>
        <v>MMR001CMP221</v>
      </c>
      <c r="AP103" s="772">
        <f ca="1">IF(Table_NFI[[#This Row],[Pcode]]="","",IF(OFFSET(CampList[Opening Date],MATCH(Table_NFI[[#This Row],[Pcode]],CampList[CP_Pcode],0)-1,0,1,1)&gt;=NFI_Monitor_Date,1,0))</f>
        <v>0</v>
      </c>
      <c r="AQ103" s="771" t="str">
        <f>IFERROR(VLOOKUP(Table_NFI[[#This Row],[Camp Name]],CL,3,0),"")</f>
        <v>Closed</v>
      </c>
      <c r="AR103" s="436" t="str">
        <f ca="1">IF(Table_NFI[[#This Row],[Pcode]]="","",OFFSET(CampList[Priority],MATCH(Table_NFI[[#This Row],[Pcode]],CampList[CP_Pcode],0)-1,0,1,1))</f>
        <v>P3</v>
      </c>
      <c r="AS103" s="438" t="str">
        <f>IFERROR(Table_NFI[[#This Row],[Kitchen Set]]/VLOOKUP(Table_NFI[[#This Row],[Camp Name]],CL,4,0),"")</f>
        <v/>
      </c>
      <c r="AT103" s="769"/>
      <c r="AU103" s="773"/>
    </row>
    <row r="104" spans="1:47" s="774" customFormat="1" x14ac:dyDescent="0.25">
      <c r="A104" s="451">
        <f t="shared" si="1"/>
        <v>14.233333333333333</v>
      </c>
      <c r="B104" s="768">
        <v>41943</v>
      </c>
      <c r="C104" s="769" t="s">
        <v>1101</v>
      </c>
      <c r="D104" s="769" t="s">
        <v>907</v>
      </c>
      <c r="E104" s="769" t="s">
        <v>380</v>
      </c>
      <c r="F104" s="769" t="s">
        <v>529</v>
      </c>
      <c r="G104" s="769" t="s">
        <v>100</v>
      </c>
      <c r="H104" s="436"/>
      <c r="I104" s="436"/>
      <c r="J104" s="436"/>
      <c r="K104" s="436"/>
      <c r="L104" s="437"/>
      <c r="M104" s="437"/>
      <c r="N104" s="437"/>
      <c r="O104" s="437"/>
      <c r="P104" s="439"/>
      <c r="Q104" s="439"/>
      <c r="R104" s="436">
        <v>11</v>
      </c>
      <c r="S104" s="436">
        <v>15</v>
      </c>
      <c r="T104" s="436"/>
      <c r="U104" s="436"/>
      <c r="V104" s="436"/>
      <c r="W104" s="436"/>
      <c r="X104" s="436"/>
      <c r="Y104" s="436">
        <f>IF(NFI_Expiration=1,IF($A104&lt;VLOOKUP(H$5,NFI,5,0),1,0)*Table_NFI[[#This Row],[Hygiene Kit]],Table_NFI[Hygiene Kit])</f>
        <v>0</v>
      </c>
      <c r="Z104" s="436">
        <f>IF(NFI_Expiration=1,IF($A104&lt;VLOOKUP(I$5,NFI,5,0),1,0)*Table_NFI[[#This Row],[NFI Core Kit]],Table_NFI[NFI Core Kit])</f>
        <v>0</v>
      </c>
      <c r="AA104" s="436">
        <f>IF(NFI_Expiration=1,IF($A104&lt;VLOOKUP(J$5,NFI,5,0),1,0)*Table_NFI[[#This Row],[Sanitary Kit]],Table_NFI[Sanitary Kit])</f>
        <v>0</v>
      </c>
      <c r="AB104" s="436">
        <f>IF(NFI_Expiration=1,IF($A104&lt;VLOOKUP(K$5,NFI,5,0),1,0)*Table_NFI[[#This Row],[Mosquito net]],Table_NFI[Mosquito net])</f>
        <v>0</v>
      </c>
      <c r="AC104" s="436">
        <f>IF(NFI_Expiration=1,IF($A104&lt;VLOOKUP(L$5,NFI,5,0),1,0)*Table_NFI[[#This Row],[Tarpaulin]],Table_NFI[[#This Row],[Tarpaulin]])</f>
        <v>0</v>
      </c>
      <c r="AD104" s="436">
        <f>IF(NFI_Expiration=1,IF($A104&lt;VLOOKUP(M$5,NFI,5,0),1,0)*Table_NFI[[#This Row],[Blanket]],Table_NFI[[#This Row],[Blanket]])</f>
        <v>0</v>
      </c>
      <c r="AE104" s="436">
        <f>IF(NFI_Expiration=1,IF($A104&lt;VLOOKUP(N$5,NFI,5,0),1,0)*Table_NFI[[#This Row],[Kitchen Set]],Table_NFI[Kitchen Set])</f>
        <v>0</v>
      </c>
      <c r="AF104" s="436">
        <f>IF(NFI_Expiration=1,IF($A104&lt;VLOOKUP(O$5,NFI,5,0),1,0)*Table_NFI[[#This Row],[Clothes Kit]],Table_NFI[Clothes Kit])</f>
        <v>0</v>
      </c>
      <c r="AG104" s="436">
        <f>IF(NFI_Expiration=1,IF($A104&lt;VLOOKUP(P$5,NFI,5,0),1,0)*Table_NFI[[#This Row],[Plastic Bucket]],Table_NFI[Plastic Bucket])</f>
        <v>0</v>
      </c>
      <c r="AH104" s="436">
        <f>IF(NFI_Expiration=1,IF($A104&lt;VLOOKUP(Q$5,NFI,5,0),1,0)*Table_NFI[[#This Row],[Plastic Mat]],Table_NFI[Plastic Mat])*IF(Table_NFI[[#This Row],[Distribution Date]]&gt;"2014-04-01",1,2.5)</f>
        <v>0</v>
      </c>
      <c r="AI104" s="436">
        <f>IF(NFI_Expiration=1,IF($A104&lt;VLOOKUP(R$5,NFI,5,0),1,0)*Table_NFI[[#This Row],[Winter Clothes Adult]],Table_NFI[Winter Clothes Adult])</f>
        <v>0</v>
      </c>
      <c r="AJ104" s="436">
        <f>IF(NFI_Expiration=1,IF($A104&lt;VLOOKUP(S$5,NFI,5,0),1,0)*Table_NFI[[#This Row],[Winter Clothes Children]],Table_NFI[Winter Clothes Children])</f>
        <v>0</v>
      </c>
      <c r="AK104" s="436">
        <f>IF(NFI_Expiration=1,IF($A104&lt;VLOOKUP(T$5,NFI,5,0),1,0)*Table_NFI[[#This Row],[Winter Items Other]],Table_NFI[Winter Items Other])</f>
        <v>0</v>
      </c>
      <c r="AL104" s="436">
        <f>IF(NFI_Expiration=1,IF($A104&lt;VLOOKUP(M$5,NFI,5,0),1,0)*Table_NFI[[#This Row],[Winter Blanket]],Table_NFI[[#This Row],[Winter Blanket]])</f>
        <v>0</v>
      </c>
      <c r="AM104" s="436">
        <f>IF(Table_NFI[[#This Row],[Winter Clothes Adult]]+Table_NFI[[#This Row],[Winter Clothes Children]]+Table_NFI[[#This Row],[Winter Items Other]]+Table_NFI[[#This Row],[Winter Blanket]]&gt;0,1,0)</f>
        <v>1</v>
      </c>
      <c r="AN104" s="439">
        <f>IF(NFI_Expiration=1,IF($A104&lt;VLOOKUP(V$5,NFI,5,0),1,0)*Table_NFI[[#This Row],[Jerry Can]],Table_NFI[Jerry Can])</f>
        <v>0</v>
      </c>
      <c r="AO104" s="771" t="str">
        <f>IFERROR(VLOOKUP(Table_NFI[[#This Row],[Camp Name]],CL,2,0),"")</f>
        <v>MMR001CMP091</v>
      </c>
      <c r="AP104" s="772">
        <f ca="1">IF(Table_NFI[[#This Row],[Pcode]]="","",IF(OFFSET(CampList[Opening Date],MATCH(Table_NFI[[#This Row],[Pcode]],CampList[CP_Pcode],0)-1,0,1,1)&gt;=NFI_Monitor_Date,1,0))</f>
        <v>0</v>
      </c>
      <c r="AQ104" s="771" t="str">
        <f>IFERROR(VLOOKUP(Table_NFI[[#This Row],[Camp Name]],CL,3,0),"")</f>
        <v>Open</v>
      </c>
      <c r="AR104" s="436" t="str">
        <f ca="1">IF(Table_NFI[[#This Row],[Pcode]]="","",OFFSET(CampList[Priority],MATCH(Table_NFI[[#This Row],[Pcode]],CampList[CP_Pcode],0)-1,0,1,1))</f>
        <v>P4</v>
      </c>
      <c r="AS104" s="438">
        <f>IFERROR(Table_NFI[[#This Row],[Kitchen Set]]/VLOOKUP(Table_NFI[[#This Row],[Camp Name]],CL,4,0),"")</f>
        <v>0</v>
      </c>
      <c r="AT104" s="769"/>
      <c r="AU104" s="773"/>
    </row>
    <row r="105" spans="1:47" s="774" customFormat="1" x14ac:dyDescent="0.25">
      <c r="A105" s="451">
        <f t="shared" si="1"/>
        <v>14.233333333333333</v>
      </c>
      <c r="B105" s="768">
        <v>41943</v>
      </c>
      <c r="C105" s="769" t="s">
        <v>454</v>
      </c>
      <c r="D105" s="769"/>
      <c r="E105" s="769" t="s">
        <v>380</v>
      </c>
      <c r="F105" s="769" t="s">
        <v>529</v>
      </c>
      <c r="G105" s="769" t="s">
        <v>100</v>
      </c>
      <c r="H105" s="436"/>
      <c r="I105" s="436"/>
      <c r="J105" s="436">
        <v>5</v>
      </c>
      <c r="K105" s="436">
        <v>10</v>
      </c>
      <c r="L105" s="437">
        <v>5</v>
      </c>
      <c r="M105" s="437">
        <v>10</v>
      </c>
      <c r="N105" s="437">
        <v>5</v>
      </c>
      <c r="O105" s="437"/>
      <c r="P105" s="439">
        <v>5</v>
      </c>
      <c r="Q105" s="439">
        <v>25</v>
      </c>
      <c r="R105" s="436"/>
      <c r="S105" s="436"/>
      <c r="T105" s="436"/>
      <c r="U105" s="436"/>
      <c r="V105" s="436"/>
      <c r="W105" s="436"/>
      <c r="X105" s="436"/>
      <c r="Y105" s="436">
        <f>IF(NFI_Expiration=1,IF($A105&lt;VLOOKUP(H$5,NFI,5,0),1,0)*Table_NFI[[#This Row],[Hygiene Kit]],Table_NFI[Hygiene Kit])</f>
        <v>0</v>
      </c>
      <c r="Z105" s="436">
        <f>IF(NFI_Expiration=1,IF($A105&lt;VLOOKUP(I$5,NFI,5,0),1,0)*Table_NFI[[#This Row],[NFI Core Kit]],Table_NFI[NFI Core Kit])</f>
        <v>0</v>
      </c>
      <c r="AA105" s="436">
        <f>IF(NFI_Expiration=1,IF($A105&lt;VLOOKUP(J$5,NFI,5,0),1,0)*Table_NFI[[#This Row],[Sanitary Kit]],Table_NFI[Sanitary Kit])</f>
        <v>0</v>
      </c>
      <c r="AB105" s="436">
        <f>IF(NFI_Expiration=1,IF($A105&lt;VLOOKUP(K$5,NFI,5,0),1,0)*Table_NFI[[#This Row],[Mosquito net]],Table_NFI[Mosquito net])</f>
        <v>0</v>
      </c>
      <c r="AC105" s="436">
        <f>IF(NFI_Expiration=1,IF($A105&lt;VLOOKUP(L$5,NFI,5,0),1,0)*Table_NFI[[#This Row],[Tarpaulin]],Table_NFI[[#This Row],[Tarpaulin]])</f>
        <v>0</v>
      </c>
      <c r="AD105" s="436">
        <f>IF(NFI_Expiration=1,IF($A105&lt;VLOOKUP(M$5,NFI,5,0),1,0)*Table_NFI[[#This Row],[Blanket]],Table_NFI[[#This Row],[Blanket]])</f>
        <v>0</v>
      </c>
      <c r="AE105" s="436">
        <f>IF(NFI_Expiration=1,IF($A105&lt;VLOOKUP(N$5,NFI,5,0),1,0)*Table_NFI[[#This Row],[Kitchen Set]],Table_NFI[Kitchen Set])</f>
        <v>0</v>
      </c>
      <c r="AF105" s="436">
        <f>IF(NFI_Expiration=1,IF($A105&lt;VLOOKUP(O$5,NFI,5,0),1,0)*Table_NFI[[#This Row],[Clothes Kit]],Table_NFI[Clothes Kit])</f>
        <v>0</v>
      </c>
      <c r="AG105" s="436">
        <f>IF(NFI_Expiration=1,IF($A105&lt;VLOOKUP(P$5,NFI,5,0),1,0)*Table_NFI[[#This Row],[Plastic Bucket]],Table_NFI[Plastic Bucket])</f>
        <v>0</v>
      </c>
      <c r="AH105" s="436">
        <f>IF(NFI_Expiration=1,IF($A105&lt;VLOOKUP(Q$5,NFI,5,0),1,0)*Table_NFI[[#This Row],[Plastic Mat]],Table_NFI[Plastic Mat])*IF(Table_NFI[[#This Row],[Distribution Date]]&gt;"2014-04-01",1,2.5)</f>
        <v>0</v>
      </c>
      <c r="AI105" s="436">
        <f>IF(NFI_Expiration=1,IF($A105&lt;VLOOKUP(R$5,NFI,5,0),1,0)*Table_NFI[[#This Row],[Winter Clothes Adult]],Table_NFI[Winter Clothes Adult])</f>
        <v>0</v>
      </c>
      <c r="AJ105" s="436">
        <f>IF(NFI_Expiration=1,IF($A105&lt;VLOOKUP(S$5,NFI,5,0),1,0)*Table_NFI[[#This Row],[Winter Clothes Children]],Table_NFI[Winter Clothes Children])</f>
        <v>0</v>
      </c>
      <c r="AK105" s="436">
        <f>IF(NFI_Expiration=1,IF($A105&lt;VLOOKUP(T$5,NFI,5,0),1,0)*Table_NFI[[#This Row],[Winter Items Other]],Table_NFI[Winter Items Other])</f>
        <v>0</v>
      </c>
      <c r="AL105" s="436">
        <f>IF(NFI_Expiration=1,IF($A105&lt;VLOOKUP(M$5,NFI,5,0),1,0)*Table_NFI[[#This Row],[Winter Blanket]],Table_NFI[[#This Row],[Winter Blanket]])</f>
        <v>0</v>
      </c>
      <c r="AM105" s="436">
        <f>IF(Table_NFI[[#This Row],[Winter Clothes Adult]]+Table_NFI[[#This Row],[Winter Clothes Children]]+Table_NFI[[#This Row],[Winter Items Other]]+Table_NFI[[#This Row],[Winter Blanket]]&gt;0,1,0)</f>
        <v>0</v>
      </c>
      <c r="AN105" s="439">
        <f>IF(NFI_Expiration=1,IF($A105&lt;VLOOKUP(V$5,NFI,5,0),1,0)*Table_NFI[[#This Row],[Jerry Can]],Table_NFI[Jerry Can])</f>
        <v>0</v>
      </c>
      <c r="AO105" s="771" t="str">
        <f>IFERROR(VLOOKUP(Table_NFI[[#This Row],[Camp Name]],CL,2,0),"")</f>
        <v>MMR001CMP091</v>
      </c>
      <c r="AP105" s="772">
        <f ca="1">IF(Table_NFI[[#This Row],[Pcode]]="","",IF(OFFSET(CampList[Opening Date],MATCH(Table_NFI[[#This Row],[Pcode]],CampList[CP_Pcode],0)-1,0,1,1)&gt;=NFI_Monitor_Date,1,0))</f>
        <v>0</v>
      </c>
      <c r="AQ105" s="781" t="str">
        <f>IFERROR(VLOOKUP(Table_NFI[[#This Row],[Camp Name]],CL,3,0),"")</f>
        <v>Open</v>
      </c>
      <c r="AR105" s="439" t="str">
        <f ca="1">IF(Table_NFI[[#This Row],[Pcode]]="","",OFFSET(CampList[Priority],MATCH(Table_NFI[[#This Row],[Pcode]],CampList[CP_Pcode],0)-1,0,1,1))</f>
        <v>P4</v>
      </c>
      <c r="AS105" s="438">
        <f>IFERROR(Table_NFI[[#This Row],[Kitchen Set]]/VLOOKUP(Table_NFI[[#This Row],[Camp Name]],CL,4,0),"")</f>
        <v>1</v>
      </c>
      <c r="AT105" s="769"/>
      <c r="AU105" s="773"/>
    </row>
    <row r="106" spans="1:47" s="774" customFormat="1" x14ac:dyDescent="0.25">
      <c r="A106" s="451">
        <f t="shared" si="1"/>
        <v>14.233333333333333</v>
      </c>
      <c r="B106" s="768">
        <v>41943</v>
      </c>
      <c r="C106" s="769" t="s">
        <v>454</v>
      </c>
      <c r="D106" s="769"/>
      <c r="E106" s="769" t="s">
        <v>380</v>
      </c>
      <c r="F106" s="769" t="s">
        <v>529</v>
      </c>
      <c r="G106" s="769" t="s">
        <v>613</v>
      </c>
      <c r="H106" s="436"/>
      <c r="I106" s="436"/>
      <c r="J106" s="436">
        <v>17</v>
      </c>
      <c r="K106" s="436">
        <v>34</v>
      </c>
      <c r="L106" s="437">
        <v>17</v>
      </c>
      <c r="M106" s="437">
        <v>34</v>
      </c>
      <c r="N106" s="437">
        <v>17</v>
      </c>
      <c r="O106" s="437"/>
      <c r="P106" s="439">
        <v>17</v>
      </c>
      <c r="Q106" s="439">
        <v>85</v>
      </c>
      <c r="R106" s="436"/>
      <c r="S106" s="436"/>
      <c r="T106" s="436"/>
      <c r="U106" s="436"/>
      <c r="V106" s="436"/>
      <c r="W106" s="436"/>
      <c r="X106" s="436"/>
      <c r="Y106" s="436">
        <f>IF(NFI_Expiration=1,IF($A106&lt;VLOOKUP(H$5,NFI,5,0),1,0)*Table_NFI[[#This Row],[Hygiene Kit]],Table_NFI[Hygiene Kit])</f>
        <v>0</v>
      </c>
      <c r="Z106" s="436">
        <f>IF(NFI_Expiration=1,IF($A106&lt;VLOOKUP(I$5,NFI,5,0),1,0)*Table_NFI[[#This Row],[NFI Core Kit]],Table_NFI[NFI Core Kit])</f>
        <v>0</v>
      </c>
      <c r="AA106" s="436">
        <f>IF(NFI_Expiration=1,IF($A106&lt;VLOOKUP(J$5,NFI,5,0),1,0)*Table_NFI[[#This Row],[Sanitary Kit]],Table_NFI[Sanitary Kit])</f>
        <v>0</v>
      </c>
      <c r="AB106" s="436">
        <f>IF(NFI_Expiration=1,IF($A106&lt;VLOOKUP(K$5,NFI,5,0),1,0)*Table_NFI[[#This Row],[Mosquito net]],Table_NFI[Mosquito net])</f>
        <v>0</v>
      </c>
      <c r="AC106" s="436">
        <f>IF(NFI_Expiration=1,IF($A106&lt;VLOOKUP(L$5,NFI,5,0),1,0)*Table_NFI[[#This Row],[Tarpaulin]],Table_NFI[[#This Row],[Tarpaulin]])</f>
        <v>0</v>
      </c>
      <c r="AD106" s="436">
        <f>IF(NFI_Expiration=1,IF($A106&lt;VLOOKUP(M$5,NFI,5,0),1,0)*Table_NFI[[#This Row],[Blanket]],Table_NFI[[#This Row],[Blanket]])</f>
        <v>0</v>
      </c>
      <c r="AE106" s="436">
        <f>IF(NFI_Expiration=1,IF($A106&lt;VLOOKUP(N$5,NFI,5,0),1,0)*Table_NFI[[#This Row],[Kitchen Set]],Table_NFI[Kitchen Set])</f>
        <v>0</v>
      </c>
      <c r="AF106" s="436">
        <f>IF(NFI_Expiration=1,IF($A106&lt;VLOOKUP(O$5,NFI,5,0),1,0)*Table_NFI[[#This Row],[Clothes Kit]],Table_NFI[Clothes Kit])</f>
        <v>0</v>
      </c>
      <c r="AG106" s="436">
        <f>IF(NFI_Expiration=1,IF($A106&lt;VLOOKUP(P$5,NFI,5,0),1,0)*Table_NFI[[#This Row],[Plastic Bucket]],Table_NFI[Plastic Bucket])</f>
        <v>0</v>
      </c>
      <c r="AH106" s="436">
        <f>IF(NFI_Expiration=1,IF($A106&lt;VLOOKUP(Q$5,NFI,5,0),1,0)*Table_NFI[[#This Row],[Plastic Mat]],Table_NFI[Plastic Mat])*IF(Table_NFI[[#This Row],[Distribution Date]]&gt;"2014-04-01",1,2.5)</f>
        <v>0</v>
      </c>
      <c r="AI106" s="436">
        <f>IF(NFI_Expiration=1,IF($A106&lt;VLOOKUP(R$5,NFI,5,0),1,0)*Table_NFI[[#This Row],[Winter Clothes Adult]],Table_NFI[Winter Clothes Adult])</f>
        <v>0</v>
      </c>
      <c r="AJ106" s="436">
        <f>IF(NFI_Expiration=1,IF($A106&lt;VLOOKUP(S$5,NFI,5,0),1,0)*Table_NFI[[#This Row],[Winter Clothes Children]],Table_NFI[Winter Clothes Children])</f>
        <v>0</v>
      </c>
      <c r="AK106" s="436">
        <f>IF(NFI_Expiration=1,IF($A106&lt;VLOOKUP(T$5,NFI,5,0),1,0)*Table_NFI[[#This Row],[Winter Items Other]],Table_NFI[Winter Items Other])</f>
        <v>0</v>
      </c>
      <c r="AL106" s="436">
        <f>IF(NFI_Expiration=1,IF($A106&lt;VLOOKUP(M$5,NFI,5,0),1,0)*Table_NFI[[#This Row],[Winter Blanket]],Table_NFI[[#This Row],[Winter Blanket]])</f>
        <v>0</v>
      </c>
      <c r="AM106" s="436">
        <f>IF(Table_NFI[[#This Row],[Winter Clothes Adult]]+Table_NFI[[#This Row],[Winter Clothes Children]]+Table_NFI[[#This Row],[Winter Items Other]]+Table_NFI[[#This Row],[Winter Blanket]]&gt;0,1,0)</f>
        <v>0</v>
      </c>
      <c r="AN106" s="439">
        <f>IF(NFI_Expiration=1,IF($A106&lt;VLOOKUP(V$5,NFI,5,0),1,0)*Table_NFI[[#This Row],[Jerry Can]],Table_NFI[Jerry Can])</f>
        <v>0</v>
      </c>
      <c r="AO106" s="771" t="str">
        <f>IFERROR(VLOOKUP(Table_NFI[[#This Row],[Camp Name]],CL,2,0),"")</f>
        <v>MMR001CMP192</v>
      </c>
      <c r="AP106" s="772">
        <f ca="1">IF(Table_NFI[[#This Row],[Pcode]]="","",IF(OFFSET(CampList[Opening Date],MATCH(Table_NFI[[#This Row],[Pcode]],CampList[CP_Pcode],0)-1,0,1,1)&gt;=NFI_Monitor_Date,1,0))</f>
        <v>0</v>
      </c>
      <c r="AQ106" s="781" t="str">
        <f>IFERROR(VLOOKUP(Table_NFI[[#This Row],[Camp Name]],CL,3,0),"")</f>
        <v>Open</v>
      </c>
      <c r="AR106" s="439" t="str">
        <f ca="1">IF(Table_NFI[[#This Row],[Pcode]]="","",OFFSET(CampList[Priority],MATCH(Table_NFI[[#This Row],[Pcode]],CampList[CP_Pcode],0)-1,0,1,1))</f>
        <v>P4</v>
      </c>
      <c r="AS106" s="438">
        <f>IFERROR(Table_NFI[[#This Row],[Kitchen Set]]/VLOOKUP(Table_NFI[[#This Row],[Camp Name]],CL,4,0),"")</f>
        <v>1</v>
      </c>
      <c r="AT106" s="769"/>
      <c r="AU106" s="773"/>
    </row>
    <row r="107" spans="1:47" s="774" customFormat="1" x14ac:dyDescent="0.25">
      <c r="A107" s="451">
        <f t="shared" si="1"/>
        <v>14.233333333333333</v>
      </c>
      <c r="B107" s="768">
        <v>41943</v>
      </c>
      <c r="C107" s="769" t="s">
        <v>454</v>
      </c>
      <c r="D107" s="769"/>
      <c r="E107" s="769" t="s">
        <v>380</v>
      </c>
      <c r="F107" s="769" t="s">
        <v>529</v>
      </c>
      <c r="G107" s="769" t="s">
        <v>108</v>
      </c>
      <c r="H107" s="436"/>
      <c r="I107" s="436"/>
      <c r="J107" s="436">
        <v>36</v>
      </c>
      <c r="K107" s="436">
        <v>72</v>
      </c>
      <c r="L107" s="437">
        <v>36</v>
      </c>
      <c r="M107" s="437">
        <v>72</v>
      </c>
      <c r="N107" s="437">
        <v>36</v>
      </c>
      <c r="O107" s="437"/>
      <c r="P107" s="439">
        <v>36</v>
      </c>
      <c r="Q107" s="439">
        <v>180</v>
      </c>
      <c r="R107" s="436"/>
      <c r="S107" s="436"/>
      <c r="T107" s="436"/>
      <c r="U107" s="436"/>
      <c r="V107" s="436"/>
      <c r="W107" s="436"/>
      <c r="X107" s="436"/>
      <c r="Y107" s="436">
        <f>IF(NFI_Expiration=1,IF($A107&lt;VLOOKUP(H$5,NFI,5,0),1,0)*Table_NFI[[#This Row],[Hygiene Kit]],Table_NFI[Hygiene Kit])</f>
        <v>0</v>
      </c>
      <c r="Z107" s="436">
        <f>IF(NFI_Expiration=1,IF($A107&lt;VLOOKUP(I$5,NFI,5,0),1,0)*Table_NFI[[#This Row],[NFI Core Kit]],Table_NFI[NFI Core Kit])</f>
        <v>0</v>
      </c>
      <c r="AA107" s="436">
        <f>IF(NFI_Expiration=1,IF($A107&lt;VLOOKUP(J$5,NFI,5,0),1,0)*Table_NFI[[#This Row],[Sanitary Kit]],Table_NFI[Sanitary Kit])</f>
        <v>0</v>
      </c>
      <c r="AB107" s="436">
        <f>IF(NFI_Expiration=1,IF($A107&lt;VLOOKUP(K$5,NFI,5,0),1,0)*Table_NFI[[#This Row],[Mosquito net]],Table_NFI[Mosquito net])</f>
        <v>0</v>
      </c>
      <c r="AC107" s="436">
        <f>IF(NFI_Expiration=1,IF($A107&lt;VLOOKUP(L$5,NFI,5,0),1,0)*Table_NFI[[#This Row],[Tarpaulin]],Table_NFI[[#This Row],[Tarpaulin]])</f>
        <v>0</v>
      </c>
      <c r="AD107" s="436">
        <f>IF(NFI_Expiration=1,IF($A107&lt;VLOOKUP(M$5,NFI,5,0),1,0)*Table_NFI[[#This Row],[Blanket]],Table_NFI[[#This Row],[Blanket]])</f>
        <v>0</v>
      </c>
      <c r="AE107" s="436">
        <f>IF(NFI_Expiration=1,IF($A107&lt;VLOOKUP(N$5,NFI,5,0),1,0)*Table_NFI[[#This Row],[Kitchen Set]],Table_NFI[Kitchen Set])</f>
        <v>0</v>
      </c>
      <c r="AF107" s="436">
        <f>IF(NFI_Expiration=1,IF($A107&lt;VLOOKUP(O$5,NFI,5,0),1,0)*Table_NFI[[#This Row],[Clothes Kit]],Table_NFI[Clothes Kit])</f>
        <v>0</v>
      </c>
      <c r="AG107" s="436">
        <f>IF(NFI_Expiration=1,IF($A107&lt;VLOOKUP(P$5,NFI,5,0),1,0)*Table_NFI[[#This Row],[Plastic Bucket]],Table_NFI[Plastic Bucket])</f>
        <v>0</v>
      </c>
      <c r="AH107" s="436">
        <f>IF(NFI_Expiration=1,IF($A107&lt;VLOOKUP(Q$5,NFI,5,0),1,0)*Table_NFI[[#This Row],[Plastic Mat]],Table_NFI[Plastic Mat])*IF(Table_NFI[[#This Row],[Distribution Date]]&gt;"2014-04-01",1,2.5)</f>
        <v>0</v>
      </c>
      <c r="AI107" s="436">
        <f>IF(NFI_Expiration=1,IF($A107&lt;VLOOKUP(R$5,NFI,5,0),1,0)*Table_NFI[[#This Row],[Winter Clothes Adult]],Table_NFI[Winter Clothes Adult])</f>
        <v>0</v>
      </c>
      <c r="AJ107" s="436">
        <f>IF(NFI_Expiration=1,IF($A107&lt;VLOOKUP(S$5,NFI,5,0),1,0)*Table_NFI[[#This Row],[Winter Clothes Children]],Table_NFI[Winter Clothes Children])</f>
        <v>0</v>
      </c>
      <c r="AK107" s="436">
        <f>IF(NFI_Expiration=1,IF($A107&lt;VLOOKUP(T$5,NFI,5,0),1,0)*Table_NFI[[#This Row],[Winter Items Other]],Table_NFI[Winter Items Other])</f>
        <v>0</v>
      </c>
      <c r="AL107" s="436">
        <f>IF(NFI_Expiration=1,IF($A107&lt;VLOOKUP(M$5,NFI,5,0),1,0)*Table_NFI[[#This Row],[Winter Blanket]],Table_NFI[[#This Row],[Winter Blanket]])</f>
        <v>0</v>
      </c>
      <c r="AM107" s="436">
        <f>IF(Table_NFI[[#This Row],[Winter Clothes Adult]]+Table_NFI[[#This Row],[Winter Clothes Children]]+Table_NFI[[#This Row],[Winter Items Other]]+Table_NFI[[#This Row],[Winter Blanket]]&gt;0,1,0)</f>
        <v>0</v>
      </c>
      <c r="AN107" s="439">
        <f>IF(NFI_Expiration=1,IF($A107&lt;VLOOKUP(V$5,NFI,5,0),1,0)*Table_NFI[[#This Row],[Jerry Can]],Table_NFI[Jerry Can])</f>
        <v>0</v>
      </c>
      <c r="AO107" s="771" t="str">
        <f>IFERROR(VLOOKUP(Table_NFI[[#This Row],[Camp Name]],CL,2,0),"")</f>
        <v>MMR001CMP103</v>
      </c>
      <c r="AP107" s="772">
        <f ca="1">IF(Table_NFI[[#This Row],[Pcode]]="","",IF(OFFSET(CampList[Opening Date],MATCH(Table_NFI[[#This Row],[Pcode]],CampList[CP_Pcode],0)-1,0,1,1)&gt;=NFI_Monitor_Date,1,0))</f>
        <v>0</v>
      </c>
      <c r="AQ107" s="781" t="str">
        <f>IFERROR(VLOOKUP(Table_NFI[[#This Row],[Camp Name]],CL,3,0),"")</f>
        <v>Open</v>
      </c>
      <c r="AR107" s="439" t="str">
        <f ca="1">IF(Table_NFI[[#This Row],[Pcode]]="","",OFFSET(CampList[Priority],MATCH(Table_NFI[[#This Row],[Pcode]],CampList[CP_Pcode],0)-1,0,1,1))</f>
        <v>P4</v>
      </c>
      <c r="AS107" s="438">
        <f>IFERROR(Table_NFI[[#This Row],[Kitchen Set]]/VLOOKUP(Table_NFI[[#This Row],[Camp Name]],CL,4,0),"")</f>
        <v>0.66666666666666663</v>
      </c>
      <c r="AT107" s="769"/>
      <c r="AU107" s="773" t="s">
        <v>1117</v>
      </c>
    </row>
    <row r="108" spans="1:47" s="774" customFormat="1" x14ac:dyDescent="0.25">
      <c r="A108" s="451">
        <f t="shared" si="1"/>
        <v>14.233333333333333</v>
      </c>
      <c r="B108" s="768">
        <v>41943</v>
      </c>
      <c r="C108" s="769" t="s">
        <v>454</v>
      </c>
      <c r="D108" s="769"/>
      <c r="E108" s="769" t="s">
        <v>380</v>
      </c>
      <c r="F108" s="769" t="s">
        <v>529</v>
      </c>
      <c r="G108" s="769" t="s">
        <v>118</v>
      </c>
      <c r="H108" s="436"/>
      <c r="I108" s="436"/>
      <c r="J108" s="436">
        <v>12</v>
      </c>
      <c r="K108" s="436">
        <v>24</v>
      </c>
      <c r="L108" s="437">
        <v>12</v>
      </c>
      <c r="M108" s="437">
        <v>24</v>
      </c>
      <c r="N108" s="437">
        <v>12</v>
      </c>
      <c r="O108" s="437"/>
      <c r="P108" s="439">
        <v>12</v>
      </c>
      <c r="Q108" s="439">
        <v>60</v>
      </c>
      <c r="R108" s="436"/>
      <c r="S108" s="436"/>
      <c r="T108" s="436"/>
      <c r="U108" s="436"/>
      <c r="V108" s="436"/>
      <c r="W108" s="436"/>
      <c r="X108" s="436"/>
      <c r="Y108" s="436">
        <f>IF(NFI_Expiration=1,IF($A108&lt;VLOOKUP(H$5,NFI,5,0),1,0)*Table_NFI[[#This Row],[Hygiene Kit]],Table_NFI[Hygiene Kit])</f>
        <v>0</v>
      </c>
      <c r="Z108" s="436">
        <f>IF(NFI_Expiration=1,IF($A108&lt;VLOOKUP(I$5,NFI,5,0),1,0)*Table_NFI[[#This Row],[NFI Core Kit]],Table_NFI[NFI Core Kit])</f>
        <v>0</v>
      </c>
      <c r="AA108" s="436">
        <f>IF(NFI_Expiration=1,IF($A108&lt;VLOOKUP(J$5,NFI,5,0),1,0)*Table_NFI[[#This Row],[Sanitary Kit]],Table_NFI[Sanitary Kit])</f>
        <v>0</v>
      </c>
      <c r="AB108" s="436">
        <f>IF(NFI_Expiration=1,IF($A108&lt;VLOOKUP(K$5,NFI,5,0),1,0)*Table_NFI[[#This Row],[Mosquito net]],Table_NFI[Mosquito net])</f>
        <v>0</v>
      </c>
      <c r="AC108" s="436">
        <f>IF(NFI_Expiration=1,IF($A108&lt;VLOOKUP(L$5,NFI,5,0),1,0)*Table_NFI[[#This Row],[Tarpaulin]],Table_NFI[[#This Row],[Tarpaulin]])</f>
        <v>0</v>
      </c>
      <c r="AD108" s="436">
        <f>IF(NFI_Expiration=1,IF($A108&lt;VLOOKUP(M$5,NFI,5,0),1,0)*Table_NFI[[#This Row],[Blanket]],Table_NFI[[#This Row],[Blanket]])</f>
        <v>0</v>
      </c>
      <c r="AE108" s="436">
        <f>IF(NFI_Expiration=1,IF($A108&lt;VLOOKUP(N$5,NFI,5,0),1,0)*Table_NFI[[#This Row],[Kitchen Set]],Table_NFI[Kitchen Set])</f>
        <v>0</v>
      </c>
      <c r="AF108" s="436">
        <f>IF(NFI_Expiration=1,IF($A108&lt;VLOOKUP(O$5,NFI,5,0),1,0)*Table_NFI[[#This Row],[Clothes Kit]],Table_NFI[Clothes Kit])</f>
        <v>0</v>
      </c>
      <c r="AG108" s="436">
        <f>IF(NFI_Expiration=1,IF($A108&lt;VLOOKUP(P$5,NFI,5,0),1,0)*Table_NFI[[#This Row],[Plastic Bucket]],Table_NFI[Plastic Bucket])</f>
        <v>0</v>
      </c>
      <c r="AH108" s="436">
        <f>IF(NFI_Expiration=1,IF($A108&lt;VLOOKUP(Q$5,NFI,5,0),1,0)*Table_NFI[[#This Row],[Plastic Mat]],Table_NFI[Plastic Mat])*IF(Table_NFI[[#This Row],[Distribution Date]]&gt;"2014-04-01",1,2.5)</f>
        <v>0</v>
      </c>
      <c r="AI108" s="436">
        <f>IF(NFI_Expiration=1,IF($A108&lt;VLOOKUP(R$5,NFI,5,0),1,0)*Table_NFI[[#This Row],[Winter Clothes Adult]],Table_NFI[Winter Clothes Adult])</f>
        <v>0</v>
      </c>
      <c r="AJ108" s="436">
        <f>IF(NFI_Expiration=1,IF($A108&lt;VLOOKUP(S$5,NFI,5,0),1,0)*Table_NFI[[#This Row],[Winter Clothes Children]],Table_NFI[Winter Clothes Children])</f>
        <v>0</v>
      </c>
      <c r="AK108" s="436">
        <f>IF(NFI_Expiration=1,IF($A108&lt;VLOOKUP(T$5,NFI,5,0),1,0)*Table_NFI[[#This Row],[Winter Items Other]],Table_NFI[Winter Items Other])</f>
        <v>0</v>
      </c>
      <c r="AL108" s="436">
        <f>IF(NFI_Expiration=1,IF($A108&lt;VLOOKUP(M$5,NFI,5,0),1,0)*Table_NFI[[#This Row],[Winter Blanket]],Table_NFI[[#This Row],[Winter Blanket]])</f>
        <v>0</v>
      </c>
      <c r="AM108" s="436">
        <f>IF(Table_NFI[[#This Row],[Winter Clothes Adult]]+Table_NFI[[#This Row],[Winter Clothes Children]]+Table_NFI[[#This Row],[Winter Items Other]]+Table_NFI[[#This Row],[Winter Blanket]]&gt;0,1,0)</f>
        <v>0</v>
      </c>
      <c r="AN108" s="439">
        <f>IF(NFI_Expiration=1,IF($A108&lt;VLOOKUP(V$5,NFI,5,0),1,0)*Table_NFI[[#This Row],[Jerry Can]],Table_NFI[Jerry Can])</f>
        <v>0</v>
      </c>
      <c r="AO108" s="771" t="str">
        <f>IFERROR(VLOOKUP(Table_NFI[[#This Row],[Camp Name]],CL,2,0),"")</f>
        <v>MMR001CMP182</v>
      </c>
      <c r="AP108" s="772">
        <f ca="1">IF(Table_NFI[[#This Row],[Pcode]]="","",IF(OFFSET(CampList[Opening Date],MATCH(Table_NFI[[#This Row],[Pcode]],CampList[CP_Pcode],0)-1,0,1,1)&gt;=NFI_Monitor_Date,1,0))</f>
        <v>0</v>
      </c>
      <c r="AQ108" s="781" t="str">
        <f>IFERROR(VLOOKUP(Table_NFI[[#This Row],[Camp Name]],CL,3,0),"")</f>
        <v>Open</v>
      </c>
      <c r="AR108" s="439" t="str">
        <f ca="1">IF(Table_NFI[[#This Row],[Pcode]]="","",OFFSET(CampList[Priority],MATCH(Table_NFI[[#This Row],[Pcode]],CampList[CP_Pcode],0)-1,0,1,1))</f>
        <v>P4</v>
      </c>
      <c r="AS108" s="438">
        <f>IFERROR(Table_NFI[[#This Row],[Kitchen Set]]/VLOOKUP(Table_NFI[[#This Row],[Camp Name]],CL,4,0),"")</f>
        <v>1.2</v>
      </c>
      <c r="AT108" s="769"/>
      <c r="AU108" s="773"/>
    </row>
    <row r="109" spans="1:47" s="136" customFormat="1" x14ac:dyDescent="0.25">
      <c r="A109" s="451">
        <f t="shared" si="1"/>
        <v>14.233333333333333</v>
      </c>
      <c r="B109" s="768">
        <v>41943</v>
      </c>
      <c r="C109" s="769" t="s">
        <v>454</v>
      </c>
      <c r="D109" s="769"/>
      <c r="E109" s="769" t="s">
        <v>380</v>
      </c>
      <c r="F109" s="769" t="s">
        <v>529</v>
      </c>
      <c r="G109" s="769" t="s">
        <v>124</v>
      </c>
      <c r="H109" s="436"/>
      <c r="I109" s="436"/>
      <c r="J109" s="436">
        <v>9</v>
      </c>
      <c r="K109" s="436">
        <v>18</v>
      </c>
      <c r="L109" s="437">
        <v>9</v>
      </c>
      <c r="M109" s="437">
        <v>18</v>
      </c>
      <c r="N109" s="437">
        <v>9</v>
      </c>
      <c r="O109" s="437"/>
      <c r="P109" s="439">
        <v>9</v>
      </c>
      <c r="Q109" s="439">
        <v>45</v>
      </c>
      <c r="R109" s="436"/>
      <c r="S109" s="436"/>
      <c r="T109" s="436"/>
      <c r="U109" s="436"/>
      <c r="V109" s="436"/>
      <c r="W109" s="436"/>
      <c r="X109" s="436"/>
      <c r="Y109" s="436">
        <f>IF(NFI_Expiration=1,IF($A109&lt;VLOOKUP(H$5,NFI,5,0),1,0)*Table_NFI[[#This Row],[Hygiene Kit]],Table_NFI[Hygiene Kit])</f>
        <v>0</v>
      </c>
      <c r="Z109" s="436">
        <f>IF(NFI_Expiration=1,IF($A109&lt;VLOOKUP(I$5,NFI,5,0),1,0)*Table_NFI[[#This Row],[NFI Core Kit]],Table_NFI[NFI Core Kit])</f>
        <v>0</v>
      </c>
      <c r="AA109" s="436">
        <f>IF(NFI_Expiration=1,IF($A109&lt;VLOOKUP(J$5,NFI,5,0),1,0)*Table_NFI[[#This Row],[Sanitary Kit]],Table_NFI[Sanitary Kit])</f>
        <v>0</v>
      </c>
      <c r="AB109" s="436">
        <f>IF(NFI_Expiration=1,IF($A109&lt;VLOOKUP(K$5,NFI,5,0),1,0)*Table_NFI[[#This Row],[Mosquito net]],Table_NFI[Mosquito net])</f>
        <v>0</v>
      </c>
      <c r="AC109" s="436">
        <f>IF(NFI_Expiration=1,IF($A109&lt;VLOOKUP(L$5,NFI,5,0),1,0)*Table_NFI[[#This Row],[Tarpaulin]],Table_NFI[[#This Row],[Tarpaulin]])</f>
        <v>0</v>
      </c>
      <c r="AD109" s="436">
        <f>IF(NFI_Expiration=1,IF($A109&lt;VLOOKUP(M$5,NFI,5,0),1,0)*Table_NFI[[#This Row],[Blanket]],Table_NFI[[#This Row],[Blanket]])</f>
        <v>0</v>
      </c>
      <c r="AE109" s="436">
        <f>IF(NFI_Expiration=1,IF($A109&lt;VLOOKUP(N$5,NFI,5,0),1,0)*Table_NFI[[#This Row],[Kitchen Set]],Table_NFI[Kitchen Set])</f>
        <v>0</v>
      </c>
      <c r="AF109" s="436">
        <f>IF(NFI_Expiration=1,IF($A109&lt;VLOOKUP(O$5,NFI,5,0),1,0)*Table_NFI[[#This Row],[Clothes Kit]],Table_NFI[Clothes Kit])</f>
        <v>0</v>
      </c>
      <c r="AG109" s="436">
        <f>IF(NFI_Expiration=1,IF($A109&lt;VLOOKUP(P$5,NFI,5,0),1,0)*Table_NFI[[#This Row],[Plastic Bucket]],Table_NFI[Plastic Bucket])</f>
        <v>0</v>
      </c>
      <c r="AH109" s="436">
        <f>IF(NFI_Expiration=1,IF($A109&lt;VLOOKUP(Q$5,NFI,5,0),1,0)*Table_NFI[[#This Row],[Plastic Mat]],Table_NFI[Plastic Mat])*IF(Table_NFI[[#This Row],[Distribution Date]]&gt;"2014-04-01",1,2.5)</f>
        <v>0</v>
      </c>
      <c r="AI109" s="436">
        <f>IF(NFI_Expiration=1,IF($A109&lt;VLOOKUP(R$5,NFI,5,0),1,0)*Table_NFI[[#This Row],[Winter Clothes Adult]],Table_NFI[Winter Clothes Adult])</f>
        <v>0</v>
      </c>
      <c r="AJ109" s="436">
        <f>IF(NFI_Expiration=1,IF($A109&lt;VLOOKUP(S$5,NFI,5,0),1,0)*Table_NFI[[#This Row],[Winter Clothes Children]],Table_NFI[Winter Clothes Children])</f>
        <v>0</v>
      </c>
      <c r="AK109" s="436">
        <f>IF(NFI_Expiration=1,IF($A109&lt;VLOOKUP(T$5,NFI,5,0),1,0)*Table_NFI[[#This Row],[Winter Items Other]],Table_NFI[Winter Items Other])</f>
        <v>0</v>
      </c>
      <c r="AL109" s="436">
        <f>IF(NFI_Expiration=1,IF($A109&lt;VLOOKUP(M$5,NFI,5,0),1,0)*Table_NFI[[#This Row],[Winter Blanket]],Table_NFI[[#This Row],[Winter Blanket]])</f>
        <v>0</v>
      </c>
      <c r="AM109" s="436">
        <f>IF(Table_NFI[[#This Row],[Winter Clothes Adult]]+Table_NFI[[#This Row],[Winter Clothes Children]]+Table_NFI[[#This Row],[Winter Items Other]]+Table_NFI[[#This Row],[Winter Blanket]]&gt;0,1,0)</f>
        <v>0</v>
      </c>
      <c r="AN109" s="439">
        <f>IF(NFI_Expiration=1,IF($A109&lt;VLOOKUP(V$5,NFI,5,0),1,0)*Table_NFI[[#This Row],[Jerry Can]],Table_NFI[Jerry Can])</f>
        <v>0</v>
      </c>
      <c r="AO109" s="771" t="str">
        <f>IFERROR(VLOOKUP(Table_NFI[[#This Row],[Camp Name]],CL,2,0),"")</f>
        <v>MMR001CMP183</v>
      </c>
      <c r="AP109" s="772">
        <f ca="1">IF(Table_NFI[[#This Row],[Pcode]]="","",IF(OFFSET(CampList[Opening Date],MATCH(Table_NFI[[#This Row],[Pcode]],CampList[CP_Pcode],0)-1,0,1,1)&gt;=NFI_Monitor_Date,1,0))</f>
        <v>0</v>
      </c>
      <c r="AQ109" s="781" t="str">
        <f>IFERROR(VLOOKUP(Table_NFI[[#This Row],[Camp Name]],CL,3,0),"")</f>
        <v>Open</v>
      </c>
      <c r="AR109" s="439" t="str">
        <f ca="1">IF(Table_NFI[[#This Row],[Pcode]]="","",OFFSET(CampList[Priority],MATCH(Table_NFI[[#This Row],[Pcode]],CampList[CP_Pcode],0)-1,0,1,1))</f>
        <v>P4</v>
      </c>
      <c r="AS109" s="438">
        <f>IFERROR(Table_NFI[[#This Row],[Kitchen Set]]/VLOOKUP(Table_NFI[[#This Row],[Camp Name]],CL,4,0),"")</f>
        <v>1.125</v>
      </c>
      <c r="AT109" s="769"/>
      <c r="AU109" s="773"/>
    </row>
    <row r="110" spans="1:47" s="774" customFormat="1" x14ac:dyDescent="0.25">
      <c r="A110" s="451">
        <f t="shared" si="1"/>
        <v>14.233333333333333</v>
      </c>
      <c r="B110" s="768">
        <v>41943</v>
      </c>
      <c r="C110" s="769" t="s">
        <v>454</v>
      </c>
      <c r="D110" s="769"/>
      <c r="E110" s="769" t="s">
        <v>380</v>
      </c>
      <c r="F110" s="769" t="s">
        <v>529</v>
      </c>
      <c r="G110" s="769" t="s">
        <v>126</v>
      </c>
      <c r="H110" s="436"/>
      <c r="I110" s="436"/>
      <c r="J110" s="436">
        <v>38</v>
      </c>
      <c r="K110" s="436">
        <v>76</v>
      </c>
      <c r="L110" s="437">
        <v>38</v>
      </c>
      <c r="M110" s="437">
        <v>76</v>
      </c>
      <c r="N110" s="437">
        <v>38</v>
      </c>
      <c r="O110" s="437"/>
      <c r="P110" s="439">
        <v>38</v>
      </c>
      <c r="Q110" s="439">
        <v>190</v>
      </c>
      <c r="R110" s="436"/>
      <c r="S110" s="436"/>
      <c r="T110" s="436"/>
      <c r="U110" s="436"/>
      <c r="V110" s="436"/>
      <c r="W110" s="436"/>
      <c r="X110" s="436"/>
      <c r="Y110" s="436">
        <f>IF(NFI_Expiration=1,IF($A110&lt;VLOOKUP(H$5,NFI,5,0),1,0)*Table_NFI[[#This Row],[Hygiene Kit]],Table_NFI[Hygiene Kit])</f>
        <v>0</v>
      </c>
      <c r="Z110" s="436">
        <f>IF(NFI_Expiration=1,IF($A110&lt;VLOOKUP(I$5,NFI,5,0),1,0)*Table_NFI[[#This Row],[NFI Core Kit]],Table_NFI[NFI Core Kit])</f>
        <v>0</v>
      </c>
      <c r="AA110" s="436">
        <f>IF(NFI_Expiration=1,IF($A110&lt;VLOOKUP(J$5,NFI,5,0),1,0)*Table_NFI[[#This Row],[Sanitary Kit]],Table_NFI[Sanitary Kit])</f>
        <v>0</v>
      </c>
      <c r="AB110" s="436">
        <f>IF(NFI_Expiration=1,IF($A110&lt;VLOOKUP(K$5,NFI,5,0),1,0)*Table_NFI[[#This Row],[Mosquito net]],Table_NFI[Mosquito net])</f>
        <v>0</v>
      </c>
      <c r="AC110" s="436">
        <f>IF(NFI_Expiration=1,IF($A110&lt;VLOOKUP(L$5,NFI,5,0),1,0)*Table_NFI[[#This Row],[Tarpaulin]],Table_NFI[[#This Row],[Tarpaulin]])</f>
        <v>0</v>
      </c>
      <c r="AD110" s="436">
        <f>IF(NFI_Expiration=1,IF($A110&lt;VLOOKUP(M$5,NFI,5,0),1,0)*Table_NFI[[#This Row],[Blanket]],Table_NFI[[#This Row],[Blanket]])</f>
        <v>0</v>
      </c>
      <c r="AE110" s="436">
        <f>IF(NFI_Expiration=1,IF($A110&lt;VLOOKUP(N$5,NFI,5,0),1,0)*Table_NFI[[#This Row],[Kitchen Set]],Table_NFI[Kitchen Set])</f>
        <v>0</v>
      </c>
      <c r="AF110" s="436">
        <f>IF(NFI_Expiration=1,IF($A110&lt;VLOOKUP(O$5,NFI,5,0),1,0)*Table_NFI[[#This Row],[Clothes Kit]],Table_NFI[Clothes Kit])</f>
        <v>0</v>
      </c>
      <c r="AG110" s="436">
        <f>IF(NFI_Expiration=1,IF($A110&lt;VLOOKUP(P$5,NFI,5,0),1,0)*Table_NFI[[#This Row],[Plastic Bucket]],Table_NFI[Plastic Bucket])</f>
        <v>0</v>
      </c>
      <c r="AH110" s="436">
        <f>IF(NFI_Expiration=1,IF($A110&lt;VLOOKUP(Q$5,NFI,5,0),1,0)*Table_NFI[[#This Row],[Plastic Mat]],Table_NFI[Plastic Mat])*IF(Table_NFI[[#This Row],[Distribution Date]]&gt;"2014-04-01",1,2.5)</f>
        <v>0</v>
      </c>
      <c r="AI110" s="436">
        <f>IF(NFI_Expiration=1,IF($A110&lt;VLOOKUP(R$5,NFI,5,0),1,0)*Table_NFI[[#This Row],[Winter Clothes Adult]],Table_NFI[Winter Clothes Adult])</f>
        <v>0</v>
      </c>
      <c r="AJ110" s="436">
        <f>IF(NFI_Expiration=1,IF($A110&lt;VLOOKUP(S$5,NFI,5,0),1,0)*Table_NFI[[#This Row],[Winter Clothes Children]],Table_NFI[Winter Clothes Children])</f>
        <v>0</v>
      </c>
      <c r="AK110" s="436">
        <f>IF(NFI_Expiration=1,IF($A110&lt;VLOOKUP(T$5,NFI,5,0),1,0)*Table_NFI[[#This Row],[Winter Items Other]],Table_NFI[Winter Items Other])</f>
        <v>0</v>
      </c>
      <c r="AL110" s="436">
        <f>IF(NFI_Expiration=1,IF($A110&lt;VLOOKUP(M$5,NFI,5,0),1,0)*Table_NFI[[#This Row],[Winter Blanket]],Table_NFI[[#This Row],[Winter Blanket]])</f>
        <v>0</v>
      </c>
      <c r="AM110" s="436">
        <f>IF(Table_NFI[[#This Row],[Winter Clothes Adult]]+Table_NFI[[#This Row],[Winter Clothes Children]]+Table_NFI[[#This Row],[Winter Items Other]]+Table_NFI[[#This Row],[Winter Blanket]]&gt;0,1,0)</f>
        <v>0</v>
      </c>
      <c r="AN110" s="439">
        <f>IF(NFI_Expiration=1,IF($A110&lt;VLOOKUP(V$5,NFI,5,0),1,0)*Table_NFI[[#This Row],[Jerry Can]],Table_NFI[Jerry Can])</f>
        <v>0</v>
      </c>
      <c r="AO110" s="771" t="str">
        <f>IFERROR(VLOOKUP(Table_NFI[[#This Row],[Camp Name]],CL,2,0),"")</f>
        <v>MMR001CMP184</v>
      </c>
      <c r="AP110" s="772">
        <f ca="1">IF(Table_NFI[[#This Row],[Pcode]]="","",IF(OFFSET(CampList[Opening Date],MATCH(Table_NFI[[#This Row],[Pcode]],CampList[CP_Pcode],0)-1,0,1,1)&gt;=NFI_Monitor_Date,1,0))</f>
        <v>0</v>
      </c>
      <c r="AQ110" s="781" t="str">
        <f>IFERROR(VLOOKUP(Table_NFI[[#This Row],[Camp Name]],CL,3,0),"")</f>
        <v>Open</v>
      </c>
      <c r="AR110" s="439" t="str">
        <f ca="1">IF(Table_NFI[[#This Row],[Pcode]]="","",OFFSET(CampList[Priority],MATCH(Table_NFI[[#This Row],[Pcode]],CampList[CP_Pcode],0)-1,0,1,1))</f>
        <v>P4</v>
      </c>
      <c r="AS110" s="438">
        <f>IFERROR(Table_NFI[[#This Row],[Kitchen Set]]/VLOOKUP(Table_NFI[[#This Row],[Camp Name]],CL,4,0),"")</f>
        <v>0.92682926829268297</v>
      </c>
      <c r="AT110" s="769"/>
      <c r="AU110" s="773"/>
    </row>
    <row r="111" spans="1:47" s="774" customFormat="1" x14ac:dyDescent="0.25">
      <c r="A111" s="451">
        <f t="shared" si="1"/>
        <v>14.233333333333333</v>
      </c>
      <c r="B111" s="768">
        <v>41943</v>
      </c>
      <c r="C111" s="769" t="s">
        <v>454</v>
      </c>
      <c r="D111" s="769"/>
      <c r="E111" s="769" t="s">
        <v>380</v>
      </c>
      <c r="F111" s="769" t="s">
        <v>529</v>
      </c>
      <c r="G111" s="769" t="s">
        <v>140</v>
      </c>
      <c r="H111" s="436"/>
      <c r="I111" s="436"/>
      <c r="J111" s="436">
        <v>10</v>
      </c>
      <c r="K111" s="436">
        <v>20</v>
      </c>
      <c r="L111" s="437">
        <v>10</v>
      </c>
      <c r="M111" s="437">
        <v>20</v>
      </c>
      <c r="N111" s="437">
        <v>10</v>
      </c>
      <c r="O111" s="437"/>
      <c r="P111" s="439">
        <v>10</v>
      </c>
      <c r="Q111" s="439">
        <v>50</v>
      </c>
      <c r="R111" s="436"/>
      <c r="S111" s="436"/>
      <c r="T111" s="436"/>
      <c r="U111" s="436"/>
      <c r="V111" s="436"/>
      <c r="W111" s="436"/>
      <c r="X111" s="436"/>
      <c r="Y111" s="436">
        <f>IF(NFI_Expiration=1,IF($A111&lt;VLOOKUP(H$5,NFI,5,0),1,0)*Table_NFI[[#This Row],[Hygiene Kit]],Table_NFI[Hygiene Kit])</f>
        <v>0</v>
      </c>
      <c r="Z111" s="436">
        <f>IF(NFI_Expiration=1,IF($A111&lt;VLOOKUP(I$5,NFI,5,0),1,0)*Table_NFI[[#This Row],[NFI Core Kit]],Table_NFI[NFI Core Kit])</f>
        <v>0</v>
      </c>
      <c r="AA111" s="436">
        <f>IF(NFI_Expiration=1,IF($A111&lt;VLOOKUP(J$5,NFI,5,0),1,0)*Table_NFI[[#This Row],[Sanitary Kit]],Table_NFI[Sanitary Kit])</f>
        <v>0</v>
      </c>
      <c r="AB111" s="436">
        <f>IF(NFI_Expiration=1,IF($A111&lt;VLOOKUP(K$5,NFI,5,0),1,0)*Table_NFI[[#This Row],[Mosquito net]],Table_NFI[Mosquito net])</f>
        <v>0</v>
      </c>
      <c r="AC111" s="436">
        <f>IF(NFI_Expiration=1,IF($A111&lt;VLOOKUP(L$5,NFI,5,0),1,0)*Table_NFI[[#This Row],[Tarpaulin]],Table_NFI[[#This Row],[Tarpaulin]])</f>
        <v>0</v>
      </c>
      <c r="AD111" s="436">
        <f>IF(NFI_Expiration=1,IF($A111&lt;VLOOKUP(M$5,NFI,5,0),1,0)*Table_NFI[[#This Row],[Blanket]],Table_NFI[[#This Row],[Blanket]])</f>
        <v>0</v>
      </c>
      <c r="AE111" s="436">
        <f>IF(NFI_Expiration=1,IF($A111&lt;VLOOKUP(N$5,NFI,5,0),1,0)*Table_NFI[[#This Row],[Kitchen Set]],Table_NFI[Kitchen Set])</f>
        <v>0</v>
      </c>
      <c r="AF111" s="436">
        <f>IF(NFI_Expiration=1,IF($A111&lt;VLOOKUP(O$5,NFI,5,0),1,0)*Table_NFI[[#This Row],[Clothes Kit]],Table_NFI[Clothes Kit])</f>
        <v>0</v>
      </c>
      <c r="AG111" s="436">
        <f>IF(NFI_Expiration=1,IF($A111&lt;VLOOKUP(P$5,NFI,5,0),1,0)*Table_NFI[[#This Row],[Plastic Bucket]],Table_NFI[Plastic Bucket])</f>
        <v>0</v>
      </c>
      <c r="AH111" s="436">
        <f>IF(NFI_Expiration=1,IF($A111&lt;VLOOKUP(Q$5,NFI,5,0),1,0)*Table_NFI[[#This Row],[Plastic Mat]],Table_NFI[Plastic Mat])*IF(Table_NFI[[#This Row],[Distribution Date]]&gt;"2014-04-01",1,2.5)</f>
        <v>0</v>
      </c>
      <c r="AI111" s="436">
        <f>IF(NFI_Expiration=1,IF($A111&lt;VLOOKUP(R$5,NFI,5,0),1,0)*Table_NFI[[#This Row],[Winter Clothes Adult]],Table_NFI[Winter Clothes Adult])</f>
        <v>0</v>
      </c>
      <c r="AJ111" s="436">
        <f>IF(NFI_Expiration=1,IF($A111&lt;VLOOKUP(S$5,NFI,5,0),1,0)*Table_NFI[[#This Row],[Winter Clothes Children]],Table_NFI[Winter Clothes Children])</f>
        <v>0</v>
      </c>
      <c r="AK111" s="436">
        <f>IF(NFI_Expiration=1,IF($A111&lt;VLOOKUP(T$5,NFI,5,0),1,0)*Table_NFI[[#This Row],[Winter Items Other]],Table_NFI[Winter Items Other])</f>
        <v>0</v>
      </c>
      <c r="AL111" s="436">
        <f>IF(NFI_Expiration=1,IF($A111&lt;VLOOKUP(M$5,NFI,5,0),1,0)*Table_NFI[[#This Row],[Winter Blanket]],Table_NFI[[#This Row],[Winter Blanket]])</f>
        <v>0</v>
      </c>
      <c r="AM111" s="436">
        <f>IF(Table_NFI[[#This Row],[Winter Clothes Adult]]+Table_NFI[[#This Row],[Winter Clothes Children]]+Table_NFI[[#This Row],[Winter Items Other]]+Table_NFI[[#This Row],[Winter Blanket]]&gt;0,1,0)</f>
        <v>0</v>
      </c>
      <c r="AN111" s="439">
        <f>IF(NFI_Expiration=1,IF($A111&lt;VLOOKUP(V$5,NFI,5,0),1,0)*Table_NFI[[#This Row],[Jerry Can]],Table_NFI[Jerry Can])</f>
        <v>0</v>
      </c>
      <c r="AO111" s="771" t="str">
        <f>IFERROR(VLOOKUP(Table_NFI[[#This Row],[Camp Name]],CL,2,0),"")</f>
        <v>MMR001CMP105</v>
      </c>
      <c r="AP111" s="772">
        <f ca="1">IF(Table_NFI[[#This Row],[Pcode]]="","",IF(OFFSET(CampList[Opening Date],MATCH(Table_NFI[[#This Row],[Pcode]],CampList[CP_Pcode],0)-1,0,1,1)&gt;=NFI_Monitor_Date,1,0))</f>
        <v>0</v>
      </c>
      <c r="AQ111" s="781" t="str">
        <f>IFERROR(VLOOKUP(Table_NFI[[#This Row],[Camp Name]],CL,3,0),"")</f>
        <v>Open</v>
      </c>
      <c r="AR111" s="439" t="str">
        <f ca="1">IF(Table_NFI[[#This Row],[Pcode]]="","",OFFSET(CampList[Priority],MATCH(Table_NFI[[#This Row],[Pcode]],CampList[CP_Pcode],0)-1,0,1,1))</f>
        <v>P4</v>
      </c>
      <c r="AS111" s="438">
        <f>IFERROR(Table_NFI[[#This Row],[Kitchen Set]]/VLOOKUP(Table_NFI[[#This Row],[Camp Name]],CL,4,0),"")</f>
        <v>0.5</v>
      </c>
      <c r="AT111" s="769"/>
      <c r="AU111" s="773"/>
    </row>
    <row r="112" spans="1:47" s="774" customFormat="1" x14ac:dyDescent="0.25">
      <c r="A112" s="451">
        <f t="shared" si="1"/>
        <v>14.266666666666667</v>
      </c>
      <c r="B112" s="768">
        <v>41942</v>
      </c>
      <c r="C112" s="779" t="s">
        <v>454</v>
      </c>
      <c r="D112" s="779"/>
      <c r="E112" s="779" t="s">
        <v>380</v>
      </c>
      <c r="F112" s="779" t="s">
        <v>5</v>
      </c>
      <c r="G112" s="779" t="s">
        <v>514</v>
      </c>
      <c r="H112" s="437"/>
      <c r="I112" s="437"/>
      <c r="J112" s="437"/>
      <c r="K112" s="437"/>
      <c r="L112" s="437"/>
      <c r="M112" s="437"/>
      <c r="N112" s="437"/>
      <c r="O112" s="437"/>
      <c r="P112" s="439"/>
      <c r="Q112" s="439"/>
      <c r="R112" s="439"/>
      <c r="S112" s="439"/>
      <c r="T112" s="439"/>
      <c r="U112" s="439"/>
      <c r="V112" s="439"/>
      <c r="W112" s="439"/>
      <c r="X112" s="439"/>
      <c r="Y112" s="439">
        <f>IF(NFI_Expiration=1,IF($A112&lt;VLOOKUP(H$5,NFI,5,0),1,0)*Table_NFI[[#This Row],[Hygiene Kit]],Table_NFI[Hygiene Kit])</f>
        <v>0</v>
      </c>
      <c r="Z112" s="439">
        <f>IF(NFI_Expiration=1,IF($A112&lt;VLOOKUP(I$5,NFI,5,0),1,0)*Table_NFI[[#This Row],[NFI Core Kit]],Table_NFI[NFI Core Kit])</f>
        <v>0</v>
      </c>
      <c r="AA112" s="439">
        <f>IF(NFI_Expiration=1,IF($A112&lt;VLOOKUP(J$5,NFI,5,0),1,0)*Table_NFI[[#This Row],[Sanitary Kit]],Table_NFI[Sanitary Kit])</f>
        <v>0</v>
      </c>
      <c r="AB112" s="439">
        <f>IF(NFI_Expiration=1,IF($A112&lt;VLOOKUP(K$5,NFI,5,0),1,0)*Table_NFI[[#This Row],[Mosquito net]],Table_NFI[Mosquito net])</f>
        <v>0</v>
      </c>
      <c r="AC112" s="439">
        <f>IF(NFI_Expiration=1,IF($A112&lt;VLOOKUP(L$5,NFI,5,0),1,0)*Table_NFI[[#This Row],[Tarpaulin]],Table_NFI[[#This Row],[Tarpaulin]])</f>
        <v>0</v>
      </c>
      <c r="AD112" s="439">
        <f>IF(NFI_Expiration=1,IF($A112&lt;VLOOKUP(M$5,NFI,5,0),1,0)*Table_NFI[[#This Row],[Blanket]],Table_NFI[[#This Row],[Blanket]])</f>
        <v>0</v>
      </c>
      <c r="AE112" s="439">
        <f>IF(NFI_Expiration=1,IF($A112&lt;VLOOKUP(N$5,NFI,5,0),1,0)*Table_NFI[[#This Row],[Kitchen Set]],Table_NFI[Kitchen Set])</f>
        <v>0</v>
      </c>
      <c r="AF112" s="439">
        <f>IF(NFI_Expiration=1,IF($A112&lt;VLOOKUP(O$5,NFI,5,0),1,0)*Table_NFI[[#This Row],[Clothes Kit]],Table_NFI[Clothes Kit])</f>
        <v>0</v>
      </c>
      <c r="AG112" s="439">
        <f>IF(NFI_Expiration=1,IF($A112&lt;VLOOKUP(P$5,NFI,5,0),1,0)*Table_NFI[[#This Row],[Plastic Bucket]],Table_NFI[Plastic Bucket])</f>
        <v>0</v>
      </c>
      <c r="AH112" s="439">
        <f>IF(NFI_Expiration=1,IF($A112&lt;VLOOKUP(Q$5,NFI,5,0),1,0)*Table_NFI[[#This Row],[Plastic Mat]],Table_NFI[Plastic Mat])*IF(Table_NFI[[#This Row],[Distribution Date]]&gt;"2014-04-01",1,2.5)</f>
        <v>0</v>
      </c>
      <c r="AI112" s="439">
        <f>IF(NFI_Expiration=1,IF($A112&lt;VLOOKUP(R$5,NFI,5,0),1,0)*Table_NFI[[#This Row],[Winter Clothes Adult]],Table_NFI[Winter Clothes Adult])</f>
        <v>0</v>
      </c>
      <c r="AJ112" s="439">
        <f>IF(NFI_Expiration=1,IF($A112&lt;VLOOKUP(S$5,NFI,5,0),1,0)*Table_NFI[[#This Row],[Winter Clothes Children]],Table_NFI[Winter Clothes Children])</f>
        <v>0</v>
      </c>
      <c r="AK112" s="439">
        <f>IF(NFI_Expiration=1,IF($A112&lt;VLOOKUP(T$5,NFI,5,0),1,0)*Table_NFI[[#This Row],[Winter Items Other]],Table_NFI[Winter Items Other])</f>
        <v>0</v>
      </c>
      <c r="AL112" s="439">
        <f>IF(NFI_Expiration=1,IF($A112&lt;VLOOKUP(M$5,NFI,5,0),1,0)*Table_NFI[[#This Row],[Winter Blanket]],Table_NFI[[#This Row],[Winter Blanket]])</f>
        <v>0</v>
      </c>
      <c r="AM112" s="439">
        <f>IF(Table_NFI[[#This Row],[Winter Clothes Adult]]+Table_NFI[[#This Row],[Winter Clothes Children]]+Table_NFI[[#This Row],[Winter Items Other]]+Table_NFI[[#This Row],[Winter Blanket]]&gt;0,1,0)</f>
        <v>0</v>
      </c>
      <c r="AN112" s="439">
        <f>IF(NFI_Expiration=1,IF($A112&lt;VLOOKUP(V$5,NFI,5,0),1,0)*Table_NFI[[#This Row],[Jerry Can]],Table_NFI[Jerry Can])</f>
        <v>0</v>
      </c>
      <c r="AO112" s="781" t="str">
        <f>IFERROR(VLOOKUP(Table_NFI[[#This Row],[Camp Name]],CL,2,0),"")</f>
        <v>MMR001CMP194</v>
      </c>
      <c r="AP112" s="772">
        <f ca="1">IF(Table_NFI[[#This Row],[Pcode]]="","",IF(OFFSET(CampList[Opening Date],MATCH(Table_NFI[[#This Row],[Pcode]],CampList[CP_Pcode],0)-1,0,1,1)&gt;=NFI_Monitor_Date,1,0))</f>
        <v>0</v>
      </c>
      <c r="AQ112" s="781" t="str">
        <f>IFERROR(VLOOKUP(Table_NFI[[#This Row],[Camp Name]],CL,3,0),"")</f>
        <v>Open</v>
      </c>
      <c r="AR112" s="439" t="str">
        <f ca="1">IF(Table_NFI[[#This Row],[Pcode]]="","",OFFSET(CampList[Priority],MATCH(Table_NFI[[#This Row],[Pcode]],CampList[CP_Pcode],0)-1,0,1,1))</f>
        <v>P4</v>
      </c>
      <c r="AS112" s="438">
        <f>IFERROR(Table_NFI[[#This Row],[Kitchen Set]]/VLOOKUP(Table_NFI[[#This Row],[Camp Name]],CL,4,0),"")</f>
        <v>0</v>
      </c>
      <c r="AT112" s="779"/>
      <c r="AU112" s="782"/>
    </row>
    <row r="113" spans="1:47" s="774" customFormat="1" x14ac:dyDescent="0.25">
      <c r="A113" s="451">
        <f t="shared" si="1"/>
        <v>14.433333333333334</v>
      </c>
      <c r="B113" s="768">
        <v>41937</v>
      </c>
      <c r="C113" s="769" t="s">
        <v>1101</v>
      </c>
      <c r="D113" s="769" t="s">
        <v>907</v>
      </c>
      <c r="E113" s="769" t="s">
        <v>380</v>
      </c>
      <c r="F113" s="769" t="s">
        <v>529</v>
      </c>
      <c r="G113" s="769" t="s">
        <v>62</v>
      </c>
      <c r="H113" s="436"/>
      <c r="I113" s="436"/>
      <c r="J113" s="436"/>
      <c r="K113" s="436"/>
      <c r="L113" s="437"/>
      <c r="M113" s="437"/>
      <c r="N113" s="437"/>
      <c r="O113" s="437"/>
      <c r="P113" s="439"/>
      <c r="Q113" s="439"/>
      <c r="R113" s="436">
        <v>229</v>
      </c>
      <c r="S113" s="436">
        <v>126</v>
      </c>
      <c r="T113" s="436"/>
      <c r="U113" s="436"/>
      <c r="V113" s="436"/>
      <c r="W113" s="436"/>
      <c r="X113" s="436"/>
      <c r="Y113" s="436">
        <f>IF(NFI_Expiration=1,IF($A113&lt;VLOOKUP(H$5,NFI,5,0),1,0)*Table_NFI[[#This Row],[Hygiene Kit]],Table_NFI[Hygiene Kit])</f>
        <v>0</v>
      </c>
      <c r="Z113" s="436">
        <f>IF(NFI_Expiration=1,IF($A113&lt;VLOOKUP(I$5,NFI,5,0),1,0)*Table_NFI[[#This Row],[NFI Core Kit]],Table_NFI[NFI Core Kit])</f>
        <v>0</v>
      </c>
      <c r="AA113" s="436">
        <f>IF(NFI_Expiration=1,IF($A113&lt;VLOOKUP(J$5,NFI,5,0),1,0)*Table_NFI[[#This Row],[Sanitary Kit]],Table_NFI[Sanitary Kit])</f>
        <v>0</v>
      </c>
      <c r="AB113" s="436">
        <f>IF(NFI_Expiration=1,IF($A113&lt;VLOOKUP(K$5,NFI,5,0),1,0)*Table_NFI[[#This Row],[Mosquito net]],Table_NFI[Mosquito net])</f>
        <v>0</v>
      </c>
      <c r="AC113" s="436">
        <f>IF(NFI_Expiration=1,IF($A113&lt;VLOOKUP(L$5,NFI,5,0),1,0)*Table_NFI[[#This Row],[Tarpaulin]],Table_NFI[[#This Row],[Tarpaulin]])</f>
        <v>0</v>
      </c>
      <c r="AD113" s="436">
        <f>IF(NFI_Expiration=1,IF($A113&lt;VLOOKUP(M$5,NFI,5,0),1,0)*Table_NFI[[#This Row],[Blanket]],Table_NFI[[#This Row],[Blanket]])</f>
        <v>0</v>
      </c>
      <c r="AE113" s="436">
        <f>IF(NFI_Expiration=1,IF($A113&lt;VLOOKUP(N$5,NFI,5,0),1,0)*Table_NFI[[#This Row],[Kitchen Set]],Table_NFI[Kitchen Set])</f>
        <v>0</v>
      </c>
      <c r="AF113" s="436">
        <f>IF(NFI_Expiration=1,IF($A113&lt;VLOOKUP(O$5,NFI,5,0),1,0)*Table_NFI[[#This Row],[Clothes Kit]],Table_NFI[Clothes Kit])</f>
        <v>0</v>
      </c>
      <c r="AG113" s="436">
        <f>IF(NFI_Expiration=1,IF($A113&lt;VLOOKUP(P$5,NFI,5,0),1,0)*Table_NFI[[#This Row],[Plastic Bucket]],Table_NFI[Plastic Bucket])</f>
        <v>0</v>
      </c>
      <c r="AH113" s="436">
        <f>IF(NFI_Expiration=1,IF($A113&lt;VLOOKUP(Q$5,NFI,5,0),1,0)*Table_NFI[[#This Row],[Plastic Mat]],Table_NFI[Plastic Mat])*IF(Table_NFI[[#This Row],[Distribution Date]]&gt;"2014-04-01",1,2.5)</f>
        <v>0</v>
      </c>
      <c r="AI113" s="436">
        <f>IF(NFI_Expiration=1,IF($A113&lt;VLOOKUP(R$5,NFI,5,0),1,0)*Table_NFI[[#This Row],[Winter Clothes Adult]],Table_NFI[Winter Clothes Adult])</f>
        <v>0</v>
      </c>
      <c r="AJ113" s="436">
        <f>IF(NFI_Expiration=1,IF($A113&lt;VLOOKUP(S$5,NFI,5,0),1,0)*Table_NFI[[#This Row],[Winter Clothes Children]],Table_NFI[Winter Clothes Children])</f>
        <v>0</v>
      </c>
      <c r="AK113" s="436">
        <f>IF(NFI_Expiration=1,IF($A113&lt;VLOOKUP(T$5,NFI,5,0),1,0)*Table_NFI[[#This Row],[Winter Items Other]],Table_NFI[Winter Items Other])</f>
        <v>0</v>
      </c>
      <c r="AL113" s="436">
        <f>IF(NFI_Expiration=1,IF($A113&lt;VLOOKUP(M$5,NFI,5,0),1,0)*Table_NFI[[#This Row],[Winter Blanket]],Table_NFI[[#This Row],[Winter Blanket]])</f>
        <v>0</v>
      </c>
      <c r="AM113" s="436">
        <f>IF(Table_NFI[[#This Row],[Winter Clothes Adult]]+Table_NFI[[#This Row],[Winter Clothes Children]]+Table_NFI[[#This Row],[Winter Items Other]]+Table_NFI[[#This Row],[Winter Blanket]]&gt;0,1,0)</f>
        <v>1</v>
      </c>
      <c r="AN113" s="439">
        <f>IF(NFI_Expiration=1,IF($A113&lt;VLOOKUP(V$5,NFI,5,0),1,0)*Table_NFI[[#This Row],[Jerry Can]],Table_NFI[Jerry Can])</f>
        <v>0</v>
      </c>
      <c r="AO113" s="771" t="str">
        <f>IFERROR(VLOOKUP(Table_NFI[[#This Row],[Camp Name]],CL,2,0),"")</f>
        <v>MMR001CMP179</v>
      </c>
      <c r="AP113" s="772">
        <f ca="1">IF(Table_NFI[[#This Row],[Pcode]]="","",IF(OFFSET(CampList[Opening Date],MATCH(Table_NFI[[#This Row],[Pcode]],CampList[CP_Pcode],0)-1,0,1,1)&gt;=NFI_Monitor_Date,1,0))</f>
        <v>0</v>
      </c>
      <c r="AQ113" s="771" t="str">
        <f>IFERROR(VLOOKUP(Table_NFI[[#This Row],[Camp Name]],CL,3,0),"")</f>
        <v>Open</v>
      </c>
      <c r="AR113" s="436" t="str">
        <f ca="1">IF(Table_NFI[[#This Row],[Pcode]]="","",OFFSET(CampList[Priority],MATCH(Table_NFI[[#This Row],[Pcode]],CampList[CP_Pcode],0)-1,0,1,1))</f>
        <v>P4</v>
      </c>
      <c r="AS113" s="438">
        <f>IFERROR(Table_NFI[[#This Row],[Kitchen Set]]/VLOOKUP(Table_NFI[[#This Row],[Camp Name]],CL,4,0),"")</f>
        <v>0</v>
      </c>
      <c r="AT113" s="769"/>
      <c r="AU113" s="773"/>
    </row>
    <row r="114" spans="1:47" s="136" customFormat="1" x14ac:dyDescent="0.25">
      <c r="A114" s="451">
        <f t="shared" si="1"/>
        <v>14.433333333333334</v>
      </c>
      <c r="B114" s="768">
        <v>41937</v>
      </c>
      <c r="C114" s="769" t="s">
        <v>1101</v>
      </c>
      <c r="D114" s="769" t="s">
        <v>907</v>
      </c>
      <c r="E114" s="769" t="s">
        <v>380</v>
      </c>
      <c r="F114" s="769" t="s">
        <v>529</v>
      </c>
      <c r="G114" s="769" t="s">
        <v>120</v>
      </c>
      <c r="H114" s="436"/>
      <c r="I114" s="436"/>
      <c r="J114" s="436"/>
      <c r="K114" s="436"/>
      <c r="L114" s="437"/>
      <c r="M114" s="437"/>
      <c r="N114" s="437"/>
      <c r="O114" s="437"/>
      <c r="P114" s="439"/>
      <c r="Q114" s="439"/>
      <c r="R114" s="436">
        <v>223</v>
      </c>
      <c r="S114" s="436">
        <v>96</v>
      </c>
      <c r="T114" s="436"/>
      <c r="U114" s="436"/>
      <c r="V114" s="436"/>
      <c r="W114" s="436"/>
      <c r="X114" s="436"/>
      <c r="Y114" s="436">
        <f>IF(NFI_Expiration=1,IF($A114&lt;VLOOKUP(H$5,NFI,5,0),1,0)*Table_NFI[[#This Row],[Hygiene Kit]],Table_NFI[Hygiene Kit])</f>
        <v>0</v>
      </c>
      <c r="Z114" s="436">
        <f>IF(NFI_Expiration=1,IF($A114&lt;VLOOKUP(I$5,NFI,5,0),1,0)*Table_NFI[[#This Row],[NFI Core Kit]],Table_NFI[NFI Core Kit])</f>
        <v>0</v>
      </c>
      <c r="AA114" s="436">
        <f>IF(NFI_Expiration=1,IF($A114&lt;VLOOKUP(J$5,NFI,5,0),1,0)*Table_NFI[[#This Row],[Sanitary Kit]],Table_NFI[Sanitary Kit])</f>
        <v>0</v>
      </c>
      <c r="AB114" s="436">
        <f>IF(NFI_Expiration=1,IF($A114&lt;VLOOKUP(K$5,NFI,5,0),1,0)*Table_NFI[[#This Row],[Mosquito net]],Table_NFI[Mosquito net])</f>
        <v>0</v>
      </c>
      <c r="AC114" s="436">
        <f>IF(NFI_Expiration=1,IF($A114&lt;VLOOKUP(L$5,NFI,5,0),1,0)*Table_NFI[[#This Row],[Tarpaulin]],Table_NFI[[#This Row],[Tarpaulin]])</f>
        <v>0</v>
      </c>
      <c r="AD114" s="436">
        <f>IF(NFI_Expiration=1,IF($A114&lt;VLOOKUP(M$5,NFI,5,0),1,0)*Table_NFI[[#This Row],[Blanket]],Table_NFI[[#This Row],[Blanket]])</f>
        <v>0</v>
      </c>
      <c r="AE114" s="436">
        <f>IF(NFI_Expiration=1,IF($A114&lt;VLOOKUP(N$5,NFI,5,0),1,0)*Table_NFI[[#This Row],[Kitchen Set]],Table_NFI[Kitchen Set])</f>
        <v>0</v>
      </c>
      <c r="AF114" s="436">
        <f>IF(NFI_Expiration=1,IF($A114&lt;VLOOKUP(O$5,NFI,5,0),1,0)*Table_NFI[[#This Row],[Clothes Kit]],Table_NFI[Clothes Kit])</f>
        <v>0</v>
      </c>
      <c r="AG114" s="436">
        <f>IF(NFI_Expiration=1,IF($A114&lt;VLOOKUP(P$5,NFI,5,0),1,0)*Table_NFI[[#This Row],[Plastic Bucket]],Table_NFI[Plastic Bucket])</f>
        <v>0</v>
      </c>
      <c r="AH114" s="436">
        <f>IF(NFI_Expiration=1,IF($A114&lt;VLOOKUP(Q$5,NFI,5,0),1,0)*Table_NFI[[#This Row],[Plastic Mat]],Table_NFI[Plastic Mat])*IF(Table_NFI[[#This Row],[Distribution Date]]&gt;"2014-04-01",1,2.5)</f>
        <v>0</v>
      </c>
      <c r="AI114" s="436">
        <f>IF(NFI_Expiration=1,IF($A114&lt;VLOOKUP(R$5,NFI,5,0),1,0)*Table_NFI[[#This Row],[Winter Clothes Adult]],Table_NFI[Winter Clothes Adult])</f>
        <v>0</v>
      </c>
      <c r="AJ114" s="436">
        <f>IF(NFI_Expiration=1,IF($A114&lt;VLOOKUP(S$5,NFI,5,0),1,0)*Table_NFI[[#This Row],[Winter Clothes Children]],Table_NFI[Winter Clothes Children])</f>
        <v>0</v>
      </c>
      <c r="AK114" s="436">
        <f>IF(NFI_Expiration=1,IF($A114&lt;VLOOKUP(T$5,NFI,5,0),1,0)*Table_NFI[[#This Row],[Winter Items Other]],Table_NFI[Winter Items Other])</f>
        <v>0</v>
      </c>
      <c r="AL114" s="436">
        <f>IF(NFI_Expiration=1,IF($A114&lt;VLOOKUP(M$5,NFI,5,0),1,0)*Table_NFI[[#This Row],[Winter Blanket]],Table_NFI[[#This Row],[Winter Blanket]])</f>
        <v>0</v>
      </c>
      <c r="AM114" s="436">
        <f>IF(Table_NFI[[#This Row],[Winter Clothes Adult]]+Table_NFI[[#This Row],[Winter Clothes Children]]+Table_NFI[[#This Row],[Winter Items Other]]+Table_NFI[[#This Row],[Winter Blanket]]&gt;0,1,0)</f>
        <v>1</v>
      </c>
      <c r="AN114" s="439">
        <f>IF(NFI_Expiration=1,IF($A114&lt;VLOOKUP(V$5,NFI,5,0),1,0)*Table_NFI[[#This Row],[Jerry Can]],Table_NFI[Jerry Can])</f>
        <v>0</v>
      </c>
      <c r="AO114" s="771" t="str">
        <f>IFERROR(VLOOKUP(Table_NFI[[#This Row],[Camp Name]],CL,2,0),"")</f>
        <v>MMR001CMP168</v>
      </c>
      <c r="AP114" s="772">
        <f ca="1">IF(Table_NFI[[#This Row],[Pcode]]="","",IF(OFFSET(CampList[Opening Date],MATCH(Table_NFI[[#This Row],[Pcode]],CampList[CP_Pcode],0)-1,0,1,1)&gt;=NFI_Monitor_Date,1,0))</f>
        <v>0</v>
      </c>
      <c r="AQ114" s="771" t="str">
        <f>IFERROR(VLOOKUP(Table_NFI[[#This Row],[Camp Name]],CL,3,0),"")</f>
        <v>Open</v>
      </c>
      <c r="AR114" s="436" t="str">
        <f ca="1">IF(Table_NFI[[#This Row],[Pcode]]="","",OFFSET(CampList[Priority],MATCH(Table_NFI[[#This Row],[Pcode]],CampList[CP_Pcode],0)-1,0,1,1))</f>
        <v>P4</v>
      </c>
      <c r="AS114" s="438">
        <f>IFERROR(Table_NFI[[#This Row],[Kitchen Set]]/VLOOKUP(Table_NFI[[#This Row],[Camp Name]],CL,4,0),"")</f>
        <v>0</v>
      </c>
      <c r="AT114" s="769"/>
      <c r="AU114" s="773"/>
    </row>
    <row r="115" spans="1:47" s="774" customFormat="1" x14ac:dyDescent="0.25">
      <c r="A115" s="451">
        <f t="shared" si="1"/>
        <v>14.433333333333334</v>
      </c>
      <c r="B115" s="768">
        <v>41937</v>
      </c>
      <c r="C115" s="769" t="s">
        <v>1101</v>
      </c>
      <c r="D115" s="769" t="s">
        <v>907</v>
      </c>
      <c r="E115" s="769" t="s">
        <v>380</v>
      </c>
      <c r="F115" s="769" t="s">
        <v>529</v>
      </c>
      <c r="G115" s="769" t="s">
        <v>41</v>
      </c>
      <c r="H115" s="436"/>
      <c r="I115" s="436"/>
      <c r="J115" s="436"/>
      <c r="K115" s="436"/>
      <c r="L115" s="437"/>
      <c r="M115" s="437"/>
      <c r="N115" s="437"/>
      <c r="O115" s="437"/>
      <c r="P115" s="439"/>
      <c r="Q115" s="439"/>
      <c r="R115" s="436">
        <v>232</v>
      </c>
      <c r="S115" s="436">
        <v>105</v>
      </c>
      <c r="T115" s="436"/>
      <c r="U115" s="436"/>
      <c r="V115" s="436"/>
      <c r="W115" s="436"/>
      <c r="X115" s="436"/>
      <c r="Y115" s="436">
        <f>IF(NFI_Expiration=1,IF($A115&lt;VLOOKUP(H$5,NFI,5,0),1,0)*Table_NFI[[#This Row],[Hygiene Kit]],Table_NFI[Hygiene Kit])</f>
        <v>0</v>
      </c>
      <c r="Z115" s="436">
        <f>IF(NFI_Expiration=1,IF($A115&lt;VLOOKUP(I$5,NFI,5,0),1,0)*Table_NFI[[#This Row],[NFI Core Kit]],Table_NFI[NFI Core Kit])</f>
        <v>0</v>
      </c>
      <c r="AA115" s="436">
        <f>IF(NFI_Expiration=1,IF($A115&lt;VLOOKUP(J$5,NFI,5,0),1,0)*Table_NFI[[#This Row],[Sanitary Kit]],Table_NFI[Sanitary Kit])</f>
        <v>0</v>
      </c>
      <c r="AB115" s="436">
        <f>IF(NFI_Expiration=1,IF($A115&lt;VLOOKUP(K$5,NFI,5,0),1,0)*Table_NFI[[#This Row],[Mosquito net]],Table_NFI[Mosquito net])</f>
        <v>0</v>
      </c>
      <c r="AC115" s="436">
        <f>IF(NFI_Expiration=1,IF($A115&lt;VLOOKUP(L$5,NFI,5,0),1,0)*Table_NFI[[#This Row],[Tarpaulin]],Table_NFI[[#This Row],[Tarpaulin]])</f>
        <v>0</v>
      </c>
      <c r="AD115" s="436">
        <f>IF(NFI_Expiration=1,IF($A115&lt;VLOOKUP(M$5,NFI,5,0),1,0)*Table_NFI[[#This Row],[Blanket]],Table_NFI[[#This Row],[Blanket]])</f>
        <v>0</v>
      </c>
      <c r="AE115" s="436">
        <f>IF(NFI_Expiration=1,IF($A115&lt;VLOOKUP(N$5,NFI,5,0),1,0)*Table_NFI[[#This Row],[Kitchen Set]],Table_NFI[Kitchen Set])</f>
        <v>0</v>
      </c>
      <c r="AF115" s="436">
        <f>IF(NFI_Expiration=1,IF($A115&lt;VLOOKUP(O$5,NFI,5,0),1,0)*Table_NFI[[#This Row],[Clothes Kit]],Table_NFI[Clothes Kit])</f>
        <v>0</v>
      </c>
      <c r="AG115" s="436">
        <f>IF(NFI_Expiration=1,IF($A115&lt;VLOOKUP(P$5,NFI,5,0),1,0)*Table_NFI[[#This Row],[Plastic Bucket]],Table_NFI[Plastic Bucket])</f>
        <v>0</v>
      </c>
      <c r="AH115" s="436">
        <f>IF(NFI_Expiration=1,IF($A115&lt;VLOOKUP(Q$5,NFI,5,0),1,0)*Table_NFI[[#This Row],[Plastic Mat]],Table_NFI[Plastic Mat])*IF(Table_NFI[[#This Row],[Distribution Date]]&gt;"2014-04-01",1,2.5)</f>
        <v>0</v>
      </c>
      <c r="AI115" s="436">
        <f>IF(NFI_Expiration=1,IF($A115&lt;VLOOKUP(R$5,NFI,5,0),1,0)*Table_NFI[[#This Row],[Winter Clothes Adult]],Table_NFI[Winter Clothes Adult])</f>
        <v>0</v>
      </c>
      <c r="AJ115" s="436">
        <f>IF(NFI_Expiration=1,IF($A115&lt;VLOOKUP(S$5,NFI,5,0),1,0)*Table_NFI[[#This Row],[Winter Clothes Children]],Table_NFI[Winter Clothes Children])</f>
        <v>0</v>
      </c>
      <c r="AK115" s="436">
        <f>IF(NFI_Expiration=1,IF($A115&lt;VLOOKUP(T$5,NFI,5,0),1,0)*Table_NFI[[#This Row],[Winter Items Other]],Table_NFI[Winter Items Other])</f>
        <v>0</v>
      </c>
      <c r="AL115" s="436">
        <f>IF(NFI_Expiration=1,IF($A115&lt;VLOOKUP(M$5,NFI,5,0),1,0)*Table_NFI[[#This Row],[Winter Blanket]],Table_NFI[[#This Row],[Winter Blanket]])</f>
        <v>0</v>
      </c>
      <c r="AM115" s="436">
        <f>IF(Table_NFI[[#This Row],[Winter Clothes Adult]]+Table_NFI[[#This Row],[Winter Clothes Children]]+Table_NFI[[#This Row],[Winter Items Other]]+Table_NFI[[#This Row],[Winter Blanket]]&gt;0,1,0)</f>
        <v>1</v>
      </c>
      <c r="AN115" s="439">
        <f>IF(NFI_Expiration=1,IF($A115&lt;VLOOKUP(V$5,NFI,5,0),1,0)*Table_NFI[[#This Row],[Jerry Can]],Table_NFI[Jerry Can])</f>
        <v>0</v>
      </c>
      <c r="AO115" s="771" t="str">
        <f>IFERROR(VLOOKUP(Table_NFI[[#This Row],[Camp Name]],CL,2,0),"")</f>
        <v>MMR001CMP176</v>
      </c>
      <c r="AP115" s="772">
        <f ca="1">IF(Table_NFI[[#This Row],[Pcode]]="","",IF(OFFSET(CampList[Opening Date],MATCH(Table_NFI[[#This Row],[Pcode]],CampList[CP_Pcode],0)-1,0,1,1)&gt;=NFI_Monitor_Date,1,0))</f>
        <v>0</v>
      </c>
      <c r="AQ115" s="771" t="str">
        <f>IFERROR(VLOOKUP(Table_NFI[[#This Row],[Camp Name]],CL,3,0),"")</f>
        <v>Open</v>
      </c>
      <c r="AR115" s="436" t="str">
        <f ca="1">IF(Table_NFI[[#This Row],[Pcode]]="","",OFFSET(CampList[Priority],MATCH(Table_NFI[[#This Row],[Pcode]],CampList[CP_Pcode],0)-1,0,1,1))</f>
        <v>P4</v>
      </c>
      <c r="AS115" s="438">
        <f>IFERROR(Table_NFI[[#This Row],[Kitchen Set]]/VLOOKUP(Table_NFI[[#This Row],[Camp Name]],CL,4,0),"")</f>
        <v>0</v>
      </c>
      <c r="AT115" s="769"/>
      <c r="AU115" s="773"/>
    </row>
    <row r="116" spans="1:47" s="774" customFormat="1" x14ac:dyDescent="0.25">
      <c r="A116" s="451">
        <f t="shared" si="1"/>
        <v>14.433333333333334</v>
      </c>
      <c r="B116" s="768">
        <v>41937</v>
      </c>
      <c r="C116" s="769" t="s">
        <v>1101</v>
      </c>
      <c r="D116" s="769" t="s">
        <v>907</v>
      </c>
      <c r="E116" s="769" t="s">
        <v>380</v>
      </c>
      <c r="F116" s="769" t="s">
        <v>529</v>
      </c>
      <c r="G116" s="769" t="s">
        <v>43</v>
      </c>
      <c r="H116" s="436"/>
      <c r="I116" s="436"/>
      <c r="J116" s="436"/>
      <c r="K116" s="436"/>
      <c r="L116" s="437"/>
      <c r="M116" s="437"/>
      <c r="N116" s="437"/>
      <c r="O116" s="437"/>
      <c r="P116" s="439"/>
      <c r="Q116" s="439"/>
      <c r="R116" s="436">
        <v>55</v>
      </c>
      <c r="S116" s="436">
        <v>27</v>
      </c>
      <c r="T116" s="436"/>
      <c r="U116" s="436"/>
      <c r="V116" s="436"/>
      <c r="W116" s="436"/>
      <c r="X116" s="436"/>
      <c r="Y116" s="436">
        <f>IF(NFI_Expiration=1,IF($A116&lt;VLOOKUP(H$5,NFI,5,0),1,0)*Table_NFI[[#This Row],[Hygiene Kit]],Table_NFI[Hygiene Kit])</f>
        <v>0</v>
      </c>
      <c r="Z116" s="436">
        <f>IF(NFI_Expiration=1,IF($A116&lt;VLOOKUP(I$5,NFI,5,0),1,0)*Table_NFI[[#This Row],[NFI Core Kit]],Table_NFI[NFI Core Kit])</f>
        <v>0</v>
      </c>
      <c r="AA116" s="436">
        <f>IF(NFI_Expiration=1,IF($A116&lt;VLOOKUP(J$5,NFI,5,0),1,0)*Table_NFI[[#This Row],[Sanitary Kit]],Table_NFI[Sanitary Kit])</f>
        <v>0</v>
      </c>
      <c r="AB116" s="436">
        <f>IF(NFI_Expiration=1,IF($A116&lt;VLOOKUP(K$5,NFI,5,0),1,0)*Table_NFI[[#This Row],[Mosquito net]],Table_NFI[Mosquito net])</f>
        <v>0</v>
      </c>
      <c r="AC116" s="436">
        <f>IF(NFI_Expiration=1,IF($A116&lt;VLOOKUP(L$5,NFI,5,0),1,0)*Table_NFI[[#This Row],[Tarpaulin]],Table_NFI[[#This Row],[Tarpaulin]])</f>
        <v>0</v>
      </c>
      <c r="AD116" s="436">
        <f>IF(NFI_Expiration=1,IF($A116&lt;VLOOKUP(M$5,NFI,5,0),1,0)*Table_NFI[[#This Row],[Blanket]],Table_NFI[[#This Row],[Blanket]])</f>
        <v>0</v>
      </c>
      <c r="AE116" s="436">
        <f>IF(NFI_Expiration=1,IF($A116&lt;VLOOKUP(N$5,NFI,5,0),1,0)*Table_NFI[[#This Row],[Kitchen Set]],Table_NFI[Kitchen Set])</f>
        <v>0</v>
      </c>
      <c r="AF116" s="436">
        <f>IF(NFI_Expiration=1,IF($A116&lt;VLOOKUP(O$5,NFI,5,0),1,0)*Table_NFI[[#This Row],[Clothes Kit]],Table_NFI[Clothes Kit])</f>
        <v>0</v>
      </c>
      <c r="AG116" s="436">
        <f>IF(NFI_Expiration=1,IF($A116&lt;VLOOKUP(P$5,NFI,5,0),1,0)*Table_NFI[[#This Row],[Plastic Bucket]],Table_NFI[Plastic Bucket])</f>
        <v>0</v>
      </c>
      <c r="AH116" s="436">
        <f>IF(NFI_Expiration=1,IF($A116&lt;VLOOKUP(Q$5,NFI,5,0),1,0)*Table_NFI[[#This Row],[Plastic Mat]],Table_NFI[Plastic Mat])*IF(Table_NFI[[#This Row],[Distribution Date]]&gt;"2014-04-01",1,2.5)</f>
        <v>0</v>
      </c>
      <c r="AI116" s="436">
        <f>IF(NFI_Expiration=1,IF($A116&lt;VLOOKUP(R$5,NFI,5,0),1,0)*Table_NFI[[#This Row],[Winter Clothes Adult]],Table_NFI[Winter Clothes Adult])</f>
        <v>0</v>
      </c>
      <c r="AJ116" s="436">
        <f>IF(NFI_Expiration=1,IF($A116&lt;VLOOKUP(S$5,NFI,5,0),1,0)*Table_NFI[[#This Row],[Winter Clothes Children]],Table_NFI[Winter Clothes Children])</f>
        <v>0</v>
      </c>
      <c r="AK116" s="436">
        <f>IF(NFI_Expiration=1,IF($A116&lt;VLOOKUP(T$5,NFI,5,0),1,0)*Table_NFI[[#This Row],[Winter Items Other]],Table_NFI[Winter Items Other])</f>
        <v>0</v>
      </c>
      <c r="AL116" s="436">
        <f>IF(NFI_Expiration=1,IF($A116&lt;VLOOKUP(M$5,NFI,5,0),1,0)*Table_NFI[[#This Row],[Winter Blanket]],Table_NFI[[#This Row],[Winter Blanket]])</f>
        <v>0</v>
      </c>
      <c r="AM116" s="436">
        <f>IF(Table_NFI[[#This Row],[Winter Clothes Adult]]+Table_NFI[[#This Row],[Winter Clothes Children]]+Table_NFI[[#This Row],[Winter Items Other]]+Table_NFI[[#This Row],[Winter Blanket]]&gt;0,1,0)</f>
        <v>1</v>
      </c>
      <c r="AN116" s="439">
        <f>IF(NFI_Expiration=1,IF($A116&lt;VLOOKUP(V$5,NFI,5,0),1,0)*Table_NFI[[#This Row],[Jerry Can]],Table_NFI[Jerry Can])</f>
        <v>0</v>
      </c>
      <c r="AO116" s="771" t="str">
        <f>IFERROR(VLOOKUP(Table_NFI[[#This Row],[Camp Name]],CL,2,0),"")</f>
        <v>MMR001CMP190</v>
      </c>
      <c r="AP116" s="772">
        <f ca="1">IF(Table_NFI[[#This Row],[Pcode]]="","",IF(OFFSET(CampList[Opening Date],MATCH(Table_NFI[[#This Row],[Pcode]],CampList[CP_Pcode],0)-1,0,1,1)&gt;=NFI_Monitor_Date,1,0))</f>
        <v>0</v>
      </c>
      <c r="AQ116" s="771" t="str">
        <f>IFERROR(VLOOKUP(Table_NFI[[#This Row],[Camp Name]],CL,3,0),"")</f>
        <v>Open</v>
      </c>
      <c r="AR116" s="436" t="str">
        <f ca="1">IF(Table_NFI[[#This Row],[Pcode]]="","",OFFSET(CampList[Priority],MATCH(Table_NFI[[#This Row],[Pcode]],CampList[CP_Pcode],0)-1,0,1,1))</f>
        <v>P4</v>
      </c>
      <c r="AS116" s="438">
        <f>IFERROR(Table_NFI[[#This Row],[Kitchen Set]]/VLOOKUP(Table_NFI[[#This Row],[Camp Name]],CL,4,0),"")</f>
        <v>0</v>
      </c>
      <c r="AT116" s="769"/>
      <c r="AU116" s="773"/>
    </row>
    <row r="117" spans="1:47" s="774" customFormat="1" x14ac:dyDescent="0.25">
      <c r="A117" s="451">
        <f t="shared" si="1"/>
        <v>14.433333333333334</v>
      </c>
      <c r="B117" s="768">
        <v>41937</v>
      </c>
      <c r="C117" s="769" t="s">
        <v>1101</v>
      </c>
      <c r="D117" s="769" t="s">
        <v>907</v>
      </c>
      <c r="E117" s="769" t="s">
        <v>380</v>
      </c>
      <c r="F117" s="769" t="s">
        <v>529</v>
      </c>
      <c r="G117" s="769" t="s">
        <v>52</v>
      </c>
      <c r="H117" s="436"/>
      <c r="I117" s="436"/>
      <c r="J117" s="436"/>
      <c r="K117" s="436"/>
      <c r="L117" s="437"/>
      <c r="M117" s="437"/>
      <c r="N117" s="437"/>
      <c r="O117" s="437"/>
      <c r="P117" s="439"/>
      <c r="Q117" s="439"/>
      <c r="R117" s="436">
        <v>123</v>
      </c>
      <c r="S117" s="436">
        <v>104</v>
      </c>
      <c r="T117" s="436"/>
      <c r="U117" s="436"/>
      <c r="V117" s="436"/>
      <c r="W117" s="436"/>
      <c r="X117" s="436"/>
      <c r="Y117" s="436">
        <f>IF(NFI_Expiration=1,IF($A117&lt;VLOOKUP(H$5,NFI,5,0),1,0)*Table_NFI[[#This Row],[Hygiene Kit]],Table_NFI[Hygiene Kit])</f>
        <v>0</v>
      </c>
      <c r="Z117" s="436">
        <f>IF(NFI_Expiration=1,IF($A117&lt;VLOOKUP(I$5,NFI,5,0),1,0)*Table_NFI[[#This Row],[NFI Core Kit]],Table_NFI[NFI Core Kit])</f>
        <v>0</v>
      </c>
      <c r="AA117" s="436">
        <f>IF(NFI_Expiration=1,IF($A117&lt;VLOOKUP(J$5,NFI,5,0),1,0)*Table_NFI[[#This Row],[Sanitary Kit]],Table_NFI[Sanitary Kit])</f>
        <v>0</v>
      </c>
      <c r="AB117" s="436">
        <f>IF(NFI_Expiration=1,IF($A117&lt;VLOOKUP(K$5,NFI,5,0),1,0)*Table_NFI[[#This Row],[Mosquito net]],Table_NFI[Mosquito net])</f>
        <v>0</v>
      </c>
      <c r="AC117" s="436">
        <f>IF(NFI_Expiration=1,IF($A117&lt;VLOOKUP(L$5,NFI,5,0),1,0)*Table_NFI[[#This Row],[Tarpaulin]],Table_NFI[[#This Row],[Tarpaulin]])</f>
        <v>0</v>
      </c>
      <c r="AD117" s="436">
        <f>IF(NFI_Expiration=1,IF($A117&lt;VLOOKUP(M$5,NFI,5,0),1,0)*Table_NFI[[#This Row],[Blanket]],Table_NFI[[#This Row],[Blanket]])</f>
        <v>0</v>
      </c>
      <c r="AE117" s="436">
        <f>IF(NFI_Expiration=1,IF($A117&lt;VLOOKUP(N$5,NFI,5,0),1,0)*Table_NFI[[#This Row],[Kitchen Set]],Table_NFI[Kitchen Set])</f>
        <v>0</v>
      </c>
      <c r="AF117" s="436">
        <f>IF(NFI_Expiration=1,IF($A117&lt;VLOOKUP(O$5,NFI,5,0),1,0)*Table_NFI[[#This Row],[Clothes Kit]],Table_NFI[Clothes Kit])</f>
        <v>0</v>
      </c>
      <c r="AG117" s="436">
        <f>IF(NFI_Expiration=1,IF($A117&lt;VLOOKUP(P$5,NFI,5,0),1,0)*Table_NFI[[#This Row],[Plastic Bucket]],Table_NFI[Plastic Bucket])</f>
        <v>0</v>
      </c>
      <c r="AH117" s="436">
        <f>IF(NFI_Expiration=1,IF($A117&lt;VLOOKUP(Q$5,NFI,5,0),1,0)*Table_NFI[[#This Row],[Plastic Mat]],Table_NFI[Plastic Mat])*IF(Table_NFI[[#This Row],[Distribution Date]]&gt;"2014-04-01",1,2.5)</f>
        <v>0</v>
      </c>
      <c r="AI117" s="436">
        <f>IF(NFI_Expiration=1,IF($A117&lt;VLOOKUP(R$5,NFI,5,0),1,0)*Table_NFI[[#This Row],[Winter Clothes Adult]],Table_NFI[Winter Clothes Adult])</f>
        <v>0</v>
      </c>
      <c r="AJ117" s="436">
        <f>IF(NFI_Expiration=1,IF($A117&lt;VLOOKUP(S$5,NFI,5,0),1,0)*Table_NFI[[#This Row],[Winter Clothes Children]],Table_NFI[Winter Clothes Children])</f>
        <v>0</v>
      </c>
      <c r="AK117" s="436">
        <f>IF(NFI_Expiration=1,IF($A117&lt;VLOOKUP(T$5,NFI,5,0),1,0)*Table_NFI[[#This Row],[Winter Items Other]],Table_NFI[Winter Items Other])</f>
        <v>0</v>
      </c>
      <c r="AL117" s="436">
        <f>IF(NFI_Expiration=1,IF($A117&lt;VLOOKUP(M$5,NFI,5,0),1,0)*Table_NFI[[#This Row],[Winter Blanket]],Table_NFI[[#This Row],[Winter Blanket]])</f>
        <v>0</v>
      </c>
      <c r="AM117" s="436">
        <f>IF(Table_NFI[[#This Row],[Winter Clothes Adult]]+Table_NFI[[#This Row],[Winter Clothes Children]]+Table_NFI[[#This Row],[Winter Items Other]]+Table_NFI[[#This Row],[Winter Blanket]]&gt;0,1,0)</f>
        <v>1</v>
      </c>
      <c r="AN117" s="439">
        <f>IF(NFI_Expiration=1,IF($A117&lt;VLOOKUP(V$5,NFI,5,0),1,0)*Table_NFI[[#This Row],[Jerry Can]],Table_NFI[Jerry Can])</f>
        <v>0</v>
      </c>
      <c r="AO117" s="771" t="str">
        <f>IFERROR(VLOOKUP(Table_NFI[[#This Row],[Camp Name]],CL,2,0),"")</f>
        <v>MMR001CMP169</v>
      </c>
      <c r="AP117" s="772">
        <f ca="1">IF(Table_NFI[[#This Row],[Pcode]]="","",IF(OFFSET(CampList[Opening Date],MATCH(Table_NFI[[#This Row],[Pcode]],CampList[CP_Pcode],0)-1,0,1,1)&gt;=NFI_Monitor_Date,1,0))</f>
        <v>0</v>
      </c>
      <c r="AQ117" s="771" t="str">
        <f>IFERROR(VLOOKUP(Table_NFI[[#This Row],[Camp Name]],CL,3,0),"")</f>
        <v>Open</v>
      </c>
      <c r="AR117" s="436" t="str">
        <f ca="1">IF(Table_NFI[[#This Row],[Pcode]]="","",OFFSET(CampList[Priority],MATCH(Table_NFI[[#This Row],[Pcode]],CampList[CP_Pcode],0)-1,0,1,1))</f>
        <v>P4</v>
      </c>
      <c r="AS117" s="438">
        <f>IFERROR(Table_NFI[[#This Row],[Kitchen Set]]/VLOOKUP(Table_NFI[[#This Row],[Camp Name]],CL,4,0),"")</f>
        <v>0</v>
      </c>
      <c r="AT117" s="769"/>
      <c r="AU117" s="773"/>
    </row>
    <row r="118" spans="1:47" s="774" customFormat="1" x14ac:dyDescent="0.25">
      <c r="A118" s="451">
        <f t="shared" si="1"/>
        <v>14.433333333333334</v>
      </c>
      <c r="B118" s="768">
        <v>41937</v>
      </c>
      <c r="C118" s="769" t="s">
        <v>1101</v>
      </c>
      <c r="D118" s="769" t="s">
        <v>907</v>
      </c>
      <c r="E118" s="769" t="s">
        <v>380</v>
      </c>
      <c r="F118" s="769" t="s">
        <v>529</v>
      </c>
      <c r="G118" s="769" t="s">
        <v>58</v>
      </c>
      <c r="H118" s="436"/>
      <c r="I118" s="436"/>
      <c r="J118" s="436"/>
      <c r="K118" s="436"/>
      <c r="L118" s="437"/>
      <c r="M118" s="437"/>
      <c r="N118" s="437"/>
      <c r="O118" s="437"/>
      <c r="P118" s="439"/>
      <c r="Q118" s="439"/>
      <c r="R118" s="436">
        <v>48</v>
      </c>
      <c r="S118" s="436">
        <v>30</v>
      </c>
      <c r="T118" s="436"/>
      <c r="U118" s="436"/>
      <c r="V118" s="436"/>
      <c r="W118" s="436"/>
      <c r="X118" s="436"/>
      <c r="Y118" s="436">
        <f>IF(NFI_Expiration=1,IF($A118&lt;VLOOKUP(H$5,NFI,5,0),1,0)*Table_NFI[[#This Row],[Hygiene Kit]],Table_NFI[Hygiene Kit])</f>
        <v>0</v>
      </c>
      <c r="Z118" s="436">
        <f>IF(NFI_Expiration=1,IF($A118&lt;VLOOKUP(I$5,NFI,5,0),1,0)*Table_NFI[[#This Row],[NFI Core Kit]],Table_NFI[NFI Core Kit])</f>
        <v>0</v>
      </c>
      <c r="AA118" s="436">
        <f>IF(NFI_Expiration=1,IF($A118&lt;VLOOKUP(J$5,NFI,5,0),1,0)*Table_NFI[[#This Row],[Sanitary Kit]],Table_NFI[Sanitary Kit])</f>
        <v>0</v>
      </c>
      <c r="AB118" s="436">
        <f>IF(NFI_Expiration=1,IF($A118&lt;VLOOKUP(K$5,NFI,5,0),1,0)*Table_NFI[[#This Row],[Mosquito net]],Table_NFI[Mosquito net])</f>
        <v>0</v>
      </c>
      <c r="AC118" s="436">
        <f>IF(NFI_Expiration=1,IF($A118&lt;VLOOKUP(L$5,NFI,5,0),1,0)*Table_NFI[[#This Row],[Tarpaulin]],Table_NFI[[#This Row],[Tarpaulin]])</f>
        <v>0</v>
      </c>
      <c r="AD118" s="436">
        <f>IF(NFI_Expiration=1,IF($A118&lt;VLOOKUP(M$5,NFI,5,0),1,0)*Table_NFI[[#This Row],[Blanket]],Table_NFI[[#This Row],[Blanket]])</f>
        <v>0</v>
      </c>
      <c r="AE118" s="436">
        <f>IF(NFI_Expiration=1,IF($A118&lt;VLOOKUP(N$5,NFI,5,0),1,0)*Table_NFI[[#This Row],[Kitchen Set]],Table_NFI[Kitchen Set])</f>
        <v>0</v>
      </c>
      <c r="AF118" s="436">
        <f>IF(NFI_Expiration=1,IF($A118&lt;VLOOKUP(O$5,NFI,5,0),1,0)*Table_NFI[[#This Row],[Clothes Kit]],Table_NFI[Clothes Kit])</f>
        <v>0</v>
      </c>
      <c r="AG118" s="436">
        <f>IF(NFI_Expiration=1,IF($A118&lt;VLOOKUP(P$5,NFI,5,0),1,0)*Table_NFI[[#This Row],[Plastic Bucket]],Table_NFI[Plastic Bucket])</f>
        <v>0</v>
      </c>
      <c r="AH118" s="436">
        <f>IF(NFI_Expiration=1,IF($A118&lt;VLOOKUP(Q$5,NFI,5,0),1,0)*Table_NFI[[#This Row],[Plastic Mat]],Table_NFI[Plastic Mat])*IF(Table_NFI[[#This Row],[Distribution Date]]&gt;"2014-04-01",1,2.5)</f>
        <v>0</v>
      </c>
      <c r="AI118" s="436">
        <f>IF(NFI_Expiration=1,IF($A118&lt;VLOOKUP(R$5,NFI,5,0),1,0)*Table_NFI[[#This Row],[Winter Clothes Adult]],Table_NFI[Winter Clothes Adult])</f>
        <v>0</v>
      </c>
      <c r="AJ118" s="436">
        <f>IF(NFI_Expiration=1,IF($A118&lt;VLOOKUP(S$5,NFI,5,0),1,0)*Table_NFI[[#This Row],[Winter Clothes Children]],Table_NFI[Winter Clothes Children])</f>
        <v>0</v>
      </c>
      <c r="AK118" s="436">
        <f>IF(NFI_Expiration=1,IF($A118&lt;VLOOKUP(T$5,NFI,5,0),1,0)*Table_NFI[[#This Row],[Winter Items Other]],Table_NFI[Winter Items Other])</f>
        <v>0</v>
      </c>
      <c r="AL118" s="436">
        <f>IF(NFI_Expiration=1,IF($A118&lt;VLOOKUP(M$5,NFI,5,0),1,0)*Table_NFI[[#This Row],[Winter Blanket]],Table_NFI[[#This Row],[Winter Blanket]])</f>
        <v>0</v>
      </c>
      <c r="AM118" s="436">
        <f>IF(Table_NFI[[#This Row],[Winter Clothes Adult]]+Table_NFI[[#This Row],[Winter Clothes Children]]+Table_NFI[[#This Row],[Winter Items Other]]+Table_NFI[[#This Row],[Winter Blanket]]&gt;0,1,0)</f>
        <v>1</v>
      </c>
      <c r="AN118" s="439">
        <f>IF(NFI_Expiration=1,IF($A118&lt;VLOOKUP(V$5,NFI,5,0),1,0)*Table_NFI[[#This Row],[Jerry Can]],Table_NFI[Jerry Can])</f>
        <v>0</v>
      </c>
      <c r="AO118" s="771" t="str">
        <f>IFERROR(VLOOKUP(Table_NFI[[#This Row],[Camp Name]],CL,2,0),"")</f>
        <v>MMR001CMP188</v>
      </c>
      <c r="AP118" s="772">
        <f ca="1">IF(Table_NFI[[#This Row],[Pcode]]="","",IF(OFFSET(CampList[Opening Date],MATCH(Table_NFI[[#This Row],[Pcode]],CampList[CP_Pcode],0)-1,0,1,1)&gt;=NFI_Monitor_Date,1,0))</f>
        <v>0</v>
      </c>
      <c r="AQ118" s="771" t="str">
        <f>IFERROR(VLOOKUP(Table_NFI[[#This Row],[Camp Name]],CL,3,0),"")</f>
        <v>Closed</v>
      </c>
      <c r="AR118" s="436" t="str">
        <f ca="1">IF(Table_NFI[[#This Row],[Pcode]]="","",OFFSET(CampList[Priority],MATCH(Table_NFI[[#This Row],[Pcode]],CampList[CP_Pcode],0)-1,0,1,1))</f>
        <v>P4</v>
      </c>
      <c r="AS118" s="438" t="str">
        <f>IFERROR(Table_NFI[[#This Row],[Kitchen Set]]/VLOOKUP(Table_NFI[[#This Row],[Camp Name]],CL,4,0),"")</f>
        <v/>
      </c>
      <c r="AT118" s="769"/>
      <c r="AU118" s="773"/>
    </row>
    <row r="119" spans="1:47" s="774" customFormat="1" x14ac:dyDescent="0.25">
      <c r="A119" s="451">
        <f t="shared" si="1"/>
        <v>14.433333333333334</v>
      </c>
      <c r="B119" s="768">
        <v>41937</v>
      </c>
      <c r="C119" s="769" t="s">
        <v>1101</v>
      </c>
      <c r="D119" s="769" t="s">
        <v>907</v>
      </c>
      <c r="E119" s="769" t="s">
        <v>380</v>
      </c>
      <c r="F119" s="769" t="s">
        <v>529</v>
      </c>
      <c r="G119" s="769" t="s">
        <v>72</v>
      </c>
      <c r="H119" s="436"/>
      <c r="I119" s="436"/>
      <c r="J119" s="436"/>
      <c r="K119" s="436"/>
      <c r="L119" s="437"/>
      <c r="M119" s="437"/>
      <c r="N119" s="437"/>
      <c r="O119" s="437"/>
      <c r="P119" s="439"/>
      <c r="Q119" s="439"/>
      <c r="R119" s="436">
        <v>15</v>
      </c>
      <c r="S119" s="436">
        <v>10</v>
      </c>
      <c r="T119" s="436"/>
      <c r="U119" s="436"/>
      <c r="V119" s="436"/>
      <c r="W119" s="436"/>
      <c r="X119" s="436"/>
      <c r="Y119" s="436">
        <f>IF(NFI_Expiration=1,IF($A119&lt;VLOOKUP(H$5,NFI,5,0),1,0)*Table_NFI[[#This Row],[Hygiene Kit]],Table_NFI[Hygiene Kit])</f>
        <v>0</v>
      </c>
      <c r="Z119" s="436">
        <f>IF(NFI_Expiration=1,IF($A119&lt;VLOOKUP(I$5,NFI,5,0),1,0)*Table_NFI[[#This Row],[NFI Core Kit]],Table_NFI[NFI Core Kit])</f>
        <v>0</v>
      </c>
      <c r="AA119" s="436">
        <f>IF(NFI_Expiration=1,IF($A119&lt;VLOOKUP(J$5,NFI,5,0),1,0)*Table_NFI[[#This Row],[Sanitary Kit]],Table_NFI[Sanitary Kit])</f>
        <v>0</v>
      </c>
      <c r="AB119" s="436">
        <f>IF(NFI_Expiration=1,IF($A119&lt;VLOOKUP(K$5,NFI,5,0),1,0)*Table_NFI[[#This Row],[Mosquito net]],Table_NFI[Mosquito net])</f>
        <v>0</v>
      </c>
      <c r="AC119" s="436">
        <f>IF(NFI_Expiration=1,IF($A119&lt;VLOOKUP(L$5,NFI,5,0),1,0)*Table_NFI[[#This Row],[Tarpaulin]],Table_NFI[[#This Row],[Tarpaulin]])</f>
        <v>0</v>
      </c>
      <c r="AD119" s="436">
        <f>IF(NFI_Expiration=1,IF($A119&lt;VLOOKUP(M$5,NFI,5,0),1,0)*Table_NFI[[#This Row],[Blanket]],Table_NFI[[#This Row],[Blanket]])</f>
        <v>0</v>
      </c>
      <c r="AE119" s="436">
        <f>IF(NFI_Expiration=1,IF($A119&lt;VLOOKUP(N$5,NFI,5,0),1,0)*Table_NFI[[#This Row],[Kitchen Set]],Table_NFI[Kitchen Set])</f>
        <v>0</v>
      </c>
      <c r="AF119" s="436">
        <f>IF(NFI_Expiration=1,IF($A119&lt;VLOOKUP(O$5,NFI,5,0),1,0)*Table_NFI[[#This Row],[Clothes Kit]],Table_NFI[Clothes Kit])</f>
        <v>0</v>
      </c>
      <c r="AG119" s="436">
        <f>IF(NFI_Expiration=1,IF($A119&lt;VLOOKUP(P$5,NFI,5,0),1,0)*Table_NFI[[#This Row],[Plastic Bucket]],Table_NFI[Plastic Bucket])</f>
        <v>0</v>
      </c>
      <c r="AH119" s="436">
        <f>IF(NFI_Expiration=1,IF($A119&lt;VLOOKUP(Q$5,NFI,5,0),1,0)*Table_NFI[[#This Row],[Plastic Mat]],Table_NFI[Plastic Mat])*IF(Table_NFI[[#This Row],[Distribution Date]]&gt;"2014-04-01",1,2.5)</f>
        <v>0</v>
      </c>
      <c r="AI119" s="436">
        <f>IF(NFI_Expiration=1,IF($A119&lt;VLOOKUP(R$5,NFI,5,0),1,0)*Table_NFI[[#This Row],[Winter Clothes Adult]],Table_NFI[Winter Clothes Adult])</f>
        <v>0</v>
      </c>
      <c r="AJ119" s="436">
        <f>IF(NFI_Expiration=1,IF($A119&lt;VLOOKUP(S$5,NFI,5,0),1,0)*Table_NFI[[#This Row],[Winter Clothes Children]],Table_NFI[Winter Clothes Children])</f>
        <v>0</v>
      </c>
      <c r="AK119" s="436">
        <f>IF(NFI_Expiration=1,IF($A119&lt;VLOOKUP(T$5,NFI,5,0),1,0)*Table_NFI[[#This Row],[Winter Items Other]],Table_NFI[Winter Items Other])</f>
        <v>0</v>
      </c>
      <c r="AL119" s="436">
        <f>IF(NFI_Expiration=1,IF($A119&lt;VLOOKUP(M$5,NFI,5,0),1,0)*Table_NFI[[#This Row],[Winter Blanket]],Table_NFI[[#This Row],[Winter Blanket]])</f>
        <v>0</v>
      </c>
      <c r="AM119" s="436">
        <f>IF(Table_NFI[[#This Row],[Winter Clothes Adult]]+Table_NFI[[#This Row],[Winter Clothes Children]]+Table_NFI[[#This Row],[Winter Items Other]]+Table_NFI[[#This Row],[Winter Blanket]]&gt;0,1,0)</f>
        <v>1</v>
      </c>
      <c r="AN119" s="439">
        <f>IF(NFI_Expiration=1,IF($A119&lt;VLOOKUP(V$5,NFI,5,0),1,0)*Table_NFI[[#This Row],[Jerry Can]],Table_NFI[Jerry Can])</f>
        <v>0</v>
      </c>
      <c r="AO119" s="771" t="str">
        <f>IFERROR(VLOOKUP(Table_NFI[[#This Row],[Camp Name]],CL,2,0),"")</f>
        <v>MMR001CMP109</v>
      </c>
      <c r="AP119" s="772">
        <f ca="1">IF(Table_NFI[[#This Row],[Pcode]]="","",IF(OFFSET(CampList[Opening Date],MATCH(Table_NFI[[#This Row],[Pcode]],CampList[CP_Pcode],0)-1,0,1,1)&gt;=NFI_Monitor_Date,1,0))</f>
        <v>0</v>
      </c>
      <c r="AQ119" s="771" t="str">
        <f>IFERROR(VLOOKUP(Table_NFI[[#This Row],[Camp Name]],CL,3,0),"")</f>
        <v>Open</v>
      </c>
      <c r="AR119" s="436" t="str">
        <f ca="1">IF(Table_NFI[[#This Row],[Pcode]]="","",OFFSET(CampList[Priority],MATCH(Table_NFI[[#This Row],[Pcode]],CampList[CP_Pcode],0)-1,0,1,1))</f>
        <v>P4</v>
      </c>
      <c r="AS119" s="438">
        <f>IFERROR(Table_NFI[[#This Row],[Kitchen Set]]/VLOOKUP(Table_NFI[[#This Row],[Camp Name]],CL,4,0),"")</f>
        <v>0</v>
      </c>
      <c r="AT119" s="769"/>
      <c r="AU119" s="773"/>
    </row>
    <row r="120" spans="1:47" s="774" customFormat="1" x14ac:dyDescent="0.25">
      <c r="A120" s="451">
        <f t="shared" si="1"/>
        <v>14.433333333333334</v>
      </c>
      <c r="B120" s="768">
        <v>41937</v>
      </c>
      <c r="C120" s="769" t="s">
        <v>1101</v>
      </c>
      <c r="D120" s="769" t="s">
        <v>907</v>
      </c>
      <c r="E120" s="769" t="s">
        <v>380</v>
      </c>
      <c r="F120" s="769" t="s">
        <v>529</v>
      </c>
      <c r="G120" s="769" t="s">
        <v>76</v>
      </c>
      <c r="H120" s="436"/>
      <c r="I120" s="436"/>
      <c r="J120" s="436"/>
      <c r="K120" s="436"/>
      <c r="L120" s="437"/>
      <c r="M120" s="437"/>
      <c r="N120" s="437"/>
      <c r="O120" s="437"/>
      <c r="P120" s="439"/>
      <c r="Q120" s="439"/>
      <c r="R120" s="436">
        <v>214</v>
      </c>
      <c r="S120" s="436">
        <v>112</v>
      </c>
      <c r="T120" s="436"/>
      <c r="U120" s="436"/>
      <c r="V120" s="436"/>
      <c r="W120" s="436"/>
      <c r="X120" s="436"/>
      <c r="Y120" s="436">
        <f>IF(NFI_Expiration=1,IF($A120&lt;VLOOKUP(H$5,NFI,5,0),1,0)*Table_NFI[[#This Row],[Hygiene Kit]],Table_NFI[Hygiene Kit])</f>
        <v>0</v>
      </c>
      <c r="Z120" s="436">
        <f>IF(NFI_Expiration=1,IF($A120&lt;VLOOKUP(I$5,NFI,5,0),1,0)*Table_NFI[[#This Row],[NFI Core Kit]],Table_NFI[NFI Core Kit])</f>
        <v>0</v>
      </c>
      <c r="AA120" s="436">
        <f>IF(NFI_Expiration=1,IF($A120&lt;VLOOKUP(J$5,NFI,5,0),1,0)*Table_NFI[[#This Row],[Sanitary Kit]],Table_NFI[Sanitary Kit])</f>
        <v>0</v>
      </c>
      <c r="AB120" s="436">
        <f>IF(NFI_Expiration=1,IF($A120&lt;VLOOKUP(K$5,NFI,5,0),1,0)*Table_NFI[[#This Row],[Mosquito net]],Table_NFI[Mosquito net])</f>
        <v>0</v>
      </c>
      <c r="AC120" s="436">
        <f>IF(NFI_Expiration=1,IF($A120&lt;VLOOKUP(L$5,NFI,5,0),1,0)*Table_NFI[[#This Row],[Tarpaulin]],Table_NFI[[#This Row],[Tarpaulin]])</f>
        <v>0</v>
      </c>
      <c r="AD120" s="436">
        <f>IF(NFI_Expiration=1,IF($A120&lt;VLOOKUP(M$5,NFI,5,0),1,0)*Table_NFI[[#This Row],[Blanket]],Table_NFI[[#This Row],[Blanket]])</f>
        <v>0</v>
      </c>
      <c r="AE120" s="436">
        <f>IF(NFI_Expiration=1,IF($A120&lt;VLOOKUP(N$5,NFI,5,0),1,0)*Table_NFI[[#This Row],[Kitchen Set]],Table_NFI[Kitchen Set])</f>
        <v>0</v>
      </c>
      <c r="AF120" s="436">
        <f>IF(NFI_Expiration=1,IF($A120&lt;VLOOKUP(O$5,NFI,5,0),1,0)*Table_NFI[[#This Row],[Clothes Kit]],Table_NFI[Clothes Kit])</f>
        <v>0</v>
      </c>
      <c r="AG120" s="436">
        <f>IF(NFI_Expiration=1,IF($A120&lt;VLOOKUP(P$5,NFI,5,0),1,0)*Table_NFI[[#This Row],[Plastic Bucket]],Table_NFI[Plastic Bucket])</f>
        <v>0</v>
      </c>
      <c r="AH120" s="436">
        <f>IF(NFI_Expiration=1,IF($A120&lt;VLOOKUP(Q$5,NFI,5,0),1,0)*Table_NFI[[#This Row],[Plastic Mat]],Table_NFI[Plastic Mat])*IF(Table_NFI[[#This Row],[Distribution Date]]&gt;"2014-04-01",1,2.5)</f>
        <v>0</v>
      </c>
      <c r="AI120" s="436">
        <f>IF(NFI_Expiration=1,IF($A120&lt;VLOOKUP(R$5,NFI,5,0),1,0)*Table_NFI[[#This Row],[Winter Clothes Adult]],Table_NFI[Winter Clothes Adult])</f>
        <v>0</v>
      </c>
      <c r="AJ120" s="436">
        <f>IF(NFI_Expiration=1,IF($A120&lt;VLOOKUP(S$5,NFI,5,0),1,0)*Table_NFI[[#This Row],[Winter Clothes Children]],Table_NFI[Winter Clothes Children])</f>
        <v>0</v>
      </c>
      <c r="AK120" s="436">
        <f>IF(NFI_Expiration=1,IF($A120&lt;VLOOKUP(T$5,NFI,5,0),1,0)*Table_NFI[[#This Row],[Winter Items Other]],Table_NFI[Winter Items Other])</f>
        <v>0</v>
      </c>
      <c r="AL120" s="436">
        <f>IF(NFI_Expiration=1,IF($A120&lt;VLOOKUP(M$5,NFI,5,0),1,0)*Table_NFI[[#This Row],[Winter Blanket]],Table_NFI[[#This Row],[Winter Blanket]])</f>
        <v>0</v>
      </c>
      <c r="AM120" s="436">
        <f>IF(Table_NFI[[#This Row],[Winter Clothes Adult]]+Table_NFI[[#This Row],[Winter Clothes Children]]+Table_NFI[[#This Row],[Winter Items Other]]+Table_NFI[[#This Row],[Winter Blanket]]&gt;0,1,0)</f>
        <v>1</v>
      </c>
      <c r="AN120" s="439">
        <f>IF(NFI_Expiration=1,IF($A120&lt;VLOOKUP(V$5,NFI,5,0),1,0)*Table_NFI[[#This Row],[Jerry Can]],Table_NFI[Jerry Can])</f>
        <v>0</v>
      </c>
      <c r="AO120" s="771" t="str">
        <f>IFERROR(VLOOKUP(Table_NFI[[#This Row],[Camp Name]],CL,2,0),"")</f>
        <v>MMR001CMP174</v>
      </c>
      <c r="AP120" s="772">
        <f ca="1">IF(Table_NFI[[#This Row],[Pcode]]="","",IF(OFFSET(CampList[Opening Date],MATCH(Table_NFI[[#This Row],[Pcode]],CampList[CP_Pcode],0)-1,0,1,1)&gt;=NFI_Monitor_Date,1,0))</f>
        <v>0</v>
      </c>
      <c r="AQ120" s="771" t="str">
        <f>IFERROR(VLOOKUP(Table_NFI[[#This Row],[Camp Name]],CL,3,0),"")</f>
        <v>Open</v>
      </c>
      <c r="AR120" s="436" t="str">
        <f ca="1">IF(Table_NFI[[#This Row],[Pcode]]="","",OFFSET(CampList[Priority],MATCH(Table_NFI[[#This Row],[Pcode]],CampList[CP_Pcode],0)-1,0,1,1))</f>
        <v>P4</v>
      </c>
      <c r="AS120" s="438">
        <f>IFERROR(Table_NFI[[#This Row],[Kitchen Set]]/VLOOKUP(Table_NFI[[#This Row],[Camp Name]],CL,4,0),"")</f>
        <v>0</v>
      </c>
      <c r="AT120" s="769"/>
      <c r="AU120" s="773"/>
    </row>
    <row r="121" spans="1:47" s="136" customFormat="1" x14ac:dyDescent="0.25">
      <c r="A121" s="451">
        <f t="shared" si="1"/>
        <v>14.433333333333334</v>
      </c>
      <c r="B121" s="768">
        <v>41937</v>
      </c>
      <c r="C121" s="769" t="s">
        <v>1101</v>
      </c>
      <c r="D121" s="769" t="s">
        <v>907</v>
      </c>
      <c r="E121" s="769" t="s">
        <v>380</v>
      </c>
      <c r="F121" s="769" t="s">
        <v>529</v>
      </c>
      <c r="G121" s="769" t="s">
        <v>88</v>
      </c>
      <c r="H121" s="436"/>
      <c r="I121" s="436"/>
      <c r="J121" s="436"/>
      <c r="K121" s="436"/>
      <c r="L121" s="437"/>
      <c r="M121" s="437"/>
      <c r="N121" s="437"/>
      <c r="O121" s="437"/>
      <c r="P121" s="439"/>
      <c r="Q121" s="439"/>
      <c r="R121" s="436">
        <v>37</v>
      </c>
      <c r="S121" s="436">
        <v>24</v>
      </c>
      <c r="T121" s="436"/>
      <c r="U121" s="436"/>
      <c r="V121" s="436"/>
      <c r="W121" s="436"/>
      <c r="X121" s="436"/>
      <c r="Y121" s="436">
        <f>IF(NFI_Expiration=1,IF($A121&lt;VLOOKUP(H$5,NFI,5,0),1,0)*Table_NFI[[#This Row],[Hygiene Kit]],Table_NFI[Hygiene Kit])</f>
        <v>0</v>
      </c>
      <c r="Z121" s="436">
        <f>IF(NFI_Expiration=1,IF($A121&lt;VLOOKUP(I$5,NFI,5,0),1,0)*Table_NFI[[#This Row],[NFI Core Kit]],Table_NFI[NFI Core Kit])</f>
        <v>0</v>
      </c>
      <c r="AA121" s="436">
        <f>IF(NFI_Expiration=1,IF($A121&lt;VLOOKUP(J$5,NFI,5,0),1,0)*Table_NFI[[#This Row],[Sanitary Kit]],Table_NFI[Sanitary Kit])</f>
        <v>0</v>
      </c>
      <c r="AB121" s="436">
        <f>IF(NFI_Expiration=1,IF($A121&lt;VLOOKUP(K$5,NFI,5,0),1,0)*Table_NFI[[#This Row],[Mosquito net]],Table_NFI[Mosquito net])</f>
        <v>0</v>
      </c>
      <c r="AC121" s="436">
        <f>IF(NFI_Expiration=1,IF($A121&lt;VLOOKUP(L$5,NFI,5,0),1,0)*Table_NFI[[#This Row],[Tarpaulin]],Table_NFI[[#This Row],[Tarpaulin]])</f>
        <v>0</v>
      </c>
      <c r="AD121" s="436">
        <f>IF(NFI_Expiration=1,IF($A121&lt;VLOOKUP(M$5,NFI,5,0),1,0)*Table_NFI[[#This Row],[Blanket]],Table_NFI[[#This Row],[Blanket]])</f>
        <v>0</v>
      </c>
      <c r="AE121" s="436">
        <f>IF(NFI_Expiration=1,IF($A121&lt;VLOOKUP(N$5,NFI,5,0),1,0)*Table_NFI[[#This Row],[Kitchen Set]],Table_NFI[Kitchen Set])</f>
        <v>0</v>
      </c>
      <c r="AF121" s="436">
        <f>IF(NFI_Expiration=1,IF($A121&lt;VLOOKUP(O$5,NFI,5,0),1,0)*Table_NFI[[#This Row],[Clothes Kit]],Table_NFI[Clothes Kit])</f>
        <v>0</v>
      </c>
      <c r="AG121" s="436">
        <f>IF(NFI_Expiration=1,IF($A121&lt;VLOOKUP(P$5,NFI,5,0),1,0)*Table_NFI[[#This Row],[Plastic Bucket]],Table_NFI[Plastic Bucket])</f>
        <v>0</v>
      </c>
      <c r="AH121" s="436">
        <f>IF(NFI_Expiration=1,IF($A121&lt;VLOOKUP(Q$5,NFI,5,0),1,0)*Table_NFI[[#This Row],[Plastic Mat]],Table_NFI[Plastic Mat])*IF(Table_NFI[[#This Row],[Distribution Date]]&gt;"2014-04-01",1,2.5)</f>
        <v>0</v>
      </c>
      <c r="AI121" s="436">
        <f>IF(NFI_Expiration=1,IF($A121&lt;VLOOKUP(R$5,NFI,5,0),1,0)*Table_NFI[[#This Row],[Winter Clothes Adult]],Table_NFI[Winter Clothes Adult])</f>
        <v>0</v>
      </c>
      <c r="AJ121" s="436">
        <f>IF(NFI_Expiration=1,IF($A121&lt;VLOOKUP(S$5,NFI,5,0),1,0)*Table_NFI[[#This Row],[Winter Clothes Children]],Table_NFI[Winter Clothes Children])</f>
        <v>0</v>
      </c>
      <c r="AK121" s="436">
        <f>IF(NFI_Expiration=1,IF($A121&lt;VLOOKUP(T$5,NFI,5,0),1,0)*Table_NFI[[#This Row],[Winter Items Other]],Table_NFI[Winter Items Other])</f>
        <v>0</v>
      </c>
      <c r="AL121" s="436">
        <f>IF(NFI_Expiration=1,IF($A121&lt;VLOOKUP(M$5,NFI,5,0),1,0)*Table_NFI[[#This Row],[Winter Blanket]],Table_NFI[[#This Row],[Winter Blanket]])</f>
        <v>0</v>
      </c>
      <c r="AM121" s="436">
        <f>IF(Table_NFI[[#This Row],[Winter Clothes Adult]]+Table_NFI[[#This Row],[Winter Clothes Children]]+Table_NFI[[#This Row],[Winter Items Other]]+Table_NFI[[#This Row],[Winter Blanket]]&gt;0,1,0)</f>
        <v>1</v>
      </c>
      <c r="AN121" s="439">
        <f>IF(NFI_Expiration=1,IF($A121&lt;VLOOKUP(V$5,NFI,5,0),1,0)*Table_NFI[[#This Row],[Jerry Can]],Table_NFI[Jerry Can])</f>
        <v>0</v>
      </c>
      <c r="AO121" s="771" t="str">
        <f>IFERROR(VLOOKUP(Table_NFI[[#This Row],[Camp Name]],CL,2,0),"")</f>
        <v>MMR001CMP148</v>
      </c>
      <c r="AP121" s="772">
        <f ca="1">IF(Table_NFI[[#This Row],[Pcode]]="","",IF(OFFSET(CampList[Opening Date],MATCH(Table_NFI[[#This Row],[Pcode]],CampList[CP_Pcode],0)-1,0,1,1)&gt;=NFI_Monitor_Date,1,0))</f>
        <v>0</v>
      </c>
      <c r="AQ121" s="771" t="str">
        <f>IFERROR(VLOOKUP(Table_NFI[[#This Row],[Camp Name]],CL,3,0),"")</f>
        <v>Open</v>
      </c>
      <c r="AR121" s="436" t="str">
        <f ca="1">IF(Table_NFI[[#This Row],[Pcode]]="","",OFFSET(CampList[Priority],MATCH(Table_NFI[[#This Row],[Pcode]],CampList[CP_Pcode],0)-1,0,1,1))</f>
        <v>P4</v>
      </c>
      <c r="AS121" s="438">
        <f>IFERROR(Table_NFI[[#This Row],[Kitchen Set]]/VLOOKUP(Table_NFI[[#This Row],[Camp Name]],CL,4,0),"")</f>
        <v>0</v>
      </c>
      <c r="AT121" s="769"/>
      <c r="AU121" s="773"/>
    </row>
    <row r="122" spans="1:47" s="136" customFormat="1" x14ac:dyDescent="0.25">
      <c r="A122" s="451">
        <f t="shared" si="1"/>
        <v>14.433333333333334</v>
      </c>
      <c r="B122" s="768">
        <v>41937</v>
      </c>
      <c r="C122" s="769" t="s">
        <v>1101</v>
      </c>
      <c r="D122" s="769" t="s">
        <v>907</v>
      </c>
      <c r="E122" s="769" t="s">
        <v>380</v>
      </c>
      <c r="F122" s="769" t="s">
        <v>529</v>
      </c>
      <c r="G122" s="769" t="s">
        <v>44</v>
      </c>
      <c r="H122" s="436"/>
      <c r="I122" s="436"/>
      <c r="J122" s="436"/>
      <c r="K122" s="436"/>
      <c r="L122" s="437"/>
      <c r="M122" s="437"/>
      <c r="N122" s="437"/>
      <c r="O122" s="437"/>
      <c r="P122" s="439"/>
      <c r="Q122" s="439"/>
      <c r="R122" s="436">
        <v>33</v>
      </c>
      <c r="S122" s="436">
        <v>24</v>
      </c>
      <c r="T122" s="436"/>
      <c r="U122" s="436"/>
      <c r="V122" s="436"/>
      <c r="W122" s="436"/>
      <c r="X122" s="436"/>
      <c r="Y122" s="436">
        <f>IF(NFI_Expiration=1,IF($A122&lt;VLOOKUP(H$5,NFI,5,0),1,0)*Table_NFI[[#This Row],[Hygiene Kit]],Table_NFI[Hygiene Kit])</f>
        <v>0</v>
      </c>
      <c r="Z122" s="436">
        <f>IF(NFI_Expiration=1,IF($A122&lt;VLOOKUP(I$5,NFI,5,0),1,0)*Table_NFI[[#This Row],[NFI Core Kit]],Table_NFI[NFI Core Kit])</f>
        <v>0</v>
      </c>
      <c r="AA122" s="436">
        <f>IF(NFI_Expiration=1,IF($A122&lt;VLOOKUP(J$5,NFI,5,0),1,0)*Table_NFI[[#This Row],[Sanitary Kit]],Table_NFI[Sanitary Kit])</f>
        <v>0</v>
      </c>
      <c r="AB122" s="436">
        <f>IF(NFI_Expiration=1,IF($A122&lt;VLOOKUP(K$5,NFI,5,0),1,0)*Table_NFI[[#This Row],[Mosquito net]],Table_NFI[Mosquito net])</f>
        <v>0</v>
      </c>
      <c r="AC122" s="436">
        <f>IF(NFI_Expiration=1,IF($A122&lt;VLOOKUP(L$5,NFI,5,0),1,0)*Table_NFI[[#This Row],[Tarpaulin]],Table_NFI[[#This Row],[Tarpaulin]])</f>
        <v>0</v>
      </c>
      <c r="AD122" s="436">
        <f>IF(NFI_Expiration=1,IF($A122&lt;VLOOKUP(M$5,NFI,5,0),1,0)*Table_NFI[[#This Row],[Blanket]],Table_NFI[[#This Row],[Blanket]])</f>
        <v>0</v>
      </c>
      <c r="AE122" s="436">
        <f>IF(NFI_Expiration=1,IF($A122&lt;VLOOKUP(N$5,NFI,5,0),1,0)*Table_NFI[[#This Row],[Kitchen Set]],Table_NFI[Kitchen Set])</f>
        <v>0</v>
      </c>
      <c r="AF122" s="436">
        <f>IF(NFI_Expiration=1,IF($A122&lt;VLOOKUP(O$5,NFI,5,0),1,0)*Table_NFI[[#This Row],[Clothes Kit]],Table_NFI[Clothes Kit])</f>
        <v>0</v>
      </c>
      <c r="AG122" s="436">
        <f>IF(NFI_Expiration=1,IF($A122&lt;VLOOKUP(P$5,NFI,5,0),1,0)*Table_NFI[[#This Row],[Plastic Bucket]],Table_NFI[Plastic Bucket])</f>
        <v>0</v>
      </c>
      <c r="AH122" s="436">
        <f>IF(NFI_Expiration=1,IF($A122&lt;VLOOKUP(Q$5,NFI,5,0),1,0)*Table_NFI[[#This Row],[Plastic Mat]],Table_NFI[Plastic Mat])*IF(Table_NFI[[#This Row],[Distribution Date]]&gt;"2014-04-01",1,2.5)</f>
        <v>0</v>
      </c>
      <c r="AI122" s="436">
        <f>IF(NFI_Expiration=1,IF($A122&lt;VLOOKUP(R$5,NFI,5,0),1,0)*Table_NFI[[#This Row],[Winter Clothes Adult]],Table_NFI[Winter Clothes Adult])</f>
        <v>0</v>
      </c>
      <c r="AJ122" s="436">
        <f>IF(NFI_Expiration=1,IF($A122&lt;VLOOKUP(S$5,NFI,5,0),1,0)*Table_NFI[[#This Row],[Winter Clothes Children]],Table_NFI[Winter Clothes Children])</f>
        <v>0</v>
      </c>
      <c r="AK122" s="436">
        <f>IF(NFI_Expiration=1,IF($A122&lt;VLOOKUP(T$5,NFI,5,0),1,0)*Table_NFI[[#This Row],[Winter Items Other]],Table_NFI[Winter Items Other])</f>
        <v>0</v>
      </c>
      <c r="AL122" s="436">
        <f>IF(NFI_Expiration=1,IF($A122&lt;VLOOKUP(M$5,NFI,5,0),1,0)*Table_NFI[[#This Row],[Winter Blanket]],Table_NFI[[#This Row],[Winter Blanket]])</f>
        <v>0</v>
      </c>
      <c r="AM122" s="436">
        <f>IF(Table_NFI[[#This Row],[Winter Clothes Adult]]+Table_NFI[[#This Row],[Winter Clothes Children]]+Table_NFI[[#This Row],[Winter Items Other]]+Table_NFI[[#This Row],[Winter Blanket]]&gt;0,1,0)</f>
        <v>1</v>
      </c>
      <c r="AN122" s="439">
        <f>IF(NFI_Expiration=1,IF($A122&lt;VLOOKUP(V$5,NFI,5,0),1,0)*Table_NFI[[#This Row],[Jerry Can]],Table_NFI[Jerry Can])</f>
        <v>0</v>
      </c>
      <c r="AO122" s="771" t="str">
        <f>IFERROR(VLOOKUP(Table_NFI[[#This Row],[Camp Name]],CL,2,0),"")</f>
        <v>MMR001CMP191</v>
      </c>
      <c r="AP122" s="772">
        <f ca="1">IF(Table_NFI[[#This Row],[Pcode]]="","",IF(OFFSET(CampList[Opening Date],MATCH(Table_NFI[[#This Row],[Pcode]],CampList[CP_Pcode],0)-1,0,1,1)&gt;=NFI_Monitor_Date,1,0))</f>
        <v>0</v>
      </c>
      <c r="AQ122" s="771" t="str">
        <f>IFERROR(VLOOKUP(Table_NFI[[#This Row],[Camp Name]],CL,3,0),"")</f>
        <v>Open</v>
      </c>
      <c r="AR122" s="436" t="str">
        <f ca="1">IF(Table_NFI[[#This Row],[Pcode]]="","",OFFSET(CampList[Priority],MATCH(Table_NFI[[#This Row],[Pcode]],CampList[CP_Pcode],0)-1,0,1,1))</f>
        <v>P4</v>
      </c>
      <c r="AS122" s="438">
        <f>IFERROR(Table_NFI[[#This Row],[Kitchen Set]]/VLOOKUP(Table_NFI[[#This Row],[Camp Name]],CL,4,0),"")</f>
        <v>0</v>
      </c>
      <c r="AT122" s="769"/>
      <c r="AU122" s="773"/>
    </row>
    <row r="123" spans="1:47" s="136" customFormat="1" x14ac:dyDescent="0.25">
      <c r="A123" s="451">
        <f t="shared" si="1"/>
        <v>14.433333333333334</v>
      </c>
      <c r="B123" s="768">
        <v>41937</v>
      </c>
      <c r="C123" s="769" t="s">
        <v>1101</v>
      </c>
      <c r="D123" s="769" t="s">
        <v>907</v>
      </c>
      <c r="E123" s="769" t="s">
        <v>380</v>
      </c>
      <c r="F123" s="769" t="s">
        <v>529</v>
      </c>
      <c r="G123" s="769" t="s">
        <v>1072</v>
      </c>
      <c r="H123" s="436"/>
      <c r="I123" s="436"/>
      <c r="J123" s="436"/>
      <c r="K123" s="436"/>
      <c r="L123" s="437"/>
      <c r="M123" s="437"/>
      <c r="N123" s="437"/>
      <c r="O123" s="437"/>
      <c r="P123" s="439"/>
      <c r="Q123" s="439"/>
      <c r="R123" s="436">
        <v>186</v>
      </c>
      <c r="S123" s="436">
        <v>125</v>
      </c>
      <c r="T123" s="436"/>
      <c r="U123" s="436"/>
      <c r="V123" s="436"/>
      <c r="W123" s="436"/>
      <c r="X123" s="436"/>
      <c r="Y123" s="436">
        <f>IF(NFI_Expiration=1,IF($A123&lt;VLOOKUP(H$5,NFI,5,0),1,0)*Table_NFI[[#This Row],[Hygiene Kit]],Table_NFI[Hygiene Kit])</f>
        <v>0</v>
      </c>
      <c r="Z123" s="436">
        <f>IF(NFI_Expiration=1,IF($A123&lt;VLOOKUP(I$5,NFI,5,0),1,0)*Table_NFI[[#This Row],[NFI Core Kit]],Table_NFI[NFI Core Kit])</f>
        <v>0</v>
      </c>
      <c r="AA123" s="436">
        <f>IF(NFI_Expiration=1,IF($A123&lt;VLOOKUP(J$5,NFI,5,0),1,0)*Table_NFI[[#This Row],[Sanitary Kit]],Table_NFI[Sanitary Kit])</f>
        <v>0</v>
      </c>
      <c r="AB123" s="436">
        <f>IF(NFI_Expiration=1,IF($A123&lt;VLOOKUP(K$5,NFI,5,0),1,0)*Table_NFI[[#This Row],[Mosquito net]],Table_NFI[Mosquito net])</f>
        <v>0</v>
      </c>
      <c r="AC123" s="436">
        <f>IF(NFI_Expiration=1,IF($A123&lt;VLOOKUP(L$5,NFI,5,0),1,0)*Table_NFI[[#This Row],[Tarpaulin]],Table_NFI[[#This Row],[Tarpaulin]])</f>
        <v>0</v>
      </c>
      <c r="AD123" s="436">
        <f>IF(NFI_Expiration=1,IF($A123&lt;VLOOKUP(M$5,NFI,5,0),1,0)*Table_NFI[[#This Row],[Blanket]],Table_NFI[[#This Row],[Blanket]])</f>
        <v>0</v>
      </c>
      <c r="AE123" s="436">
        <f>IF(NFI_Expiration=1,IF($A123&lt;VLOOKUP(N$5,NFI,5,0),1,0)*Table_NFI[[#This Row],[Kitchen Set]],Table_NFI[Kitchen Set])</f>
        <v>0</v>
      </c>
      <c r="AF123" s="436">
        <f>IF(NFI_Expiration=1,IF($A123&lt;VLOOKUP(O$5,NFI,5,0),1,0)*Table_NFI[[#This Row],[Clothes Kit]],Table_NFI[Clothes Kit])</f>
        <v>0</v>
      </c>
      <c r="AG123" s="436">
        <f>IF(NFI_Expiration=1,IF($A123&lt;VLOOKUP(P$5,NFI,5,0),1,0)*Table_NFI[[#This Row],[Plastic Bucket]],Table_NFI[Plastic Bucket])</f>
        <v>0</v>
      </c>
      <c r="AH123" s="436">
        <f>IF(NFI_Expiration=1,IF($A123&lt;VLOOKUP(Q$5,NFI,5,0),1,0)*Table_NFI[[#This Row],[Plastic Mat]],Table_NFI[Plastic Mat])*IF(Table_NFI[[#This Row],[Distribution Date]]&gt;"2014-04-01",1,2.5)</f>
        <v>0</v>
      </c>
      <c r="AI123" s="436">
        <f>IF(NFI_Expiration=1,IF($A123&lt;VLOOKUP(R$5,NFI,5,0),1,0)*Table_NFI[[#This Row],[Winter Clothes Adult]],Table_NFI[Winter Clothes Adult])</f>
        <v>0</v>
      </c>
      <c r="AJ123" s="436">
        <f>IF(NFI_Expiration=1,IF($A123&lt;VLOOKUP(S$5,NFI,5,0),1,0)*Table_NFI[[#This Row],[Winter Clothes Children]],Table_NFI[Winter Clothes Children])</f>
        <v>0</v>
      </c>
      <c r="AK123" s="436">
        <f>IF(NFI_Expiration=1,IF($A123&lt;VLOOKUP(T$5,NFI,5,0),1,0)*Table_NFI[[#This Row],[Winter Items Other]],Table_NFI[Winter Items Other])</f>
        <v>0</v>
      </c>
      <c r="AL123" s="436">
        <f>IF(NFI_Expiration=1,IF($A123&lt;VLOOKUP(M$5,NFI,5,0),1,0)*Table_NFI[[#This Row],[Winter Blanket]],Table_NFI[[#This Row],[Winter Blanket]])</f>
        <v>0</v>
      </c>
      <c r="AM123" s="436">
        <f>IF(Table_NFI[[#This Row],[Winter Clothes Adult]]+Table_NFI[[#This Row],[Winter Clothes Children]]+Table_NFI[[#This Row],[Winter Items Other]]+Table_NFI[[#This Row],[Winter Blanket]]&gt;0,1,0)</f>
        <v>1</v>
      </c>
      <c r="AN123" s="439">
        <f>IF(NFI_Expiration=1,IF($A123&lt;VLOOKUP(V$5,NFI,5,0),1,0)*Table_NFI[[#This Row],[Jerry Can]],Table_NFI[Jerry Can])</f>
        <v>0</v>
      </c>
      <c r="AO123" s="771" t="str">
        <f>IFERROR(VLOOKUP(Table_NFI[[#This Row],[Camp Name]],CL,2,0),"")</f>
        <v>MMR001CMP229</v>
      </c>
      <c r="AP123" s="772">
        <f ca="1">IF(Table_NFI[[#This Row],[Pcode]]="","",IF(OFFSET(CampList[Opening Date],MATCH(Table_NFI[[#This Row],[Pcode]],CampList[CP_Pcode],0)-1,0,1,1)&gt;=NFI_Monitor_Date,1,0))</f>
        <v>0</v>
      </c>
      <c r="AQ123" s="771" t="str">
        <f>IFERROR(VLOOKUP(Table_NFI[[#This Row],[Camp Name]],CL,3,0),"")</f>
        <v>Open</v>
      </c>
      <c r="AR123" s="436" t="str">
        <f ca="1">IF(Table_NFI[[#This Row],[Pcode]]="","",OFFSET(CampList[Priority],MATCH(Table_NFI[[#This Row],[Pcode]],CampList[CP_Pcode],0)-1,0,1,1))</f>
        <v>P4</v>
      </c>
      <c r="AS123" s="438">
        <f>IFERROR(Table_NFI[[#This Row],[Kitchen Set]]/VLOOKUP(Table_NFI[[#This Row],[Camp Name]],CL,4,0),"")</f>
        <v>0</v>
      </c>
      <c r="AT123" s="769"/>
      <c r="AU123" s="773"/>
    </row>
    <row r="124" spans="1:47" s="136" customFormat="1" x14ac:dyDescent="0.25">
      <c r="A124" s="451">
        <f t="shared" si="1"/>
        <v>14.433333333333334</v>
      </c>
      <c r="B124" s="768">
        <v>41937</v>
      </c>
      <c r="C124" s="769" t="s">
        <v>1101</v>
      </c>
      <c r="D124" s="769" t="s">
        <v>907</v>
      </c>
      <c r="E124" s="769" t="s">
        <v>380</v>
      </c>
      <c r="F124" s="769" t="s">
        <v>529</v>
      </c>
      <c r="G124" s="769" t="s">
        <v>90</v>
      </c>
      <c r="H124" s="436"/>
      <c r="I124" s="436"/>
      <c r="J124" s="436"/>
      <c r="K124" s="436"/>
      <c r="L124" s="437"/>
      <c r="M124" s="437"/>
      <c r="N124" s="437"/>
      <c r="O124" s="437"/>
      <c r="P124" s="439"/>
      <c r="Q124" s="439"/>
      <c r="R124" s="436">
        <v>90</v>
      </c>
      <c r="S124" s="436">
        <v>39</v>
      </c>
      <c r="T124" s="436"/>
      <c r="U124" s="436"/>
      <c r="V124" s="436"/>
      <c r="W124" s="436"/>
      <c r="X124" s="436"/>
      <c r="Y124" s="436">
        <f>IF(NFI_Expiration=1,IF($A124&lt;VLOOKUP(H$5,NFI,5,0),1,0)*Table_NFI[[#This Row],[Hygiene Kit]],Table_NFI[Hygiene Kit])</f>
        <v>0</v>
      </c>
      <c r="Z124" s="436">
        <f>IF(NFI_Expiration=1,IF($A124&lt;VLOOKUP(I$5,NFI,5,0),1,0)*Table_NFI[[#This Row],[NFI Core Kit]],Table_NFI[NFI Core Kit])</f>
        <v>0</v>
      </c>
      <c r="AA124" s="436">
        <f>IF(NFI_Expiration=1,IF($A124&lt;VLOOKUP(J$5,NFI,5,0),1,0)*Table_NFI[[#This Row],[Sanitary Kit]],Table_NFI[Sanitary Kit])</f>
        <v>0</v>
      </c>
      <c r="AB124" s="436">
        <f>IF(NFI_Expiration=1,IF($A124&lt;VLOOKUP(K$5,NFI,5,0),1,0)*Table_NFI[[#This Row],[Mosquito net]],Table_NFI[Mosquito net])</f>
        <v>0</v>
      </c>
      <c r="AC124" s="436">
        <f>IF(NFI_Expiration=1,IF($A124&lt;VLOOKUP(L$5,NFI,5,0),1,0)*Table_NFI[[#This Row],[Tarpaulin]],Table_NFI[[#This Row],[Tarpaulin]])</f>
        <v>0</v>
      </c>
      <c r="AD124" s="436">
        <f>IF(NFI_Expiration=1,IF($A124&lt;VLOOKUP(M$5,NFI,5,0),1,0)*Table_NFI[[#This Row],[Blanket]],Table_NFI[[#This Row],[Blanket]])</f>
        <v>0</v>
      </c>
      <c r="AE124" s="436">
        <f>IF(NFI_Expiration=1,IF($A124&lt;VLOOKUP(N$5,NFI,5,0),1,0)*Table_NFI[[#This Row],[Kitchen Set]],Table_NFI[Kitchen Set])</f>
        <v>0</v>
      </c>
      <c r="AF124" s="436">
        <f>IF(NFI_Expiration=1,IF($A124&lt;VLOOKUP(O$5,NFI,5,0),1,0)*Table_NFI[[#This Row],[Clothes Kit]],Table_NFI[Clothes Kit])</f>
        <v>0</v>
      </c>
      <c r="AG124" s="436">
        <f>IF(NFI_Expiration=1,IF($A124&lt;VLOOKUP(P$5,NFI,5,0),1,0)*Table_NFI[[#This Row],[Plastic Bucket]],Table_NFI[Plastic Bucket])</f>
        <v>0</v>
      </c>
      <c r="AH124" s="436">
        <f>IF(NFI_Expiration=1,IF($A124&lt;VLOOKUP(Q$5,NFI,5,0),1,0)*Table_NFI[[#This Row],[Plastic Mat]],Table_NFI[Plastic Mat])*IF(Table_NFI[[#This Row],[Distribution Date]]&gt;"2014-04-01",1,2.5)</f>
        <v>0</v>
      </c>
      <c r="AI124" s="436">
        <f>IF(NFI_Expiration=1,IF($A124&lt;VLOOKUP(R$5,NFI,5,0),1,0)*Table_NFI[[#This Row],[Winter Clothes Adult]],Table_NFI[Winter Clothes Adult])</f>
        <v>0</v>
      </c>
      <c r="AJ124" s="436">
        <f>IF(NFI_Expiration=1,IF($A124&lt;VLOOKUP(S$5,NFI,5,0),1,0)*Table_NFI[[#This Row],[Winter Clothes Children]],Table_NFI[Winter Clothes Children])</f>
        <v>0</v>
      </c>
      <c r="AK124" s="436">
        <f>IF(NFI_Expiration=1,IF($A124&lt;VLOOKUP(T$5,NFI,5,0),1,0)*Table_NFI[[#This Row],[Winter Items Other]],Table_NFI[Winter Items Other])</f>
        <v>0</v>
      </c>
      <c r="AL124" s="436">
        <f>IF(NFI_Expiration=1,IF($A124&lt;VLOOKUP(M$5,NFI,5,0),1,0)*Table_NFI[[#This Row],[Winter Blanket]],Table_NFI[[#This Row],[Winter Blanket]])</f>
        <v>0</v>
      </c>
      <c r="AM124" s="436">
        <f>IF(Table_NFI[[#This Row],[Winter Clothes Adult]]+Table_NFI[[#This Row],[Winter Clothes Children]]+Table_NFI[[#This Row],[Winter Items Other]]+Table_NFI[[#This Row],[Winter Blanket]]&gt;0,1,0)</f>
        <v>1</v>
      </c>
      <c r="AN124" s="439">
        <f>IF(NFI_Expiration=1,IF($A124&lt;VLOOKUP(V$5,NFI,5,0),1,0)*Table_NFI[[#This Row],[Jerry Can]],Table_NFI[Jerry Can])</f>
        <v>0</v>
      </c>
      <c r="AO124" s="771" t="str">
        <f>IFERROR(VLOOKUP(Table_NFI[[#This Row],[Camp Name]],CL,2,0),"")</f>
        <v>MMR001CMP181</v>
      </c>
      <c r="AP124" s="772">
        <f ca="1">IF(Table_NFI[[#This Row],[Pcode]]="","",IF(OFFSET(CampList[Opening Date],MATCH(Table_NFI[[#This Row],[Pcode]],CampList[CP_Pcode],0)-1,0,1,1)&gt;=NFI_Monitor_Date,1,0))</f>
        <v>0</v>
      </c>
      <c r="AQ124" s="771" t="str">
        <f>IFERROR(VLOOKUP(Table_NFI[[#This Row],[Camp Name]],CL,3,0),"")</f>
        <v>Open</v>
      </c>
      <c r="AR124" s="436" t="str">
        <f ca="1">IF(Table_NFI[[#This Row],[Pcode]]="","",OFFSET(CampList[Priority],MATCH(Table_NFI[[#This Row],[Pcode]],CampList[CP_Pcode],0)-1,0,1,1))</f>
        <v>P4</v>
      </c>
      <c r="AS124" s="438">
        <f>IFERROR(Table_NFI[[#This Row],[Kitchen Set]]/VLOOKUP(Table_NFI[[#This Row],[Camp Name]],CL,4,0),"")</f>
        <v>0</v>
      </c>
      <c r="AT124" s="769"/>
      <c r="AU124" s="773"/>
    </row>
    <row r="125" spans="1:47" s="136" customFormat="1" x14ac:dyDescent="0.25">
      <c r="A125" s="451">
        <f t="shared" si="1"/>
        <v>14.433333333333334</v>
      </c>
      <c r="B125" s="768">
        <v>41937</v>
      </c>
      <c r="C125" s="769" t="s">
        <v>1101</v>
      </c>
      <c r="D125" s="769" t="s">
        <v>907</v>
      </c>
      <c r="E125" s="769" t="s">
        <v>380</v>
      </c>
      <c r="F125" s="769" t="s">
        <v>529</v>
      </c>
      <c r="G125" s="769" t="s">
        <v>92</v>
      </c>
      <c r="H125" s="436"/>
      <c r="I125" s="436"/>
      <c r="J125" s="436"/>
      <c r="K125" s="436"/>
      <c r="L125" s="437"/>
      <c r="M125" s="437"/>
      <c r="N125" s="437"/>
      <c r="O125" s="437"/>
      <c r="P125" s="439"/>
      <c r="Q125" s="439"/>
      <c r="R125" s="436">
        <v>48</v>
      </c>
      <c r="S125" s="436">
        <v>23</v>
      </c>
      <c r="T125" s="436"/>
      <c r="U125" s="436"/>
      <c r="V125" s="436"/>
      <c r="W125" s="436"/>
      <c r="X125" s="436"/>
      <c r="Y125" s="436">
        <f>IF(NFI_Expiration=1,IF($A125&lt;VLOOKUP(H$5,NFI,5,0),1,0)*Table_NFI[[#This Row],[Hygiene Kit]],Table_NFI[Hygiene Kit])</f>
        <v>0</v>
      </c>
      <c r="Z125" s="436">
        <f>IF(NFI_Expiration=1,IF($A125&lt;VLOOKUP(I$5,NFI,5,0),1,0)*Table_NFI[[#This Row],[NFI Core Kit]],Table_NFI[NFI Core Kit])</f>
        <v>0</v>
      </c>
      <c r="AA125" s="436">
        <f>IF(NFI_Expiration=1,IF($A125&lt;VLOOKUP(J$5,NFI,5,0),1,0)*Table_NFI[[#This Row],[Sanitary Kit]],Table_NFI[Sanitary Kit])</f>
        <v>0</v>
      </c>
      <c r="AB125" s="436">
        <f>IF(NFI_Expiration=1,IF($A125&lt;VLOOKUP(K$5,NFI,5,0),1,0)*Table_NFI[[#This Row],[Mosquito net]],Table_NFI[Mosquito net])</f>
        <v>0</v>
      </c>
      <c r="AC125" s="436">
        <f>IF(NFI_Expiration=1,IF($A125&lt;VLOOKUP(L$5,NFI,5,0),1,0)*Table_NFI[[#This Row],[Tarpaulin]],Table_NFI[[#This Row],[Tarpaulin]])</f>
        <v>0</v>
      </c>
      <c r="AD125" s="436">
        <f>IF(NFI_Expiration=1,IF($A125&lt;VLOOKUP(M$5,NFI,5,0),1,0)*Table_NFI[[#This Row],[Blanket]],Table_NFI[[#This Row],[Blanket]])</f>
        <v>0</v>
      </c>
      <c r="AE125" s="436">
        <f>IF(NFI_Expiration=1,IF($A125&lt;VLOOKUP(N$5,NFI,5,0),1,0)*Table_NFI[[#This Row],[Kitchen Set]],Table_NFI[Kitchen Set])</f>
        <v>0</v>
      </c>
      <c r="AF125" s="436">
        <f>IF(NFI_Expiration=1,IF($A125&lt;VLOOKUP(O$5,NFI,5,0),1,0)*Table_NFI[[#This Row],[Clothes Kit]],Table_NFI[Clothes Kit])</f>
        <v>0</v>
      </c>
      <c r="AG125" s="436">
        <f>IF(NFI_Expiration=1,IF($A125&lt;VLOOKUP(P$5,NFI,5,0),1,0)*Table_NFI[[#This Row],[Plastic Bucket]],Table_NFI[Plastic Bucket])</f>
        <v>0</v>
      </c>
      <c r="AH125" s="436">
        <f>IF(NFI_Expiration=1,IF($A125&lt;VLOOKUP(Q$5,NFI,5,0),1,0)*Table_NFI[[#This Row],[Plastic Mat]],Table_NFI[Plastic Mat])*IF(Table_NFI[[#This Row],[Distribution Date]]&gt;"2014-04-01",1,2.5)</f>
        <v>0</v>
      </c>
      <c r="AI125" s="436">
        <f>IF(NFI_Expiration=1,IF($A125&lt;VLOOKUP(R$5,NFI,5,0),1,0)*Table_NFI[[#This Row],[Winter Clothes Adult]],Table_NFI[Winter Clothes Adult])</f>
        <v>0</v>
      </c>
      <c r="AJ125" s="436">
        <f>IF(NFI_Expiration=1,IF($A125&lt;VLOOKUP(S$5,NFI,5,0),1,0)*Table_NFI[[#This Row],[Winter Clothes Children]],Table_NFI[Winter Clothes Children])</f>
        <v>0</v>
      </c>
      <c r="AK125" s="436">
        <f>IF(NFI_Expiration=1,IF($A125&lt;VLOOKUP(T$5,NFI,5,0),1,0)*Table_NFI[[#This Row],[Winter Items Other]],Table_NFI[Winter Items Other])</f>
        <v>0</v>
      </c>
      <c r="AL125" s="436">
        <f>IF(NFI_Expiration=1,IF($A125&lt;VLOOKUP(M$5,NFI,5,0),1,0)*Table_NFI[[#This Row],[Winter Blanket]],Table_NFI[[#This Row],[Winter Blanket]])</f>
        <v>0</v>
      </c>
      <c r="AM125" s="436">
        <f>IF(Table_NFI[[#This Row],[Winter Clothes Adult]]+Table_NFI[[#This Row],[Winter Clothes Children]]+Table_NFI[[#This Row],[Winter Items Other]]+Table_NFI[[#This Row],[Winter Blanket]]&gt;0,1,0)</f>
        <v>1</v>
      </c>
      <c r="AN125" s="439">
        <f>IF(NFI_Expiration=1,IF($A125&lt;VLOOKUP(V$5,NFI,5,0),1,0)*Table_NFI[[#This Row],[Jerry Can]],Table_NFI[Jerry Can])</f>
        <v>0</v>
      </c>
      <c r="AO125" s="771" t="str">
        <f>IFERROR(VLOOKUP(Table_NFI[[#This Row],[Camp Name]],CL,2,0),"")</f>
        <v>MMR001CMP167</v>
      </c>
      <c r="AP125" s="772">
        <f ca="1">IF(Table_NFI[[#This Row],[Pcode]]="","",IF(OFFSET(CampList[Opening Date],MATCH(Table_NFI[[#This Row],[Pcode]],CampList[CP_Pcode],0)-1,0,1,1)&gt;=NFI_Monitor_Date,1,0))</f>
        <v>0</v>
      </c>
      <c r="AQ125" s="771" t="str">
        <f>IFERROR(VLOOKUP(Table_NFI[[#This Row],[Camp Name]],CL,3,0),"")</f>
        <v>Open</v>
      </c>
      <c r="AR125" s="436" t="str">
        <f ca="1">IF(Table_NFI[[#This Row],[Pcode]]="","",OFFSET(CampList[Priority],MATCH(Table_NFI[[#This Row],[Pcode]],CampList[CP_Pcode],0)-1,0,1,1))</f>
        <v>P4</v>
      </c>
      <c r="AS125" s="438">
        <f>IFERROR(Table_NFI[[#This Row],[Kitchen Set]]/VLOOKUP(Table_NFI[[#This Row],[Camp Name]],CL,4,0),"")</f>
        <v>0</v>
      </c>
      <c r="AT125" s="769"/>
      <c r="AU125" s="773"/>
    </row>
    <row r="126" spans="1:47" s="136" customFormat="1" x14ac:dyDescent="0.25">
      <c r="A126" s="451">
        <f t="shared" si="1"/>
        <v>14.433333333333334</v>
      </c>
      <c r="B126" s="768">
        <v>41937</v>
      </c>
      <c r="C126" s="769" t="s">
        <v>1101</v>
      </c>
      <c r="D126" s="769" t="s">
        <v>907</v>
      </c>
      <c r="E126" s="769" t="s">
        <v>380</v>
      </c>
      <c r="F126" s="769" t="s">
        <v>185</v>
      </c>
      <c r="G126" s="769" t="s">
        <v>186</v>
      </c>
      <c r="H126" s="436"/>
      <c r="I126" s="436"/>
      <c r="J126" s="436"/>
      <c r="K126" s="436"/>
      <c r="L126" s="437"/>
      <c r="M126" s="437"/>
      <c r="N126" s="437"/>
      <c r="O126" s="437"/>
      <c r="P126" s="439"/>
      <c r="Q126" s="439"/>
      <c r="R126" s="436">
        <v>112</v>
      </c>
      <c r="S126" s="436">
        <v>59</v>
      </c>
      <c r="T126" s="436"/>
      <c r="U126" s="436">
        <v>74</v>
      </c>
      <c r="V126" s="436"/>
      <c r="W126" s="436"/>
      <c r="X126" s="436"/>
      <c r="Y126" s="436">
        <f>IF(NFI_Expiration=1,IF($A126&lt;VLOOKUP(H$5,NFI,5,0),1,0)*Table_NFI[[#This Row],[Hygiene Kit]],Table_NFI[Hygiene Kit])</f>
        <v>0</v>
      </c>
      <c r="Z126" s="436">
        <f>IF(NFI_Expiration=1,IF($A126&lt;VLOOKUP(I$5,NFI,5,0),1,0)*Table_NFI[[#This Row],[NFI Core Kit]],Table_NFI[NFI Core Kit])</f>
        <v>0</v>
      </c>
      <c r="AA126" s="436">
        <f>IF(NFI_Expiration=1,IF($A126&lt;VLOOKUP(J$5,NFI,5,0),1,0)*Table_NFI[[#This Row],[Sanitary Kit]],Table_NFI[Sanitary Kit])</f>
        <v>0</v>
      </c>
      <c r="AB126" s="436">
        <f>IF(NFI_Expiration=1,IF($A126&lt;VLOOKUP(K$5,NFI,5,0),1,0)*Table_NFI[[#This Row],[Mosquito net]],Table_NFI[Mosquito net])</f>
        <v>0</v>
      </c>
      <c r="AC126" s="436">
        <f>IF(NFI_Expiration=1,IF($A126&lt;VLOOKUP(L$5,NFI,5,0),1,0)*Table_NFI[[#This Row],[Tarpaulin]],Table_NFI[[#This Row],[Tarpaulin]])</f>
        <v>0</v>
      </c>
      <c r="AD126" s="436">
        <f>IF(NFI_Expiration=1,IF($A126&lt;VLOOKUP(M$5,NFI,5,0),1,0)*Table_NFI[[#This Row],[Blanket]],Table_NFI[[#This Row],[Blanket]])</f>
        <v>0</v>
      </c>
      <c r="AE126" s="436">
        <f>IF(NFI_Expiration=1,IF($A126&lt;VLOOKUP(N$5,NFI,5,0),1,0)*Table_NFI[[#This Row],[Kitchen Set]],Table_NFI[Kitchen Set])</f>
        <v>0</v>
      </c>
      <c r="AF126" s="436">
        <f>IF(NFI_Expiration=1,IF($A126&lt;VLOOKUP(O$5,NFI,5,0),1,0)*Table_NFI[[#This Row],[Clothes Kit]],Table_NFI[Clothes Kit])</f>
        <v>0</v>
      </c>
      <c r="AG126" s="436">
        <f>IF(NFI_Expiration=1,IF($A126&lt;VLOOKUP(P$5,NFI,5,0),1,0)*Table_NFI[[#This Row],[Plastic Bucket]],Table_NFI[Plastic Bucket])</f>
        <v>0</v>
      </c>
      <c r="AH126" s="436">
        <f>IF(NFI_Expiration=1,IF($A126&lt;VLOOKUP(Q$5,NFI,5,0),1,0)*Table_NFI[[#This Row],[Plastic Mat]],Table_NFI[Plastic Mat])*IF(Table_NFI[[#This Row],[Distribution Date]]&gt;"2014-04-01",1,2.5)</f>
        <v>0</v>
      </c>
      <c r="AI126" s="436">
        <f>IF(NFI_Expiration=1,IF($A126&lt;VLOOKUP(R$5,NFI,5,0),1,0)*Table_NFI[[#This Row],[Winter Clothes Adult]],Table_NFI[Winter Clothes Adult])</f>
        <v>0</v>
      </c>
      <c r="AJ126" s="436">
        <f>IF(NFI_Expiration=1,IF($A126&lt;VLOOKUP(S$5,NFI,5,0),1,0)*Table_NFI[[#This Row],[Winter Clothes Children]],Table_NFI[Winter Clothes Children])</f>
        <v>0</v>
      </c>
      <c r="AK126" s="436">
        <f>IF(NFI_Expiration=1,IF($A126&lt;VLOOKUP(T$5,NFI,5,0),1,0)*Table_NFI[[#This Row],[Winter Items Other]],Table_NFI[Winter Items Other])</f>
        <v>0</v>
      </c>
      <c r="AL126" s="436">
        <f>IF(NFI_Expiration=1,IF($A126&lt;VLOOKUP(M$5,NFI,5,0),1,0)*Table_NFI[[#This Row],[Winter Blanket]],Table_NFI[[#This Row],[Winter Blanket]])</f>
        <v>0</v>
      </c>
      <c r="AM126" s="436">
        <f>IF(Table_NFI[[#This Row],[Winter Clothes Adult]]+Table_NFI[[#This Row],[Winter Clothes Children]]+Table_NFI[[#This Row],[Winter Items Other]]+Table_NFI[[#This Row],[Winter Blanket]]&gt;0,1,0)</f>
        <v>1</v>
      </c>
      <c r="AN126" s="439">
        <f>IF(NFI_Expiration=1,IF($A126&lt;VLOOKUP(V$5,NFI,5,0),1,0)*Table_NFI[[#This Row],[Jerry Can]],Table_NFI[Jerry Can])</f>
        <v>0</v>
      </c>
      <c r="AO126" s="771" t="str">
        <f>IFERROR(VLOOKUP(Table_NFI[[#This Row],[Camp Name]],CL,2,0),"")</f>
        <v>MMR001CMP071</v>
      </c>
      <c r="AP126" s="772">
        <f ca="1">IF(Table_NFI[[#This Row],[Pcode]]="","",IF(OFFSET(CampList[Opening Date],MATCH(Table_NFI[[#This Row],[Pcode]],CampList[CP_Pcode],0)-1,0,1,1)&gt;=NFI_Monitor_Date,1,0))</f>
        <v>0</v>
      </c>
      <c r="AQ126" s="771" t="str">
        <f>IFERROR(VLOOKUP(Table_NFI[[#This Row],[Camp Name]],CL,3,0),"")</f>
        <v>Open</v>
      </c>
      <c r="AR126" s="436" t="str">
        <f ca="1">IF(Table_NFI[[#This Row],[Pcode]]="","",OFFSET(CampList[Priority],MATCH(Table_NFI[[#This Row],[Pcode]],CampList[CP_Pcode],0)-1,0,1,1))</f>
        <v>P3</v>
      </c>
      <c r="AS126" s="438">
        <f>IFERROR(Table_NFI[[#This Row],[Kitchen Set]]/VLOOKUP(Table_NFI[[#This Row],[Camp Name]],CL,4,0),"")</f>
        <v>0</v>
      </c>
      <c r="AT126" s="769"/>
      <c r="AU126" s="773"/>
    </row>
    <row r="127" spans="1:47" s="136" customFormat="1" x14ac:dyDescent="0.25">
      <c r="A127" s="451">
        <f t="shared" si="1"/>
        <v>14.433333333333334</v>
      </c>
      <c r="B127" s="768">
        <v>41937</v>
      </c>
      <c r="C127" s="769" t="s">
        <v>1101</v>
      </c>
      <c r="D127" s="769" t="s">
        <v>907</v>
      </c>
      <c r="E127" s="769" t="s">
        <v>380</v>
      </c>
      <c r="F127" s="769" t="s">
        <v>185</v>
      </c>
      <c r="G127" s="769" t="s">
        <v>223</v>
      </c>
      <c r="H127" s="436"/>
      <c r="I127" s="436"/>
      <c r="J127" s="436"/>
      <c r="K127" s="436"/>
      <c r="L127" s="437"/>
      <c r="M127" s="437"/>
      <c r="N127" s="437"/>
      <c r="O127" s="437"/>
      <c r="P127" s="439"/>
      <c r="Q127" s="439"/>
      <c r="R127" s="436">
        <v>203</v>
      </c>
      <c r="S127" s="436">
        <v>102</v>
      </c>
      <c r="T127" s="436"/>
      <c r="U127" s="436">
        <v>138</v>
      </c>
      <c r="V127" s="436"/>
      <c r="W127" s="436"/>
      <c r="X127" s="436"/>
      <c r="Y127" s="436">
        <f>IF(NFI_Expiration=1,IF($A127&lt;VLOOKUP(H$5,NFI,5,0),1,0)*Table_NFI[[#This Row],[Hygiene Kit]],Table_NFI[Hygiene Kit])</f>
        <v>0</v>
      </c>
      <c r="Z127" s="436">
        <f>IF(NFI_Expiration=1,IF($A127&lt;VLOOKUP(I$5,NFI,5,0),1,0)*Table_NFI[[#This Row],[NFI Core Kit]],Table_NFI[NFI Core Kit])</f>
        <v>0</v>
      </c>
      <c r="AA127" s="436">
        <f>IF(NFI_Expiration=1,IF($A127&lt;VLOOKUP(J$5,NFI,5,0),1,0)*Table_NFI[[#This Row],[Sanitary Kit]],Table_NFI[Sanitary Kit])</f>
        <v>0</v>
      </c>
      <c r="AB127" s="436">
        <f>IF(NFI_Expiration=1,IF($A127&lt;VLOOKUP(K$5,NFI,5,0),1,0)*Table_NFI[[#This Row],[Mosquito net]],Table_NFI[Mosquito net])</f>
        <v>0</v>
      </c>
      <c r="AC127" s="436">
        <f>IF(NFI_Expiration=1,IF($A127&lt;VLOOKUP(L$5,NFI,5,0),1,0)*Table_NFI[[#This Row],[Tarpaulin]],Table_NFI[[#This Row],[Tarpaulin]])</f>
        <v>0</v>
      </c>
      <c r="AD127" s="436">
        <f>IF(NFI_Expiration=1,IF($A127&lt;VLOOKUP(M$5,NFI,5,0),1,0)*Table_NFI[[#This Row],[Blanket]],Table_NFI[[#This Row],[Blanket]])</f>
        <v>0</v>
      </c>
      <c r="AE127" s="436">
        <f>IF(NFI_Expiration=1,IF($A127&lt;VLOOKUP(N$5,NFI,5,0),1,0)*Table_NFI[[#This Row],[Kitchen Set]],Table_NFI[Kitchen Set])</f>
        <v>0</v>
      </c>
      <c r="AF127" s="436">
        <f>IF(NFI_Expiration=1,IF($A127&lt;VLOOKUP(O$5,NFI,5,0),1,0)*Table_NFI[[#This Row],[Clothes Kit]],Table_NFI[Clothes Kit])</f>
        <v>0</v>
      </c>
      <c r="AG127" s="436">
        <f>IF(NFI_Expiration=1,IF($A127&lt;VLOOKUP(P$5,NFI,5,0),1,0)*Table_NFI[[#This Row],[Plastic Bucket]],Table_NFI[Plastic Bucket])</f>
        <v>0</v>
      </c>
      <c r="AH127" s="436">
        <f>IF(NFI_Expiration=1,IF($A127&lt;VLOOKUP(Q$5,NFI,5,0),1,0)*Table_NFI[[#This Row],[Plastic Mat]],Table_NFI[Plastic Mat])*IF(Table_NFI[[#This Row],[Distribution Date]]&gt;"2014-04-01",1,2.5)</f>
        <v>0</v>
      </c>
      <c r="AI127" s="436">
        <f>IF(NFI_Expiration=1,IF($A127&lt;VLOOKUP(R$5,NFI,5,0),1,0)*Table_NFI[[#This Row],[Winter Clothes Adult]],Table_NFI[Winter Clothes Adult])</f>
        <v>0</v>
      </c>
      <c r="AJ127" s="436">
        <f>IF(NFI_Expiration=1,IF($A127&lt;VLOOKUP(S$5,NFI,5,0),1,0)*Table_NFI[[#This Row],[Winter Clothes Children]],Table_NFI[Winter Clothes Children])</f>
        <v>0</v>
      </c>
      <c r="AK127" s="436">
        <f>IF(NFI_Expiration=1,IF($A127&lt;VLOOKUP(T$5,NFI,5,0),1,0)*Table_NFI[[#This Row],[Winter Items Other]],Table_NFI[Winter Items Other])</f>
        <v>0</v>
      </c>
      <c r="AL127" s="436">
        <f>IF(NFI_Expiration=1,IF($A127&lt;VLOOKUP(M$5,NFI,5,0),1,0)*Table_NFI[[#This Row],[Winter Blanket]],Table_NFI[[#This Row],[Winter Blanket]])</f>
        <v>0</v>
      </c>
      <c r="AM127" s="436">
        <f>IF(Table_NFI[[#This Row],[Winter Clothes Adult]]+Table_NFI[[#This Row],[Winter Clothes Children]]+Table_NFI[[#This Row],[Winter Items Other]]+Table_NFI[[#This Row],[Winter Blanket]]&gt;0,1,0)</f>
        <v>1</v>
      </c>
      <c r="AN127" s="439">
        <f>IF(NFI_Expiration=1,IF($A127&lt;VLOOKUP(V$5,NFI,5,0),1,0)*Table_NFI[[#This Row],[Jerry Can]],Table_NFI[Jerry Can])</f>
        <v>0</v>
      </c>
      <c r="AO127" s="771" t="str">
        <f>IFERROR(VLOOKUP(Table_NFI[[#This Row],[Camp Name]],CL,2,0),"")</f>
        <v>MMR001CMP069</v>
      </c>
      <c r="AP127" s="772">
        <f ca="1">IF(Table_NFI[[#This Row],[Pcode]]="","",IF(OFFSET(CampList[Opening Date],MATCH(Table_NFI[[#This Row],[Pcode]],CampList[CP_Pcode],0)-1,0,1,1)&gt;=NFI_Monitor_Date,1,0))</f>
        <v>0</v>
      </c>
      <c r="AQ127" s="771" t="str">
        <f>IFERROR(VLOOKUP(Table_NFI[[#This Row],[Camp Name]],CL,3,0),"")</f>
        <v>Open</v>
      </c>
      <c r="AR127" s="436" t="str">
        <f ca="1">IF(Table_NFI[[#This Row],[Pcode]]="","",OFFSET(CampList[Priority],MATCH(Table_NFI[[#This Row],[Pcode]],CampList[CP_Pcode],0)-1,0,1,1))</f>
        <v>P3</v>
      </c>
      <c r="AS127" s="438">
        <f>IFERROR(Table_NFI[[#This Row],[Kitchen Set]]/VLOOKUP(Table_NFI[[#This Row],[Camp Name]],CL,4,0),"")</f>
        <v>0</v>
      </c>
      <c r="AT127" s="769"/>
      <c r="AU127" s="773"/>
    </row>
    <row r="128" spans="1:47" s="774" customFormat="1" x14ac:dyDescent="0.25">
      <c r="A128" s="451">
        <f t="shared" si="1"/>
        <v>14.433333333333334</v>
      </c>
      <c r="B128" s="768">
        <v>41937</v>
      </c>
      <c r="C128" s="769" t="s">
        <v>1101</v>
      </c>
      <c r="D128" s="769" t="s">
        <v>907</v>
      </c>
      <c r="E128" s="769" t="s">
        <v>380</v>
      </c>
      <c r="F128" s="769" t="s">
        <v>185</v>
      </c>
      <c r="G128" s="769" t="s">
        <v>190</v>
      </c>
      <c r="H128" s="436"/>
      <c r="I128" s="436"/>
      <c r="J128" s="436"/>
      <c r="K128" s="436"/>
      <c r="L128" s="437"/>
      <c r="M128" s="437"/>
      <c r="N128" s="437"/>
      <c r="O128" s="437"/>
      <c r="P128" s="439"/>
      <c r="Q128" s="439"/>
      <c r="R128" s="436">
        <v>591</v>
      </c>
      <c r="S128" s="436">
        <v>347</v>
      </c>
      <c r="T128" s="436"/>
      <c r="U128" s="436">
        <v>311</v>
      </c>
      <c r="V128" s="436"/>
      <c r="W128" s="436"/>
      <c r="X128" s="436"/>
      <c r="Y128" s="436">
        <f>IF(NFI_Expiration=1,IF($A128&lt;VLOOKUP(H$5,NFI,5,0),1,0)*Table_NFI[[#This Row],[Hygiene Kit]],Table_NFI[Hygiene Kit])</f>
        <v>0</v>
      </c>
      <c r="Z128" s="436">
        <f>IF(NFI_Expiration=1,IF($A128&lt;VLOOKUP(I$5,NFI,5,0),1,0)*Table_NFI[[#This Row],[NFI Core Kit]],Table_NFI[NFI Core Kit])</f>
        <v>0</v>
      </c>
      <c r="AA128" s="436">
        <f>IF(NFI_Expiration=1,IF($A128&lt;VLOOKUP(J$5,NFI,5,0),1,0)*Table_NFI[[#This Row],[Sanitary Kit]],Table_NFI[Sanitary Kit])</f>
        <v>0</v>
      </c>
      <c r="AB128" s="436">
        <f>IF(NFI_Expiration=1,IF($A128&lt;VLOOKUP(K$5,NFI,5,0),1,0)*Table_NFI[[#This Row],[Mosquito net]],Table_NFI[Mosquito net])</f>
        <v>0</v>
      </c>
      <c r="AC128" s="436">
        <f>IF(NFI_Expiration=1,IF($A128&lt;VLOOKUP(L$5,NFI,5,0),1,0)*Table_NFI[[#This Row],[Tarpaulin]],Table_NFI[[#This Row],[Tarpaulin]])</f>
        <v>0</v>
      </c>
      <c r="AD128" s="436">
        <f>IF(NFI_Expiration=1,IF($A128&lt;VLOOKUP(M$5,NFI,5,0),1,0)*Table_NFI[[#This Row],[Blanket]],Table_NFI[[#This Row],[Blanket]])</f>
        <v>0</v>
      </c>
      <c r="AE128" s="436">
        <f>IF(NFI_Expiration=1,IF($A128&lt;VLOOKUP(N$5,NFI,5,0),1,0)*Table_NFI[[#This Row],[Kitchen Set]],Table_NFI[Kitchen Set])</f>
        <v>0</v>
      </c>
      <c r="AF128" s="436">
        <f>IF(NFI_Expiration=1,IF($A128&lt;VLOOKUP(O$5,NFI,5,0),1,0)*Table_NFI[[#This Row],[Clothes Kit]],Table_NFI[Clothes Kit])</f>
        <v>0</v>
      </c>
      <c r="AG128" s="436">
        <f>IF(NFI_Expiration=1,IF($A128&lt;VLOOKUP(P$5,NFI,5,0),1,0)*Table_NFI[[#This Row],[Plastic Bucket]],Table_NFI[Plastic Bucket])</f>
        <v>0</v>
      </c>
      <c r="AH128" s="436">
        <f>IF(NFI_Expiration=1,IF($A128&lt;VLOOKUP(Q$5,NFI,5,0),1,0)*Table_NFI[[#This Row],[Plastic Mat]],Table_NFI[Plastic Mat])*IF(Table_NFI[[#This Row],[Distribution Date]]&gt;"2014-04-01",1,2.5)</f>
        <v>0</v>
      </c>
      <c r="AI128" s="436">
        <f>IF(NFI_Expiration=1,IF($A128&lt;VLOOKUP(R$5,NFI,5,0),1,0)*Table_NFI[[#This Row],[Winter Clothes Adult]],Table_NFI[Winter Clothes Adult])</f>
        <v>0</v>
      </c>
      <c r="AJ128" s="436">
        <f>IF(NFI_Expiration=1,IF($A128&lt;VLOOKUP(S$5,NFI,5,0),1,0)*Table_NFI[[#This Row],[Winter Clothes Children]],Table_NFI[Winter Clothes Children])</f>
        <v>0</v>
      </c>
      <c r="AK128" s="436">
        <f>IF(NFI_Expiration=1,IF($A128&lt;VLOOKUP(T$5,NFI,5,0),1,0)*Table_NFI[[#This Row],[Winter Items Other]],Table_NFI[Winter Items Other])</f>
        <v>0</v>
      </c>
      <c r="AL128" s="436">
        <f>IF(NFI_Expiration=1,IF($A128&lt;VLOOKUP(M$5,NFI,5,0),1,0)*Table_NFI[[#This Row],[Winter Blanket]],Table_NFI[[#This Row],[Winter Blanket]])</f>
        <v>0</v>
      </c>
      <c r="AM128" s="436">
        <f>IF(Table_NFI[[#This Row],[Winter Clothes Adult]]+Table_NFI[[#This Row],[Winter Clothes Children]]+Table_NFI[[#This Row],[Winter Items Other]]+Table_NFI[[#This Row],[Winter Blanket]]&gt;0,1,0)</f>
        <v>1</v>
      </c>
      <c r="AN128" s="439">
        <f>IF(NFI_Expiration=1,IF($A128&lt;VLOOKUP(V$5,NFI,5,0),1,0)*Table_NFI[[#This Row],[Jerry Can]],Table_NFI[Jerry Can])</f>
        <v>0</v>
      </c>
      <c r="AO128" s="771" t="str">
        <f>IFERROR(VLOOKUP(Table_NFI[[#This Row],[Camp Name]],CL,2,0),"")</f>
        <v>MMR001CMP070</v>
      </c>
      <c r="AP128" s="772">
        <f ca="1">IF(Table_NFI[[#This Row],[Pcode]]="","",IF(OFFSET(CampList[Opening Date],MATCH(Table_NFI[[#This Row],[Pcode]],CampList[CP_Pcode],0)-1,0,1,1)&gt;=NFI_Monitor_Date,1,0))</f>
        <v>0</v>
      </c>
      <c r="AQ128" s="771" t="str">
        <f>IFERROR(VLOOKUP(Table_NFI[[#This Row],[Camp Name]],CL,3,0),"")</f>
        <v>Open</v>
      </c>
      <c r="AR128" s="436" t="str">
        <f ca="1">IF(Table_NFI[[#This Row],[Pcode]]="","",OFFSET(CampList[Priority],MATCH(Table_NFI[[#This Row],[Pcode]],CampList[CP_Pcode],0)-1,0,1,1))</f>
        <v>P3</v>
      </c>
      <c r="AS128" s="438">
        <f>IFERROR(Table_NFI[[#This Row],[Kitchen Set]]/VLOOKUP(Table_NFI[[#This Row],[Camp Name]],CL,4,0),"")</f>
        <v>0</v>
      </c>
      <c r="AT128" s="769"/>
      <c r="AU128" s="773"/>
    </row>
    <row r="129" spans="1:47" s="136" customFormat="1" x14ac:dyDescent="0.25">
      <c r="A129" s="451">
        <f t="shared" si="1"/>
        <v>14.866666666666667</v>
      </c>
      <c r="B129" s="768">
        <v>41924</v>
      </c>
      <c r="C129" s="769" t="s">
        <v>454</v>
      </c>
      <c r="D129" s="769"/>
      <c r="E129" s="769" t="s">
        <v>380</v>
      </c>
      <c r="F129" s="769" t="s">
        <v>185</v>
      </c>
      <c r="G129" s="769" t="s">
        <v>202</v>
      </c>
      <c r="H129" s="436"/>
      <c r="I129" s="436"/>
      <c r="J129" s="436"/>
      <c r="K129" s="436"/>
      <c r="L129" s="437">
        <v>25</v>
      </c>
      <c r="M129" s="437"/>
      <c r="N129" s="437"/>
      <c r="O129" s="437"/>
      <c r="P129" s="439"/>
      <c r="Q129" s="439"/>
      <c r="R129" s="436"/>
      <c r="S129" s="436"/>
      <c r="T129" s="436"/>
      <c r="U129" s="436"/>
      <c r="V129" s="436"/>
      <c r="W129" s="436"/>
      <c r="X129" s="436"/>
      <c r="Y129" s="436">
        <f>IF(NFI_Expiration=1,IF($A129&lt;VLOOKUP(H$5,NFI,5,0),1,0)*Table_NFI[[#This Row],[Hygiene Kit]],Table_NFI[Hygiene Kit])</f>
        <v>0</v>
      </c>
      <c r="Z129" s="436">
        <f>IF(NFI_Expiration=1,IF($A129&lt;VLOOKUP(I$5,NFI,5,0),1,0)*Table_NFI[[#This Row],[NFI Core Kit]],Table_NFI[NFI Core Kit])</f>
        <v>0</v>
      </c>
      <c r="AA129" s="436">
        <f>IF(NFI_Expiration=1,IF($A129&lt;VLOOKUP(J$5,NFI,5,0),1,0)*Table_NFI[[#This Row],[Sanitary Kit]],Table_NFI[Sanitary Kit])</f>
        <v>0</v>
      </c>
      <c r="AB129" s="436">
        <f>IF(NFI_Expiration=1,IF($A129&lt;VLOOKUP(K$5,NFI,5,0),1,0)*Table_NFI[[#This Row],[Mosquito net]],Table_NFI[Mosquito net])</f>
        <v>0</v>
      </c>
      <c r="AC129" s="436">
        <f>IF(NFI_Expiration=1,IF($A129&lt;VLOOKUP(L$5,NFI,5,0),1,0)*Table_NFI[[#This Row],[Tarpaulin]],Table_NFI[[#This Row],[Tarpaulin]])</f>
        <v>0</v>
      </c>
      <c r="AD129" s="436">
        <f>IF(NFI_Expiration=1,IF($A129&lt;VLOOKUP(M$5,NFI,5,0),1,0)*Table_NFI[[#This Row],[Blanket]],Table_NFI[[#This Row],[Blanket]])</f>
        <v>0</v>
      </c>
      <c r="AE129" s="436">
        <f>IF(NFI_Expiration=1,IF($A129&lt;VLOOKUP(N$5,NFI,5,0),1,0)*Table_NFI[[#This Row],[Kitchen Set]],Table_NFI[Kitchen Set])</f>
        <v>0</v>
      </c>
      <c r="AF129" s="436">
        <f>IF(NFI_Expiration=1,IF($A129&lt;VLOOKUP(O$5,NFI,5,0),1,0)*Table_NFI[[#This Row],[Clothes Kit]],Table_NFI[Clothes Kit])</f>
        <v>0</v>
      </c>
      <c r="AG129" s="436">
        <f>IF(NFI_Expiration=1,IF($A129&lt;VLOOKUP(P$5,NFI,5,0),1,0)*Table_NFI[[#This Row],[Plastic Bucket]],Table_NFI[Plastic Bucket])</f>
        <v>0</v>
      </c>
      <c r="AH129" s="436">
        <f>IF(NFI_Expiration=1,IF($A129&lt;VLOOKUP(Q$5,NFI,5,0),1,0)*Table_NFI[[#This Row],[Plastic Mat]],Table_NFI[Plastic Mat])*IF(Table_NFI[[#This Row],[Distribution Date]]&gt;"2014-04-01",1,2.5)</f>
        <v>0</v>
      </c>
      <c r="AI129" s="436">
        <f>IF(NFI_Expiration=1,IF($A129&lt;VLOOKUP(R$5,NFI,5,0),1,0)*Table_NFI[[#This Row],[Winter Clothes Adult]],Table_NFI[Winter Clothes Adult])</f>
        <v>0</v>
      </c>
      <c r="AJ129" s="436">
        <f>IF(NFI_Expiration=1,IF($A129&lt;VLOOKUP(S$5,NFI,5,0),1,0)*Table_NFI[[#This Row],[Winter Clothes Children]],Table_NFI[Winter Clothes Children])</f>
        <v>0</v>
      </c>
      <c r="AK129" s="436">
        <f>IF(NFI_Expiration=1,IF($A129&lt;VLOOKUP(T$5,NFI,5,0),1,0)*Table_NFI[[#This Row],[Winter Items Other]],Table_NFI[Winter Items Other])</f>
        <v>0</v>
      </c>
      <c r="AL129" s="436">
        <f>IF(NFI_Expiration=1,IF($A129&lt;VLOOKUP(M$5,NFI,5,0),1,0)*Table_NFI[[#This Row],[Winter Blanket]],Table_NFI[[#This Row],[Winter Blanket]])</f>
        <v>0</v>
      </c>
      <c r="AM129" s="436">
        <f>IF(Table_NFI[[#This Row],[Winter Clothes Adult]]+Table_NFI[[#This Row],[Winter Clothes Children]]+Table_NFI[[#This Row],[Winter Items Other]]+Table_NFI[[#This Row],[Winter Blanket]]&gt;0,1,0)</f>
        <v>0</v>
      </c>
      <c r="AN129" s="439">
        <f>IF(NFI_Expiration=1,IF($A129&lt;VLOOKUP(V$5,NFI,5,0),1,0)*Table_NFI[[#This Row],[Jerry Can]],Table_NFI[Jerry Can])</f>
        <v>0</v>
      </c>
      <c r="AO129" s="771" t="str">
        <f>IFERROR(VLOOKUP(Table_NFI[[#This Row],[Camp Name]],CL,2,0),"")</f>
        <v>MMR001CMP062</v>
      </c>
      <c r="AP129" s="772">
        <f ca="1">IF(Table_NFI[[#This Row],[Pcode]]="","",IF(OFFSET(CampList[Opening Date],MATCH(Table_NFI[[#This Row],[Pcode]],CampList[CP_Pcode],0)-1,0,1,1)&gt;=NFI_Monitor_Date,1,0))</f>
        <v>0</v>
      </c>
      <c r="AQ129" s="781" t="str">
        <f>IFERROR(VLOOKUP(Table_NFI[[#This Row],[Camp Name]],CL,3,0),"")</f>
        <v>Open</v>
      </c>
      <c r="AR129" s="439" t="str">
        <f ca="1">IF(Table_NFI[[#This Row],[Pcode]]="","",OFFSET(CampList[Priority],MATCH(Table_NFI[[#This Row],[Pcode]],CampList[CP_Pcode],0)-1,0,1,1))</f>
        <v>P4</v>
      </c>
      <c r="AS129" s="438">
        <f>IFERROR(Table_NFI[[#This Row],[Kitchen Set]]/VLOOKUP(Table_NFI[[#This Row],[Camp Name]],CL,4,0),"")</f>
        <v>0</v>
      </c>
      <c r="AT129" s="769"/>
      <c r="AU129" s="773"/>
    </row>
    <row r="130" spans="1:47" s="136" customFormat="1" x14ac:dyDescent="0.25">
      <c r="A130" s="451">
        <f t="shared" si="1"/>
        <v>14.933333333333334</v>
      </c>
      <c r="B130" s="768">
        <v>41922</v>
      </c>
      <c r="C130" s="769" t="s">
        <v>454</v>
      </c>
      <c r="D130" s="769"/>
      <c r="E130" s="769" t="s">
        <v>380</v>
      </c>
      <c r="F130" s="769" t="s">
        <v>185</v>
      </c>
      <c r="G130" s="769" t="s">
        <v>186</v>
      </c>
      <c r="H130" s="436"/>
      <c r="I130" s="436"/>
      <c r="J130" s="436"/>
      <c r="K130" s="436"/>
      <c r="L130" s="437">
        <v>60</v>
      </c>
      <c r="M130" s="437"/>
      <c r="N130" s="437"/>
      <c r="O130" s="437"/>
      <c r="P130" s="439"/>
      <c r="Q130" s="439"/>
      <c r="R130" s="436"/>
      <c r="S130" s="436"/>
      <c r="T130" s="436"/>
      <c r="U130" s="436"/>
      <c r="V130" s="436"/>
      <c r="W130" s="436"/>
      <c r="X130" s="436"/>
      <c r="Y130" s="436">
        <f>IF(NFI_Expiration=1,IF($A130&lt;VLOOKUP(H$5,NFI,5,0),1,0)*Table_NFI[[#This Row],[Hygiene Kit]],Table_NFI[Hygiene Kit])</f>
        <v>0</v>
      </c>
      <c r="Z130" s="436">
        <f>IF(NFI_Expiration=1,IF($A130&lt;VLOOKUP(I$5,NFI,5,0),1,0)*Table_NFI[[#This Row],[NFI Core Kit]],Table_NFI[NFI Core Kit])</f>
        <v>0</v>
      </c>
      <c r="AA130" s="436">
        <f>IF(NFI_Expiration=1,IF($A130&lt;VLOOKUP(J$5,NFI,5,0),1,0)*Table_NFI[[#This Row],[Sanitary Kit]],Table_NFI[Sanitary Kit])</f>
        <v>0</v>
      </c>
      <c r="AB130" s="436">
        <f>IF(NFI_Expiration=1,IF($A130&lt;VLOOKUP(K$5,NFI,5,0),1,0)*Table_NFI[[#This Row],[Mosquito net]],Table_NFI[Mosquito net])</f>
        <v>0</v>
      </c>
      <c r="AC130" s="436">
        <f>IF(NFI_Expiration=1,IF($A130&lt;VLOOKUP(L$5,NFI,5,0),1,0)*Table_NFI[[#This Row],[Tarpaulin]],Table_NFI[[#This Row],[Tarpaulin]])</f>
        <v>0</v>
      </c>
      <c r="AD130" s="436">
        <f>IF(NFI_Expiration=1,IF($A130&lt;VLOOKUP(M$5,NFI,5,0),1,0)*Table_NFI[[#This Row],[Blanket]],Table_NFI[[#This Row],[Blanket]])</f>
        <v>0</v>
      </c>
      <c r="AE130" s="436">
        <f>IF(NFI_Expiration=1,IF($A130&lt;VLOOKUP(N$5,NFI,5,0),1,0)*Table_NFI[[#This Row],[Kitchen Set]],Table_NFI[Kitchen Set])</f>
        <v>0</v>
      </c>
      <c r="AF130" s="436">
        <f>IF(NFI_Expiration=1,IF($A130&lt;VLOOKUP(O$5,NFI,5,0),1,0)*Table_NFI[[#This Row],[Clothes Kit]],Table_NFI[Clothes Kit])</f>
        <v>0</v>
      </c>
      <c r="AG130" s="436">
        <f>IF(NFI_Expiration=1,IF($A130&lt;VLOOKUP(P$5,NFI,5,0),1,0)*Table_NFI[[#This Row],[Plastic Bucket]],Table_NFI[Plastic Bucket])</f>
        <v>0</v>
      </c>
      <c r="AH130" s="436">
        <f>IF(NFI_Expiration=1,IF($A130&lt;VLOOKUP(Q$5,NFI,5,0),1,0)*Table_NFI[[#This Row],[Plastic Mat]],Table_NFI[Plastic Mat])*IF(Table_NFI[[#This Row],[Distribution Date]]&gt;"2014-04-01",1,2.5)</f>
        <v>0</v>
      </c>
      <c r="AI130" s="436">
        <f>IF(NFI_Expiration=1,IF($A130&lt;VLOOKUP(R$5,NFI,5,0),1,0)*Table_NFI[[#This Row],[Winter Clothes Adult]],Table_NFI[Winter Clothes Adult])</f>
        <v>0</v>
      </c>
      <c r="AJ130" s="436">
        <f>IF(NFI_Expiration=1,IF($A130&lt;VLOOKUP(S$5,NFI,5,0),1,0)*Table_NFI[[#This Row],[Winter Clothes Children]],Table_NFI[Winter Clothes Children])</f>
        <v>0</v>
      </c>
      <c r="AK130" s="436">
        <f>IF(NFI_Expiration=1,IF($A130&lt;VLOOKUP(T$5,NFI,5,0),1,0)*Table_NFI[[#This Row],[Winter Items Other]],Table_NFI[Winter Items Other])</f>
        <v>0</v>
      </c>
      <c r="AL130" s="436">
        <f>IF(NFI_Expiration=1,IF($A130&lt;VLOOKUP(M$5,NFI,5,0),1,0)*Table_NFI[[#This Row],[Winter Blanket]],Table_NFI[[#This Row],[Winter Blanket]])</f>
        <v>0</v>
      </c>
      <c r="AM130" s="436">
        <f>IF(Table_NFI[[#This Row],[Winter Clothes Adult]]+Table_NFI[[#This Row],[Winter Clothes Children]]+Table_NFI[[#This Row],[Winter Items Other]]+Table_NFI[[#This Row],[Winter Blanket]]&gt;0,1,0)</f>
        <v>0</v>
      </c>
      <c r="AN130" s="439">
        <f>IF(NFI_Expiration=1,IF($A130&lt;VLOOKUP(V$5,NFI,5,0),1,0)*Table_NFI[[#This Row],[Jerry Can]],Table_NFI[Jerry Can])</f>
        <v>0</v>
      </c>
      <c r="AO130" s="771" t="str">
        <f>IFERROR(VLOOKUP(Table_NFI[[#This Row],[Camp Name]],CL,2,0),"")</f>
        <v>MMR001CMP071</v>
      </c>
      <c r="AP130" s="772">
        <f ca="1">IF(Table_NFI[[#This Row],[Pcode]]="","",IF(OFFSET(CampList[Opening Date],MATCH(Table_NFI[[#This Row],[Pcode]],CampList[CP_Pcode],0)-1,0,1,1)&gt;=NFI_Monitor_Date,1,0))</f>
        <v>0</v>
      </c>
      <c r="AQ130" s="781" t="str">
        <f>IFERROR(VLOOKUP(Table_NFI[[#This Row],[Camp Name]],CL,3,0),"")</f>
        <v>Open</v>
      </c>
      <c r="AR130" s="439" t="str">
        <f ca="1">IF(Table_NFI[[#This Row],[Pcode]]="","",OFFSET(CampList[Priority],MATCH(Table_NFI[[#This Row],[Pcode]],CampList[CP_Pcode],0)-1,0,1,1))</f>
        <v>P3</v>
      </c>
      <c r="AS130" s="438">
        <f>IFERROR(Table_NFI[[#This Row],[Kitchen Set]]/VLOOKUP(Table_NFI[[#This Row],[Camp Name]],CL,4,0),"")</f>
        <v>0</v>
      </c>
      <c r="AT130" s="769"/>
      <c r="AU130" s="773"/>
    </row>
    <row r="131" spans="1:47" s="136" customFormat="1" x14ac:dyDescent="0.25">
      <c r="A131" s="451">
        <f t="shared" si="1"/>
        <v>14.933333333333334</v>
      </c>
      <c r="B131" s="768">
        <v>41922</v>
      </c>
      <c r="C131" s="769" t="s">
        <v>454</v>
      </c>
      <c r="D131" s="769"/>
      <c r="E131" s="769" t="s">
        <v>380</v>
      </c>
      <c r="F131" s="769" t="s">
        <v>185</v>
      </c>
      <c r="G131" s="769" t="s">
        <v>190</v>
      </c>
      <c r="H131" s="436"/>
      <c r="I131" s="436"/>
      <c r="J131" s="436"/>
      <c r="K131" s="436"/>
      <c r="L131" s="437">
        <v>30</v>
      </c>
      <c r="M131" s="437"/>
      <c r="N131" s="437"/>
      <c r="O131" s="437"/>
      <c r="P131" s="439"/>
      <c r="Q131" s="439"/>
      <c r="R131" s="436"/>
      <c r="S131" s="436"/>
      <c r="T131" s="436"/>
      <c r="U131" s="436"/>
      <c r="V131" s="436"/>
      <c r="W131" s="436"/>
      <c r="X131" s="436"/>
      <c r="Y131" s="436">
        <f>IF(NFI_Expiration=1,IF($A131&lt;VLOOKUP(H$5,NFI,5,0),1,0)*Table_NFI[[#This Row],[Hygiene Kit]],Table_NFI[Hygiene Kit])</f>
        <v>0</v>
      </c>
      <c r="Z131" s="436">
        <f>IF(NFI_Expiration=1,IF($A131&lt;VLOOKUP(I$5,NFI,5,0),1,0)*Table_NFI[[#This Row],[NFI Core Kit]],Table_NFI[NFI Core Kit])</f>
        <v>0</v>
      </c>
      <c r="AA131" s="436">
        <f>IF(NFI_Expiration=1,IF($A131&lt;VLOOKUP(J$5,NFI,5,0),1,0)*Table_NFI[[#This Row],[Sanitary Kit]],Table_NFI[Sanitary Kit])</f>
        <v>0</v>
      </c>
      <c r="AB131" s="436">
        <f>IF(NFI_Expiration=1,IF($A131&lt;VLOOKUP(K$5,NFI,5,0),1,0)*Table_NFI[[#This Row],[Mosquito net]],Table_NFI[Mosquito net])</f>
        <v>0</v>
      </c>
      <c r="AC131" s="436">
        <f>IF(NFI_Expiration=1,IF($A131&lt;VLOOKUP(L$5,NFI,5,0),1,0)*Table_NFI[[#This Row],[Tarpaulin]],Table_NFI[[#This Row],[Tarpaulin]])</f>
        <v>0</v>
      </c>
      <c r="AD131" s="436">
        <f>IF(NFI_Expiration=1,IF($A131&lt;VLOOKUP(M$5,NFI,5,0),1,0)*Table_NFI[[#This Row],[Blanket]],Table_NFI[[#This Row],[Blanket]])</f>
        <v>0</v>
      </c>
      <c r="AE131" s="436">
        <f>IF(NFI_Expiration=1,IF($A131&lt;VLOOKUP(N$5,NFI,5,0),1,0)*Table_NFI[[#This Row],[Kitchen Set]],Table_NFI[Kitchen Set])</f>
        <v>0</v>
      </c>
      <c r="AF131" s="436">
        <f>IF(NFI_Expiration=1,IF($A131&lt;VLOOKUP(O$5,NFI,5,0),1,0)*Table_NFI[[#This Row],[Clothes Kit]],Table_NFI[Clothes Kit])</f>
        <v>0</v>
      </c>
      <c r="AG131" s="436">
        <f>IF(NFI_Expiration=1,IF($A131&lt;VLOOKUP(P$5,NFI,5,0),1,0)*Table_NFI[[#This Row],[Plastic Bucket]],Table_NFI[Plastic Bucket])</f>
        <v>0</v>
      </c>
      <c r="AH131" s="436">
        <f>IF(NFI_Expiration=1,IF($A131&lt;VLOOKUP(Q$5,NFI,5,0),1,0)*Table_NFI[[#This Row],[Plastic Mat]],Table_NFI[Plastic Mat])*IF(Table_NFI[[#This Row],[Distribution Date]]&gt;"2014-04-01",1,2.5)</f>
        <v>0</v>
      </c>
      <c r="AI131" s="436">
        <f>IF(NFI_Expiration=1,IF($A131&lt;VLOOKUP(R$5,NFI,5,0),1,0)*Table_NFI[[#This Row],[Winter Clothes Adult]],Table_NFI[Winter Clothes Adult])</f>
        <v>0</v>
      </c>
      <c r="AJ131" s="436">
        <f>IF(NFI_Expiration=1,IF($A131&lt;VLOOKUP(S$5,NFI,5,0),1,0)*Table_NFI[[#This Row],[Winter Clothes Children]],Table_NFI[Winter Clothes Children])</f>
        <v>0</v>
      </c>
      <c r="AK131" s="436">
        <f>IF(NFI_Expiration=1,IF($A131&lt;VLOOKUP(T$5,NFI,5,0),1,0)*Table_NFI[[#This Row],[Winter Items Other]],Table_NFI[Winter Items Other])</f>
        <v>0</v>
      </c>
      <c r="AL131" s="436">
        <f>IF(NFI_Expiration=1,IF($A131&lt;VLOOKUP(M$5,NFI,5,0),1,0)*Table_NFI[[#This Row],[Winter Blanket]],Table_NFI[[#This Row],[Winter Blanket]])</f>
        <v>0</v>
      </c>
      <c r="AM131" s="436">
        <f>IF(Table_NFI[[#This Row],[Winter Clothes Adult]]+Table_NFI[[#This Row],[Winter Clothes Children]]+Table_NFI[[#This Row],[Winter Items Other]]+Table_NFI[[#This Row],[Winter Blanket]]&gt;0,1,0)</f>
        <v>0</v>
      </c>
      <c r="AN131" s="439">
        <f>IF(NFI_Expiration=1,IF($A131&lt;VLOOKUP(V$5,NFI,5,0),1,0)*Table_NFI[[#This Row],[Jerry Can]],Table_NFI[Jerry Can])</f>
        <v>0</v>
      </c>
      <c r="AO131" s="771" t="str">
        <f>IFERROR(VLOOKUP(Table_NFI[[#This Row],[Camp Name]],CL,2,0),"")</f>
        <v>MMR001CMP070</v>
      </c>
      <c r="AP131" s="772">
        <f ca="1">IF(Table_NFI[[#This Row],[Pcode]]="","",IF(OFFSET(CampList[Opening Date],MATCH(Table_NFI[[#This Row],[Pcode]],CampList[CP_Pcode],0)-1,0,1,1)&gt;=NFI_Monitor_Date,1,0))</f>
        <v>0</v>
      </c>
      <c r="AQ131" s="781" t="str">
        <f>IFERROR(VLOOKUP(Table_NFI[[#This Row],[Camp Name]],CL,3,0),"")</f>
        <v>Open</v>
      </c>
      <c r="AR131" s="439" t="str">
        <f ca="1">IF(Table_NFI[[#This Row],[Pcode]]="","",OFFSET(CampList[Priority],MATCH(Table_NFI[[#This Row],[Pcode]],CampList[CP_Pcode],0)-1,0,1,1))</f>
        <v>P3</v>
      </c>
      <c r="AS131" s="438">
        <f>IFERROR(Table_NFI[[#This Row],[Kitchen Set]]/VLOOKUP(Table_NFI[[#This Row],[Camp Name]],CL,4,0),"")</f>
        <v>0</v>
      </c>
      <c r="AT131" s="769"/>
      <c r="AU131" s="773"/>
    </row>
    <row r="132" spans="1:47" s="136" customFormat="1" x14ac:dyDescent="0.25">
      <c r="A132" s="451">
        <f t="shared" si="1"/>
        <v>14.933333333333334</v>
      </c>
      <c r="B132" s="768">
        <v>41922</v>
      </c>
      <c r="C132" s="769" t="s">
        <v>454</v>
      </c>
      <c r="D132" s="769"/>
      <c r="E132" s="769" t="s">
        <v>380</v>
      </c>
      <c r="F132" s="769" t="s">
        <v>185</v>
      </c>
      <c r="G132" s="769" t="s">
        <v>229</v>
      </c>
      <c r="H132" s="436"/>
      <c r="I132" s="436"/>
      <c r="J132" s="436"/>
      <c r="K132" s="436"/>
      <c r="L132" s="437">
        <v>60</v>
      </c>
      <c r="M132" s="437"/>
      <c r="N132" s="437"/>
      <c r="O132" s="437"/>
      <c r="P132" s="439"/>
      <c r="Q132" s="439"/>
      <c r="R132" s="436"/>
      <c r="S132" s="436"/>
      <c r="T132" s="436"/>
      <c r="U132" s="436"/>
      <c r="V132" s="436"/>
      <c r="W132" s="436"/>
      <c r="X132" s="436"/>
      <c r="Y132" s="436">
        <f>IF(NFI_Expiration=1,IF($A132&lt;VLOOKUP(H$5,NFI,5,0),1,0)*Table_NFI[[#This Row],[Hygiene Kit]],Table_NFI[Hygiene Kit])</f>
        <v>0</v>
      </c>
      <c r="Z132" s="436">
        <f>IF(NFI_Expiration=1,IF($A132&lt;VLOOKUP(I$5,NFI,5,0),1,0)*Table_NFI[[#This Row],[NFI Core Kit]],Table_NFI[NFI Core Kit])</f>
        <v>0</v>
      </c>
      <c r="AA132" s="436">
        <f>IF(NFI_Expiration=1,IF($A132&lt;VLOOKUP(J$5,NFI,5,0),1,0)*Table_NFI[[#This Row],[Sanitary Kit]],Table_NFI[Sanitary Kit])</f>
        <v>0</v>
      </c>
      <c r="AB132" s="436">
        <f>IF(NFI_Expiration=1,IF($A132&lt;VLOOKUP(K$5,NFI,5,0),1,0)*Table_NFI[[#This Row],[Mosquito net]],Table_NFI[Mosquito net])</f>
        <v>0</v>
      </c>
      <c r="AC132" s="436">
        <f>IF(NFI_Expiration=1,IF($A132&lt;VLOOKUP(L$5,NFI,5,0),1,0)*Table_NFI[[#This Row],[Tarpaulin]],Table_NFI[[#This Row],[Tarpaulin]])</f>
        <v>0</v>
      </c>
      <c r="AD132" s="436">
        <f>IF(NFI_Expiration=1,IF($A132&lt;VLOOKUP(M$5,NFI,5,0),1,0)*Table_NFI[[#This Row],[Blanket]],Table_NFI[[#This Row],[Blanket]])</f>
        <v>0</v>
      </c>
      <c r="AE132" s="436">
        <f>IF(NFI_Expiration=1,IF($A132&lt;VLOOKUP(N$5,NFI,5,0),1,0)*Table_NFI[[#This Row],[Kitchen Set]],Table_NFI[Kitchen Set])</f>
        <v>0</v>
      </c>
      <c r="AF132" s="436">
        <f>IF(NFI_Expiration=1,IF($A132&lt;VLOOKUP(O$5,NFI,5,0),1,0)*Table_NFI[[#This Row],[Clothes Kit]],Table_NFI[Clothes Kit])</f>
        <v>0</v>
      </c>
      <c r="AG132" s="436">
        <f>IF(NFI_Expiration=1,IF($A132&lt;VLOOKUP(P$5,NFI,5,0),1,0)*Table_NFI[[#This Row],[Plastic Bucket]],Table_NFI[Plastic Bucket])</f>
        <v>0</v>
      </c>
      <c r="AH132" s="436">
        <f>IF(NFI_Expiration=1,IF($A132&lt;VLOOKUP(Q$5,NFI,5,0),1,0)*Table_NFI[[#This Row],[Plastic Mat]],Table_NFI[Plastic Mat])*IF(Table_NFI[[#This Row],[Distribution Date]]&gt;"2014-04-01",1,2.5)</f>
        <v>0</v>
      </c>
      <c r="AI132" s="436">
        <f>IF(NFI_Expiration=1,IF($A132&lt;VLOOKUP(R$5,NFI,5,0),1,0)*Table_NFI[[#This Row],[Winter Clothes Adult]],Table_NFI[Winter Clothes Adult])</f>
        <v>0</v>
      </c>
      <c r="AJ132" s="436">
        <f>IF(NFI_Expiration=1,IF($A132&lt;VLOOKUP(S$5,NFI,5,0),1,0)*Table_NFI[[#This Row],[Winter Clothes Children]],Table_NFI[Winter Clothes Children])</f>
        <v>0</v>
      </c>
      <c r="AK132" s="436">
        <f>IF(NFI_Expiration=1,IF($A132&lt;VLOOKUP(T$5,NFI,5,0),1,0)*Table_NFI[[#This Row],[Winter Items Other]],Table_NFI[Winter Items Other])</f>
        <v>0</v>
      </c>
      <c r="AL132" s="436">
        <f>IF(NFI_Expiration=1,IF($A132&lt;VLOOKUP(M$5,NFI,5,0),1,0)*Table_NFI[[#This Row],[Winter Blanket]],Table_NFI[[#This Row],[Winter Blanket]])</f>
        <v>0</v>
      </c>
      <c r="AM132" s="436">
        <f>IF(Table_NFI[[#This Row],[Winter Clothes Adult]]+Table_NFI[[#This Row],[Winter Clothes Children]]+Table_NFI[[#This Row],[Winter Items Other]]+Table_NFI[[#This Row],[Winter Blanket]]&gt;0,1,0)</f>
        <v>0</v>
      </c>
      <c r="AN132" s="439">
        <f>IF(NFI_Expiration=1,IF($A132&lt;VLOOKUP(V$5,NFI,5,0),1,0)*Table_NFI[[#This Row],[Jerry Can]],Table_NFI[Jerry Can])</f>
        <v>0</v>
      </c>
      <c r="AO132" s="771" t="str">
        <f>IFERROR(VLOOKUP(Table_NFI[[#This Row],[Camp Name]],CL,2,0),"")</f>
        <v>MMR001CMP072</v>
      </c>
      <c r="AP132" s="772">
        <f ca="1">IF(Table_NFI[[#This Row],[Pcode]]="","",IF(OFFSET(CampList[Opening Date],MATCH(Table_NFI[[#This Row],[Pcode]],CampList[CP_Pcode],0)-1,0,1,1)&gt;=NFI_Monitor_Date,1,0))</f>
        <v>0</v>
      </c>
      <c r="AQ132" s="781" t="str">
        <f>IFERROR(VLOOKUP(Table_NFI[[#This Row],[Camp Name]],CL,3,0),"")</f>
        <v>Open</v>
      </c>
      <c r="AR132" s="439" t="str">
        <f ca="1">IF(Table_NFI[[#This Row],[Pcode]]="","",OFFSET(CampList[Priority],MATCH(Table_NFI[[#This Row],[Pcode]],CampList[CP_Pcode],0)-1,0,1,1))</f>
        <v>P3</v>
      </c>
      <c r="AS132" s="438">
        <f>IFERROR(Table_NFI[[#This Row],[Kitchen Set]]/VLOOKUP(Table_NFI[[#This Row],[Camp Name]],CL,4,0),"")</f>
        <v>0</v>
      </c>
      <c r="AT132" s="769"/>
      <c r="AU132" s="773"/>
    </row>
    <row r="133" spans="1:47" s="136" customFormat="1" x14ac:dyDescent="0.25">
      <c r="A133" s="451">
        <f t="shared" si="1"/>
        <v>15.233333333333333</v>
      </c>
      <c r="B133" s="768">
        <v>41913</v>
      </c>
      <c r="C133" s="769" t="s">
        <v>454</v>
      </c>
      <c r="D133" s="779" t="s">
        <v>508</v>
      </c>
      <c r="E133" s="779" t="s">
        <v>380</v>
      </c>
      <c r="F133" s="779" t="s">
        <v>529</v>
      </c>
      <c r="G133" s="779" t="s">
        <v>120</v>
      </c>
      <c r="H133" s="437"/>
      <c r="I133" s="437"/>
      <c r="J133" s="437"/>
      <c r="K133" s="437">
        <v>156</v>
      </c>
      <c r="L133" s="437"/>
      <c r="M133" s="437"/>
      <c r="N133" s="437"/>
      <c r="O133" s="437"/>
      <c r="P133" s="439"/>
      <c r="Q133" s="439"/>
      <c r="R133" s="439"/>
      <c r="S133" s="439"/>
      <c r="T133" s="439"/>
      <c r="U133" s="439"/>
      <c r="V133" s="439"/>
      <c r="W133" s="439"/>
      <c r="X133" s="439"/>
      <c r="Y133" s="439">
        <f>IF(NFI_Expiration=1,IF($A133&lt;VLOOKUP(H$5,NFI,5,0),1,0)*Table_NFI[[#This Row],[Hygiene Kit]],Table_NFI[Hygiene Kit])</f>
        <v>0</v>
      </c>
      <c r="Z133" s="439">
        <f>IF(NFI_Expiration=1,IF($A133&lt;VLOOKUP(I$5,NFI,5,0),1,0)*Table_NFI[[#This Row],[NFI Core Kit]],Table_NFI[NFI Core Kit])</f>
        <v>0</v>
      </c>
      <c r="AA133" s="439">
        <f>IF(NFI_Expiration=1,IF($A133&lt;VLOOKUP(J$5,NFI,5,0),1,0)*Table_NFI[[#This Row],[Sanitary Kit]],Table_NFI[Sanitary Kit])</f>
        <v>0</v>
      </c>
      <c r="AB133" s="439">
        <f>IF(NFI_Expiration=1,IF($A133&lt;VLOOKUP(K$5,NFI,5,0),1,0)*Table_NFI[[#This Row],[Mosquito net]],Table_NFI[Mosquito net])</f>
        <v>0</v>
      </c>
      <c r="AC133" s="439">
        <f>IF(NFI_Expiration=1,IF($A133&lt;VLOOKUP(L$5,NFI,5,0),1,0)*Table_NFI[[#This Row],[Tarpaulin]],Table_NFI[[#This Row],[Tarpaulin]])</f>
        <v>0</v>
      </c>
      <c r="AD133" s="439">
        <f>IF(NFI_Expiration=1,IF($A133&lt;VLOOKUP(M$5,NFI,5,0),1,0)*Table_NFI[[#This Row],[Blanket]],Table_NFI[[#This Row],[Blanket]])</f>
        <v>0</v>
      </c>
      <c r="AE133" s="439">
        <f>IF(NFI_Expiration=1,IF($A133&lt;VLOOKUP(N$5,NFI,5,0),1,0)*Table_NFI[[#This Row],[Kitchen Set]],Table_NFI[Kitchen Set])</f>
        <v>0</v>
      </c>
      <c r="AF133" s="439">
        <f>IF(NFI_Expiration=1,IF($A133&lt;VLOOKUP(O$5,NFI,5,0),1,0)*Table_NFI[[#This Row],[Clothes Kit]],Table_NFI[Clothes Kit])</f>
        <v>0</v>
      </c>
      <c r="AG133" s="439">
        <f>IF(NFI_Expiration=1,IF($A133&lt;VLOOKUP(P$5,NFI,5,0),1,0)*Table_NFI[[#This Row],[Plastic Bucket]],Table_NFI[Plastic Bucket])</f>
        <v>0</v>
      </c>
      <c r="AH133" s="439">
        <f>IF(NFI_Expiration=1,IF($A133&lt;VLOOKUP(Q$5,NFI,5,0),1,0)*Table_NFI[[#This Row],[Plastic Mat]],Table_NFI[Plastic Mat])*IF(Table_NFI[[#This Row],[Distribution Date]]&gt;"2014-04-01",1,2.5)</f>
        <v>0</v>
      </c>
      <c r="AI133" s="439">
        <f>IF(NFI_Expiration=1,IF($A133&lt;VLOOKUP(R$5,NFI,5,0),1,0)*Table_NFI[[#This Row],[Winter Clothes Adult]],Table_NFI[Winter Clothes Adult])</f>
        <v>0</v>
      </c>
      <c r="AJ133" s="439">
        <f>IF(NFI_Expiration=1,IF($A133&lt;VLOOKUP(S$5,NFI,5,0),1,0)*Table_NFI[[#This Row],[Winter Clothes Children]],Table_NFI[Winter Clothes Children])</f>
        <v>0</v>
      </c>
      <c r="AK133" s="439">
        <f>IF(NFI_Expiration=1,IF($A133&lt;VLOOKUP(T$5,NFI,5,0),1,0)*Table_NFI[[#This Row],[Winter Items Other]],Table_NFI[Winter Items Other])</f>
        <v>0</v>
      </c>
      <c r="AL133" s="439">
        <f>IF(NFI_Expiration=1,IF($A133&lt;VLOOKUP(M$5,NFI,5,0),1,0)*Table_NFI[[#This Row],[Winter Blanket]],Table_NFI[[#This Row],[Winter Blanket]])</f>
        <v>0</v>
      </c>
      <c r="AM133" s="439">
        <f>IF(Table_NFI[[#This Row],[Winter Clothes Adult]]+Table_NFI[[#This Row],[Winter Clothes Children]]+Table_NFI[[#This Row],[Winter Items Other]]+Table_NFI[[#This Row],[Winter Blanket]]&gt;0,1,0)</f>
        <v>0</v>
      </c>
      <c r="AN133" s="439">
        <f>IF(NFI_Expiration=1,IF($A133&lt;VLOOKUP(V$5,NFI,5,0),1,0)*Table_NFI[[#This Row],[Jerry Can]],Table_NFI[Jerry Can])</f>
        <v>0</v>
      </c>
      <c r="AO133" s="781" t="str">
        <f>IFERROR(VLOOKUP(Table_NFI[[#This Row],[Camp Name]],CL,2,0),"")</f>
        <v>MMR001CMP168</v>
      </c>
      <c r="AP133" s="772">
        <f ca="1">IF(Table_NFI[[#This Row],[Pcode]]="","",IF(OFFSET(CampList[Opening Date],MATCH(Table_NFI[[#This Row],[Pcode]],CampList[CP_Pcode],0)-1,0,1,1)&gt;=NFI_Monitor_Date,1,0))</f>
        <v>0</v>
      </c>
      <c r="AQ133" s="781" t="str">
        <f>IFERROR(VLOOKUP(Table_NFI[[#This Row],[Camp Name]],CL,3,0),"")</f>
        <v>Open</v>
      </c>
      <c r="AR133" s="439" t="str">
        <f ca="1">IF(Table_NFI[[#This Row],[Pcode]]="","",OFFSET(CampList[Priority],MATCH(Table_NFI[[#This Row],[Pcode]],CampList[CP_Pcode],0)-1,0,1,1))</f>
        <v>P4</v>
      </c>
      <c r="AS133" s="438">
        <f>IFERROR(Table_NFI[[#This Row],[Kitchen Set]]/VLOOKUP(Table_NFI[[#This Row],[Camp Name]],CL,4,0),"")</f>
        <v>0</v>
      </c>
      <c r="AT133" s="779"/>
      <c r="AU133" s="782"/>
    </row>
    <row r="134" spans="1:47" s="136" customFormat="1" x14ac:dyDescent="0.25">
      <c r="A134" s="451">
        <f t="shared" ref="A134:A197" si="2">IF(ISBLANK(B134),"",(Report_Date-B134)/30)</f>
        <v>15.233333333333333</v>
      </c>
      <c r="B134" s="768">
        <v>41913</v>
      </c>
      <c r="C134" s="769" t="s">
        <v>454</v>
      </c>
      <c r="D134" s="779" t="s">
        <v>507</v>
      </c>
      <c r="E134" s="779" t="s">
        <v>380</v>
      </c>
      <c r="F134" s="779" t="s">
        <v>529</v>
      </c>
      <c r="G134" s="779" t="s">
        <v>41</v>
      </c>
      <c r="H134" s="437"/>
      <c r="I134" s="437"/>
      <c r="J134" s="437"/>
      <c r="K134" s="437">
        <v>130</v>
      </c>
      <c r="L134" s="437"/>
      <c r="M134" s="437"/>
      <c r="N134" s="437"/>
      <c r="O134" s="437"/>
      <c r="P134" s="439"/>
      <c r="Q134" s="439"/>
      <c r="R134" s="439"/>
      <c r="S134" s="439"/>
      <c r="T134" s="439"/>
      <c r="U134" s="439"/>
      <c r="V134" s="439"/>
      <c r="W134" s="439"/>
      <c r="X134" s="439"/>
      <c r="Y134" s="439">
        <f>IF(NFI_Expiration=1,IF($A134&lt;VLOOKUP(H$5,NFI,5,0),1,0)*Table_NFI[[#This Row],[Hygiene Kit]],Table_NFI[Hygiene Kit])</f>
        <v>0</v>
      </c>
      <c r="Z134" s="439">
        <f>IF(NFI_Expiration=1,IF($A134&lt;VLOOKUP(I$5,NFI,5,0),1,0)*Table_NFI[[#This Row],[NFI Core Kit]],Table_NFI[NFI Core Kit])</f>
        <v>0</v>
      </c>
      <c r="AA134" s="439">
        <f>IF(NFI_Expiration=1,IF($A134&lt;VLOOKUP(J$5,NFI,5,0),1,0)*Table_NFI[[#This Row],[Sanitary Kit]],Table_NFI[Sanitary Kit])</f>
        <v>0</v>
      </c>
      <c r="AB134" s="439">
        <f>IF(NFI_Expiration=1,IF($A134&lt;VLOOKUP(K$5,NFI,5,0),1,0)*Table_NFI[[#This Row],[Mosquito net]],Table_NFI[Mosquito net])</f>
        <v>0</v>
      </c>
      <c r="AC134" s="439">
        <f>IF(NFI_Expiration=1,IF($A134&lt;VLOOKUP(L$5,NFI,5,0),1,0)*Table_NFI[[#This Row],[Tarpaulin]],Table_NFI[[#This Row],[Tarpaulin]])</f>
        <v>0</v>
      </c>
      <c r="AD134" s="439">
        <f>IF(NFI_Expiration=1,IF($A134&lt;VLOOKUP(M$5,NFI,5,0),1,0)*Table_NFI[[#This Row],[Blanket]],Table_NFI[[#This Row],[Blanket]])</f>
        <v>0</v>
      </c>
      <c r="AE134" s="439">
        <f>IF(NFI_Expiration=1,IF($A134&lt;VLOOKUP(N$5,NFI,5,0),1,0)*Table_NFI[[#This Row],[Kitchen Set]],Table_NFI[Kitchen Set])</f>
        <v>0</v>
      </c>
      <c r="AF134" s="439">
        <f>IF(NFI_Expiration=1,IF($A134&lt;VLOOKUP(O$5,NFI,5,0),1,0)*Table_NFI[[#This Row],[Clothes Kit]],Table_NFI[Clothes Kit])</f>
        <v>0</v>
      </c>
      <c r="AG134" s="439">
        <f>IF(NFI_Expiration=1,IF($A134&lt;VLOOKUP(P$5,NFI,5,0),1,0)*Table_NFI[[#This Row],[Plastic Bucket]],Table_NFI[Plastic Bucket])</f>
        <v>0</v>
      </c>
      <c r="AH134" s="439">
        <f>IF(NFI_Expiration=1,IF($A134&lt;VLOOKUP(Q$5,NFI,5,0),1,0)*Table_NFI[[#This Row],[Plastic Mat]],Table_NFI[Plastic Mat])*IF(Table_NFI[[#This Row],[Distribution Date]]&gt;"2014-04-01",1,2.5)</f>
        <v>0</v>
      </c>
      <c r="AI134" s="439">
        <f>IF(NFI_Expiration=1,IF($A134&lt;VLOOKUP(R$5,NFI,5,0),1,0)*Table_NFI[[#This Row],[Winter Clothes Adult]],Table_NFI[Winter Clothes Adult])</f>
        <v>0</v>
      </c>
      <c r="AJ134" s="439">
        <f>IF(NFI_Expiration=1,IF($A134&lt;VLOOKUP(S$5,NFI,5,0),1,0)*Table_NFI[[#This Row],[Winter Clothes Children]],Table_NFI[Winter Clothes Children])</f>
        <v>0</v>
      </c>
      <c r="AK134" s="439">
        <f>IF(NFI_Expiration=1,IF($A134&lt;VLOOKUP(T$5,NFI,5,0),1,0)*Table_NFI[[#This Row],[Winter Items Other]],Table_NFI[Winter Items Other])</f>
        <v>0</v>
      </c>
      <c r="AL134" s="439">
        <f>IF(NFI_Expiration=1,IF($A134&lt;VLOOKUP(M$5,NFI,5,0),1,0)*Table_NFI[[#This Row],[Winter Blanket]],Table_NFI[[#This Row],[Winter Blanket]])</f>
        <v>0</v>
      </c>
      <c r="AM134" s="439">
        <f>IF(Table_NFI[[#This Row],[Winter Clothes Adult]]+Table_NFI[[#This Row],[Winter Clothes Children]]+Table_NFI[[#This Row],[Winter Items Other]]+Table_NFI[[#This Row],[Winter Blanket]]&gt;0,1,0)</f>
        <v>0</v>
      </c>
      <c r="AN134" s="439">
        <f>IF(NFI_Expiration=1,IF($A134&lt;VLOOKUP(V$5,NFI,5,0),1,0)*Table_NFI[[#This Row],[Jerry Can]],Table_NFI[Jerry Can])</f>
        <v>0</v>
      </c>
      <c r="AO134" s="781" t="str">
        <f>IFERROR(VLOOKUP(Table_NFI[[#This Row],[Camp Name]],CL,2,0),"")</f>
        <v>MMR001CMP176</v>
      </c>
      <c r="AP134" s="772">
        <f ca="1">IF(Table_NFI[[#This Row],[Pcode]]="","",IF(OFFSET(CampList[Opening Date],MATCH(Table_NFI[[#This Row],[Pcode]],CampList[CP_Pcode],0)-1,0,1,1)&gt;=NFI_Monitor_Date,1,0))</f>
        <v>0</v>
      </c>
      <c r="AQ134" s="781" t="str">
        <f>IFERROR(VLOOKUP(Table_NFI[[#This Row],[Camp Name]],CL,3,0),"")</f>
        <v>Open</v>
      </c>
      <c r="AR134" s="439" t="str">
        <f ca="1">IF(Table_NFI[[#This Row],[Pcode]]="","",OFFSET(CampList[Priority],MATCH(Table_NFI[[#This Row],[Pcode]],CampList[CP_Pcode],0)-1,0,1,1))</f>
        <v>P4</v>
      </c>
      <c r="AS134" s="438">
        <f>IFERROR(Table_NFI[[#This Row],[Kitchen Set]]/VLOOKUP(Table_NFI[[#This Row],[Camp Name]],CL,4,0),"")</f>
        <v>0</v>
      </c>
      <c r="AT134" s="779"/>
      <c r="AU134" s="782"/>
    </row>
    <row r="135" spans="1:47" s="136" customFormat="1" x14ac:dyDescent="0.25">
      <c r="A135" s="451">
        <f t="shared" si="2"/>
        <v>15.233333333333333</v>
      </c>
      <c r="B135" s="768">
        <v>41913</v>
      </c>
      <c r="C135" s="769" t="s">
        <v>454</v>
      </c>
      <c r="D135" s="779" t="s">
        <v>507</v>
      </c>
      <c r="E135" s="779" t="s">
        <v>380</v>
      </c>
      <c r="F135" s="779" t="s">
        <v>529</v>
      </c>
      <c r="G135" s="779" t="s">
        <v>43</v>
      </c>
      <c r="H135" s="437"/>
      <c r="I135" s="437"/>
      <c r="J135" s="437"/>
      <c r="K135" s="437">
        <v>30</v>
      </c>
      <c r="L135" s="437"/>
      <c r="M135" s="437"/>
      <c r="N135" s="437"/>
      <c r="O135" s="437"/>
      <c r="P135" s="439"/>
      <c r="Q135" s="439"/>
      <c r="R135" s="439"/>
      <c r="S135" s="439"/>
      <c r="T135" s="439"/>
      <c r="U135" s="439"/>
      <c r="V135" s="439"/>
      <c r="W135" s="439"/>
      <c r="X135" s="439"/>
      <c r="Y135" s="439">
        <f>IF(NFI_Expiration=1,IF($A135&lt;VLOOKUP(H$5,NFI,5,0),1,0)*Table_NFI[[#This Row],[Hygiene Kit]],Table_NFI[Hygiene Kit])</f>
        <v>0</v>
      </c>
      <c r="Z135" s="439">
        <f>IF(NFI_Expiration=1,IF($A135&lt;VLOOKUP(I$5,NFI,5,0),1,0)*Table_NFI[[#This Row],[NFI Core Kit]],Table_NFI[NFI Core Kit])</f>
        <v>0</v>
      </c>
      <c r="AA135" s="439">
        <f>IF(NFI_Expiration=1,IF($A135&lt;VLOOKUP(J$5,NFI,5,0),1,0)*Table_NFI[[#This Row],[Sanitary Kit]],Table_NFI[Sanitary Kit])</f>
        <v>0</v>
      </c>
      <c r="AB135" s="439">
        <f>IF(NFI_Expiration=1,IF($A135&lt;VLOOKUP(K$5,NFI,5,0),1,0)*Table_NFI[[#This Row],[Mosquito net]],Table_NFI[Mosquito net])</f>
        <v>0</v>
      </c>
      <c r="AC135" s="439">
        <f>IF(NFI_Expiration=1,IF($A135&lt;VLOOKUP(L$5,NFI,5,0),1,0)*Table_NFI[[#This Row],[Tarpaulin]],Table_NFI[[#This Row],[Tarpaulin]])</f>
        <v>0</v>
      </c>
      <c r="AD135" s="439">
        <f>IF(NFI_Expiration=1,IF($A135&lt;VLOOKUP(M$5,NFI,5,0),1,0)*Table_NFI[[#This Row],[Blanket]],Table_NFI[[#This Row],[Blanket]])</f>
        <v>0</v>
      </c>
      <c r="AE135" s="439">
        <f>IF(NFI_Expiration=1,IF($A135&lt;VLOOKUP(N$5,NFI,5,0),1,0)*Table_NFI[[#This Row],[Kitchen Set]],Table_NFI[Kitchen Set])</f>
        <v>0</v>
      </c>
      <c r="AF135" s="439">
        <f>IF(NFI_Expiration=1,IF($A135&lt;VLOOKUP(O$5,NFI,5,0),1,0)*Table_NFI[[#This Row],[Clothes Kit]],Table_NFI[Clothes Kit])</f>
        <v>0</v>
      </c>
      <c r="AG135" s="439">
        <f>IF(NFI_Expiration=1,IF($A135&lt;VLOOKUP(P$5,NFI,5,0),1,0)*Table_NFI[[#This Row],[Plastic Bucket]],Table_NFI[Plastic Bucket])</f>
        <v>0</v>
      </c>
      <c r="AH135" s="439">
        <f>IF(NFI_Expiration=1,IF($A135&lt;VLOOKUP(Q$5,NFI,5,0),1,0)*Table_NFI[[#This Row],[Plastic Mat]],Table_NFI[Plastic Mat])*IF(Table_NFI[[#This Row],[Distribution Date]]&gt;"2014-04-01",1,2.5)</f>
        <v>0</v>
      </c>
      <c r="AI135" s="439">
        <f>IF(NFI_Expiration=1,IF($A135&lt;VLOOKUP(R$5,NFI,5,0),1,0)*Table_NFI[[#This Row],[Winter Clothes Adult]],Table_NFI[Winter Clothes Adult])</f>
        <v>0</v>
      </c>
      <c r="AJ135" s="439">
        <f>IF(NFI_Expiration=1,IF($A135&lt;VLOOKUP(S$5,NFI,5,0),1,0)*Table_NFI[[#This Row],[Winter Clothes Children]],Table_NFI[Winter Clothes Children])</f>
        <v>0</v>
      </c>
      <c r="AK135" s="439">
        <f>IF(NFI_Expiration=1,IF($A135&lt;VLOOKUP(T$5,NFI,5,0),1,0)*Table_NFI[[#This Row],[Winter Items Other]],Table_NFI[Winter Items Other])</f>
        <v>0</v>
      </c>
      <c r="AL135" s="439">
        <f>IF(NFI_Expiration=1,IF($A135&lt;VLOOKUP(M$5,NFI,5,0),1,0)*Table_NFI[[#This Row],[Winter Blanket]],Table_NFI[[#This Row],[Winter Blanket]])</f>
        <v>0</v>
      </c>
      <c r="AM135" s="439">
        <f>IF(Table_NFI[[#This Row],[Winter Clothes Adult]]+Table_NFI[[#This Row],[Winter Clothes Children]]+Table_NFI[[#This Row],[Winter Items Other]]+Table_NFI[[#This Row],[Winter Blanket]]&gt;0,1,0)</f>
        <v>0</v>
      </c>
      <c r="AN135" s="439">
        <f>IF(NFI_Expiration=1,IF($A135&lt;VLOOKUP(V$5,NFI,5,0),1,0)*Table_NFI[[#This Row],[Jerry Can]],Table_NFI[Jerry Can])</f>
        <v>0</v>
      </c>
      <c r="AO135" s="781" t="str">
        <f>IFERROR(VLOOKUP(Table_NFI[[#This Row],[Camp Name]],CL,2,0),"")</f>
        <v>MMR001CMP190</v>
      </c>
      <c r="AP135" s="772">
        <f ca="1">IF(Table_NFI[[#This Row],[Pcode]]="","",IF(OFFSET(CampList[Opening Date],MATCH(Table_NFI[[#This Row],[Pcode]],CampList[CP_Pcode],0)-1,0,1,1)&gt;=NFI_Monitor_Date,1,0))</f>
        <v>0</v>
      </c>
      <c r="AQ135" s="781" t="str">
        <f>IFERROR(VLOOKUP(Table_NFI[[#This Row],[Camp Name]],CL,3,0),"")</f>
        <v>Open</v>
      </c>
      <c r="AR135" s="439" t="str">
        <f ca="1">IF(Table_NFI[[#This Row],[Pcode]]="","",OFFSET(CampList[Priority],MATCH(Table_NFI[[#This Row],[Pcode]],CampList[CP_Pcode],0)-1,0,1,1))</f>
        <v>P4</v>
      </c>
      <c r="AS135" s="438">
        <f>IFERROR(Table_NFI[[#This Row],[Kitchen Set]]/VLOOKUP(Table_NFI[[#This Row],[Camp Name]],CL,4,0),"")</f>
        <v>0</v>
      </c>
      <c r="AT135" s="779"/>
      <c r="AU135" s="782"/>
    </row>
    <row r="136" spans="1:47" s="136" customFormat="1" x14ac:dyDescent="0.25">
      <c r="A136" s="451">
        <f t="shared" si="2"/>
        <v>15.233333333333333</v>
      </c>
      <c r="B136" s="768">
        <v>41913</v>
      </c>
      <c r="C136" s="769" t="s">
        <v>454</v>
      </c>
      <c r="D136" s="779" t="s">
        <v>507</v>
      </c>
      <c r="E136" s="779" t="s">
        <v>380</v>
      </c>
      <c r="F136" s="779" t="s">
        <v>529</v>
      </c>
      <c r="G136" s="779" t="s">
        <v>58</v>
      </c>
      <c r="H136" s="437"/>
      <c r="I136" s="437"/>
      <c r="J136" s="437"/>
      <c r="K136" s="437">
        <v>30</v>
      </c>
      <c r="L136" s="437"/>
      <c r="M136" s="437"/>
      <c r="N136" s="437"/>
      <c r="O136" s="437"/>
      <c r="P136" s="439"/>
      <c r="Q136" s="439"/>
      <c r="R136" s="439"/>
      <c r="S136" s="439"/>
      <c r="T136" s="439"/>
      <c r="U136" s="439"/>
      <c r="V136" s="439"/>
      <c r="W136" s="439"/>
      <c r="X136" s="439"/>
      <c r="Y136" s="439">
        <f>IF(NFI_Expiration=1,IF($A136&lt;VLOOKUP(H$5,NFI,5,0),1,0)*Table_NFI[[#This Row],[Hygiene Kit]],Table_NFI[Hygiene Kit])</f>
        <v>0</v>
      </c>
      <c r="Z136" s="439">
        <f>IF(NFI_Expiration=1,IF($A136&lt;VLOOKUP(I$5,NFI,5,0),1,0)*Table_NFI[[#This Row],[NFI Core Kit]],Table_NFI[NFI Core Kit])</f>
        <v>0</v>
      </c>
      <c r="AA136" s="439">
        <f>IF(NFI_Expiration=1,IF($A136&lt;VLOOKUP(J$5,NFI,5,0),1,0)*Table_NFI[[#This Row],[Sanitary Kit]],Table_NFI[Sanitary Kit])</f>
        <v>0</v>
      </c>
      <c r="AB136" s="439">
        <f>IF(NFI_Expiration=1,IF($A136&lt;VLOOKUP(K$5,NFI,5,0),1,0)*Table_NFI[[#This Row],[Mosquito net]],Table_NFI[Mosquito net])</f>
        <v>0</v>
      </c>
      <c r="AC136" s="439">
        <f>IF(NFI_Expiration=1,IF($A136&lt;VLOOKUP(L$5,NFI,5,0),1,0)*Table_NFI[[#This Row],[Tarpaulin]],Table_NFI[[#This Row],[Tarpaulin]])</f>
        <v>0</v>
      </c>
      <c r="AD136" s="439">
        <f>IF(NFI_Expiration=1,IF($A136&lt;VLOOKUP(M$5,NFI,5,0),1,0)*Table_NFI[[#This Row],[Blanket]],Table_NFI[[#This Row],[Blanket]])</f>
        <v>0</v>
      </c>
      <c r="AE136" s="439">
        <f>IF(NFI_Expiration=1,IF($A136&lt;VLOOKUP(N$5,NFI,5,0),1,0)*Table_NFI[[#This Row],[Kitchen Set]],Table_NFI[Kitchen Set])</f>
        <v>0</v>
      </c>
      <c r="AF136" s="439">
        <f>IF(NFI_Expiration=1,IF($A136&lt;VLOOKUP(O$5,NFI,5,0),1,0)*Table_NFI[[#This Row],[Clothes Kit]],Table_NFI[Clothes Kit])</f>
        <v>0</v>
      </c>
      <c r="AG136" s="439">
        <f>IF(NFI_Expiration=1,IF($A136&lt;VLOOKUP(P$5,NFI,5,0),1,0)*Table_NFI[[#This Row],[Plastic Bucket]],Table_NFI[Plastic Bucket])</f>
        <v>0</v>
      </c>
      <c r="AH136" s="439">
        <f>IF(NFI_Expiration=1,IF($A136&lt;VLOOKUP(Q$5,NFI,5,0),1,0)*Table_NFI[[#This Row],[Plastic Mat]],Table_NFI[Plastic Mat])*IF(Table_NFI[[#This Row],[Distribution Date]]&gt;"2014-04-01",1,2.5)</f>
        <v>0</v>
      </c>
      <c r="AI136" s="439">
        <f>IF(NFI_Expiration=1,IF($A136&lt;VLOOKUP(R$5,NFI,5,0),1,0)*Table_NFI[[#This Row],[Winter Clothes Adult]],Table_NFI[Winter Clothes Adult])</f>
        <v>0</v>
      </c>
      <c r="AJ136" s="439">
        <f>IF(NFI_Expiration=1,IF($A136&lt;VLOOKUP(S$5,NFI,5,0),1,0)*Table_NFI[[#This Row],[Winter Clothes Children]],Table_NFI[Winter Clothes Children])</f>
        <v>0</v>
      </c>
      <c r="AK136" s="439">
        <f>IF(NFI_Expiration=1,IF($A136&lt;VLOOKUP(T$5,NFI,5,0),1,0)*Table_NFI[[#This Row],[Winter Items Other]],Table_NFI[Winter Items Other])</f>
        <v>0</v>
      </c>
      <c r="AL136" s="439">
        <f>IF(NFI_Expiration=1,IF($A136&lt;VLOOKUP(M$5,NFI,5,0),1,0)*Table_NFI[[#This Row],[Winter Blanket]],Table_NFI[[#This Row],[Winter Blanket]])</f>
        <v>0</v>
      </c>
      <c r="AM136" s="439">
        <f>IF(Table_NFI[[#This Row],[Winter Clothes Adult]]+Table_NFI[[#This Row],[Winter Clothes Children]]+Table_NFI[[#This Row],[Winter Items Other]]+Table_NFI[[#This Row],[Winter Blanket]]&gt;0,1,0)</f>
        <v>0</v>
      </c>
      <c r="AN136" s="439">
        <f>IF(NFI_Expiration=1,IF($A136&lt;VLOOKUP(V$5,NFI,5,0),1,0)*Table_NFI[[#This Row],[Jerry Can]],Table_NFI[Jerry Can])</f>
        <v>0</v>
      </c>
      <c r="AO136" s="781" t="str">
        <f>IFERROR(VLOOKUP(Table_NFI[[#This Row],[Camp Name]],CL,2,0),"")</f>
        <v>MMR001CMP188</v>
      </c>
      <c r="AP136" s="772">
        <f ca="1">IF(Table_NFI[[#This Row],[Pcode]]="","",IF(OFFSET(CampList[Opening Date],MATCH(Table_NFI[[#This Row],[Pcode]],CampList[CP_Pcode],0)-1,0,1,1)&gt;=NFI_Monitor_Date,1,0))</f>
        <v>0</v>
      </c>
      <c r="AQ136" s="781" t="str">
        <f>IFERROR(VLOOKUP(Table_NFI[[#This Row],[Camp Name]],CL,3,0),"")</f>
        <v>Closed</v>
      </c>
      <c r="AR136" s="439" t="str">
        <f ca="1">IF(Table_NFI[[#This Row],[Pcode]]="","",OFFSET(CampList[Priority],MATCH(Table_NFI[[#This Row],[Pcode]],CampList[CP_Pcode],0)-1,0,1,1))</f>
        <v>P4</v>
      </c>
      <c r="AS136" s="438" t="str">
        <f>IFERROR(Table_NFI[[#This Row],[Kitchen Set]]/VLOOKUP(Table_NFI[[#This Row],[Camp Name]],CL,4,0),"")</f>
        <v/>
      </c>
      <c r="AT136" s="779"/>
      <c r="AU136" s="782"/>
    </row>
    <row r="137" spans="1:47" s="136" customFormat="1" x14ac:dyDescent="0.25">
      <c r="A137" s="451">
        <f t="shared" si="2"/>
        <v>15.233333333333333</v>
      </c>
      <c r="B137" s="768">
        <v>41913</v>
      </c>
      <c r="C137" s="769" t="s">
        <v>454</v>
      </c>
      <c r="D137" s="779" t="s">
        <v>507</v>
      </c>
      <c r="E137" s="779" t="s">
        <v>380</v>
      </c>
      <c r="F137" s="779" t="s">
        <v>529</v>
      </c>
      <c r="G137" s="779" t="s">
        <v>72</v>
      </c>
      <c r="H137" s="437"/>
      <c r="I137" s="437"/>
      <c r="J137" s="437"/>
      <c r="K137" s="437">
        <v>8</v>
      </c>
      <c r="L137" s="437"/>
      <c r="M137" s="437"/>
      <c r="N137" s="437"/>
      <c r="O137" s="437"/>
      <c r="P137" s="439"/>
      <c r="Q137" s="439"/>
      <c r="R137" s="439"/>
      <c r="S137" s="439"/>
      <c r="T137" s="439"/>
      <c r="U137" s="439"/>
      <c r="V137" s="439"/>
      <c r="W137" s="439"/>
      <c r="X137" s="439"/>
      <c r="Y137" s="439">
        <f>IF(NFI_Expiration=1,IF($A137&lt;VLOOKUP(H$5,NFI,5,0),1,0)*Table_NFI[[#This Row],[Hygiene Kit]],Table_NFI[Hygiene Kit])</f>
        <v>0</v>
      </c>
      <c r="Z137" s="439">
        <f>IF(NFI_Expiration=1,IF($A137&lt;VLOOKUP(I$5,NFI,5,0),1,0)*Table_NFI[[#This Row],[NFI Core Kit]],Table_NFI[NFI Core Kit])</f>
        <v>0</v>
      </c>
      <c r="AA137" s="439">
        <f>IF(NFI_Expiration=1,IF($A137&lt;VLOOKUP(J$5,NFI,5,0),1,0)*Table_NFI[[#This Row],[Sanitary Kit]],Table_NFI[Sanitary Kit])</f>
        <v>0</v>
      </c>
      <c r="AB137" s="439">
        <f>IF(NFI_Expiration=1,IF($A137&lt;VLOOKUP(K$5,NFI,5,0),1,0)*Table_NFI[[#This Row],[Mosquito net]],Table_NFI[Mosquito net])</f>
        <v>0</v>
      </c>
      <c r="AC137" s="439">
        <f>IF(NFI_Expiration=1,IF($A137&lt;VLOOKUP(L$5,NFI,5,0),1,0)*Table_NFI[[#This Row],[Tarpaulin]],Table_NFI[[#This Row],[Tarpaulin]])</f>
        <v>0</v>
      </c>
      <c r="AD137" s="439">
        <f>IF(NFI_Expiration=1,IF($A137&lt;VLOOKUP(M$5,NFI,5,0),1,0)*Table_NFI[[#This Row],[Blanket]],Table_NFI[[#This Row],[Blanket]])</f>
        <v>0</v>
      </c>
      <c r="AE137" s="439">
        <f>IF(NFI_Expiration=1,IF($A137&lt;VLOOKUP(N$5,NFI,5,0),1,0)*Table_NFI[[#This Row],[Kitchen Set]],Table_NFI[Kitchen Set])</f>
        <v>0</v>
      </c>
      <c r="AF137" s="439">
        <f>IF(NFI_Expiration=1,IF($A137&lt;VLOOKUP(O$5,NFI,5,0),1,0)*Table_NFI[[#This Row],[Clothes Kit]],Table_NFI[Clothes Kit])</f>
        <v>0</v>
      </c>
      <c r="AG137" s="439">
        <f>IF(NFI_Expiration=1,IF($A137&lt;VLOOKUP(P$5,NFI,5,0),1,0)*Table_NFI[[#This Row],[Plastic Bucket]],Table_NFI[Plastic Bucket])</f>
        <v>0</v>
      </c>
      <c r="AH137" s="439">
        <f>IF(NFI_Expiration=1,IF($A137&lt;VLOOKUP(Q$5,NFI,5,0),1,0)*Table_NFI[[#This Row],[Plastic Mat]],Table_NFI[Plastic Mat])*IF(Table_NFI[[#This Row],[Distribution Date]]&gt;"2014-04-01",1,2.5)</f>
        <v>0</v>
      </c>
      <c r="AI137" s="439">
        <f>IF(NFI_Expiration=1,IF($A137&lt;VLOOKUP(R$5,NFI,5,0),1,0)*Table_NFI[[#This Row],[Winter Clothes Adult]],Table_NFI[Winter Clothes Adult])</f>
        <v>0</v>
      </c>
      <c r="AJ137" s="439">
        <f>IF(NFI_Expiration=1,IF($A137&lt;VLOOKUP(S$5,NFI,5,0),1,0)*Table_NFI[[#This Row],[Winter Clothes Children]],Table_NFI[Winter Clothes Children])</f>
        <v>0</v>
      </c>
      <c r="AK137" s="439">
        <f>IF(NFI_Expiration=1,IF($A137&lt;VLOOKUP(T$5,NFI,5,0),1,0)*Table_NFI[[#This Row],[Winter Items Other]],Table_NFI[Winter Items Other])</f>
        <v>0</v>
      </c>
      <c r="AL137" s="439">
        <f>IF(NFI_Expiration=1,IF($A137&lt;VLOOKUP(M$5,NFI,5,0),1,0)*Table_NFI[[#This Row],[Winter Blanket]],Table_NFI[[#This Row],[Winter Blanket]])</f>
        <v>0</v>
      </c>
      <c r="AM137" s="439">
        <f>IF(Table_NFI[[#This Row],[Winter Clothes Adult]]+Table_NFI[[#This Row],[Winter Clothes Children]]+Table_NFI[[#This Row],[Winter Items Other]]+Table_NFI[[#This Row],[Winter Blanket]]&gt;0,1,0)</f>
        <v>0</v>
      </c>
      <c r="AN137" s="439">
        <f>IF(NFI_Expiration=1,IF($A137&lt;VLOOKUP(V$5,NFI,5,0),1,0)*Table_NFI[[#This Row],[Jerry Can]],Table_NFI[Jerry Can])</f>
        <v>0</v>
      </c>
      <c r="AO137" s="781" t="str">
        <f>IFERROR(VLOOKUP(Table_NFI[[#This Row],[Camp Name]],CL,2,0),"")</f>
        <v>MMR001CMP109</v>
      </c>
      <c r="AP137" s="772">
        <f ca="1">IF(Table_NFI[[#This Row],[Pcode]]="","",IF(OFFSET(CampList[Opening Date],MATCH(Table_NFI[[#This Row],[Pcode]],CampList[CP_Pcode],0)-1,0,1,1)&gt;=NFI_Monitor_Date,1,0))</f>
        <v>0</v>
      </c>
      <c r="AQ137" s="781" t="str">
        <f>IFERROR(VLOOKUP(Table_NFI[[#This Row],[Camp Name]],CL,3,0),"")</f>
        <v>Open</v>
      </c>
      <c r="AR137" s="439" t="str">
        <f ca="1">IF(Table_NFI[[#This Row],[Pcode]]="","",OFFSET(CampList[Priority],MATCH(Table_NFI[[#This Row],[Pcode]],CampList[CP_Pcode],0)-1,0,1,1))</f>
        <v>P4</v>
      </c>
      <c r="AS137" s="438">
        <f>IFERROR(Table_NFI[[#This Row],[Kitchen Set]]/VLOOKUP(Table_NFI[[#This Row],[Camp Name]],CL,4,0),"")</f>
        <v>0</v>
      </c>
      <c r="AT137" s="779"/>
      <c r="AU137" s="782"/>
    </row>
    <row r="138" spans="1:47" s="136" customFormat="1" x14ac:dyDescent="0.25">
      <c r="A138" s="451">
        <f t="shared" si="2"/>
        <v>15.233333333333333</v>
      </c>
      <c r="B138" s="768">
        <v>41913</v>
      </c>
      <c r="C138" s="769" t="s">
        <v>454</v>
      </c>
      <c r="D138" s="779" t="s">
        <v>507</v>
      </c>
      <c r="E138" s="779" t="s">
        <v>380</v>
      </c>
      <c r="F138" s="779" t="s">
        <v>27</v>
      </c>
      <c r="G138" s="779" t="s">
        <v>28</v>
      </c>
      <c r="H138" s="437"/>
      <c r="I138" s="437"/>
      <c r="J138" s="437"/>
      <c r="K138" s="437">
        <v>214</v>
      </c>
      <c r="L138" s="437"/>
      <c r="M138" s="437"/>
      <c r="N138" s="437"/>
      <c r="O138" s="437"/>
      <c r="P138" s="439"/>
      <c r="Q138" s="439"/>
      <c r="R138" s="439"/>
      <c r="S138" s="439"/>
      <c r="T138" s="439"/>
      <c r="U138" s="439">
        <v>214</v>
      </c>
      <c r="V138" s="439"/>
      <c r="W138" s="439"/>
      <c r="X138" s="439"/>
      <c r="Y138" s="439">
        <f>IF(NFI_Expiration=1,IF($A138&lt;VLOOKUP(H$5,NFI,5,0),1,0)*Table_NFI[[#This Row],[Hygiene Kit]],Table_NFI[Hygiene Kit])</f>
        <v>0</v>
      </c>
      <c r="Z138" s="439">
        <f>IF(NFI_Expiration=1,IF($A138&lt;VLOOKUP(I$5,NFI,5,0),1,0)*Table_NFI[[#This Row],[NFI Core Kit]],Table_NFI[NFI Core Kit])</f>
        <v>0</v>
      </c>
      <c r="AA138" s="439">
        <f>IF(NFI_Expiration=1,IF($A138&lt;VLOOKUP(J$5,NFI,5,0),1,0)*Table_NFI[[#This Row],[Sanitary Kit]],Table_NFI[Sanitary Kit])</f>
        <v>0</v>
      </c>
      <c r="AB138" s="439">
        <f>IF(NFI_Expiration=1,IF($A138&lt;VLOOKUP(K$5,NFI,5,0),1,0)*Table_NFI[[#This Row],[Mosquito net]],Table_NFI[Mosquito net])</f>
        <v>0</v>
      </c>
      <c r="AC138" s="439">
        <f>IF(NFI_Expiration=1,IF($A138&lt;VLOOKUP(L$5,NFI,5,0),1,0)*Table_NFI[[#This Row],[Tarpaulin]],Table_NFI[[#This Row],[Tarpaulin]])</f>
        <v>0</v>
      </c>
      <c r="AD138" s="439">
        <f>IF(NFI_Expiration=1,IF($A138&lt;VLOOKUP(M$5,NFI,5,0),1,0)*Table_NFI[[#This Row],[Blanket]],Table_NFI[[#This Row],[Blanket]])</f>
        <v>0</v>
      </c>
      <c r="AE138" s="439">
        <f>IF(NFI_Expiration=1,IF($A138&lt;VLOOKUP(N$5,NFI,5,0),1,0)*Table_NFI[[#This Row],[Kitchen Set]],Table_NFI[Kitchen Set])</f>
        <v>0</v>
      </c>
      <c r="AF138" s="439">
        <f>IF(NFI_Expiration=1,IF($A138&lt;VLOOKUP(O$5,NFI,5,0),1,0)*Table_NFI[[#This Row],[Clothes Kit]],Table_NFI[Clothes Kit])</f>
        <v>0</v>
      </c>
      <c r="AG138" s="439">
        <f>IF(NFI_Expiration=1,IF($A138&lt;VLOOKUP(P$5,NFI,5,0),1,0)*Table_NFI[[#This Row],[Plastic Bucket]],Table_NFI[Plastic Bucket])</f>
        <v>0</v>
      </c>
      <c r="AH138" s="439">
        <f>IF(NFI_Expiration=1,IF($A138&lt;VLOOKUP(Q$5,NFI,5,0),1,0)*Table_NFI[[#This Row],[Plastic Mat]],Table_NFI[Plastic Mat])*IF(Table_NFI[[#This Row],[Distribution Date]]&gt;"2014-04-01",1,2.5)</f>
        <v>0</v>
      </c>
      <c r="AI138" s="439">
        <f>IF(NFI_Expiration=1,IF($A138&lt;VLOOKUP(R$5,NFI,5,0),1,0)*Table_NFI[[#This Row],[Winter Clothes Adult]],Table_NFI[Winter Clothes Adult])</f>
        <v>0</v>
      </c>
      <c r="AJ138" s="439">
        <f>IF(NFI_Expiration=1,IF($A138&lt;VLOOKUP(S$5,NFI,5,0),1,0)*Table_NFI[[#This Row],[Winter Clothes Children]],Table_NFI[Winter Clothes Children])</f>
        <v>0</v>
      </c>
      <c r="AK138" s="439">
        <f>IF(NFI_Expiration=1,IF($A138&lt;VLOOKUP(T$5,NFI,5,0),1,0)*Table_NFI[[#This Row],[Winter Items Other]],Table_NFI[Winter Items Other])</f>
        <v>0</v>
      </c>
      <c r="AL138" s="439">
        <f>IF(NFI_Expiration=1,IF($A138&lt;VLOOKUP(M$5,NFI,5,0),1,0)*Table_NFI[[#This Row],[Winter Blanket]],Table_NFI[[#This Row],[Winter Blanket]])</f>
        <v>0</v>
      </c>
      <c r="AM138" s="439">
        <f>IF(Table_NFI[[#This Row],[Winter Clothes Adult]]+Table_NFI[[#This Row],[Winter Clothes Children]]+Table_NFI[[#This Row],[Winter Items Other]]+Table_NFI[[#This Row],[Winter Blanket]]&gt;0,1,0)</f>
        <v>1</v>
      </c>
      <c r="AN138" s="439">
        <f>IF(NFI_Expiration=1,IF($A138&lt;VLOOKUP(V$5,NFI,5,0),1,0)*Table_NFI[[#This Row],[Jerry Can]],Table_NFI[Jerry Can])</f>
        <v>0</v>
      </c>
      <c r="AO138" s="781" t="str">
        <f>IFERROR(VLOOKUP(Table_NFI[[#This Row],[Camp Name]],CL,2,0),"")</f>
        <v>MMR001CMP042</v>
      </c>
      <c r="AP138" s="772">
        <f ca="1">IF(Table_NFI[[#This Row],[Pcode]]="","",IF(OFFSET(CampList[Opening Date],MATCH(Table_NFI[[#This Row],[Pcode]],CampList[CP_Pcode],0)-1,0,1,1)&gt;=NFI_Monitor_Date,1,0))</f>
        <v>0</v>
      </c>
      <c r="AQ138" s="781" t="str">
        <f>IFERROR(VLOOKUP(Table_NFI[[#This Row],[Camp Name]],CL,3,0),"")</f>
        <v>Open</v>
      </c>
      <c r="AR138" s="439" t="str">
        <f ca="1">IF(Table_NFI[[#This Row],[Pcode]]="","",OFFSET(CampList[Priority],MATCH(Table_NFI[[#This Row],[Pcode]],CampList[CP_Pcode],0)-1,0,1,1))</f>
        <v>P1</v>
      </c>
      <c r="AS138" s="438">
        <f>IFERROR(Table_NFI[[#This Row],[Kitchen Set]]/VLOOKUP(Table_NFI[[#This Row],[Camp Name]],CL,4,0),"")</f>
        <v>0</v>
      </c>
      <c r="AT138" s="779"/>
      <c r="AU138" s="782"/>
    </row>
    <row r="139" spans="1:47" s="136" customFormat="1" x14ac:dyDescent="0.25">
      <c r="A139" s="451">
        <f t="shared" si="2"/>
        <v>15.233333333333333</v>
      </c>
      <c r="B139" s="768">
        <v>41913</v>
      </c>
      <c r="C139" s="769" t="s">
        <v>454</v>
      </c>
      <c r="D139" s="779" t="s">
        <v>507</v>
      </c>
      <c r="E139" s="779" t="s">
        <v>380</v>
      </c>
      <c r="F139" s="779" t="s">
        <v>529</v>
      </c>
      <c r="G139" s="779" t="s">
        <v>76</v>
      </c>
      <c r="H139" s="437"/>
      <c r="I139" s="437"/>
      <c r="J139" s="437"/>
      <c r="K139" s="437">
        <v>130</v>
      </c>
      <c r="L139" s="437"/>
      <c r="M139" s="437"/>
      <c r="N139" s="437"/>
      <c r="O139" s="437"/>
      <c r="P139" s="439"/>
      <c r="Q139" s="439"/>
      <c r="R139" s="439"/>
      <c r="S139" s="439"/>
      <c r="T139" s="439"/>
      <c r="U139" s="439"/>
      <c r="V139" s="439"/>
      <c r="W139" s="439"/>
      <c r="X139" s="439"/>
      <c r="Y139" s="439">
        <f>IF(NFI_Expiration=1,IF($A139&lt;VLOOKUP(H$5,NFI,5,0),1,0)*Table_NFI[[#This Row],[Hygiene Kit]],Table_NFI[Hygiene Kit])</f>
        <v>0</v>
      </c>
      <c r="Z139" s="439">
        <f>IF(NFI_Expiration=1,IF($A139&lt;VLOOKUP(I$5,NFI,5,0),1,0)*Table_NFI[[#This Row],[NFI Core Kit]],Table_NFI[NFI Core Kit])</f>
        <v>0</v>
      </c>
      <c r="AA139" s="439">
        <f>IF(NFI_Expiration=1,IF($A139&lt;VLOOKUP(J$5,NFI,5,0),1,0)*Table_NFI[[#This Row],[Sanitary Kit]],Table_NFI[Sanitary Kit])</f>
        <v>0</v>
      </c>
      <c r="AB139" s="439">
        <f>IF(NFI_Expiration=1,IF($A139&lt;VLOOKUP(K$5,NFI,5,0),1,0)*Table_NFI[[#This Row],[Mosquito net]],Table_NFI[Mosquito net])</f>
        <v>0</v>
      </c>
      <c r="AC139" s="439">
        <f>IF(NFI_Expiration=1,IF($A139&lt;VLOOKUP(L$5,NFI,5,0),1,0)*Table_NFI[[#This Row],[Tarpaulin]],Table_NFI[[#This Row],[Tarpaulin]])</f>
        <v>0</v>
      </c>
      <c r="AD139" s="439">
        <f>IF(NFI_Expiration=1,IF($A139&lt;VLOOKUP(M$5,NFI,5,0),1,0)*Table_NFI[[#This Row],[Blanket]],Table_NFI[[#This Row],[Blanket]])</f>
        <v>0</v>
      </c>
      <c r="AE139" s="439">
        <f>IF(NFI_Expiration=1,IF($A139&lt;VLOOKUP(N$5,NFI,5,0),1,0)*Table_NFI[[#This Row],[Kitchen Set]],Table_NFI[Kitchen Set])</f>
        <v>0</v>
      </c>
      <c r="AF139" s="439">
        <f>IF(NFI_Expiration=1,IF($A139&lt;VLOOKUP(O$5,NFI,5,0),1,0)*Table_NFI[[#This Row],[Clothes Kit]],Table_NFI[Clothes Kit])</f>
        <v>0</v>
      </c>
      <c r="AG139" s="439">
        <f>IF(NFI_Expiration=1,IF($A139&lt;VLOOKUP(P$5,NFI,5,0),1,0)*Table_NFI[[#This Row],[Plastic Bucket]],Table_NFI[Plastic Bucket])</f>
        <v>0</v>
      </c>
      <c r="AH139" s="439">
        <f>IF(NFI_Expiration=1,IF($A139&lt;VLOOKUP(Q$5,NFI,5,0),1,0)*Table_NFI[[#This Row],[Plastic Mat]],Table_NFI[Plastic Mat])*IF(Table_NFI[[#This Row],[Distribution Date]]&gt;"2014-04-01",1,2.5)</f>
        <v>0</v>
      </c>
      <c r="AI139" s="439">
        <f>IF(NFI_Expiration=1,IF($A139&lt;VLOOKUP(R$5,NFI,5,0),1,0)*Table_NFI[[#This Row],[Winter Clothes Adult]],Table_NFI[Winter Clothes Adult])</f>
        <v>0</v>
      </c>
      <c r="AJ139" s="439">
        <f>IF(NFI_Expiration=1,IF($A139&lt;VLOOKUP(S$5,NFI,5,0),1,0)*Table_NFI[[#This Row],[Winter Clothes Children]],Table_NFI[Winter Clothes Children])</f>
        <v>0</v>
      </c>
      <c r="AK139" s="439">
        <f>IF(NFI_Expiration=1,IF($A139&lt;VLOOKUP(T$5,NFI,5,0),1,0)*Table_NFI[[#This Row],[Winter Items Other]],Table_NFI[Winter Items Other])</f>
        <v>0</v>
      </c>
      <c r="AL139" s="439">
        <f>IF(NFI_Expiration=1,IF($A139&lt;VLOOKUP(M$5,NFI,5,0),1,0)*Table_NFI[[#This Row],[Winter Blanket]],Table_NFI[[#This Row],[Winter Blanket]])</f>
        <v>0</v>
      </c>
      <c r="AM139" s="439">
        <f>IF(Table_NFI[[#This Row],[Winter Clothes Adult]]+Table_NFI[[#This Row],[Winter Clothes Children]]+Table_NFI[[#This Row],[Winter Items Other]]+Table_NFI[[#This Row],[Winter Blanket]]&gt;0,1,0)</f>
        <v>0</v>
      </c>
      <c r="AN139" s="439">
        <f>IF(NFI_Expiration=1,IF($A139&lt;VLOOKUP(V$5,NFI,5,0),1,0)*Table_NFI[[#This Row],[Jerry Can]],Table_NFI[Jerry Can])</f>
        <v>0</v>
      </c>
      <c r="AO139" s="781" t="str">
        <f>IFERROR(VLOOKUP(Table_NFI[[#This Row],[Camp Name]],CL,2,0),"")</f>
        <v>MMR001CMP174</v>
      </c>
      <c r="AP139" s="772">
        <f ca="1">IF(Table_NFI[[#This Row],[Pcode]]="","",IF(OFFSET(CampList[Opening Date],MATCH(Table_NFI[[#This Row],[Pcode]],CampList[CP_Pcode],0)-1,0,1,1)&gt;=NFI_Monitor_Date,1,0))</f>
        <v>0</v>
      </c>
      <c r="AQ139" s="781" t="str">
        <f>IFERROR(VLOOKUP(Table_NFI[[#This Row],[Camp Name]],CL,3,0),"")</f>
        <v>Open</v>
      </c>
      <c r="AR139" s="439" t="str">
        <f ca="1">IF(Table_NFI[[#This Row],[Pcode]]="","",OFFSET(CampList[Priority],MATCH(Table_NFI[[#This Row],[Pcode]],CampList[CP_Pcode],0)-1,0,1,1))</f>
        <v>P4</v>
      </c>
      <c r="AS139" s="438">
        <f>IFERROR(Table_NFI[[#This Row],[Kitchen Set]]/VLOOKUP(Table_NFI[[#This Row],[Camp Name]],CL,4,0),"")</f>
        <v>0</v>
      </c>
      <c r="AT139" s="779"/>
      <c r="AU139" s="782"/>
    </row>
    <row r="140" spans="1:47" s="136" customFormat="1" x14ac:dyDescent="0.25">
      <c r="A140" s="451">
        <f t="shared" si="2"/>
        <v>15.233333333333333</v>
      </c>
      <c r="B140" s="768">
        <v>41913</v>
      </c>
      <c r="C140" s="769" t="s">
        <v>454</v>
      </c>
      <c r="D140" s="779" t="s">
        <v>508</v>
      </c>
      <c r="E140" s="779" t="s">
        <v>380</v>
      </c>
      <c r="F140" s="779" t="s">
        <v>185</v>
      </c>
      <c r="G140" s="779" t="s">
        <v>192</v>
      </c>
      <c r="H140" s="437"/>
      <c r="I140" s="437"/>
      <c r="J140" s="437"/>
      <c r="K140" s="437">
        <v>238</v>
      </c>
      <c r="L140" s="437"/>
      <c r="M140" s="437"/>
      <c r="N140" s="437"/>
      <c r="O140" s="437"/>
      <c r="P140" s="439"/>
      <c r="Q140" s="439"/>
      <c r="R140" s="439"/>
      <c r="S140" s="439"/>
      <c r="T140" s="439"/>
      <c r="U140" s="437">
        <v>238</v>
      </c>
      <c r="V140" s="437"/>
      <c r="W140" s="437"/>
      <c r="X140" s="437"/>
      <c r="Y140" s="439">
        <f>IF(NFI_Expiration=1,IF($A140&lt;VLOOKUP(H$5,NFI,5,0),1,0)*Table_NFI[[#This Row],[Hygiene Kit]],Table_NFI[Hygiene Kit])</f>
        <v>0</v>
      </c>
      <c r="Z140" s="439">
        <f>IF(NFI_Expiration=1,IF($A140&lt;VLOOKUP(I$5,NFI,5,0),1,0)*Table_NFI[[#This Row],[NFI Core Kit]],Table_NFI[NFI Core Kit])</f>
        <v>0</v>
      </c>
      <c r="AA140" s="439">
        <f>IF(NFI_Expiration=1,IF($A140&lt;VLOOKUP(J$5,NFI,5,0),1,0)*Table_NFI[[#This Row],[Sanitary Kit]],Table_NFI[Sanitary Kit])</f>
        <v>0</v>
      </c>
      <c r="AB140" s="439">
        <f>IF(NFI_Expiration=1,IF($A140&lt;VLOOKUP(K$5,NFI,5,0),1,0)*Table_NFI[[#This Row],[Mosquito net]],Table_NFI[Mosquito net])</f>
        <v>0</v>
      </c>
      <c r="AC140" s="439">
        <f>IF(NFI_Expiration=1,IF($A140&lt;VLOOKUP(L$5,NFI,5,0),1,0)*Table_NFI[[#This Row],[Tarpaulin]],Table_NFI[[#This Row],[Tarpaulin]])</f>
        <v>0</v>
      </c>
      <c r="AD140" s="439">
        <f>IF(NFI_Expiration=1,IF($A140&lt;VLOOKUP(M$5,NFI,5,0),1,0)*Table_NFI[[#This Row],[Blanket]],Table_NFI[[#This Row],[Blanket]])</f>
        <v>0</v>
      </c>
      <c r="AE140" s="439">
        <f>IF(NFI_Expiration=1,IF($A140&lt;VLOOKUP(N$5,NFI,5,0),1,0)*Table_NFI[[#This Row],[Kitchen Set]],Table_NFI[Kitchen Set])</f>
        <v>0</v>
      </c>
      <c r="AF140" s="439">
        <f>IF(NFI_Expiration=1,IF($A140&lt;VLOOKUP(O$5,NFI,5,0),1,0)*Table_NFI[[#This Row],[Clothes Kit]],Table_NFI[Clothes Kit])</f>
        <v>0</v>
      </c>
      <c r="AG140" s="439">
        <f>IF(NFI_Expiration=1,IF($A140&lt;VLOOKUP(P$5,NFI,5,0),1,0)*Table_NFI[[#This Row],[Plastic Bucket]],Table_NFI[Plastic Bucket])</f>
        <v>0</v>
      </c>
      <c r="AH140" s="439">
        <f>IF(NFI_Expiration=1,IF($A140&lt;VLOOKUP(Q$5,NFI,5,0),1,0)*Table_NFI[[#This Row],[Plastic Mat]],Table_NFI[Plastic Mat])*IF(Table_NFI[[#This Row],[Distribution Date]]&gt;"2014-04-01",1,2.5)</f>
        <v>0</v>
      </c>
      <c r="AI140" s="439">
        <f>IF(NFI_Expiration=1,IF($A140&lt;VLOOKUP(R$5,NFI,5,0),1,0)*Table_NFI[[#This Row],[Winter Clothes Adult]],Table_NFI[Winter Clothes Adult])</f>
        <v>0</v>
      </c>
      <c r="AJ140" s="439">
        <f>IF(NFI_Expiration=1,IF($A140&lt;VLOOKUP(S$5,NFI,5,0),1,0)*Table_NFI[[#This Row],[Winter Clothes Children]],Table_NFI[Winter Clothes Children])</f>
        <v>0</v>
      </c>
      <c r="AK140" s="439">
        <f>IF(NFI_Expiration=1,IF($A140&lt;VLOOKUP(T$5,NFI,5,0),1,0)*Table_NFI[[#This Row],[Winter Items Other]],Table_NFI[Winter Items Other])</f>
        <v>0</v>
      </c>
      <c r="AL140" s="439">
        <f>IF(NFI_Expiration=1,IF($A140&lt;VLOOKUP(M$5,NFI,5,0),1,0)*Table_NFI[[#This Row],[Winter Blanket]],Table_NFI[[#This Row],[Winter Blanket]])</f>
        <v>0</v>
      </c>
      <c r="AM140" s="439">
        <f>IF(Table_NFI[[#This Row],[Winter Clothes Adult]]+Table_NFI[[#This Row],[Winter Clothes Children]]+Table_NFI[[#This Row],[Winter Items Other]]+Table_NFI[[#This Row],[Winter Blanket]]&gt;0,1,0)</f>
        <v>1</v>
      </c>
      <c r="AN140" s="439">
        <f>IF(NFI_Expiration=1,IF($A140&lt;VLOOKUP(V$5,NFI,5,0),1,0)*Table_NFI[[#This Row],[Jerry Can]],Table_NFI[Jerry Can])</f>
        <v>0</v>
      </c>
      <c r="AO140" s="781" t="str">
        <f>IFERROR(VLOOKUP(Table_NFI[[#This Row],[Camp Name]],CL,2,0),"")</f>
        <v>MMR001CMP123</v>
      </c>
      <c r="AP140" s="772">
        <f ca="1">IF(Table_NFI[[#This Row],[Pcode]]="","",IF(OFFSET(CampList[Opening Date],MATCH(Table_NFI[[#This Row],[Pcode]],CampList[CP_Pcode],0)-1,0,1,1)&gt;=NFI_Monitor_Date,1,0))</f>
        <v>0</v>
      </c>
      <c r="AQ140" s="781" t="str">
        <f>IFERROR(VLOOKUP(Table_NFI[[#This Row],[Camp Name]],CL,3,0),"")</f>
        <v>Open</v>
      </c>
      <c r="AR140" s="439" t="str">
        <f ca="1">IF(Table_NFI[[#This Row],[Pcode]]="","",OFFSET(CampList[Priority],MATCH(Table_NFI[[#This Row],[Pcode]],CampList[CP_Pcode],0)-1,0,1,1))</f>
        <v>P2</v>
      </c>
      <c r="AS140" s="438">
        <f>IFERROR(Table_NFI[[#This Row],[Kitchen Set]]/VLOOKUP(Table_NFI[[#This Row],[Camp Name]],CL,4,0),"")</f>
        <v>0</v>
      </c>
      <c r="AT140" s="779"/>
      <c r="AU140" s="782"/>
    </row>
    <row r="141" spans="1:47" s="136" customFormat="1" x14ac:dyDescent="0.25">
      <c r="A141" s="451">
        <f t="shared" si="2"/>
        <v>15.233333333333333</v>
      </c>
      <c r="B141" s="768">
        <v>41913</v>
      </c>
      <c r="C141" s="769" t="s">
        <v>454</v>
      </c>
      <c r="D141" s="779" t="s">
        <v>507</v>
      </c>
      <c r="E141" s="779" t="s">
        <v>380</v>
      </c>
      <c r="F141" s="779" t="s">
        <v>310</v>
      </c>
      <c r="G141" s="779" t="s">
        <v>313</v>
      </c>
      <c r="H141" s="437"/>
      <c r="I141" s="437"/>
      <c r="J141" s="437"/>
      <c r="K141" s="437">
        <v>268</v>
      </c>
      <c r="L141" s="437"/>
      <c r="M141" s="437"/>
      <c r="N141" s="437"/>
      <c r="O141" s="437"/>
      <c r="P141" s="439"/>
      <c r="Q141" s="439"/>
      <c r="R141" s="439"/>
      <c r="S141" s="439"/>
      <c r="T141" s="439"/>
      <c r="U141" s="439"/>
      <c r="V141" s="439"/>
      <c r="W141" s="439"/>
      <c r="X141" s="439"/>
      <c r="Y141" s="439">
        <f>IF(NFI_Expiration=1,IF($A141&lt;VLOOKUP(H$5,NFI,5,0),1,0)*Table_NFI[[#This Row],[Hygiene Kit]],Table_NFI[Hygiene Kit])</f>
        <v>0</v>
      </c>
      <c r="Z141" s="439">
        <f>IF(NFI_Expiration=1,IF($A141&lt;VLOOKUP(I$5,NFI,5,0),1,0)*Table_NFI[[#This Row],[NFI Core Kit]],Table_NFI[NFI Core Kit])</f>
        <v>0</v>
      </c>
      <c r="AA141" s="439">
        <f>IF(NFI_Expiration=1,IF($A141&lt;VLOOKUP(J$5,NFI,5,0),1,0)*Table_NFI[[#This Row],[Sanitary Kit]],Table_NFI[Sanitary Kit])</f>
        <v>0</v>
      </c>
      <c r="AB141" s="439">
        <f>IF(NFI_Expiration=1,IF($A141&lt;VLOOKUP(K$5,NFI,5,0),1,0)*Table_NFI[[#This Row],[Mosquito net]],Table_NFI[Mosquito net])</f>
        <v>0</v>
      </c>
      <c r="AC141" s="439">
        <f>IF(NFI_Expiration=1,IF($A141&lt;VLOOKUP(L$5,NFI,5,0),1,0)*Table_NFI[[#This Row],[Tarpaulin]],Table_NFI[[#This Row],[Tarpaulin]])</f>
        <v>0</v>
      </c>
      <c r="AD141" s="439">
        <f>IF(NFI_Expiration=1,IF($A141&lt;VLOOKUP(M$5,NFI,5,0),1,0)*Table_NFI[[#This Row],[Blanket]],Table_NFI[[#This Row],[Blanket]])</f>
        <v>0</v>
      </c>
      <c r="AE141" s="439">
        <f>IF(NFI_Expiration=1,IF($A141&lt;VLOOKUP(N$5,NFI,5,0),1,0)*Table_NFI[[#This Row],[Kitchen Set]],Table_NFI[Kitchen Set])</f>
        <v>0</v>
      </c>
      <c r="AF141" s="439">
        <f>IF(NFI_Expiration=1,IF($A141&lt;VLOOKUP(O$5,NFI,5,0),1,0)*Table_NFI[[#This Row],[Clothes Kit]],Table_NFI[Clothes Kit])</f>
        <v>0</v>
      </c>
      <c r="AG141" s="439">
        <f>IF(NFI_Expiration=1,IF($A141&lt;VLOOKUP(P$5,NFI,5,0),1,0)*Table_NFI[[#This Row],[Plastic Bucket]],Table_NFI[Plastic Bucket])</f>
        <v>0</v>
      </c>
      <c r="AH141" s="439">
        <f>IF(NFI_Expiration=1,IF($A141&lt;VLOOKUP(Q$5,NFI,5,0),1,0)*Table_NFI[[#This Row],[Plastic Mat]],Table_NFI[Plastic Mat])*IF(Table_NFI[[#This Row],[Distribution Date]]&gt;"2014-04-01",1,2.5)</f>
        <v>0</v>
      </c>
      <c r="AI141" s="439">
        <f>IF(NFI_Expiration=1,IF($A141&lt;VLOOKUP(R$5,NFI,5,0),1,0)*Table_NFI[[#This Row],[Winter Clothes Adult]],Table_NFI[Winter Clothes Adult])</f>
        <v>0</v>
      </c>
      <c r="AJ141" s="439">
        <f>IF(NFI_Expiration=1,IF($A141&lt;VLOOKUP(S$5,NFI,5,0),1,0)*Table_NFI[[#This Row],[Winter Clothes Children]],Table_NFI[Winter Clothes Children])</f>
        <v>0</v>
      </c>
      <c r="AK141" s="439">
        <f>IF(NFI_Expiration=1,IF($A141&lt;VLOOKUP(T$5,NFI,5,0),1,0)*Table_NFI[[#This Row],[Winter Items Other]],Table_NFI[Winter Items Other])</f>
        <v>0</v>
      </c>
      <c r="AL141" s="439">
        <f>IF(NFI_Expiration=1,IF($A141&lt;VLOOKUP(M$5,NFI,5,0),1,0)*Table_NFI[[#This Row],[Winter Blanket]],Table_NFI[[#This Row],[Winter Blanket]])</f>
        <v>0</v>
      </c>
      <c r="AM141" s="439">
        <f>IF(Table_NFI[[#This Row],[Winter Clothes Adult]]+Table_NFI[[#This Row],[Winter Clothes Children]]+Table_NFI[[#This Row],[Winter Items Other]]+Table_NFI[[#This Row],[Winter Blanket]]&gt;0,1,0)</f>
        <v>0</v>
      </c>
      <c r="AN141" s="439">
        <f>IF(NFI_Expiration=1,IF($A141&lt;VLOOKUP(V$5,NFI,5,0),1,0)*Table_NFI[[#This Row],[Jerry Can]],Table_NFI[Jerry Can])</f>
        <v>0</v>
      </c>
      <c r="AO141" s="781" t="str">
        <f>IFERROR(VLOOKUP(Table_NFI[[#This Row],[Camp Name]],CL,2,0),"")</f>
        <v>MMR001CMP028</v>
      </c>
      <c r="AP141" s="772">
        <f ca="1">IF(Table_NFI[[#This Row],[Pcode]]="","",IF(OFFSET(CampList[Opening Date],MATCH(Table_NFI[[#This Row],[Pcode]],CampList[CP_Pcode],0)-1,0,1,1)&gt;=NFI_Monitor_Date,1,0))</f>
        <v>0</v>
      </c>
      <c r="AQ141" s="781" t="str">
        <f>IFERROR(VLOOKUP(Table_NFI[[#This Row],[Camp Name]],CL,3,0),"")</f>
        <v>Open</v>
      </c>
      <c r="AR141" s="439" t="str">
        <f ca="1">IF(Table_NFI[[#This Row],[Pcode]]="","",OFFSET(CampList[Priority],MATCH(Table_NFI[[#This Row],[Pcode]],CampList[CP_Pcode],0)-1,0,1,1))</f>
        <v>P4</v>
      </c>
      <c r="AS141" s="438">
        <f>IFERROR(Table_NFI[[#This Row],[Kitchen Set]]/VLOOKUP(Table_NFI[[#This Row],[Camp Name]],CL,4,0),"")</f>
        <v>0</v>
      </c>
      <c r="AT141" s="779"/>
      <c r="AU141" s="782"/>
    </row>
    <row r="142" spans="1:47" s="136" customFormat="1" x14ac:dyDescent="0.25">
      <c r="A142" s="451">
        <f t="shared" si="2"/>
        <v>15.233333333333333</v>
      </c>
      <c r="B142" s="768">
        <v>41913</v>
      </c>
      <c r="C142" s="769" t="s">
        <v>454</v>
      </c>
      <c r="D142" s="779" t="s">
        <v>507</v>
      </c>
      <c r="E142" s="779" t="s">
        <v>380</v>
      </c>
      <c r="F142" s="779" t="s">
        <v>529</v>
      </c>
      <c r="G142" s="779" t="s">
        <v>44</v>
      </c>
      <c r="H142" s="437"/>
      <c r="I142" s="437"/>
      <c r="J142" s="437"/>
      <c r="K142" s="437">
        <v>20</v>
      </c>
      <c r="L142" s="437"/>
      <c r="M142" s="437"/>
      <c r="N142" s="437"/>
      <c r="O142" s="437"/>
      <c r="P142" s="439"/>
      <c r="Q142" s="439"/>
      <c r="R142" s="439"/>
      <c r="S142" s="439"/>
      <c r="T142" s="439"/>
      <c r="U142" s="439"/>
      <c r="V142" s="439"/>
      <c r="W142" s="439"/>
      <c r="X142" s="439"/>
      <c r="Y142" s="439">
        <f>IF(NFI_Expiration=1,IF($A142&lt;VLOOKUP(H$5,NFI,5,0),1,0)*Table_NFI[[#This Row],[Hygiene Kit]],Table_NFI[Hygiene Kit])</f>
        <v>0</v>
      </c>
      <c r="Z142" s="439">
        <f>IF(NFI_Expiration=1,IF($A142&lt;VLOOKUP(I$5,NFI,5,0),1,0)*Table_NFI[[#This Row],[NFI Core Kit]],Table_NFI[NFI Core Kit])</f>
        <v>0</v>
      </c>
      <c r="AA142" s="439">
        <f>IF(NFI_Expiration=1,IF($A142&lt;VLOOKUP(J$5,NFI,5,0),1,0)*Table_NFI[[#This Row],[Sanitary Kit]],Table_NFI[Sanitary Kit])</f>
        <v>0</v>
      </c>
      <c r="AB142" s="439">
        <f>IF(NFI_Expiration=1,IF($A142&lt;VLOOKUP(K$5,NFI,5,0),1,0)*Table_NFI[[#This Row],[Mosquito net]],Table_NFI[Mosquito net])</f>
        <v>0</v>
      </c>
      <c r="AC142" s="439">
        <f>IF(NFI_Expiration=1,IF($A142&lt;VLOOKUP(L$5,NFI,5,0),1,0)*Table_NFI[[#This Row],[Tarpaulin]],Table_NFI[[#This Row],[Tarpaulin]])</f>
        <v>0</v>
      </c>
      <c r="AD142" s="439">
        <f>IF(NFI_Expiration=1,IF($A142&lt;VLOOKUP(M$5,NFI,5,0),1,0)*Table_NFI[[#This Row],[Blanket]],Table_NFI[[#This Row],[Blanket]])</f>
        <v>0</v>
      </c>
      <c r="AE142" s="439">
        <f>IF(NFI_Expiration=1,IF($A142&lt;VLOOKUP(N$5,NFI,5,0),1,0)*Table_NFI[[#This Row],[Kitchen Set]],Table_NFI[Kitchen Set])</f>
        <v>0</v>
      </c>
      <c r="AF142" s="439">
        <f>IF(NFI_Expiration=1,IF($A142&lt;VLOOKUP(O$5,NFI,5,0),1,0)*Table_NFI[[#This Row],[Clothes Kit]],Table_NFI[Clothes Kit])</f>
        <v>0</v>
      </c>
      <c r="AG142" s="439">
        <f>IF(NFI_Expiration=1,IF($A142&lt;VLOOKUP(P$5,NFI,5,0),1,0)*Table_NFI[[#This Row],[Plastic Bucket]],Table_NFI[Plastic Bucket])</f>
        <v>0</v>
      </c>
      <c r="AH142" s="439">
        <f>IF(NFI_Expiration=1,IF($A142&lt;VLOOKUP(Q$5,NFI,5,0),1,0)*Table_NFI[[#This Row],[Plastic Mat]],Table_NFI[Plastic Mat])*IF(Table_NFI[[#This Row],[Distribution Date]]&gt;"2014-04-01",1,2.5)</f>
        <v>0</v>
      </c>
      <c r="AI142" s="439">
        <f>IF(NFI_Expiration=1,IF($A142&lt;VLOOKUP(R$5,NFI,5,0),1,0)*Table_NFI[[#This Row],[Winter Clothes Adult]],Table_NFI[Winter Clothes Adult])</f>
        <v>0</v>
      </c>
      <c r="AJ142" s="439">
        <f>IF(NFI_Expiration=1,IF($A142&lt;VLOOKUP(S$5,NFI,5,0),1,0)*Table_NFI[[#This Row],[Winter Clothes Children]],Table_NFI[Winter Clothes Children])</f>
        <v>0</v>
      </c>
      <c r="AK142" s="439">
        <f>IF(NFI_Expiration=1,IF($A142&lt;VLOOKUP(T$5,NFI,5,0),1,0)*Table_NFI[[#This Row],[Winter Items Other]],Table_NFI[Winter Items Other])</f>
        <v>0</v>
      </c>
      <c r="AL142" s="439">
        <f>IF(NFI_Expiration=1,IF($A142&lt;VLOOKUP(M$5,NFI,5,0),1,0)*Table_NFI[[#This Row],[Winter Blanket]],Table_NFI[[#This Row],[Winter Blanket]])</f>
        <v>0</v>
      </c>
      <c r="AM142" s="439">
        <f>IF(Table_NFI[[#This Row],[Winter Clothes Adult]]+Table_NFI[[#This Row],[Winter Clothes Children]]+Table_NFI[[#This Row],[Winter Items Other]]+Table_NFI[[#This Row],[Winter Blanket]]&gt;0,1,0)</f>
        <v>0</v>
      </c>
      <c r="AN142" s="439">
        <f>IF(NFI_Expiration=1,IF($A142&lt;VLOOKUP(V$5,NFI,5,0),1,0)*Table_NFI[[#This Row],[Jerry Can]],Table_NFI[Jerry Can])</f>
        <v>0</v>
      </c>
      <c r="AO142" s="781" t="str">
        <f>IFERROR(VLOOKUP(Table_NFI[[#This Row],[Camp Name]],CL,2,0),"")</f>
        <v>MMR001CMP191</v>
      </c>
      <c r="AP142" s="772">
        <f ca="1">IF(Table_NFI[[#This Row],[Pcode]]="","",IF(OFFSET(CampList[Opening Date],MATCH(Table_NFI[[#This Row],[Pcode]],CampList[CP_Pcode],0)-1,0,1,1)&gt;=NFI_Monitor_Date,1,0))</f>
        <v>0</v>
      </c>
      <c r="AQ142" s="781" t="str">
        <f>IFERROR(VLOOKUP(Table_NFI[[#This Row],[Camp Name]],CL,3,0),"")</f>
        <v>Open</v>
      </c>
      <c r="AR142" s="439" t="str">
        <f ca="1">IF(Table_NFI[[#This Row],[Pcode]]="","",OFFSET(CampList[Priority],MATCH(Table_NFI[[#This Row],[Pcode]],CampList[CP_Pcode],0)-1,0,1,1))</f>
        <v>P4</v>
      </c>
      <c r="AS142" s="438">
        <f>IFERROR(Table_NFI[[#This Row],[Kitchen Set]]/VLOOKUP(Table_NFI[[#This Row],[Camp Name]],CL,4,0),"")</f>
        <v>0</v>
      </c>
      <c r="AT142" s="779"/>
      <c r="AU142" s="782"/>
    </row>
    <row r="143" spans="1:47" s="136" customFormat="1" x14ac:dyDescent="0.25">
      <c r="A143" s="451">
        <f t="shared" si="2"/>
        <v>15.233333333333333</v>
      </c>
      <c r="B143" s="768">
        <v>41913</v>
      </c>
      <c r="C143" s="769" t="s">
        <v>454</v>
      </c>
      <c r="D143" s="779" t="s">
        <v>508</v>
      </c>
      <c r="E143" s="779" t="s">
        <v>380</v>
      </c>
      <c r="F143" s="779" t="s">
        <v>237</v>
      </c>
      <c r="G143" s="779" t="s">
        <v>255</v>
      </c>
      <c r="H143" s="437"/>
      <c r="I143" s="437"/>
      <c r="J143" s="437"/>
      <c r="K143" s="437">
        <v>218</v>
      </c>
      <c r="L143" s="437"/>
      <c r="M143" s="437"/>
      <c r="N143" s="437"/>
      <c r="O143" s="437"/>
      <c r="P143" s="439"/>
      <c r="Q143" s="439"/>
      <c r="R143" s="439"/>
      <c r="S143" s="439"/>
      <c r="T143" s="439"/>
      <c r="U143" s="439"/>
      <c r="V143" s="439"/>
      <c r="W143" s="439"/>
      <c r="X143" s="439"/>
      <c r="Y143" s="439">
        <f>IF(NFI_Expiration=1,IF($A143&lt;VLOOKUP(H$5,NFI,5,0),1,0)*Table_NFI[[#This Row],[Hygiene Kit]],Table_NFI[Hygiene Kit])</f>
        <v>0</v>
      </c>
      <c r="Z143" s="439">
        <f>IF(NFI_Expiration=1,IF($A143&lt;VLOOKUP(I$5,NFI,5,0),1,0)*Table_NFI[[#This Row],[NFI Core Kit]],Table_NFI[NFI Core Kit])</f>
        <v>0</v>
      </c>
      <c r="AA143" s="439">
        <f>IF(NFI_Expiration=1,IF($A143&lt;VLOOKUP(J$5,NFI,5,0),1,0)*Table_NFI[[#This Row],[Sanitary Kit]],Table_NFI[Sanitary Kit])</f>
        <v>0</v>
      </c>
      <c r="AB143" s="439">
        <f>IF(NFI_Expiration=1,IF($A143&lt;VLOOKUP(K$5,NFI,5,0),1,0)*Table_NFI[[#This Row],[Mosquito net]],Table_NFI[Mosquito net])</f>
        <v>0</v>
      </c>
      <c r="AC143" s="439">
        <f>IF(NFI_Expiration=1,IF($A143&lt;VLOOKUP(L$5,NFI,5,0),1,0)*Table_NFI[[#This Row],[Tarpaulin]],Table_NFI[[#This Row],[Tarpaulin]])</f>
        <v>0</v>
      </c>
      <c r="AD143" s="439">
        <f>IF(NFI_Expiration=1,IF($A143&lt;VLOOKUP(M$5,NFI,5,0),1,0)*Table_NFI[[#This Row],[Blanket]],Table_NFI[[#This Row],[Blanket]])</f>
        <v>0</v>
      </c>
      <c r="AE143" s="439">
        <f>IF(NFI_Expiration=1,IF($A143&lt;VLOOKUP(N$5,NFI,5,0),1,0)*Table_NFI[[#This Row],[Kitchen Set]],Table_NFI[Kitchen Set])</f>
        <v>0</v>
      </c>
      <c r="AF143" s="439">
        <f>IF(NFI_Expiration=1,IF($A143&lt;VLOOKUP(O$5,NFI,5,0),1,0)*Table_NFI[[#This Row],[Clothes Kit]],Table_NFI[Clothes Kit])</f>
        <v>0</v>
      </c>
      <c r="AG143" s="439">
        <f>IF(NFI_Expiration=1,IF($A143&lt;VLOOKUP(P$5,NFI,5,0),1,0)*Table_NFI[[#This Row],[Plastic Bucket]],Table_NFI[Plastic Bucket])</f>
        <v>0</v>
      </c>
      <c r="AH143" s="439">
        <f>IF(NFI_Expiration=1,IF($A143&lt;VLOOKUP(Q$5,NFI,5,0),1,0)*Table_NFI[[#This Row],[Plastic Mat]],Table_NFI[Plastic Mat])*IF(Table_NFI[[#This Row],[Distribution Date]]&gt;"2014-04-01",1,2.5)</f>
        <v>0</v>
      </c>
      <c r="AI143" s="439">
        <f>IF(NFI_Expiration=1,IF($A143&lt;VLOOKUP(R$5,NFI,5,0),1,0)*Table_NFI[[#This Row],[Winter Clothes Adult]],Table_NFI[Winter Clothes Adult])</f>
        <v>0</v>
      </c>
      <c r="AJ143" s="439">
        <f>IF(NFI_Expiration=1,IF($A143&lt;VLOOKUP(S$5,NFI,5,0),1,0)*Table_NFI[[#This Row],[Winter Clothes Children]],Table_NFI[Winter Clothes Children])</f>
        <v>0</v>
      </c>
      <c r="AK143" s="439">
        <f>IF(NFI_Expiration=1,IF($A143&lt;VLOOKUP(T$5,NFI,5,0),1,0)*Table_NFI[[#This Row],[Winter Items Other]],Table_NFI[Winter Items Other])</f>
        <v>0</v>
      </c>
      <c r="AL143" s="439">
        <f>IF(NFI_Expiration=1,IF($A143&lt;VLOOKUP(M$5,NFI,5,0),1,0)*Table_NFI[[#This Row],[Winter Blanket]],Table_NFI[[#This Row],[Winter Blanket]])</f>
        <v>0</v>
      </c>
      <c r="AM143" s="439">
        <f>IF(Table_NFI[[#This Row],[Winter Clothes Adult]]+Table_NFI[[#This Row],[Winter Clothes Children]]+Table_NFI[[#This Row],[Winter Items Other]]+Table_NFI[[#This Row],[Winter Blanket]]&gt;0,1,0)</f>
        <v>0</v>
      </c>
      <c r="AN143" s="439">
        <f>IF(NFI_Expiration=1,IF($A143&lt;VLOOKUP(V$5,NFI,5,0),1,0)*Table_NFI[[#This Row],[Jerry Can]],Table_NFI[Jerry Can])</f>
        <v>0</v>
      </c>
      <c r="AO143" s="781" t="str">
        <f>IFERROR(VLOOKUP(Table_NFI[[#This Row],[Camp Name]],CL,2,0),"")</f>
        <v>MMR001CMP019</v>
      </c>
      <c r="AP143" s="772">
        <f ca="1">IF(Table_NFI[[#This Row],[Pcode]]="","",IF(OFFSET(CampList[Opening Date],MATCH(Table_NFI[[#This Row],[Pcode]],CampList[CP_Pcode],0)-1,0,1,1)&gt;=NFI_Monitor_Date,1,0))</f>
        <v>0</v>
      </c>
      <c r="AQ143" s="781" t="str">
        <f>IFERROR(VLOOKUP(Table_NFI[[#This Row],[Camp Name]],CL,3,0),"")</f>
        <v>Open</v>
      </c>
      <c r="AR143" s="439" t="str">
        <f ca="1">IF(Table_NFI[[#This Row],[Pcode]]="","",OFFSET(CampList[Priority],MATCH(Table_NFI[[#This Row],[Pcode]],CampList[CP_Pcode],0)-1,0,1,1))</f>
        <v>P4</v>
      </c>
      <c r="AS143" s="438">
        <f>IFERROR(Table_NFI[[#This Row],[Kitchen Set]]/VLOOKUP(Table_NFI[[#This Row],[Camp Name]],CL,4,0),"")</f>
        <v>0</v>
      </c>
      <c r="AT143" s="779"/>
      <c r="AU143" s="782"/>
    </row>
    <row r="144" spans="1:47" s="136" customFormat="1" x14ac:dyDescent="0.25">
      <c r="A144" s="451">
        <f t="shared" si="2"/>
        <v>15.233333333333333</v>
      </c>
      <c r="B144" s="768">
        <v>41913</v>
      </c>
      <c r="C144" s="769" t="s">
        <v>454</v>
      </c>
      <c r="D144" s="779" t="s">
        <v>507</v>
      </c>
      <c r="E144" s="779" t="s">
        <v>380</v>
      </c>
      <c r="F144" s="779" t="s">
        <v>27</v>
      </c>
      <c r="G144" s="779" t="s">
        <v>365</v>
      </c>
      <c r="H144" s="437"/>
      <c r="I144" s="437"/>
      <c r="J144" s="437"/>
      <c r="K144" s="437">
        <v>278</v>
      </c>
      <c r="L144" s="437"/>
      <c r="M144" s="437"/>
      <c r="N144" s="437"/>
      <c r="O144" s="437"/>
      <c r="P144" s="439"/>
      <c r="Q144" s="439"/>
      <c r="R144" s="439"/>
      <c r="S144" s="439"/>
      <c r="T144" s="439"/>
      <c r="U144" s="439">
        <v>278</v>
      </c>
      <c r="V144" s="439"/>
      <c r="W144" s="439"/>
      <c r="X144" s="439"/>
      <c r="Y144" s="439">
        <f>IF(NFI_Expiration=1,IF($A144&lt;VLOOKUP(H$5,NFI,5,0),1,0)*Table_NFI[[#This Row],[Hygiene Kit]],Table_NFI[Hygiene Kit])</f>
        <v>0</v>
      </c>
      <c r="Z144" s="439">
        <f>IF(NFI_Expiration=1,IF($A144&lt;VLOOKUP(I$5,NFI,5,0),1,0)*Table_NFI[[#This Row],[NFI Core Kit]],Table_NFI[NFI Core Kit])</f>
        <v>0</v>
      </c>
      <c r="AA144" s="439">
        <f>IF(NFI_Expiration=1,IF($A144&lt;VLOOKUP(J$5,NFI,5,0),1,0)*Table_NFI[[#This Row],[Sanitary Kit]],Table_NFI[Sanitary Kit])</f>
        <v>0</v>
      </c>
      <c r="AB144" s="439">
        <f>IF(NFI_Expiration=1,IF($A144&lt;VLOOKUP(K$5,NFI,5,0),1,0)*Table_NFI[[#This Row],[Mosquito net]],Table_NFI[Mosquito net])</f>
        <v>0</v>
      </c>
      <c r="AC144" s="439">
        <f>IF(NFI_Expiration=1,IF($A144&lt;VLOOKUP(L$5,NFI,5,0),1,0)*Table_NFI[[#This Row],[Tarpaulin]],Table_NFI[[#This Row],[Tarpaulin]])</f>
        <v>0</v>
      </c>
      <c r="AD144" s="439">
        <f>IF(NFI_Expiration=1,IF($A144&lt;VLOOKUP(M$5,NFI,5,0),1,0)*Table_NFI[[#This Row],[Blanket]],Table_NFI[[#This Row],[Blanket]])</f>
        <v>0</v>
      </c>
      <c r="AE144" s="439">
        <f>IF(NFI_Expiration=1,IF($A144&lt;VLOOKUP(N$5,NFI,5,0),1,0)*Table_NFI[[#This Row],[Kitchen Set]],Table_NFI[Kitchen Set])</f>
        <v>0</v>
      </c>
      <c r="AF144" s="439">
        <f>IF(NFI_Expiration=1,IF($A144&lt;VLOOKUP(O$5,NFI,5,0),1,0)*Table_NFI[[#This Row],[Clothes Kit]],Table_NFI[Clothes Kit])</f>
        <v>0</v>
      </c>
      <c r="AG144" s="439">
        <f>IF(NFI_Expiration=1,IF($A144&lt;VLOOKUP(P$5,NFI,5,0),1,0)*Table_NFI[[#This Row],[Plastic Bucket]],Table_NFI[Plastic Bucket])</f>
        <v>0</v>
      </c>
      <c r="AH144" s="439">
        <f>IF(NFI_Expiration=1,IF($A144&lt;VLOOKUP(Q$5,NFI,5,0),1,0)*Table_NFI[[#This Row],[Plastic Mat]],Table_NFI[Plastic Mat])*IF(Table_NFI[[#This Row],[Distribution Date]]&gt;"2014-04-01",1,2.5)</f>
        <v>0</v>
      </c>
      <c r="AI144" s="439">
        <f>IF(NFI_Expiration=1,IF($A144&lt;VLOOKUP(R$5,NFI,5,0),1,0)*Table_NFI[[#This Row],[Winter Clothes Adult]],Table_NFI[Winter Clothes Adult])</f>
        <v>0</v>
      </c>
      <c r="AJ144" s="439">
        <f>IF(NFI_Expiration=1,IF($A144&lt;VLOOKUP(S$5,NFI,5,0),1,0)*Table_NFI[[#This Row],[Winter Clothes Children]],Table_NFI[Winter Clothes Children])</f>
        <v>0</v>
      </c>
      <c r="AK144" s="439">
        <f>IF(NFI_Expiration=1,IF($A144&lt;VLOOKUP(T$5,NFI,5,0),1,0)*Table_NFI[[#This Row],[Winter Items Other]],Table_NFI[Winter Items Other])</f>
        <v>0</v>
      </c>
      <c r="AL144" s="439">
        <f>IF(NFI_Expiration=1,IF($A144&lt;VLOOKUP(M$5,NFI,5,0),1,0)*Table_NFI[[#This Row],[Winter Blanket]],Table_NFI[[#This Row],[Winter Blanket]])</f>
        <v>0</v>
      </c>
      <c r="AM144" s="439">
        <f>IF(Table_NFI[[#This Row],[Winter Clothes Adult]]+Table_NFI[[#This Row],[Winter Clothes Children]]+Table_NFI[[#This Row],[Winter Items Other]]+Table_NFI[[#This Row],[Winter Blanket]]&gt;0,1,0)</f>
        <v>1</v>
      </c>
      <c r="AN144" s="439">
        <f>IF(NFI_Expiration=1,IF($A144&lt;VLOOKUP(V$5,NFI,5,0),1,0)*Table_NFI[[#This Row],[Jerry Can]],Table_NFI[Jerry Can])</f>
        <v>0</v>
      </c>
      <c r="AO144" s="781" t="str">
        <f>IFERROR(VLOOKUP(Table_NFI[[#This Row],[Camp Name]],CL,2,0),"")</f>
        <v>MMR001CMP195</v>
      </c>
      <c r="AP144" s="772">
        <f ca="1">IF(Table_NFI[[#This Row],[Pcode]]="","",IF(OFFSET(CampList[Opening Date],MATCH(Table_NFI[[#This Row],[Pcode]],CampList[CP_Pcode],0)-1,0,1,1)&gt;=NFI_Monitor_Date,1,0))</f>
        <v>0</v>
      </c>
      <c r="AQ144" s="781" t="str">
        <f>IFERROR(VLOOKUP(Table_NFI[[#This Row],[Camp Name]],CL,3,0),"")</f>
        <v>Open</v>
      </c>
      <c r="AR144" s="439" t="str">
        <f ca="1">IF(Table_NFI[[#This Row],[Pcode]]="","",OFFSET(CampList[Priority],MATCH(Table_NFI[[#This Row],[Pcode]],CampList[CP_Pcode],0)-1,0,1,1))</f>
        <v>P1</v>
      </c>
      <c r="AS144" s="438">
        <f>IFERROR(Table_NFI[[#This Row],[Kitchen Set]]/VLOOKUP(Table_NFI[[#This Row],[Camp Name]],CL,4,0),"")</f>
        <v>0</v>
      </c>
      <c r="AT144" s="779"/>
      <c r="AU144" s="782"/>
    </row>
    <row r="145" spans="1:47" s="136" customFormat="1" x14ac:dyDescent="0.25">
      <c r="A145" s="451">
        <f t="shared" si="2"/>
        <v>15.233333333333333</v>
      </c>
      <c r="B145" s="768">
        <v>41913</v>
      </c>
      <c r="C145" s="769" t="s">
        <v>454</v>
      </c>
      <c r="D145" s="779" t="s">
        <v>507</v>
      </c>
      <c r="E145" s="779" t="s">
        <v>380</v>
      </c>
      <c r="F145" s="779" t="s">
        <v>529</v>
      </c>
      <c r="G145" s="779" t="s">
        <v>90</v>
      </c>
      <c r="H145" s="437"/>
      <c r="I145" s="437"/>
      <c r="J145" s="437"/>
      <c r="K145" s="437">
        <v>40</v>
      </c>
      <c r="L145" s="437"/>
      <c r="M145" s="437"/>
      <c r="N145" s="437"/>
      <c r="O145" s="437"/>
      <c r="P145" s="439"/>
      <c r="Q145" s="439"/>
      <c r="R145" s="439"/>
      <c r="S145" s="439"/>
      <c r="T145" s="439"/>
      <c r="U145" s="439"/>
      <c r="V145" s="439"/>
      <c r="W145" s="439"/>
      <c r="X145" s="439"/>
      <c r="Y145" s="439">
        <f>IF(NFI_Expiration=1,IF($A145&lt;VLOOKUP(H$5,NFI,5,0),1,0)*Table_NFI[[#This Row],[Hygiene Kit]],Table_NFI[Hygiene Kit])</f>
        <v>0</v>
      </c>
      <c r="Z145" s="439">
        <f>IF(NFI_Expiration=1,IF($A145&lt;VLOOKUP(I$5,NFI,5,0),1,0)*Table_NFI[[#This Row],[NFI Core Kit]],Table_NFI[NFI Core Kit])</f>
        <v>0</v>
      </c>
      <c r="AA145" s="439">
        <f>IF(NFI_Expiration=1,IF($A145&lt;VLOOKUP(J$5,NFI,5,0),1,0)*Table_NFI[[#This Row],[Sanitary Kit]],Table_NFI[Sanitary Kit])</f>
        <v>0</v>
      </c>
      <c r="AB145" s="439">
        <f>IF(NFI_Expiration=1,IF($A145&lt;VLOOKUP(K$5,NFI,5,0),1,0)*Table_NFI[[#This Row],[Mosquito net]],Table_NFI[Mosquito net])</f>
        <v>0</v>
      </c>
      <c r="AC145" s="439">
        <f>IF(NFI_Expiration=1,IF($A145&lt;VLOOKUP(L$5,NFI,5,0),1,0)*Table_NFI[[#This Row],[Tarpaulin]],Table_NFI[[#This Row],[Tarpaulin]])</f>
        <v>0</v>
      </c>
      <c r="AD145" s="439">
        <f>IF(NFI_Expiration=1,IF($A145&lt;VLOOKUP(M$5,NFI,5,0),1,0)*Table_NFI[[#This Row],[Blanket]],Table_NFI[[#This Row],[Blanket]])</f>
        <v>0</v>
      </c>
      <c r="AE145" s="439">
        <f>IF(NFI_Expiration=1,IF($A145&lt;VLOOKUP(N$5,NFI,5,0),1,0)*Table_NFI[[#This Row],[Kitchen Set]],Table_NFI[Kitchen Set])</f>
        <v>0</v>
      </c>
      <c r="AF145" s="439">
        <f>IF(NFI_Expiration=1,IF($A145&lt;VLOOKUP(O$5,NFI,5,0),1,0)*Table_NFI[[#This Row],[Clothes Kit]],Table_NFI[Clothes Kit])</f>
        <v>0</v>
      </c>
      <c r="AG145" s="439">
        <f>IF(NFI_Expiration=1,IF($A145&lt;VLOOKUP(P$5,NFI,5,0),1,0)*Table_NFI[[#This Row],[Plastic Bucket]],Table_NFI[Plastic Bucket])</f>
        <v>0</v>
      </c>
      <c r="AH145" s="439">
        <f>IF(NFI_Expiration=1,IF($A145&lt;VLOOKUP(Q$5,NFI,5,0),1,0)*Table_NFI[[#This Row],[Plastic Mat]],Table_NFI[Plastic Mat])*IF(Table_NFI[[#This Row],[Distribution Date]]&gt;"2014-04-01",1,2.5)</f>
        <v>0</v>
      </c>
      <c r="AI145" s="439">
        <f>IF(NFI_Expiration=1,IF($A145&lt;VLOOKUP(R$5,NFI,5,0),1,0)*Table_NFI[[#This Row],[Winter Clothes Adult]],Table_NFI[Winter Clothes Adult])</f>
        <v>0</v>
      </c>
      <c r="AJ145" s="439">
        <f>IF(NFI_Expiration=1,IF($A145&lt;VLOOKUP(S$5,NFI,5,0),1,0)*Table_NFI[[#This Row],[Winter Clothes Children]],Table_NFI[Winter Clothes Children])</f>
        <v>0</v>
      </c>
      <c r="AK145" s="439">
        <f>IF(NFI_Expiration=1,IF($A145&lt;VLOOKUP(T$5,NFI,5,0),1,0)*Table_NFI[[#This Row],[Winter Items Other]],Table_NFI[Winter Items Other])</f>
        <v>0</v>
      </c>
      <c r="AL145" s="439">
        <f>IF(NFI_Expiration=1,IF($A145&lt;VLOOKUP(M$5,NFI,5,0),1,0)*Table_NFI[[#This Row],[Winter Blanket]],Table_NFI[[#This Row],[Winter Blanket]])</f>
        <v>0</v>
      </c>
      <c r="AM145" s="439">
        <f>IF(Table_NFI[[#This Row],[Winter Clothes Adult]]+Table_NFI[[#This Row],[Winter Clothes Children]]+Table_NFI[[#This Row],[Winter Items Other]]+Table_NFI[[#This Row],[Winter Blanket]]&gt;0,1,0)</f>
        <v>0</v>
      </c>
      <c r="AN145" s="439">
        <f>IF(NFI_Expiration=1,IF($A145&lt;VLOOKUP(V$5,NFI,5,0),1,0)*Table_NFI[[#This Row],[Jerry Can]],Table_NFI[Jerry Can])</f>
        <v>0</v>
      </c>
      <c r="AO145" s="781" t="str">
        <f>IFERROR(VLOOKUP(Table_NFI[[#This Row],[Camp Name]],CL,2,0),"")</f>
        <v>MMR001CMP181</v>
      </c>
      <c r="AP145" s="772">
        <f ca="1">IF(Table_NFI[[#This Row],[Pcode]]="","",IF(OFFSET(CampList[Opening Date],MATCH(Table_NFI[[#This Row],[Pcode]],CampList[CP_Pcode],0)-1,0,1,1)&gt;=NFI_Monitor_Date,1,0))</f>
        <v>0</v>
      </c>
      <c r="AQ145" s="781" t="str">
        <f>IFERROR(VLOOKUP(Table_NFI[[#This Row],[Camp Name]],CL,3,0),"")</f>
        <v>Open</v>
      </c>
      <c r="AR145" s="439" t="str">
        <f ca="1">IF(Table_NFI[[#This Row],[Pcode]]="","",OFFSET(CampList[Priority],MATCH(Table_NFI[[#This Row],[Pcode]],CampList[CP_Pcode],0)-1,0,1,1))</f>
        <v>P4</v>
      </c>
      <c r="AS145" s="438">
        <f>IFERROR(Table_NFI[[#This Row],[Kitchen Set]]/VLOOKUP(Table_NFI[[#This Row],[Camp Name]],CL,4,0),"")</f>
        <v>0</v>
      </c>
      <c r="AT145" s="779"/>
      <c r="AU145" s="782"/>
    </row>
    <row r="146" spans="1:47" s="136" customFormat="1" x14ac:dyDescent="0.25">
      <c r="A146" s="451">
        <f t="shared" si="2"/>
        <v>15.233333333333333</v>
      </c>
      <c r="B146" s="768">
        <v>41913</v>
      </c>
      <c r="C146" s="769" t="s">
        <v>454</v>
      </c>
      <c r="D146" s="779" t="s">
        <v>507</v>
      </c>
      <c r="E146" s="779" t="s">
        <v>380</v>
      </c>
      <c r="F146" s="779" t="s">
        <v>529</v>
      </c>
      <c r="G146" s="779" t="s">
        <v>92</v>
      </c>
      <c r="H146" s="437"/>
      <c r="I146" s="437"/>
      <c r="J146" s="437"/>
      <c r="K146" s="437">
        <v>16</v>
      </c>
      <c r="L146" s="437"/>
      <c r="M146" s="437"/>
      <c r="N146" s="437"/>
      <c r="O146" s="437"/>
      <c r="P146" s="439"/>
      <c r="Q146" s="439"/>
      <c r="R146" s="439"/>
      <c r="S146" s="439"/>
      <c r="T146" s="439"/>
      <c r="U146" s="439"/>
      <c r="V146" s="439"/>
      <c r="W146" s="439"/>
      <c r="X146" s="439"/>
      <c r="Y146" s="439">
        <f>IF(NFI_Expiration=1,IF($A146&lt;VLOOKUP(H$5,NFI,5,0),1,0)*Table_NFI[[#This Row],[Hygiene Kit]],Table_NFI[Hygiene Kit])</f>
        <v>0</v>
      </c>
      <c r="Z146" s="439">
        <f>IF(NFI_Expiration=1,IF($A146&lt;VLOOKUP(I$5,NFI,5,0),1,0)*Table_NFI[[#This Row],[NFI Core Kit]],Table_NFI[NFI Core Kit])</f>
        <v>0</v>
      </c>
      <c r="AA146" s="439">
        <f>IF(NFI_Expiration=1,IF($A146&lt;VLOOKUP(J$5,NFI,5,0),1,0)*Table_NFI[[#This Row],[Sanitary Kit]],Table_NFI[Sanitary Kit])</f>
        <v>0</v>
      </c>
      <c r="AB146" s="439">
        <f>IF(NFI_Expiration=1,IF($A146&lt;VLOOKUP(K$5,NFI,5,0),1,0)*Table_NFI[[#This Row],[Mosquito net]],Table_NFI[Mosquito net])</f>
        <v>0</v>
      </c>
      <c r="AC146" s="439">
        <f>IF(NFI_Expiration=1,IF($A146&lt;VLOOKUP(L$5,NFI,5,0),1,0)*Table_NFI[[#This Row],[Tarpaulin]],Table_NFI[[#This Row],[Tarpaulin]])</f>
        <v>0</v>
      </c>
      <c r="AD146" s="439">
        <f>IF(NFI_Expiration=1,IF($A146&lt;VLOOKUP(M$5,NFI,5,0),1,0)*Table_NFI[[#This Row],[Blanket]],Table_NFI[[#This Row],[Blanket]])</f>
        <v>0</v>
      </c>
      <c r="AE146" s="439">
        <f>IF(NFI_Expiration=1,IF($A146&lt;VLOOKUP(N$5,NFI,5,0),1,0)*Table_NFI[[#This Row],[Kitchen Set]],Table_NFI[Kitchen Set])</f>
        <v>0</v>
      </c>
      <c r="AF146" s="439">
        <f>IF(NFI_Expiration=1,IF($A146&lt;VLOOKUP(O$5,NFI,5,0),1,0)*Table_NFI[[#This Row],[Clothes Kit]],Table_NFI[Clothes Kit])</f>
        <v>0</v>
      </c>
      <c r="AG146" s="439">
        <f>IF(NFI_Expiration=1,IF($A146&lt;VLOOKUP(P$5,NFI,5,0),1,0)*Table_NFI[[#This Row],[Plastic Bucket]],Table_NFI[Plastic Bucket])</f>
        <v>0</v>
      </c>
      <c r="AH146" s="439">
        <f>IF(NFI_Expiration=1,IF($A146&lt;VLOOKUP(Q$5,NFI,5,0),1,0)*Table_NFI[[#This Row],[Plastic Mat]],Table_NFI[Plastic Mat])*IF(Table_NFI[[#This Row],[Distribution Date]]&gt;"2014-04-01",1,2.5)</f>
        <v>0</v>
      </c>
      <c r="AI146" s="439">
        <f>IF(NFI_Expiration=1,IF($A146&lt;VLOOKUP(R$5,NFI,5,0),1,0)*Table_NFI[[#This Row],[Winter Clothes Adult]],Table_NFI[Winter Clothes Adult])</f>
        <v>0</v>
      </c>
      <c r="AJ146" s="439">
        <f>IF(NFI_Expiration=1,IF($A146&lt;VLOOKUP(S$5,NFI,5,0),1,0)*Table_NFI[[#This Row],[Winter Clothes Children]],Table_NFI[Winter Clothes Children])</f>
        <v>0</v>
      </c>
      <c r="AK146" s="439">
        <f>IF(NFI_Expiration=1,IF($A146&lt;VLOOKUP(T$5,NFI,5,0),1,0)*Table_NFI[[#This Row],[Winter Items Other]],Table_NFI[Winter Items Other])</f>
        <v>0</v>
      </c>
      <c r="AL146" s="439">
        <f>IF(NFI_Expiration=1,IF($A146&lt;VLOOKUP(M$5,NFI,5,0),1,0)*Table_NFI[[#This Row],[Winter Blanket]],Table_NFI[[#This Row],[Winter Blanket]])</f>
        <v>0</v>
      </c>
      <c r="AM146" s="439">
        <f>IF(Table_NFI[[#This Row],[Winter Clothes Adult]]+Table_NFI[[#This Row],[Winter Clothes Children]]+Table_NFI[[#This Row],[Winter Items Other]]+Table_NFI[[#This Row],[Winter Blanket]]&gt;0,1,0)</f>
        <v>0</v>
      </c>
      <c r="AN146" s="439">
        <f>IF(NFI_Expiration=1,IF($A146&lt;VLOOKUP(V$5,NFI,5,0),1,0)*Table_NFI[[#This Row],[Jerry Can]],Table_NFI[Jerry Can])</f>
        <v>0</v>
      </c>
      <c r="AO146" s="781" t="str">
        <f>IFERROR(VLOOKUP(Table_NFI[[#This Row],[Camp Name]],CL,2,0),"")</f>
        <v>MMR001CMP167</v>
      </c>
      <c r="AP146" s="772">
        <f ca="1">IF(Table_NFI[[#This Row],[Pcode]]="","",IF(OFFSET(CampList[Opening Date],MATCH(Table_NFI[[#This Row],[Pcode]],CampList[CP_Pcode],0)-1,0,1,1)&gt;=NFI_Monitor_Date,1,0))</f>
        <v>0</v>
      </c>
      <c r="AQ146" s="781" t="str">
        <f>IFERROR(VLOOKUP(Table_NFI[[#This Row],[Camp Name]],CL,3,0),"")</f>
        <v>Open</v>
      </c>
      <c r="AR146" s="439" t="str">
        <f ca="1">IF(Table_NFI[[#This Row],[Pcode]]="","",OFFSET(CampList[Priority],MATCH(Table_NFI[[#This Row],[Pcode]],CampList[CP_Pcode],0)-1,0,1,1))</f>
        <v>P4</v>
      </c>
      <c r="AS146" s="438">
        <f>IFERROR(Table_NFI[[#This Row],[Kitchen Set]]/VLOOKUP(Table_NFI[[#This Row],[Camp Name]],CL,4,0),"")</f>
        <v>0</v>
      </c>
      <c r="AT146" s="779"/>
      <c r="AU146" s="782"/>
    </row>
    <row r="147" spans="1:47" s="136" customFormat="1" x14ac:dyDescent="0.25">
      <c r="A147" s="451">
        <f t="shared" si="2"/>
        <v>15.233333333333333</v>
      </c>
      <c r="B147" s="768">
        <v>41913</v>
      </c>
      <c r="C147" s="769" t="s">
        <v>454</v>
      </c>
      <c r="D147" s="779" t="s">
        <v>508</v>
      </c>
      <c r="E147" s="779" t="s">
        <v>380</v>
      </c>
      <c r="F147" s="779" t="s">
        <v>310</v>
      </c>
      <c r="G147" s="779" t="s">
        <v>322</v>
      </c>
      <c r="H147" s="437"/>
      <c r="I147" s="437"/>
      <c r="J147" s="437"/>
      <c r="K147" s="437">
        <v>1248</v>
      </c>
      <c r="L147" s="437"/>
      <c r="M147" s="437"/>
      <c r="N147" s="437"/>
      <c r="O147" s="437"/>
      <c r="P147" s="439"/>
      <c r="Q147" s="439"/>
      <c r="R147" s="439"/>
      <c r="S147" s="439"/>
      <c r="T147" s="439"/>
      <c r="U147" s="437">
        <v>1248</v>
      </c>
      <c r="V147" s="437"/>
      <c r="W147" s="437"/>
      <c r="X147" s="437"/>
      <c r="Y147" s="439">
        <f>IF(NFI_Expiration=1,IF($A147&lt;VLOOKUP(H$5,NFI,5,0),1,0)*Table_NFI[[#This Row],[Hygiene Kit]],Table_NFI[Hygiene Kit])</f>
        <v>0</v>
      </c>
      <c r="Z147" s="439">
        <f>IF(NFI_Expiration=1,IF($A147&lt;VLOOKUP(I$5,NFI,5,0),1,0)*Table_NFI[[#This Row],[NFI Core Kit]],Table_NFI[NFI Core Kit])</f>
        <v>0</v>
      </c>
      <c r="AA147" s="439">
        <f>IF(NFI_Expiration=1,IF($A147&lt;VLOOKUP(J$5,NFI,5,0),1,0)*Table_NFI[[#This Row],[Sanitary Kit]],Table_NFI[Sanitary Kit])</f>
        <v>0</v>
      </c>
      <c r="AB147" s="439">
        <f>IF(NFI_Expiration=1,IF($A147&lt;VLOOKUP(K$5,NFI,5,0),1,0)*Table_NFI[[#This Row],[Mosquito net]],Table_NFI[Mosquito net])</f>
        <v>0</v>
      </c>
      <c r="AC147" s="439">
        <f>IF(NFI_Expiration=1,IF($A147&lt;VLOOKUP(L$5,NFI,5,0),1,0)*Table_NFI[[#This Row],[Tarpaulin]],Table_NFI[[#This Row],[Tarpaulin]])</f>
        <v>0</v>
      </c>
      <c r="AD147" s="439">
        <f>IF(NFI_Expiration=1,IF($A147&lt;VLOOKUP(M$5,NFI,5,0),1,0)*Table_NFI[[#This Row],[Blanket]],Table_NFI[[#This Row],[Blanket]])</f>
        <v>0</v>
      </c>
      <c r="AE147" s="439">
        <f>IF(NFI_Expiration=1,IF($A147&lt;VLOOKUP(N$5,NFI,5,0),1,0)*Table_NFI[[#This Row],[Kitchen Set]],Table_NFI[Kitchen Set])</f>
        <v>0</v>
      </c>
      <c r="AF147" s="439">
        <f>IF(NFI_Expiration=1,IF($A147&lt;VLOOKUP(O$5,NFI,5,0),1,0)*Table_NFI[[#This Row],[Clothes Kit]],Table_NFI[Clothes Kit])</f>
        <v>0</v>
      </c>
      <c r="AG147" s="439">
        <f>IF(NFI_Expiration=1,IF($A147&lt;VLOOKUP(P$5,NFI,5,0),1,0)*Table_NFI[[#This Row],[Plastic Bucket]],Table_NFI[Plastic Bucket])</f>
        <v>0</v>
      </c>
      <c r="AH147" s="439">
        <f>IF(NFI_Expiration=1,IF($A147&lt;VLOOKUP(Q$5,NFI,5,0),1,0)*Table_NFI[[#This Row],[Plastic Mat]],Table_NFI[Plastic Mat])*IF(Table_NFI[[#This Row],[Distribution Date]]&gt;"2014-04-01",1,2.5)</f>
        <v>0</v>
      </c>
      <c r="AI147" s="439">
        <f>IF(NFI_Expiration=1,IF($A147&lt;VLOOKUP(R$5,NFI,5,0),1,0)*Table_NFI[[#This Row],[Winter Clothes Adult]],Table_NFI[Winter Clothes Adult])</f>
        <v>0</v>
      </c>
      <c r="AJ147" s="439">
        <f>IF(NFI_Expiration=1,IF($A147&lt;VLOOKUP(S$5,NFI,5,0),1,0)*Table_NFI[[#This Row],[Winter Clothes Children]],Table_NFI[Winter Clothes Children])</f>
        <v>0</v>
      </c>
      <c r="AK147" s="439">
        <f>IF(NFI_Expiration=1,IF($A147&lt;VLOOKUP(T$5,NFI,5,0),1,0)*Table_NFI[[#This Row],[Winter Items Other]],Table_NFI[Winter Items Other])</f>
        <v>0</v>
      </c>
      <c r="AL147" s="439">
        <f>IF(NFI_Expiration=1,IF($A147&lt;VLOOKUP(M$5,NFI,5,0),1,0)*Table_NFI[[#This Row],[Winter Blanket]],Table_NFI[[#This Row],[Winter Blanket]])</f>
        <v>0</v>
      </c>
      <c r="AM147" s="439">
        <f>IF(Table_NFI[[#This Row],[Winter Clothes Adult]]+Table_NFI[[#This Row],[Winter Clothes Children]]+Table_NFI[[#This Row],[Winter Items Other]]+Table_NFI[[#This Row],[Winter Blanket]]&gt;0,1,0)</f>
        <v>1</v>
      </c>
      <c r="AN147" s="439">
        <f>IF(NFI_Expiration=1,IF($A147&lt;VLOOKUP(V$5,NFI,5,0),1,0)*Table_NFI[[#This Row],[Jerry Can]],Table_NFI[Jerry Can])</f>
        <v>0</v>
      </c>
      <c r="AO147" s="781" t="str">
        <f>IFERROR(VLOOKUP(Table_NFI[[#This Row],[Camp Name]],CL,2,0),"")</f>
        <v>MMR001CMP119</v>
      </c>
      <c r="AP147" s="772">
        <f ca="1">IF(Table_NFI[[#This Row],[Pcode]]="","",IF(OFFSET(CampList[Opening Date],MATCH(Table_NFI[[#This Row],[Pcode]],CampList[CP_Pcode],0)-1,0,1,1)&gt;=NFI_Monitor_Date,1,0))</f>
        <v>0</v>
      </c>
      <c r="AQ147" s="781" t="str">
        <f>IFERROR(VLOOKUP(Table_NFI[[#This Row],[Camp Name]],CL,3,0),"")</f>
        <v>Open</v>
      </c>
      <c r="AR147" s="439" t="str">
        <f ca="1">IF(Table_NFI[[#This Row],[Pcode]]="","",OFFSET(CampList[Priority],MATCH(Table_NFI[[#This Row],[Pcode]],CampList[CP_Pcode],0)-1,0,1,1))</f>
        <v>P2</v>
      </c>
      <c r="AS147" s="438">
        <f>IFERROR(Table_NFI[[#This Row],[Kitchen Set]]/VLOOKUP(Table_NFI[[#This Row],[Camp Name]],CL,4,0),"")</f>
        <v>0</v>
      </c>
      <c r="AT147" s="779"/>
      <c r="AU147" s="782"/>
    </row>
    <row r="148" spans="1:47" s="136" customFormat="1" x14ac:dyDescent="0.25">
      <c r="A148" s="451">
        <f t="shared" si="2"/>
        <v>15.233333333333333</v>
      </c>
      <c r="B148" s="768">
        <v>41913</v>
      </c>
      <c r="C148" s="769" t="s">
        <v>454</v>
      </c>
      <c r="D148" s="779" t="s">
        <v>507</v>
      </c>
      <c r="E148" s="779" t="s">
        <v>380</v>
      </c>
      <c r="F148" s="779" t="s">
        <v>310</v>
      </c>
      <c r="G148" s="779" t="s">
        <v>328</v>
      </c>
      <c r="H148" s="437"/>
      <c r="I148" s="437"/>
      <c r="J148" s="437"/>
      <c r="K148" s="437">
        <v>286</v>
      </c>
      <c r="L148" s="437"/>
      <c r="M148" s="437"/>
      <c r="N148" s="437"/>
      <c r="O148" s="437"/>
      <c r="P148" s="439"/>
      <c r="Q148" s="439"/>
      <c r="R148" s="439"/>
      <c r="S148" s="439"/>
      <c r="T148" s="439"/>
      <c r="U148" s="439"/>
      <c r="V148" s="439"/>
      <c r="W148" s="439"/>
      <c r="X148" s="439"/>
      <c r="Y148" s="439">
        <f>IF(NFI_Expiration=1,IF($A148&lt;VLOOKUP(H$5,NFI,5,0),1,0)*Table_NFI[[#This Row],[Hygiene Kit]],Table_NFI[Hygiene Kit])</f>
        <v>0</v>
      </c>
      <c r="Z148" s="439">
        <f>IF(NFI_Expiration=1,IF($A148&lt;VLOOKUP(I$5,NFI,5,0),1,0)*Table_NFI[[#This Row],[NFI Core Kit]],Table_NFI[NFI Core Kit])</f>
        <v>0</v>
      </c>
      <c r="AA148" s="439">
        <f>IF(NFI_Expiration=1,IF($A148&lt;VLOOKUP(J$5,NFI,5,0),1,0)*Table_NFI[[#This Row],[Sanitary Kit]],Table_NFI[Sanitary Kit])</f>
        <v>0</v>
      </c>
      <c r="AB148" s="439">
        <f>IF(NFI_Expiration=1,IF($A148&lt;VLOOKUP(K$5,NFI,5,0),1,0)*Table_NFI[[#This Row],[Mosquito net]],Table_NFI[Mosquito net])</f>
        <v>0</v>
      </c>
      <c r="AC148" s="439">
        <f>IF(NFI_Expiration=1,IF($A148&lt;VLOOKUP(L$5,NFI,5,0),1,0)*Table_NFI[[#This Row],[Tarpaulin]],Table_NFI[[#This Row],[Tarpaulin]])</f>
        <v>0</v>
      </c>
      <c r="AD148" s="439">
        <f>IF(NFI_Expiration=1,IF($A148&lt;VLOOKUP(M$5,NFI,5,0),1,0)*Table_NFI[[#This Row],[Blanket]],Table_NFI[[#This Row],[Blanket]])</f>
        <v>0</v>
      </c>
      <c r="AE148" s="439">
        <f>IF(NFI_Expiration=1,IF($A148&lt;VLOOKUP(N$5,NFI,5,0),1,0)*Table_NFI[[#This Row],[Kitchen Set]],Table_NFI[Kitchen Set])</f>
        <v>0</v>
      </c>
      <c r="AF148" s="439">
        <f>IF(NFI_Expiration=1,IF($A148&lt;VLOOKUP(O$5,NFI,5,0),1,0)*Table_NFI[[#This Row],[Clothes Kit]],Table_NFI[Clothes Kit])</f>
        <v>0</v>
      </c>
      <c r="AG148" s="439">
        <f>IF(NFI_Expiration=1,IF($A148&lt;VLOOKUP(P$5,NFI,5,0),1,0)*Table_NFI[[#This Row],[Plastic Bucket]],Table_NFI[Plastic Bucket])</f>
        <v>0</v>
      </c>
      <c r="AH148" s="439">
        <f>IF(NFI_Expiration=1,IF($A148&lt;VLOOKUP(Q$5,NFI,5,0),1,0)*Table_NFI[[#This Row],[Plastic Mat]],Table_NFI[Plastic Mat])*IF(Table_NFI[[#This Row],[Distribution Date]]&gt;"2014-04-01",1,2.5)</f>
        <v>0</v>
      </c>
      <c r="AI148" s="439">
        <f>IF(NFI_Expiration=1,IF($A148&lt;VLOOKUP(R$5,NFI,5,0),1,0)*Table_NFI[[#This Row],[Winter Clothes Adult]],Table_NFI[Winter Clothes Adult])</f>
        <v>0</v>
      </c>
      <c r="AJ148" s="439">
        <f>IF(NFI_Expiration=1,IF($A148&lt;VLOOKUP(S$5,NFI,5,0),1,0)*Table_NFI[[#This Row],[Winter Clothes Children]],Table_NFI[Winter Clothes Children])</f>
        <v>0</v>
      </c>
      <c r="AK148" s="439">
        <f>IF(NFI_Expiration=1,IF($A148&lt;VLOOKUP(T$5,NFI,5,0),1,0)*Table_NFI[[#This Row],[Winter Items Other]],Table_NFI[Winter Items Other])</f>
        <v>0</v>
      </c>
      <c r="AL148" s="439">
        <f>IF(NFI_Expiration=1,IF($A148&lt;VLOOKUP(M$5,NFI,5,0),1,0)*Table_NFI[[#This Row],[Winter Blanket]],Table_NFI[[#This Row],[Winter Blanket]])</f>
        <v>0</v>
      </c>
      <c r="AM148" s="439">
        <f>IF(Table_NFI[[#This Row],[Winter Clothes Adult]]+Table_NFI[[#This Row],[Winter Clothes Children]]+Table_NFI[[#This Row],[Winter Items Other]]+Table_NFI[[#This Row],[Winter Blanket]]&gt;0,1,0)</f>
        <v>0</v>
      </c>
      <c r="AN148" s="439">
        <f>IF(NFI_Expiration=1,IF($A148&lt;VLOOKUP(V$5,NFI,5,0),1,0)*Table_NFI[[#This Row],[Jerry Can]],Table_NFI[Jerry Can])</f>
        <v>0</v>
      </c>
      <c r="AO148" s="781" t="str">
        <f>IFERROR(VLOOKUP(Table_NFI[[#This Row],[Camp Name]],CL,2,0),"")</f>
        <v>MMR001CMP031</v>
      </c>
      <c r="AP148" s="772">
        <f ca="1">IF(Table_NFI[[#This Row],[Pcode]]="","",IF(OFFSET(CampList[Opening Date],MATCH(Table_NFI[[#This Row],[Pcode]],CampList[CP_Pcode],0)-1,0,1,1)&gt;=NFI_Monitor_Date,1,0))</f>
        <v>0</v>
      </c>
      <c r="AQ148" s="781" t="str">
        <f>IFERROR(VLOOKUP(Table_NFI[[#This Row],[Camp Name]],CL,3,0),"")</f>
        <v>Open</v>
      </c>
      <c r="AR148" s="439" t="str">
        <f ca="1">IF(Table_NFI[[#This Row],[Pcode]]="","",OFFSET(CampList[Priority],MATCH(Table_NFI[[#This Row],[Pcode]],CampList[CP_Pcode],0)-1,0,1,1))</f>
        <v>P4</v>
      </c>
      <c r="AS148" s="438">
        <f>IFERROR(Table_NFI[[#This Row],[Kitchen Set]]/VLOOKUP(Table_NFI[[#This Row],[Camp Name]],CL,4,0),"")</f>
        <v>0</v>
      </c>
      <c r="AT148" s="779"/>
      <c r="AU148" s="782"/>
    </row>
    <row r="149" spans="1:47" s="136" customFormat="1" x14ac:dyDescent="0.25">
      <c r="A149" s="451">
        <f t="shared" si="2"/>
        <v>15.233333333333333</v>
      </c>
      <c r="B149" s="768">
        <v>41913</v>
      </c>
      <c r="C149" s="769" t="s">
        <v>454</v>
      </c>
      <c r="D149" s="779" t="s">
        <v>508</v>
      </c>
      <c r="E149" s="779" t="s">
        <v>380</v>
      </c>
      <c r="F149" s="779" t="s">
        <v>310</v>
      </c>
      <c r="G149" s="779" t="s">
        <v>330</v>
      </c>
      <c r="H149" s="437"/>
      <c r="I149" s="437"/>
      <c r="J149" s="437"/>
      <c r="K149" s="437">
        <v>462</v>
      </c>
      <c r="L149" s="437"/>
      <c r="M149" s="437"/>
      <c r="N149" s="437"/>
      <c r="O149" s="437"/>
      <c r="P149" s="439"/>
      <c r="Q149" s="439"/>
      <c r="R149" s="439"/>
      <c r="S149" s="439"/>
      <c r="T149" s="439"/>
      <c r="U149" s="439"/>
      <c r="V149" s="439"/>
      <c r="W149" s="439"/>
      <c r="X149" s="439"/>
      <c r="Y149" s="439">
        <f>IF(NFI_Expiration=1,IF($A149&lt;VLOOKUP(H$5,NFI,5,0),1,0)*Table_NFI[[#This Row],[Hygiene Kit]],Table_NFI[Hygiene Kit])</f>
        <v>0</v>
      </c>
      <c r="Z149" s="439">
        <f>IF(NFI_Expiration=1,IF($A149&lt;VLOOKUP(I$5,NFI,5,0),1,0)*Table_NFI[[#This Row],[NFI Core Kit]],Table_NFI[NFI Core Kit])</f>
        <v>0</v>
      </c>
      <c r="AA149" s="439">
        <f>IF(NFI_Expiration=1,IF($A149&lt;VLOOKUP(J$5,NFI,5,0),1,0)*Table_NFI[[#This Row],[Sanitary Kit]],Table_NFI[Sanitary Kit])</f>
        <v>0</v>
      </c>
      <c r="AB149" s="439">
        <f>IF(NFI_Expiration=1,IF($A149&lt;VLOOKUP(K$5,NFI,5,0),1,0)*Table_NFI[[#This Row],[Mosquito net]],Table_NFI[Mosquito net])</f>
        <v>0</v>
      </c>
      <c r="AC149" s="439">
        <f>IF(NFI_Expiration=1,IF($A149&lt;VLOOKUP(L$5,NFI,5,0),1,0)*Table_NFI[[#This Row],[Tarpaulin]],Table_NFI[[#This Row],[Tarpaulin]])</f>
        <v>0</v>
      </c>
      <c r="AD149" s="439">
        <f>IF(NFI_Expiration=1,IF($A149&lt;VLOOKUP(M$5,NFI,5,0),1,0)*Table_NFI[[#This Row],[Blanket]],Table_NFI[[#This Row],[Blanket]])</f>
        <v>0</v>
      </c>
      <c r="AE149" s="439">
        <f>IF(NFI_Expiration=1,IF($A149&lt;VLOOKUP(N$5,NFI,5,0),1,0)*Table_NFI[[#This Row],[Kitchen Set]],Table_NFI[Kitchen Set])</f>
        <v>0</v>
      </c>
      <c r="AF149" s="439">
        <f>IF(NFI_Expiration=1,IF($A149&lt;VLOOKUP(O$5,NFI,5,0),1,0)*Table_NFI[[#This Row],[Clothes Kit]],Table_NFI[Clothes Kit])</f>
        <v>0</v>
      </c>
      <c r="AG149" s="439">
        <f>IF(NFI_Expiration=1,IF($A149&lt;VLOOKUP(P$5,NFI,5,0),1,0)*Table_NFI[[#This Row],[Plastic Bucket]],Table_NFI[Plastic Bucket])</f>
        <v>0</v>
      </c>
      <c r="AH149" s="439">
        <f>IF(NFI_Expiration=1,IF($A149&lt;VLOOKUP(Q$5,NFI,5,0),1,0)*Table_NFI[[#This Row],[Plastic Mat]],Table_NFI[Plastic Mat])*IF(Table_NFI[[#This Row],[Distribution Date]]&gt;"2014-04-01",1,2.5)</f>
        <v>0</v>
      </c>
      <c r="AI149" s="439">
        <f>IF(NFI_Expiration=1,IF($A149&lt;VLOOKUP(R$5,NFI,5,0),1,0)*Table_NFI[[#This Row],[Winter Clothes Adult]],Table_NFI[Winter Clothes Adult])</f>
        <v>0</v>
      </c>
      <c r="AJ149" s="439">
        <f>IF(NFI_Expiration=1,IF($A149&lt;VLOOKUP(S$5,NFI,5,0),1,0)*Table_NFI[[#This Row],[Winter Clothes Children]],Table_NFI[Winter Clothes Children])</f>
        <v>0</v>
      </c>
      <c r="AK149" s="439">
        <f>IF(NFI_Expiration=1,IF($A149&lt;VLOOKUP(T$5,NFI,5,0),1,0)*Table_NFI[[#This Row],[Winter Items Other]],Table_NFI[Winter Items Other])</f>
        <v>0</v>
      </c>
      <c r="AL149" s="439">
        <f>IF(NFI_Expiration=1,IF($A149&lt;VLOOKUP(M$5,NFI,5,0),1,0)*Table_NFI[[#This Row],[Winter Blanket]],Table_NFI[[#This Row],[Winter Blanket]])</f>
        <v>0</v>
      </c>
      <c r="AM149" s="439">
        <f>IF(Table_NFI[[#This Row],[Winter Clothes Adult]]+Table_NFI[[#This Row],[Winter Clothes Children]]+Table_NFI[[#This Row],[Winter Items Other]]+Table_NFI[[#This Row],[Winter Blanket]]&gt;0,1,0)</f>
        <v>0</v>
      </c>
      <c r="AN149" s="439">
        <f>IF(NFI_Expiration=1,IF($A149&lt;VLOOKUP(V$5,NFI,5,0),1,0)*Table_NFI[[#This Row],[Jerry Can]],Table_NFI[Jerry Can])</f>
        <v>0</v>
      </c>
      <c r="AO149" s="781" t="str">
        <f>IFERROR(VLOOKUP(Table_NFI[[#This Row],[Camp Name]],CL,2,0),"")</f>
        <v>MMR001CMP029</v>
      </c>
      <c r="AP149" s="772">
        <f ca="1">IF(Table_NFI[[#This Row],[Pcode]]="","",IF(OFFSET(CampList[Opening Date],MATCH(Table_NFI[[#This Row],[Pcode]],CampList[CP_Pcode],0)-1,0,1,1)&gt;=NFI_Monitor_Date,1,0))</f>
        <v>0</v>
      </c>
      <c r="AQ149" s="781" t="str">
        <f>IFERROR(VLOOKUP(Table_NFI[[#This Row],[Camp Name]],CL,3,0),"")</f>
        <v>Open</v>
      </c>
      <c r="AR149" s="439" t="str">
        <f ca="1">IF(Table_NFI[[#This Row],[Pcode]]="","",OFFSET(CampList[Priority],MATCH(Table_NFI[[#This Row],[Pcode]],CampList[CP_Pcode],0)-1,0,1,1))</f>
        <v>P4</v>
      </c>
      <c r="AS149" s="438">
        <f>IFERROR(Table_NFI[[#This Row],[Kitchen Set]]/VLOOKUP(Table_NFI[[#This Row],[Camp Name]],CL,4,0),"")</f>
        <v>0</v>
      </c>
      <c r="AT149" s="779"/>
      <c r="AU149" s="782"/>
    </row>
    <row r="150" spans="1:47" s="136" customFormat="1" x14ac:dyDescent="0.25">
      <c r="A150" s="451">
        <f t="shared" si="2"/>
        <v>15.233333333333333</v>
      </c>
      <c r="B150" s="768">
        <v>41913</v>
      </c>
      <c r="C150" s="769" t="s">
        <v>454</v>
      </c>
      <c r="D150" s="779" t="s">
        <v>507</v>
      </c>
      <c r="E150" s="779" t="s">
        <v>380</v>
      </c>
      <c r="F150" s="779" t="s">
        <v>237</v>
      </c>
      <c r="G150" s="779" t="s">
        <v>263</v>
      </c>
      <c r="H150" s="437"/>
      <c r="I150" s="437"/>
      <c r="J150" s="437"/>
      <c r="K150" s="437">
        <v>52</v>
      </c>
      <c r="L150" s="437"/>
      <c r="M150" s="437"/>
      <c r="N150" s="437"/>
      <c r="O150" s="437"/>
      <c r="P150" s="439"/>
      <c r="Q150" s="439"/>
      <c r="R150" s="439"/>
      <c r="S150" s="439"/>
      <c r="T150" s="439"/>
      <c r="U150" s="439"/>
      <c r="V150" s="439"/>
      <c r="W150" s="439"/>
      <c r="X150" s="439"/>
      <c r="Y150" s="439">
        <f>IF(NFI_Expiration=1,IF($A150&lt;VLOOKUP(H$5,NFI,5,0),1,0)*Table_NFI[[#This Row],[Hygiene Kit]],Table_NFI[Hygiene Kit])</f>
        <v>0</v>
      </c>
      <c r="Z150" s="439">
        <f>IF(NFI_Expiration=1,IF($A150&lt;VLOOKUP(I$5,NFI,5,0),1,0)*Table_NFI[[#This Row],[NFI Core Kit]],Table_NFI[NFI Core Kit])</f>
        <v>0</v>
      </c>
      <c r="AA150" s="439">
        <f>IF(NFI_Expiration=1,IF($A150&lt;VLOOKUP(J$5,NFI,5,0),1,0)*Table_NFI[[#This Row],[Sanitary Kit]],Table_NFI[Sanitary Kit])</f>
        <v>0</v>
      </c>
      <c r="AB150" s="439">
        <f>IF(NFI_Expiration=1,IF($A150&lt;VLOOKUP(K$5,NFI,5,0),1,0)*Table_NFI[[#This Row],[Mosquito net]],Table_NFI[Mosquito net])</f>
        <v>0</v>
      </c>
      <c r="AC150" s="439">
        <f>IF(NFI_Expiration=1,IF($A150&lt;VLOOKUP(L$5,NFI,5,0),1,0)*Table_NFI[[#This Row],[Tarpaulin]],Table_NFI[[#This Row],[Tarpaulin]])</f>
        <v>0</v>
      </c>
      <c r="AD150" s="439">
        <f>IF(NFI_Expiration=1,IF($A150&lt;VLOOKUP(M$5,NFI,5,0),1,0)*Table_NFI[[#This Row],[Blanket]],Table_NFI[[#This Row],[Blanket]])</f>
        <v>0</v>
      </c>
      <c r="AE150" s="439">
        <f>IF(NFI_Expiration=1,IF($A150&lt;VLOOKUP(N$5,NFI,5,0),1,0)*Table_NFI[[#This Row],[Kitchen Set]],Table_NFI[Kitchen Set])</f>
        <v>0</v>
      </c>
      <c r="AF150" s="439">
        <f>IF(NFI_Expiration=1,IF($A150&lt;VLOOKUP(O$5,NFI,5,0),1,0)*Table_NFI[[#This Row],[Clothes Kit]],Table_NFI[Clothes Kit])</f>
        <v>0</v>
      </c>
      <c r="AG150" s="439">
        <f>IF(NFI_Expiration=1,IF($A150&lt;VLOOKUP(P$5,NFI,5,0),1,0)*Table_NFI[[#This Row],[Plastic Bucket]],Table_NFI[Plastic Bucket])</f>
        <v>0</v>
      </c>
      <c r="AH150" s="439">
        <f>IF(NFI_Expiration=1,IF($A150&lt;VLOOKUP(Q$5,NFI,5,0),1,0)*Table_NFI[[#This Row],[Plastic Mat]],Table_NFI[Plastic Mat])*IF(Table_NFI[[#This Row],[Distribution Date]]&gt;"2014-04-01",1,2.5)</f>
        <v>0</v>
      </c>
      <c r="AI150" s="439">
        <f>IF(NFI_Expiration=1,IF($A150&lt;VLOOKUP(R$5,NFI,5,0),1,0)*Table_NFI[[#This Row],[Winter Clothes Adult]],Table_NFI[Winter Clothes Adult])</f>
        <v>0</v>
      </c>
      <c r="AJ150" s="439">
        <f>IF(NFI_Expiration=1,IF($A150&lt;VLOOKUP(S$5,NFI,5,0),1,0)*Table_NFI[[#This Row],[Winter Clothes Children]],Table_NFI[Winter Clothes Children])</f>
        <v>0</v>
      </c>
      <c r="AK150" s="439">
        <f>IF(NFI_Expiration=1,IF($A150&lt;VLOOKUP(T$5,NFI,5,0),1,0)*Table_NFI[[#This Row],[Winter Items Other]],Table_NFI[Winter Items Other])</f>
        <v>0</v>
      </c>
      <c r="AL150" s="439">
        <f>IF(NFI_Expiration=1,IF($A150&lt;VLOOKUP(M$5,NFI,5,0),1,0)*Table_NFI[[#This Row],[Winter Blanket]],Table_NFI[[#This Row],[Winter Blanket]])</f>
        <v>0</v>
      </c>
      <c r="AM150" s="439">
        <f>IF(Table_NFI[[#This Row],[Winter Clothes Adult]]+Table_NFI[[#This Row],[Winter Clothes Children]]+Table_NFI[[#This Row],[Winter Items Other]]+Table_NFI[[#This Row],[Winter Blanket]]&gt;0,1,0)</f>
        <v>0</v>
      </c>
      <c r="AN150" s="439">
        <f>IF(NFI_Expiration=1,IF($A150&lt;VLOOKUP(V$5,NFI,5,0),1,0)*Table_NFI[[#This Row],[Jerry Can]],Table_NFI[Jerry Can])</f>
        <v>0</v>
      </c>
      <c r="AO150" s="781" t="str">
        <f>IFERROR(VLOOKUP(Table_NFI[[#This Row],[Camp Name]],CL,2,0),"")</f>
        <v>MMR001CMP020</v>
      </c>
      <c r="AP150" s="772">
        <f ca="1">IF(Table_NFI[[#This Row],[Pcode]]="","",IF(OFFSET(CampList[Opening Date],MATCH(Table_NFI[[#This Row],[Pcode]],CampList[CP_Pcode],0)-1,0,1,1)&gt;=NFI_Monitor_Date,1,0))</f>
        <v>0</v>
      </c>
      <c r="AQ150" s="781" t="str">
        <f>IFERROR(VLOOKUP(Table_NFI[[#This Row],[Camp Name]],CL,3,0),"")</f>
        <v>Open</v>
      </c>
      <c r="AR150" s="439" t="str">
        <f ca="1">IF(Table_NFI[[#This Row],[Pcode]]="","",OFFSET(CampList[Priority],MATCH(Table_NFI[[#This Row],[Pcode]],CampList[CP_Pcode],0)-1,0,1,1))</f>
        <v>P4</v>
      </c>
      <c r="AS150" s="438">
        <f>IFERROR(Table_NFI[[#This Row],[Kitchen Set]]/VLOOKUP(Table_NFI[[#This Row],[Camp Name]],CL,4,0),"")</f>
        <v>0</v>
      </c>
      <c r="AT150" s="779"/>
      <c r="AU150" s="782"/>
    </row>
    <row r="151" spans="1:47" s="136" customFormat="1" x14ac:dyDescent="0.25">
      <c r="A151" s="451">
        <f t="shared" si="2"/>
        <v>15.233333333333333</v>
      </c>
      <c r="B151" s="768">
        <v>41913</v>
      </c>
      <c r="C151" s="769" t="s">
        <v>454</v>
      </c>
      <c r="D151" s="779" t="s">
        <v>507</v>
      </c>
      <c r="E151" s="779" t="s">
        <v>380</v>
      </c>
      <c r="F151" s="779" t="s">
        <v>237</v>
      </c>
      <c r="G151" s="779" t="s">
        <v>265</v>
      </c>
      <c r="H151" s="437"/>
      <c r="I151" s="437"/>
      <c r="J151" s="437"/>
      <c r="K151" s="437">
        <v>42</v>
      </c>
      <c r="L151" s="437"/>
      <c r="M151" s="437"/>
      <c r="N151" s="437"/>
      <c r="O151" s="437"/>
      <c r="P151" s="439"/>
      <c r="Q151" s="439"/>
      <c r="R151" s="439"/>
      <c r="S151" s="439"/>
      <c r="T151" s="439"/>
      <c r="U151" s="439"/>
      <c r="V151" s="439"/>
      <c r="W151" s="439"/>
      <c r="X151" s="439"/>
      <c r="Y151" s="439">
        <f>IF(NFI_Expiration=1,IF($A151&lt;VLOOKUP(H$5,NFI,5,0),1,0)*Table_NFI[[#This Row],[Hygiene Kit]],Table_NFI[Hygiene Kit])</f>
        <v>0</v>
      </c>
      <c r="Z151" s="439">
        <f>IF(NFI_Expiration=1,IF($A151&lt;VLOOKUP(I$5,NFI,5,0),1,0)*Table_NFI[[#This Row],[NFI Core Kit]],Table_NFI[NFI Core Kit])</f>
        <v>0</v>
      </c>
      <c r="AA151" s="439">
        <f>IF(NFI_Expiration=1,IF($A151&lt;VLOOKUP(J$5,NFI,5,0),1,0)*Table_NFI[[#This Row],[Sanitary Kit]],Table_NFI[Sanitary Kit])</f>
        <v>0</v>
      </c>
      <c r="AB151" s="439">
        <f>IF(NFI_Expiration=1,IF($A151&lt;VLOOKUP(K$5,NFI,5,0),1,0)*Table_NFI[[#This Row],[Mosquito net]],Table_NFI[Mosquito net])</f>
        <v>0</v>
      </c>
      <c r="AC151" s="439">
        <f>IF(NFI_Expiration=1,IF($A151&lt;VLOOKUP(L$5,NFI,5,0),1,0)*Table_NFI[[#This Row],[Tarpaulin]],Table_NFI[[#This Row],[Tarpaulin]])</f>
        <v>0</v>
      </c>
      <c r="AD151" s="439">
        <f>IF(NFI_Expiration=1,IF($A151&lt;VLOOKUP(M$5,NFI,5,0),1,0)*Table_NFI[[#This Row],[Blanket]],Table_NFI[[#This Row],[Blanket]])</f>
        <v>0</v>
      </c>
      <c r="AE151" s="439">
        <f>IF(NFI_Expiration=1,IF($A151&lt;VLOOKUP(N$5,NFI,5,0),1,0)*Table_NFI[[#This Row],[Kitchen Set]],Table_NFI[Kitchen Set])</f>
        <v>0</v>
      </c>
      <c r="AF151" s="439">
        <f>IF(NFI_Expiration=1,IF($A151&lt;VLOOKUP(O$5,NFI,5,0),1,0)*Table_NFI[[#This Row],[Clothes Kit]],Table_NFI[Clothes Kit])</f>
        <v>0</v>
      </c>
      <c r="AG151" s="439">
        <f>IF(NFI_Expiration=1,IF($A151&lt;VLOOKUP(P$5,NFI,5,0),1,0)*Table_NFI[[#This Row],[Plastic Bucket]],Table_NFI[Plastic Bucket])</f>
        <v>0</v>
      </c>
      <c r="AH151" s="439">
        <f>IF(NFI_Expiration=1,IF($A151&lt;VLOOKUP(Q$5,NFI,5,0),1,0)*Table_NFI[[#This Row],[Plastic Mat]],Table_NFI[Plastic Mat])*IF(Table_NFI[[#This Row],[Distribution Date]]&gt;"2014-04-01",1,2.5)</f>
        <v>0</v>
      </c>
      <c r="AI151" s="439">
        <f>IF(NFI_Expiration=1,IF($A151&lt;VLOOKUP(R$5,NFI,5,0),1,0)*Table_NFI[[#This Row],[Winter Clothes Adult]],Table_NFI[Winter Clothes Adult])</f>
        <v>0</v>
      </c>
      <c r="AJ151" s="439">
        <f>IF(NFI_Expiration=1,IF($A151&lt;VLOOKUP(S$5,NFI,5,0),1,0)*Table_NFI[[#This Row],[Winter Clothes Children]],Table_NFI[Winter Clothes Children])</f>
        <v>0</v>
      </c>
      <c r="AK151" s="439">
        <f>IF(NFI_Expiration=1,IF($A151&lt;VLOOKUP(T$5,NFI,5,0),1,0)*Table_NFI[[#This Row],[Winter Items Other]],Table_NFI[Winter Items Other])</f>
        <v>0</v>
      </c>
      <c r="AL151" s="439">
        <f>IF(NFI_Expiration=1,IF($A151&lt;VLOOKUP(M$5,NFI,5,0),1,0)*Table_NFI[[#This Row],[Winter Blanket]],Table_NFI[[#This Row],[Winter Blanket]])</f>
        <v>0</v>
      </c>
      <c r="AM151" s="439">
        <f>IF(Table_NFI[[#This Row],[Winter Clothes Adult]]+Table_NFI[[#This Row],[Winter Clothes Children]]+Table_NFI[[#This Row],[Winter Items Other]]+Table_NFI[[#This Row],[Winter Blanket]]&gt;0,1,0)</f>
        <v>0</v>
      </c>
      <c r="AN151" s="439">
        <f>IF(NFI_Expiration=1,IF($A151&lt;VLOOKUP(V$5,NFI,5,0),1,0)*Table_NFI[[#This Row],[Jerry Can]],Table_NFI[Jerry Can])</f>
        <v>0</v>
      </c>
      <c r="AO151" s="781" t="str">
        <f>IFERROR(VLOOKUP(Table_NFI[[#This Row],[Camp Name]],CL,2,0),"")</f>
        <v>MMR001CMP021</v>
      </c>
      <c r="AP151" s="772">
        <f ca="1">IF(Table_NFI[[#This Row],[Pcode]]="","",IF(OFFSET(CampList[Opening Date],MATCH(Table_NFI[[#This Row],[Pcode]],CampList[CP_Pcode],0)-1,0,1,1)&gt;=NFI_Monitor_Date,1,0))</f>
        <v>0</v>
      </c>
      <c r="AQ151" s="781" t="str">
        <f>IFERROR(VLOOKUP(Table_NFI[[#This Row],[Camp Name]],CL,3,0),"")</f>
        <v>Open</v>
      </c>
      <c r="AR151" s="439" t="str">
        <f ca="1">IF(Table_NFI[[#This Row],[Pcode]]="","",OFFSET(CampList[Priority],MATCH(Table_NFI[[#This Row],[Pcode]],CampList[CP_Pcode],0)-1,0,1,1))</f>
        <v>P4</v>
      </c>
      <c r="AS151" s="438">
        <f>IFERROR(Table_NFI[[#This Row],[Kitchen Set]]/VLOOKUP(Table_NFI[[#This Row],[Camp Name]],CL,4,0),"")</f>
        <v>0</v>
      </c>
      <c r="AT151" s="779"/>
      <c r="AU151" s="782"/>
    </row>
    <row r="152" spans="1:47" s="136" customFormat="1" x14ac:dyDescent="0.25">
      <c r="A152" s="451">
        <f t="shared" si="2"/>
        <v>15.233333333333333</v>
      </c>
      <c r="B152" s="768">
        <v>41913</v>
      </c>
      <c r="C152" s="769" t="s">
        <v>454</v>
      </c>
      <c r="D152" s="779" t="s">
        <v>507</v>
      </c>
      <c r="E152" s="779" t="s">
        <v>380</v>
      </c>
      <c r="F152" s="779" t="s">
        <v>529</v>
      </c>
      <c r="G152" s="779" t="s">
        <v>100</v>
      </c>
      <c r="H152" s="437"/>
      <c r="I152" s="437"/>
      <c r="J152" s="437"/>
      <c r="K152" s="437">
        <v>10</v>
      </c>
      <c r="L152" s="437"/>
      <c r="M152" s="437"/>
      <c r="N152" s="437"/>
      <c r="O152" s="437"/>
      <c r="P152" s="439"/>
      <c r="Q152" s="439"/>
      <c r="R152" s="439"/>
      <c r="S152" s="439"/>
      <c r="T152" s="439"/>
      <c r="U152" s="439"/>
      <c r="V152" s="439"/>
      <c r="W152" s="439"/>
      <c r="X152" s="439"/>
      <c r="Y152" s="439">
        <f>IF(NFI_Expiration=1,IF($A152&lt;VLOOKUP(H$5,NFI,5,0),1,0)*Table_NFI[[#This Row],[Hygiene Kit]],Table_NFI[Hygiene Kit])</f>
        <v>0</v>
      </c>
      <c r="Z152" s="439">
        <f>IF(NFI_Expiration=1,IF($A152&lt;VLOOKUP(I$5,NFI,5,0),1,0)*Table_NFI[[#This Row],[NFI Core Kit]],Table_NFI[NFI Core Kit])</f>
        <v>0</v>
      </c>
      <c r="AA152" s="439">
        <f>IF(NFI_Expiration=1,IF($A152&lt;VLOOKUP(J$5,NFI,5,0),1,0)*Table_NFI[[#This Row],[Sanitary Kit]],Table_NFI[Sanitary Kit])</f>
        <v>0</v>
      </c>
      <c r="AB152" s="439">
        <f>IF(NFI_Expiration=1,IF($A152&lt;VLOOKUP(K$5,NFI,5,0),1,0)*Table_NFI[[#This Row],[Mosquito net]],Table_NFI[Mosquito net])</f>
        <v>0</v>
      </c>
      <c r="AC152" s="439">
        <f>IF(NFI_Expiration=1,IF($A152&lt;VLOOKUP(L$5,NFI,5,0),1,0)*Table_NFI[[#This Row],[Tarpaulin]],Table_NFI[[#This Row],[Tarpaulin]])</f>
        <v>0</v>
      </c>
      <c r="AD152" s="439">
        <f>IF(NFI_Expiration=1,IF($A152&lt;VLOOKUP(M$5,NFI,5,0),1,0)*Table_NFI[[#This Row],[Blanket]],Table_NFI[[#This Row],[Blanket]])</f>
        <v>0</v>
      </c>
      <c r="AE152" s="439">
        <f>IF(NFI_Expiration=1,IF($A152&lt;VLOOKUP(N$5,NFI,5,0),1,0)*Table_NFI[[#This Row],[Kitchen Set]],Table_NFI[Kitchen Set])</f>
        <v>0</v>
      </c>
      <c r="AF152" s="439">
        <f>IF(NFI_Expiration=1,IF($A152&lt;VLOOKUP(O$5,NFI,5,0),1,0)*Table_NFI[[#This Row],[Clothes Kit]],Table_NFI[Clothes Kit])</f>
        <v>0</v>
      </c>
      <c r="AG152" s="439">
        <f>IF(NFI_Expiration=1,IF($A152&lt;VLOOKUP(P$5,NFI,5,0),1,0)*Table_NFI[[#This Row],[Plastic Bucket]],Table_NFI[Plastic Bucket])</f>
        <v>0</v>
      </c>
      <c r="AH152" s="439">
        <f>IF(NFI_Expiration=1,IF($A152&lt;VLOOKUP(Q$5,NFI,5,0),1,0)*Table_NFI[[#This Row],[Plastic Mat]],Table_NFI[Plastic Mat])*IF(Table_NFI[[#This Row],[Distribution Date]]&gt;"2014-04-01",1,2.5)</f>
        <v>0</v>
      </c>
      <c r="AI152" s="439">
        <f>IF(NFI_Expiration=1,IF($A152&lt;VLOOKUP(R$5,NFI,5,0),1,0)*Table_NFI[[#This Row],[Winter Clothes Adult]],Table_NFI[Winter Clothes Adult])</f>
        <v>0</v>
      </c>
      <c r="AJ152" s="439">
        <f>IF(NFI_Expiration=1,IF($A152&lt;VLOOKUP(S$5,NFI,5,0),1,0)*Table_NFI[[#This Row],[Winter Clothes Children]],Table_NFI[Winter Clothes Children])</f>
        <v>0</v>
      </c>
      <c r="AK152" s="439">
        <f>IF(NFI_Expiration=1,IF($A152&lt;VLOOKUP(T$5,NFI,5,0),1,0)*Table_NFI[[#This Row],[Winter Items Other]],Table_NFI[Winter Items Other])</f>
        <v>0</v>
      </c>
      <c r="AL152" s="439">
        <f>IF(NFI_Expiration=1,IF($A152&lt;VLOOKUP(M$5,NFI,5,0),1,0)*Table_NFI[[#This Row],[Winter Blanket]],Table_NFI[[#This Row],[Winter Blanket]])</f>
        <v>0</v>
      </c>
      <c r="AM152" s="439">
        <f>IF(Table_NFI[[#This Row],[Winter Clothes Adult]]+Table_NFI[[#This Row],[Winter Clothes Children]]+Table_NFI[[#This Row],[Winter Items Other]]+Table_NFI[[#This Row],[Winter Blanket]]&gt;0,1,0)</f>
        <v>0</v>
      </c>
      <c r="AN152" s="439">
        <f>IF(NFI_Expiration=1,IF($A152&lt;VLOOKUP(V$5,NFI,5,0),1,0)*Table_NFI[[#This Row],[Jerry Can]],Table_NFI[Jerry Can])</f>
        <v>0</v>
      </c>
      <c r="AO152" s="781" t="str">
        <f>IFERROR(VLOOKUP(Table_NFI[[#This Row],[Camp Name]],CL,2,0),"")</f>
        <v>MMR001CMP091</v>
      </c>
      <c r="AP152" s="772">
        <f ca="1">IF(Table_NFI[[#This Row],[Pcode]]="","",IF(OFFSET(CampList[Opening Date],MATCH(Table_NFI[[#This Row],[Pcode]],CampList[CP_Pcode],0)-1,0,1,1)&gt;=NFI_Monitor_Date,1,0))</f>
        <v>0</v>
      </c>
      <c r="AQ152" s="781" t="str">
        <f>IFERROR(VLOOKUP(Table_NFI[[#This Row],[Camp Name]],CL,3,0),"")</f>
        <v>Open</v>
      </c>
      <c r="AR152" s="439" t="str">
        <f ca="1">IF(Table_NFI[[#This Row],[Pcode]]="","",OFFSET(CampList[Priority],MATCH(Table_NFI[[#This Row],[Pcode]],CampList[CP_Pcode],0)-1,0,1,1))</f>
        <v>P4</v>
      </c>
      <c r="AS152" s="438">
        <f>IFERROR(Table_NFI[[#This Row],[Kitchen Set]]/VLOOKUP(Table_NFI[[#This Row],[Camp Name]],CL,4,0),"")</f>
        <v>0</v>
      </c>
      <c r="AT152" s="779"/>
      <c r="AU152" s="782"/>
    </row>
    <row r="153" spans="1:47" s="136" customFormat="1" x14ac:dyDescent="0.25">
      <c r="A153" s="451">
        <f t="shared" si="2"/>
        <v>15.233333333333333</v>
      </c>
      <c r="B153" s="768">
        <v>41913</v>
      </c>
      <c r="C153" s="769" t="s">
        <v>454</v>
      </c>
      <c r="D153" s="779" t="s">
        <v>507</v>
      </c>
      <c r="E153" s="779" t="s">
        <v>380</v>
      </c>
      <c r="F153" s="779" t="s">
        <v>237</v>
      </c>
      <c r="G153" s="779" t="s">
        <v>267</v>
      </c>
      <c r="H153" s="437"/>
      <c r="I153" s="437"/>
      <c r="J153" s="437"/>
      <c r="K153" s="437">
        <v>24</v>
      </c>
      <c r="L153" s="437"/>
      <c r="M153" s="437"/>
      <c r="N153" s="437"/>
      <c r="O153" s="437"/>
      <c r="P153" s="439"/>
      <c r="Q153" s="439"/>
      <c r="R153" s="439"/>
      <c r="S153" s="439"/>
      <c r="T153" s="439"/>
      <c r="U153" s="439"/>
      <c r="V153" s="439"/>
      <c r="W153" s="439"/>
      <c r="X153" s="439"/>
      <c r="Y153" s="439">
        <f>IF(NFI_Expiration=1,IF($A153&lt;VLOOKUP(H$5,NFI,5,0),1,0)*Table_NFI[[#This Row],[Hygiene Kit]],Table_NFI[Hygiene Kit])</f>
        <v>0</v>
      </c>
      <c r="Z153" s="439">
        <f>IF(NFI_Expiration=1,IF($A153&lt;VLOOKUP(I$5,NFI,5,0),1,0)*Table_NFI[[#This Row],[NFI Core Kit]],Table_NFI[NFI Core Kit])</f>
        <v>0</v>
      </c>
      <c r="AA153" s="439">
        <f>IF(NFI_Expiration=1,IF($A153&lt;VLOOKUP(J$5,NFI,5,0),1,0)*Table_NFI[[#This Row],[Sanitary Kit]],Table_NFI[Sanitary Kit])</f>
        <v>0</v>
      </c>
      <c r="AB153" s="439">
        <f>IF(NFI_Expiration=1,IF($A153&lt;VLOOKUP(K$5,NFI,5,0),1,0)*Table_NFI[[#This Row],[Mosquito net]],Table_NFI[Mosquito net])</f>
        <v>0</v>
      </c>
      <c r="AC153" s="439">
        <f>IF(NFI_Expiration=1,IF($A153&lt;VLOOKUP(L$5,NFI,5,0),1,0)*Table_NFI[[#This Row],[Tarpaulin]],Table_NFI[[#This Row],[Tarpaulin]])</f>
        <v>0</v>
      </c>
      <c r="AD153" s="439">
        <f>IF(NFI_Expiration=1,IF($A153&lt;VLOOKUP(M$5,NFI,5,0),1,0)*Table_NFI[[#This Row],[Blanket]],Table_NFI[[#This Row],[Blanket]])</f>
        <v>0</v>
      </c>
      <c r="AE153" s="439">
        <f>IF(NFI_Expiration=1,IF($A153&lt;VLOOKUP(N$5,NFI,5,0),1,0)*Table_NFI[[#This Row],[Kitchen Set]],Table_NFI[Kitchen Set])</f>
        <v>0</v>
      </c>
      <c r="AF153" s="439">
        <f>IF(NFI_Expiration=1,IF($A153&lt;VLOOKUP(O$5,NFI,5,0),1,0)*Table_NFI[[#This Row],[Clothes Kit]],Table_NFI[Clothes Kit])</f>
        <v>0</v>
      </c>
      <c r="AG153" s="439">
        <f>IF(NFI_Expiration=1,IF($A153&lt;VLOOKUP(P$5,NFI,5,0),1,0)*Table_NFI[[#This Row],[Plastic Bucket]],Table_NFI[Plastic Bucket])</f>
        <v>0</v>
      </c>
      <c r="AH153" s="439">
        <f>IF(NFI_Expiration=1,IF($A153&lt;VLOOKUP(Q$5,NFI,5,0),1,0)*Table_NFI[[#This Row],[Plastic Mat]],Table_NFI[Plastic Mat])*IF(Table_NFI[[#This Row],[Distribution Date]]&gt;"2014-04-01",1,2.5)</f>
        <v>0</v>
      </c>
      <c r="AI153" s="439">
        <f>IF(NFI_Expiration=1,IF($A153&lt;VLOOKUP(R$5,NFI,5,0),1,0)*Table_NFI[[#This Row],[Winter Clothes Adult]],Table_NFI[Winter Clothes Adult])</f>
        <v>0</v>
      </c>
      <c r="AJ153" s="439">
        <f>IF(NFI_Expiration=1,IF($A153&lt;VLOOKUP(S$5,NFI,5,0),1,0)*Table_NFI[[#This Row],[Winter Clothes Children]],Table_NFI[Winter Clothes Children])</f>
        <v>0</v>
      </c>
      <c r="AK153" s="439">
        <f>IF(NFI_Expiration=1,IF($A153&lt;VLOOKUP(T$5,NFI,5,0),1,0)*Table_NFI[[#This Row],[Winter Items Other]],Table_NFI[Winter Items Other])</f>
        <v>0</v>
      </c>
      <c r="AL153" s="439">
        <f>IF(NFI_Expiration=1,IF($A153&lt;VLOOKUP(M$5,NFI,5,0),1,0)*Table_NFI[[#This Row],[Winter Blanket]],Table_NFI[[#This Row],[Winter Blanket]])</f>
        <v>0</v>
      </c>
      <c r="AM153" s="439">
        <f>IF(Table_NFI[[#This Row],[Winter Clothes Adult]]+Table_NFI[[#This Row],[Winter Clothes Children]]+Table_NFI[[#This Row],[Winter Items Other]]+Table_NFI[[#This Row],[Winter Blanket]]&gt;0,1,0)</f>
        <v>0</v>
      </c>
      <c r="AN153" s="439">
        <f>IF(NFI_Expiration=1,IF($A153&lt;VLOOKUP(V$5,NFI,5,0),1,0)*Table_NFI[[#This Row],[Jerry Can]],Table_NFI[Jerry Can])</f>
        <v>0</v>
      </c>
      <c r="AO153" s="781" t="str">
        <f>IFERROR(VLOOKUP(Table_NFI[[#This Row],[Camp Name]],CL,2,0),"")</f>
        <v>MMR001CMP017</v>
      </c>
      <c r="AP153" s="772">
        <f ca="1">IF(Table_NFI[[#This Row],[Pcode]]="","",IF(OFFSET(CampList[Opening Date],MATCH(Table_NFI[[#This Row],[Pcode]],CampList[CP_Pcode],0)-1,0,1,1)&gt;=NFI_Monitor_Date,1,0))</f>
        <v>0</v>
      </c>
      <c r="AQ153" s="781" t="str">
        <f>IFERROR(VLOOKUP(Table_NFI[[#This Row],[Camp Name]],CL,3,0),"")</f>
        <v>Closed</v>
      </c>
      <c r="AR153" s="439" t="str">
        <f ca="1">IF(Table_NFI[[#This Row],[Pcode]]="","",OFFSET(CampList[Priority],MATCH(Table_NFI[[#This Row],[Pcode]],CampList[CP_Pcode],0)-1,0,1,1))</f>
        <v>P4</v>
      </c>
      <c r="AS153" s="438" t="str">
        <f>IFERROR(Table_NFI[[#This Row],[Kitchen Set]]/VLOOKUP(Table_NFI[[#This Row],[Camp Name]],CL,4,0),"")</f>
        <v/>
      </c>
      <c r="AT153" s="779"/>
      <c r="AU153" s="782"/>
    </row>
    <row r="154" spans="1:47" s="136" customFormat="1" x14ac:dyDescent="0.25">
      <c r="A154" s="451">
        <f t="shared" si="2"/>
        <v>15.233333333333333</v>
      </c>
      <c r="B154" s="768">
        <v>41913</v>
      </c>
      <c r="C154" s="769" t="s">
        <v>454</v>
      </c>
      <c r="D154" s="779" t="s">
        <v>507</v>
      </c>
      <c r="E154" s="779" t="s">
        <v>380</v>
      </c>
      <c r="F154" s="779" t="s">
        <v>529</v>
      </c>
      <c r="G154" s="779" t="s">
        <v>613</v>
      </c>
      <c r="H154" s="437"/>
      <c r="I154" s="437"/>
      <c r="J154" s="437"/>
      <c r="K154" s="437">
        <v>36</v>
      </c>
      <c r="L154" s="437"/>
      <c r="M154" s="437"/>
      <c r="N154" s="437"/>
      <c r="O154" s="437"/>
      <c r="P154" s="439"/>
      <c r="Q154" s="439"/>
      <c r="R154" s="439"/>
      <c r="S154" s="439"/>
      <c r="T154" s="439"/>
      <c r="U154" s="439"/>
      <c r="V154" s="439"/>
      <c r="W154" s="439"/>
      <c r="X154" s="439"/>
      <c r="Y154" s="439">
        <f>IF(NFI_Expiration=1,IF($A154&lt;VLOOKUP(H$5,NFI,5,0),1,0)*Table_NFI[[#This Row],[Hygiene Kit]],Table_NFI[Hygiene Kit])</f>
        <v>0</v>
      </c>
      <c r="Z154" s="439">
        <f>IF(NFI_Expiration=1,IF($A154&lt;VLOOKUP(I$5,NFI,5,0),1,0)*Table_NFI[[#This Row],[NFI Core Kit]],Table_NFI[NFI Core Kit])</f>
        <v>0</v>
      </c>
      <c r="AA154" s="439">
        <f>IF(NFI_Expiration=1,IF($A154&lt;VLOOKUP(J$5,NFI,5,0),1,0)*Table_NFI[[#This Row],[Sanitary Kit]],Table_NFI[Sanitary Kit])</f>
        <v>0</v>
      </c>
      <c r="AB154" s="439">
        <f>IF(NFI_Expiration=1,IF($A154&lt;VLOOKUP(K$5,NFI,5,0),1,0)*Table_NFI[[#This Row],[Mosquito net]],Table_NFI[Mosquito net])</f>
        <v>0</v>
      </c>
      <c r="AC154" s="439">
        <f>IF(NFI_Expiration=1,IF($A154&lt;VLOOKUP(L$5,NFI,5,0),1,0)*Table_NFI[[#This Row],[Tarpaulin]],Table_NFI[[#This Row],[Tarpaulin]])</f>
        <v>0</v>
      </c>
      <c r="AD154" s="439">
        <f>IF(NFI_Expiration=1,IF($A154&lt;VLOOKUP(M$5,NFI,5,0),1,0)*Table_NFI[[#This Row],[Blanket]],Table_NFI[[#This Row],[Blanket]])</f>
        <v>0</v>
      </c>
      <c r="AE154" s="439">
        <f>IF(NFI_Expiration=1,IF($A154&lt;VLOOKUP(N$5,NFI,5,0),1,0)*Table_NFI[[#This Row],[Kitchen Set]],Table_NFI[Kitchen Set])</f>
        <v>0</v>
      </c>
      <c r="AF154" s="439">
        <f>IF(NFI_Expiration=1,IF($A154&lt;VLOOKUP(O$5,NFI,5,0),1,0)*Table_NFI[[#This Row],[Clothes Kit]],Table_NFI[Clothes Kit])</f>
        <v>0</v>
      </c>
      <c r="AG154" s="439">
        <f>IF(NFI_Expiration=1,IF($A154&lt;VLOOKUP(P$5,NFI,5,0),1,0)*Table_NFI[[#This Row],[Plastic Bucket]],Table_NFI[Plastic Bucket])</f>
        <v>0</v>
      </c>
      <c r="AH154" s="439">
        <f>IF(NFI_Expiration=1,IF($A154&lt;VLOOKUP(Q$5,NFI,5,0),1,0)*Table_NFI[[#This Row],[Plastic Mat]],Table_NFI[Plastic Mat])*IF(Table_NFI[[#This Row],[Distribution Date]]&gt;"2014-04-01",1,2.5)</f>
        <v>0</v>
      </c>
      <c r="AI154" s="439">
        <f>IF(NFI_Expiration=1,IF($A154&lt;VLOOKUP(R$5,NFI,5,0),1,0)*Table_NFI[[#This Row],[Winter Clothes Adult]],Table_NFI[Winter Clothes Adult])</f>
        <v>0</v>
      </c>
      <c r="AJ154" s="439">
        <f>IF(NFI_Expiration=1,IF($A154&lt;VLOOKUP(S$5,NFI,5,0),1,0)*Table_NFI[[#This Row],[Winter Clothes Children]],Table_NFI[Winter Clothes Children])</f>
        <v>0</v>
      </c>
      <c r="AK154" s="439">
        <f>IF(NFI_Expiration=1,IF($A154&lt;VLOOKUP(T$5,NFI,5,0),1,0)*Table_NFI[[#This Row],[Winter Items Other]],Table_NFI[Winter Items Other])</f>
        <v>0</v>
      </c>
      <c r="AL154" s="439">
        <f>IF(NFI_Expiration=1,IF($A154&lt;VLOOKUP(M$5,NFI,5,0),1,0)*Table_NFI[[#This Row],[Winter Blanket]],Table_NFI[[#This Row],[Winter Blanket]])</f>
        <v>0</v>
      </c>
      <c r="AM154" s="439">
        <f>IF(Table_NFI[[#This Row],[Winter Clothes Adult]]+Table_NFI[[#This Row],[Winter Clothes Children]]+Table_NFI[[#This Row],[Winter Items Other]]+Table_NFI[[#This Row],[Winter Blanket]]&gt;0,1,0)</f>
        <v>0</v>
      </c>
      <c r="AN154" s="439">
        <f>IF(NFI_Expiration=1,IF($A154&lt;VLOOKUP(V$5,NFI,5,0),1,0)*Table_NFI[[#This Row],[Jerry Can]],Table_NFI[Jerry Can])</f>
        <v>0</v>
      </c>
      <c r="AO154" s="781" t="str">
        <f>IFERROR(VLOOKUP(Table_NFI[[#This Row],[Camp Name]],CL,2,0),"")</f>
        <v>MMR001CMP192</v>
      </c>
      <c r="AP154" s="772">
        <f ca="1">IF(Table_NFI[[#This Row],[Pcode]]="","",IF(OFFSET(CampList[Opening Date],MATCH(Table_NFI[[#This Row],[Pcode]],CampList[CP_Pcode],0)-1,0,1,1)&gt;=NFI_Monitor_Date,1,0))</f>
        <v>0</v>
      </c>
      <c r="AQ154" s="781" t="str">
        <f>IFERROR(VLOOKUP(Table_NFI[[#This Row],[Camp Name]],CL,3,0),"")</f>
        <v>Open</v>
      </c>
      <c r="AR154" s="439" t="str">
        <f ca="1">IF(Table_NFI[[#This Row],[Pcode]]="","",OFFSET(CampList[Priority],MATCH(Table_NFI[[#This Row],[Pcode]],CampList[CP_Pcode],0)-1,0,1,1))</f>
        <v>P4</v>
      </c>
      <c r="AS154" s="438">
        <f>IFERROR(Table_NFI[[#This Row],[Kitchen Set]]/VLOOKUP(Table_NFI[[#This Row],[Camp Name]],CL,4,0),"")</f>
        <v>0</v>
      </c>
      <c r="AT154" s="779"/>
      <c r="AU154" s="782"/>
    </row>
    <row r="155" spans="1:47" s="136" customFormat="1" x14ac:dyDescent="0.25">
      <c r="A155" s="451">
        <f t="shared" si="2"/>
        <v>15.233333333333333</v>
      </c>
      <c r="B155" s="768">
        <v>41913</v>
      </c>
      <c r="C155" s="769" t="s">
        <v>454</v>
      </c>
      <c r="D155" s="779" t="s">
        <v>508</v>
      </c>
      <c r="E155" s="779" t="s">
        <v>380</v>
      </c>
      <c r="F155" s="779" t="s">
        <v>237</v>
      </c>
      <c r="G155" s="779" t="s">
        <v>271</v>
      </c>
      <c r="H155" s="437"/>
      <c r="I155" s="437"/>
      <c r="J155" s="437"/>
      <c r="K155" s="437">
        <v>144</v>
      </c>
      <c r="L155" s="437"/>
      <c r="M155" s="437"/>
      <c r="N155" s="437"/>
      <c r="O155" s="437"/>
      <c r="P155" s="439"/>
      <c r="Q155" s="439"/>
      <c r="R155" s="439"/>
      <c r="S155" s="439"/>
      <c r="T155" s="439"/>
      <c r="U155" s="439"/>
      <c r="V155" s="439"/>
      <c r="W155" s="439"/>
      <c r="X155" s="439"/>
      <c r="Y155" s="439">
        <f>IF(NFI_Expiration=1,IF($A155&lt;VLOOKUP(H$5,NFI,5,0),1,0)*Table_NFI[[#This Row],[Hygiene Kit]],Table_NFI[Hygiene Kit])</f>
        <v>0</v>
      </c>
      <c r="Z155" s="439">
        <f>IF(NFI_Expiration=1,IF($A155&lt;VLOOKUP(I$5,NFI,5,0),1,0)*Table_NFI[[#This Row],[NFI Core Kit]],Table_NFI[NFI Core Kit])</f>
        <v>0</v>
      </c>
      <c r="AA155" s="439">
        <f>IF(NFI_Expiration=1,IF($A155&lt;VLOOKUP(J$5,NFI,5,0),1,0)*Table_NFI[[#This Row],[Sanitary Kit]],Table_NFI[Sanitary Kit])</f>
        <v>0</v>
      </c>
      <c r="AB155" s="439">
        <f>IF(NFI_Expiration=1,IF($A155&lt;VLOOKUP(K$5,NFI,5,0),1,0)*Table_NFI[[#This Row],[Mosquito net]],Table_NFI[Mosquito net])</f>
        <v>0</v>
      </c>
      <c r="AC155" s="439">
        <f>IF(NFI_Expiration=1,IF($A155&lt;VLOOKUP(L$5,NFI,5,0),1,0)*Table_NFI[[#This Row],[Tarpaulin]],Table_NFI[[#This Row],[Tarpaulin]])</f>
        <v>0</v>
      </c>
      <c r="AD155" s="439">
        <f>IF(NFI_Expiration=1,IF($A155&lt;VLOOKUP(M$5,NFI,5,0),1,0)*Table_NFI[[#This Row],[Blanket]],Table_NFI[[#This Row],[Blanket]])</f>
        <v>0</v>
      </c>
      <c r="AE155" s="439">
        <f>IF(NFI_Expiration=1,IF($A155&lt;VLOOKUP(N$5,NFI,5,0),1,0)*Table_NFI[[#This Row],[Kitchen Set]],Table_NFI[Kitchen Set])</f>
        <v>0</v>
      </c>
      <c r="AF155" s="439">
        <f>IF(NFI_Expiration=1,IF($A155&lt;VLOOKUP(O$5,NFI,5,0),1,0)*Table_NFI[[#This Row],[Clothes Kit]],Table_NFI[Clothes Kit])</f>
        <v>0</v>
      </c>
      <c r="AG155" s="439">
        <f>IF(NFI_Expiration=1,IF($A155&lt;VLOOKUP(P$5,NFI,5,0),1,0)*Table_NFI[[#This Row],[Plastic Bucket]],Table_NFI[Plastic Bucket])</f>
        <v>0</v>
      </c>
      <c r="AH155" s="439">
        <f>IF(NFI_Expiration=1,IF($A155&lt;VLOOKUP(Q$5,NFI,5,0),1,0)*Table_NFI[[#This Row],[Plastic Mat]],Table_NFI[Plastic Mat])*IF(Table_NFI[[#This Row],[Distribution Date]]&gt;"2014-04-01",1,2.5)</f>
        <v>0</v>
      </c>
      <c r="AI155" s="439">
        <f>IF(NFI_Expiration=1,IF($A155&lt;VLOOKUP(R$5,NFI,5,0),1,0)*Table_NFI[[#This Row],[Winter Clothes Adult]],Table_NFI[Winter Clothes Adult])</f>
        <v>0</v>
      </c>
      <c r="AJ155" s="439">
        <f>IF(NFI_Expiration=1,IF($A155&lt;VLOOKUP(S$5,NFI,5,0),1,0)*Table_NFI[[#This Row],[Winter Clothes Children]],Table_NFI[Winter Clothes Children])</f>
        <v>0</v>
      </c>
      <c r="AK155" s="439">
        <f>IF(NFI_Expiration=1,IF($A155&lt;VLOOKUP(T$5,NFI,5,0),1,0)*Table_NFI[[#This Row],[Winter Items Other]],Table_NFI[Winter Items Other])</f>
        <v>0</v>
      </c>
      <c r="AL155" s="439">
        <f>IF(NFI_Expiration=1,IF($A155&lt;VLOOKUP(M$5,NFI,5,0),1,0)*Table_NFI[[#This Row],[Winter Blanket]],Table_NFI[[#This Row],[Winter Blanket]])</f>
        <v>0</v>
      </c>
      <c r="AM155" s="439">
        <f>IF(Table_NFI[[#This Row],[Winter Clothes Adult]]+Table_NFI[[#This Row],[Winter Clothes Children]]+Table_NFI[[#This Row],[Winter Items Other]]+Table_NFI[[#This Row],[Winter Blanket]]&gt;0,1,0)</f>
        <v>0</v>
      </c>
      <c r="AN155" s="439">
        <f>IF(NFI_Expiration=1,IF($A155&lt;VLOOKUP(V$5,NFI,5,0),1,0)*Table_NFI[[#This Row],[Jerry Can]],Table_NFI[Jerry Can])</f>
        <v>0</v>
      </c>
      <c r="AO155" s="781" t="str">
        <f>IFERROR(VLOOKUP(Table_NFI[[#This Row],[Camp Name]],CL,2,0),"")</f>
        <v>MMR001CMP024</v>
      </c>
      <c r="AP155" s="772">
        <f ca="1">IF(Table_NFI[[#This Row],[Pcode]]="","",IF(OFFSET(CampList[Opening Date],MATCH(Table_NFI[[#This Row],[Pcode]],CampList[CP_Pcode],0)-1,0,1,1)&gt;=NFI_Monitor_Date,1,0))</f>
        <v>0</v>
      </c>
      <c r="AQ155" s="781" t="str">
        <f>IFERROR(VLOOKUP(Table_NFI[[#This Row],[Camp Name]],CL,3,0),"")</f>
        <v>Open</v>
      </c>
      <c r="AR155" s="439" t="str">
        <f ca="1">IF(Table_NFI[[#This Row],[Pcode]]="","",OFFSET(CampList[Priority],MATCH(Table_NFI[[#This Row],[Pcode]],CampList[CP_Pcode],0)-1,0,1,1))</f>
        <v>P4</v>
      </c>
      <c r="AS155" s="438">
        <f>IFERROR(Table_NFI[[#This Row],[Kitchen Set]]/VLOOKUP(Table_NFI[[#This Row],[Camp Name]],CL,4,0),"")</f>
        <v>0</v>
      </c>
      <c r="AT155" s="779"/>
      <c r="AU155" s="782"/>
    </row>
    <row r="156" spans="1:47" s="136" customFormat="1" x14ac:dyDescent="0.25">
      <c r="A156" s="451">
        <f t="shared" si="2"/>
        <v>15.233333333333333</v>
      </c>
      <c r="B156" s="768">
        <v>41913</v>
      </c>
      <c r="C156" s="769" t="s">
        <v>454</v>
      </c>
      <c r="D156" s="779" t="s">
        <v>508</v>
      </c>
      <c r="E156" s="779" t="s">
        <v>380</v>
      </c>
      <c r="F156" s="779" t="s">
        <v>529</v>
      </c>
      <c r="G156" s="779" t="s">
        <v>108</v>
      </c>
      <c r="H156" s="437"/>
      <c r="I156" s="437"/>
      <c r="J156" s="437"/>
      <c r="K156" s="437">
        <v>80</v>
      </c>
      <c r="L156" s="437"/>
      <c r="M156" s="437"/>
      <c r="N156" s="437"/>
      <c r="O156" s="437"/>
      <c r="P156" s="439"/>
      <c r="Q156" s="439"/>
      <c r="R156" s="439"/>
      <c r="S156" s="439"/>
      <c r="T156" s="439"/>
      <c r="U156" s="439"/>
      <c r="V156" s="439"/>
      <c r="W156" s="439"/>
      <c r="X156" s="439"/>
      <c r="Y156" s="439">
        <f>IF(NFI_Expiration=1,IF($A156&lt;VLOOKUP(H$5,NFI,5,0),1,0)*Table_NFI[[#This Row],[Hygiene Kit]],Table_NFI[Hygiene Kit])</f>
        <v>0</v>
      </c>
      <c r="Z156" s="439">
        <f>IF(NFI_Expiration=1,IF($A156&lt;VLOOKUP(I$5,NFI,5,0),1,0)*Table_NFI[[#This Row],[NFI Core Kit]],Table_NFI[NFI Core Kit])</f>
        <v>0</v>
      </c>
      <c r="AA156" s="439">
        <f>IF(NFI_Expiration=1,IF($A156&lt;VLOOKUP(J$5,NFI,5,0),1,0)*Table_NFI[[#This Row],[Sanitary Kit]],Table_NFI[Sanitary Kit])</f>
        <v>0</v>
      </c>
      <c r="AB156" s="439">
        <f>IF(NFI_Expiration=1,IF($A156&lt;VLOOKUP(K$5,NFI,5,0),1,0)*Table_NFI[[#This Row],[Mosquito net]],Table_NFI[Mosquito net])</f>
        <v>0</v>
      </c>
      <c r="AC156" s="439">
        <f>IF(NFI_Expiration=1,IF($A156&lt;VLOOKUP(L$5,NFI,5,0),1,0)*Table_NFI[[#This Row],[Tarpaulin]],Table_NFI[[#This Row],[Tarpaulin]])</f>
        <v>0</v>
      </c>
      <c r="AD156" s="439">
        <f>IF(NFI_Expiration=1,IF($A156&lt;VLOOKUP(M$5,NFI,5,0),1,0)*Table_NFI[[#This Row],[Blanket]],Table_NFI[[#This Row],[Blanket]])</f>
        <v>0</v>
      </c>
      <c r="AE156" s="439">
        <f>IF(NFI_Expiration=1,IF($A156&lt;VLOOKUP(N$5,NFI,5,0),1,0)*Table_NFI[[#This Row],[Kitchen Set]],Table_NFI[Kitchen Set])</f>
        <v>0</v>
      </c>
      <c r="AF156" s="439">
        <f>IF(NFI_Expiration=1,IF($A156&lt;VLOOKUP(O$5,NFI,5,0),1,0)*Table_NFI[[#This Row],[Clothes Kit]],Table_NFI[Clothes Kit])</f>
        <v>0</v>
      </c>
      <c r="AG156" s="439">
        <f>IF(NFI_Expiration=1,IF($A156&lt;VLOOKUP(P$5,NFI,5,0),1,0)*Table_NFI[[#This Row],[Plastic Bucket]],Table_NFI[Plastic Bucket])</f>
        <v>0</v>
      </c>
      <c r="AH156" s="439">
        <f>IF(NFI_Expiration=1,IF($A156&lt;VLOOKUP(Q$5,NFI,5,0),1,0)*Table_NFI[[#This Row],[Plastic Mat]],Table_NFI[Plastic Mat])*IF(Table_NFI[[#This Row],[Distribution Date]]&gt;"2014-04-01",1,2.5)</f>
        <v>0</v>
      </c>
      <c r="AI156" s="439">
        <f>IF(NFI_Expiration=1,IF($A156&lt;VLOOKUP(R$5,NFI,5,0),1,0)*Table_NFI[[#This Row],[Winter Clothes Adult]],Table_NFI[Winter Clothes Adult])</f>
        <v>0</v>
      </c>
      <c r="AJ156" s="439">
        <f>IF(NFI_Expiration=1,IF($A156&lt;VLOOKUP(S$5,NFI,5,0),1,0)*Table_NFI[[#This Row],[Winter Clothes Children]],Table_NFI[Winter Clothes Children])</f>
        <v>0</v>
      </c>
      <c r="AK156" s="439">
        <f>IF(NFI_Expiration=1,IF($A156&lt;VLOOKUP(T$5,NFI,5,0),1,0)*Table_NFI[[#This Row],[Winter Items Other]],Table_NFI[Winter Items Other])</f>
        <v>0</v>
      </c>
      <c r="AL156" s="439">
        <f>IF(NFI_Expiration=1,IF($A156&lt;VLOOKUP(M$5,NFI,5,0),1,0)*Table_NFI[[#This Row],[Winter Blanket]],Table_NFI[[#This Row],[Winter Blanket]])</f>
        <v>0</v>
      </c>
      <c r="AM156" s="439">
        <f>IF(Table_NFI[[#This Row],[Winter Clothes Adult]]+Table_NFI[[#This Row],[Winter Clothes Children]]+Table_NFI[[#This Row],[Winter Items Other]]+Table_NFI[[#This Row],[Winter Blanket]]&gt;0,1,0)</f>
        <v>0</v>
      </c>
      <c r="AN156" s="439">
        <f>IF(NFI_Expiration=1,IF($A156&lt;VLOOKUP(V$5,NFI,5,0),1,0)*Table_NFI[[#This Row],[Jerry Can]],Table_NFI[Jerry Can])</f>
        <v>0</v>
      </c>
      <c r="AO156" s="781" t="str">
        <f>IFERROR(VLOOKUP(Table_NFI[[#This Row],[Camp Name]],CL,2,0),"")</f>
        <v>MMR001CMP103</v>
      </c>
      <c r="AP156" s="772">
        <f ca="1">IF(Table_NFI[[#This Row],[Pcode]]="","",IF(OFFSET(CampList[Opening Date],MATCH(Table_NFI[[#This Row],[Pcode]],CampList[CP_Pcode],0)-1,0,1,1)&gt;=NFI_Monitor_Date,1,0))</f>
        <v>0</v>
      </c>
      <c r="AQ156" s="781" t="str">
        <f>IFERROR(VLOOKUP(Table_NFI[[#This Row],[Camp Name]],CL,3,0),"")</f>
        <v>Open</v>
      </c>
      <c r="AR156" s="439" t="str">
        <f ca="1">IF(Table_NFI[[#This Row],[Pcode]]="","",OFFSET(CampList[Priority],MATCH(Table_NFI[[#This Row],[Pcode]],CampList[CP_Pcode],0)-1,0,1,1))</f>
        <v>P4</v>
      </c>
      <c r="AS156" s="438">
        <f>IFERROR(Table_NFI[[#This Row],[Kitchen Set]]/VLOOKUP(Table_NFI[[#This Row],[Camp Name]],CL,4,0),"")</f>
        <v>0</v>
      </c>
      <c r="AT156" s="779"/>
      <c r="AU156" s="782"/>
    </row>
    <row r="157" spans="1:47" s="136" customFormat="1" x14ac:dyDescent="0.25">
      <c r="A157" s="451">
        <f t="shared" si="2"/>
        <v>15.233333333333333</v>
      </c>
      <c r="B157" s="768">
        <v>41913</v>
      </c>
      <c r="C157" s="769" t="s">
        <v>454</v>
      </c>
      <c r="D157" s="779" t="s">
        <v>507</v>
      </c>
      <c r="E157" s="779" t="s">
        <v>380</v>
      </c>
      <c r="F157" s="779" t="s">
        <v>310</v>
      </c>
      <c r="G157" s="779" t="s">
        <v>344</v>
      </c>
      <c r="H157" s="437"/>
      <c r="I157" s="437"/>
      <c r="J157" s="437"/>
      <c r="K157" s="437">
        <v>36</v>
      </c>
      <c r="L157" s="437"/>
      <c r="M157" s="437"/>
      <c r="N157" s="437"/>
      <c r="O157" s="437"/>
      <c r="P157" s="439"/>
      <c r="Q157" s="439"/>
      <c r="R157" s="439"/>
      <c r="S157" s="439"/>
      <c r="T157" s="439"/>
      <c r="U157" s="439"/>
      <c r="V157" s="439"/>
      <c r="W157" s="439"/>
      <c r="X157" s="439"/>
      <c r="Y157" s="439">
        <f>IF(NFI_Expiration=1,IF($A157&lt;VLOOKUP(H$5,NFI,5,0),1,0)*Table_NFI[[#This Row],[Hygiene Kit]],Table_NFI[Hygiene Kit])</f>
        <v>0</v>
      </c>
      <c r="Z157" s="439">
        <f>IF(NFI_Expiration=1,IF($A157&lt;VLOOKUP(I$5,NFI,5,0),1,0)*Table_NFI[[#This Row],[NFI Core Kit]],Table_NFI[NFI Core Kit])</f>
        <v>0</v>
      </c>
      <c r="AA157" s="439">
        <f>IF(NFI_Expiration=1,IF($A157&lt;VLOOKUP(J$5,NFI,5,0),1,0)*Table_NFI[[#This Row],[Sanitary Kit]],Table_NFI[Sanitary Kit])</f>
        <v>0</v>
      </c>
      <c r="AB157" s="439">
        <f>IF(NFI_Expiration=1,IF($A157&lt;VLOOKUP(K$5,NFI,5,0),1,0)*Table_NFI[[#This Row],[Mosquito net]],Table_NFI[Mosquito net])</f>
        <v>0</v>
      </c>
      <c r="AC157" s="439">
        <f>IF(NFI_Expiration=1,IF($A157&lt;VLOOKUP(L$5,NFI,5,0),1,0)*Table_NFI[[#This Row],[Tarpaulin]],Table_NFI[[#This Row],[Tarpaulin]])</f>
        <v>0</v>
      </c>
      <c r="AD157" s="439">
        <f>IF(NFI_Expiration=1,IF($A157&lt;VLOOKUP(M$5,NFI,5,0),1,0)*Table_NFI[[#This Row],[Blanket]],Table_NFI[[#This Row],[Blanket]])</f>
        <v>0</v>
      </c>
      <c r="AE157" s="439">
        <f>IF(NFI_Expiration=1,IF($A157&lt;VLOOKUP(N$5,NFI,5,0),1,0)*Table_NFI[[#This Row],[Kitchen Set]],Table_NFI[Kitchen Set])</f>
        <v>0</v>
      </c>
      <c r="AF157" s="439">
        <f>IF(NFI_Expiration=1,IF($A157&lt;VLOOKUP(O$5,NFI,5,0),1,0)*Table_NFI[[#This Row],[Clothes Kit]],Table_NFI[Clothes Kit])</f>
        <v>0</v>
      </c>
      <c r="AG157" s="439">
        <f>IF(NFI_Expiration=1,IF($A157&lt;VLOOKUP(P$5,NFI,5,0),1,0)*Table_NFI[[#This Row],[Plastic Bucket]],Table_NFI[Plastic Bucket])</f>
        <v>0</v>
      </c>
      <c r="AH157" s="439">
        <f>IF(NFI_Expiration=1,IF($A157&lt;VLOOKUP(Q$5,NFI,5,0),1,0)*Table_NFI[[#This Row],[Plastic Mat]],Table_NFI[Plastic Mat])*IF(Table_NFI[[#This Row],[Distribution Date]]&gt;"2014-04-01",1,2.5)</f>
        <v>0</v>
      </c>
      <c r="AI157" s="439">
        <f>IF(NFI_Expiration=1,IF($A157&lt;VLOOKUP(R$5,NFI,5,0),1,0)*Table_NFI[[#This Row],[Winter Clothes Adult]],Table_NFI[Winter Clothes Adult])</f>
        <v>0</v>
      </c>
      <c r="AJ157" s="439">
        <f>IF(NFI_Expiration=1,IF($A157&lt;VLOOKUP(S$5,NFI,5,0),1,0)*Table_NFI[[#This Row],[Winter Clothes Children]],Table_NFI[Winter Clothes Children])</f>
        <v>0</v>
      </c>
      <c r="AK157" s="439">
        <f>IF(NFI_Expiration=1,IF($A157&lt;VLOOKUP(T$5,NFI,5,0),1,0)*Table_NFI[[#This Row],[Winter Items Other]],Table_NFI[Winter Items Other])</f>
        <v>0</v>
      </c>
      <c r="AL157" s="439">
        <f>IF(NFI_Expiration=1,IF($A157&lt;VLOOKUP(M$5,NFI,5,0),1,0)*Table_NFI[[#This Row],[Winter Blanket]],Table_NFI[[#This Row],[Winter Blanket]])</f>
        <v>0</v>
      </c>
      <c r="AM157" s="439">
        <f>IF(Table_NFI[[#This Row],[Winter Clothes Adult]]+Table_NFI[[#This Row],[Winter Clothes Children]]+Table_NFI[[#This Row],[Winter Items Other]]+Table_NFI[[#This Row],[Winter Blanket]]&gt;0,1,0)</f>
        <v>0</v>
      </c>
      <c r="AN157" s="439">
        <f>IF(NFI_Expiration=1,IF($A157&lt;VLOOKUP(V$5,NFI,5,0),1,0)*Table_NFI[[#This Row],[Jerry Can]],Table_NFI[Jerry Can])</f>
        <v>0</v>
      </c>
      <c r="AO157" s="781" t="str">
        <f>IFERROR(VLOOKUP(Table_NFI[[#This Row],[Camp Name]],CL,2,0),"")</f>
        <v>MMR001CMP033</v>
      </c>
      <c r="AP157" s="772">
        <f ca="1">IF(Table_NFI[[#This Row],[Pcode]]="","",IF(OFFSET(CampList[Opening Date],MATCH(Table_NFI[[#This Row],[Pcode]],CampList[CP_Pcode],0)-1,0,1,1)&gt;=NFI_Monitor_Date,1,0))</f>
        <v>0</v>
      </c>
      <c r="AQ157" s="781" t="str">
        <f>IFERROR(VLOOKUP(Table_NFI[[#This Row],[Camp Name]],CL,3,0),"")</f>
        <v>Open</v>
      </c>
      <c r="AR157" s="439" t="str">
        <f ca="1">IF(Table_NFI[[#This Row],[Pcode]]="","",OFFSET(CampList[Priority],MATCH(Table_NFI[[#This Row],[Pcode]],CampList[CP_Pcode],0)-1,0,1,1))</f>
        <v>P4</v>
      </c>
      <c r="AS157" s="438">
        <f>IFERROR(Table_NFI[[#This Row],[Kitchen Set]]/VLOOKUP(Table_NFI[[#This Row],[Camp Name]],CL,4,0),"")</f>
        <v>0</v>
      </c>
      <c r="AT157" s="779"/>
      <c r="AU157" s="782"/>
    </row>
    <row r="158" spans="1:47" s="136" customFormat="1" x14ac:dyDescent="0.25">
      <c r="A158" s="451">
        <f t="shared" si="2"/>
        <v>15.233333333333333</v>
      </c>
      <c r="B158" s="768">
        <v>41913</v>
      </c>
      <c r="C158" s="769" t="s">
        <v>454</v>
      </c>
      <c r="D158" s="779" t="s">
        <v>508</v>
      </c>
      <c r="E158" s="779" t="s">
        <v>380</v>
      </c>
      <c r="F158" s="779" t="s">
        <v>237</v>
      </c>
      <c r="G158" s="779" t="s">
        <v>273</v>
      </c>
      <c r="H158" s="437"/>
      <c r="I158" s="437"/>
      <c r="J158" s="437"/>
      <c r="K158" s="437">
        <v>62</v>
      </c>
      <c r="L158" s="437"/>
      <c r="M158" s="437"/>
      <c r="N158" s="437"/>
      <c r="O158" s="437"/>
      <c r="P158" s="439"/>
      <c r="Q158" s="439"/>
      <c r="R158" s="439"/>
      <c r="S158" s="439"/>
      <c r="T158" s="439"/>
      <c r="U158" s="439"/>
      <c r="V158" s="439"/>
      <c r="W158" s="439"/>
      <c r="X158" s="439"/>
      <c r="Y158" s="439">
        <f>IF(NFI_Expiration=1,IF($A158&lt;VLOOKUP(H$5,NFI,5,0),1,0)*Table_NFI[[#This Row],[Hygiene Kit]],Table_NFI[Hygiene Kit])</f>
        <v>0</v>
      </c>
      <c r="Z158" s="439">
        <f>IF(NFI_Expiration=1,IF($A158&lt;VLOOKUP(I$5,NFI,5,0),1,0)*Table_NFI[[#This Row],[NFI Core Kit]],Table_NFI[NFI Core Kit])</f>
        <v>0</v>
      </c>
      <c r="AA158" s="439">
        <f>IF(NFI_Expiration=1,IF($A158&lt;VLOOKUP(J$5,NFI,5,0),1,0)*Table_NFI[[#This Row],[Sanitary Kit]],Table_NFI[Sanitary Kit])</f>
        <v>0</v>
      </c>
      <c r="AB158" s="439">
        <f>IF(NFI_Expiration=1,IF($A158&lt;VLOOKUP(K$5,NFI,5,0),1,0)*Table_NFI[[#This Row],[Mosquito net]],Table_NFI[Mosquito net])</f>
        <v>0</v>
      </c>
      <c r="AC158" s="439">
        <f>IF(NFI_Expiration=1,IF($A158&lt;VLOOKUP(L$5,NFI,5,0),1,0)*Table_NFI[[#This Row],[Tarpaulin]],Table_NFI[[#This Row],[Tarpaulin]])</f>
        <v>0</v>
      </c>
      <c r="AD158" s="439">
        <f>IF(NFI_Expiration=1,IF($A158&lt;VLOOKUP(M$5,NFI,5,0),1,0)*Table_NFI[[#This Row],[Blanket]],Table_NFI[[#This Row],[Blanket]])</f>
        <v>0</v>
      </c>
      <c r="AE158" s="439">
        <f>IF(NFI_Expiration=1,IF($A158&lt;VLOOKUP(N$5,NFI,5,0),1,0)*Table_NFI[[#This Row],[Kitchen Set]],Table_NFI[Kitchen Set])</f>
        <v>0</v>
      </c>
      <c r="AF158" s="439">
        <f>IF(NFI_Expiration=1,IF($A158&lt;VLOOKUP(O$5,NFI,5,0),1,0)*Table_NFI[[#This Row],[Clothes Kit]],Table_NFI[Clothes Kit])</f>
        <v>0</v>
      </c>
      <c r="AG158" s="439">
        <f>IF(NFI_Expiration=1,IF($A158&lt;VLOOKUP(P$5,NFI,5,0),1,0)*Table_NFI[[#This Row],[Plastic Bucket]],Table_NFI[Plastic Bucket])</f>
        <v>0</v>
      </c>
      <c r="AH158" s="439">
        <f>IF(NFI_Expiration=1,IF($A158&lt;VLOOKUP(Q$5,NFI,5,0),1,0)*Table_NFI[[#This Row],[Plastic Mat]],Table_NFI[Plastic Mat])*IF(Table_NFI[[#This Row],[Distribution Date]]&gt;"2014-04-01",1,2.5)</f>
        <v>0</v>
      </c>
      <c r="AI158" s="439">
        <f>IF(NFI_Expiration=1,IF($A158&lt;VLOOKUP(R$5,NFI,5,0),1,0)*Table_NFI[[#This Row],[Winter Clothes Adult]],Table_NFI[Winter Clothes Adult])</f>
        <v>0</v>
      </c>
      <c r="AJ158" s="439">
        <f>IF(NFI_Expiration=1,IF($A158&lt;VLOOKUP(S$5,NFI,5,0),1,0)*Table_NFI[[#This Row],[Winter Clothes Children]],Table_NFI[Winter Clothes Children])</f>
        <v>0</v>
      </c>
      <c r="AK158" s="439">
        <f>IF(NFI_Expiration=1,IF($A158&lt;VLOOKUP(T$5,NFI,5,0),1,0)*Table_NFI[[#This Row],[Winter Items Other]],Table_NFI[Winter Items Other])</f>
        <v>0</v>
      </c>
      <c r="AL158" s="439">
        <f>IF(NFI_Expiration=1,IF($A158&lt;VLOOKUP(M$5,NFI,5,0),1,0)*Table_NFI[[#This Row],[Winter Blanket]],Table_NFI[[#This Row],[Winter Blanket]])</f>
        <v>0</v>
      </c>
      <c r="AM158" s="439">
        <f>IF(Table_NFI[[#This Row],[Winter Clothes Adult]]+Table_NFI[[#This Row],[Winter Clothes Children]]+Table_NFI[[#This Row],[Winter Items Other]]+Table_NFI[[#This Row],[Winter Blanket]]&gt;0,1,0)</f>
        <v>0</v>
      </c>
      <c r="AN158" s="439">
        <f>IF(NFI_Expiration=1,IF($A158&lt;VLOOKUP(V$5,NFI,5,0),1,0)*Table_NFI[[#This Row],[Jerry Can]],Table_NFI[Jerry Can])</f>
        <v>0</v>
      </c>
      <c r="AO158" s="781" t="str">
        <f>IFERROR(VLOOKUP(Table_NFI[[#This Row],[Camp Name]],CL,2,0),"")</f>
        <v>MMR001CMP162</v>
      </c>
      <c r="AP158" s="772">
        <f ca="1">IF(Table_NFI[[#This Row],[Pcode]]="","",IF(OFFSET(CampList[Opening Date],MATCH(Table_NFI[[#This Row],[Pcode]],CampList[CP_Pcode],0)-1,0,1,1)&gt;=NFI_Monitor_Date,1,0))</f>
        <v>0</v>
      </c>
      <c r="AQ158" s="781" t="str">
        <f>IFERROR(VLOOKUP(Table_NFI[[#This Row],[Camp Name]],CL,3,0),"")</f>
        <v>Open</v>
      </c>
      <c r="AR158" s="439" t="str">
        <f ca="1">IF(Table_NFI[[#This Row],[Pcode]]="","",OFFSET(CampList[Priority],MATCH(Table_NFI[[#This Row],[Pcode]],CampList[CP_Pcode],0)-1,0,1,1))</f>
        <v>P4</v>
      </c>
      <c r="AS158" s="438">
        <f>IFERROR(Table_NFI[[#This Row],[Kitchen Set]]/VLOOKUP(Table_NFI[[#This Row],[Camp Name]],CL,4,0),"")</f>
        <v>0</v>
      </c>
      <c r="AT158" s="779"/>
      <c r="AU158" s="782"/>
    </row>
    <row r="159" spans="1:47" s="136" customFormat="1" x14ac:dyDescent="0.25">
      <c r="A159" s="451">
        <f t="shared" si="2"/>
        <v>15.233333333333333</v>
      </c>
      <c r="B159" s="768">
        <v>41913</v>
      </c>
      <c r="C159" s="769" t="s">
        <v>454</v>
      </c>
      <c r="D159" s="779" t="s">
        <v>508</v>
      </c>
      <c r="E159" s="779" t="s">
        <v>380</v>
      </c>
      <c r="F159" s="779" t="s">
        <v>27</v>
      </c>
      <c r="G159" s="779" t="s">
        <v>870</v>
      </c>
      <c r="H159" s="437"/>
      <c r="I159" s="437"/>
      <c r="J159" s="437"/>
      <c r="K159" s="437">
        <v>130</v>
      </c>
      <c r="L159" s="437"/>
      <c r="M159" s="437"/>
      <c r="N159" s="437"/>
      <c r="O159" s="437"/>
      <c r="P159" s="439"/>
      <c r="Q159" s="439"/>
      <c r="R159" s="439"/>
      <c r="S159" s="439"/>
      <c r="T159" s="439"/>
      <c r="U159" s="437">
        <v>130</v>
      </c>
      <c r="V159" s="437"/>
      <c r="W159" s="437"/>
      <c r="X159" s="437"/>
      <c r="Y159" s="439">
        <f>IF(NFI_Expiration=1,IF($A159&lt;VLOOKUP(H$5,NFI,5,0),1,0)*Table_NFI[[#This Row],[Hygiene Kit]],Table_NFI[Hygiene Kit])</f>
        <v>0</v>
      </c>
      <c r="Z159" s="439">
        <f>IF(NFI_Expiration=1,IF($A159&lt;VLOOKUP(I$5,NFI,5,0),1,0)*Table_NFI[[#This Row],[NFI Core Kit]],Table_NFI[NFI Core Kit])</f>
        <v>0</v>
      </c>
      <c r="AA159" s="439">
        <f>IF(NFI_Expiration=1,IF($A159&lt;VLOOKUP(J$5,NFI,5,0),1,0)*Table_NFI[[#This Row],[Sanitary Kit]],Table_NFI[Sanitary Kit])</f>
        <v>0</v>
      </c>
      <c r="AB159" s="439">
        <f>IF(NFI_Expiration=1,IF($A159&lt;VLOOKUP(K$5,NFI,5,0),1,0)*Table_NFI[[#This Row],[Mosquito net]],Table_NFI[Mosquito net])</f>
        <v>0</v>
      </c>
      <c r="AC159" s="439">
        <f>IF(NFI_Expiration=1,IF($A159&lt;VLOOKUP(L$5,NFI,5,0),1,0)*Table_NFI[[#This Row],[Tarpaulin]],Table_NFI[[#This Row],[Tarpaulin]])</f>
        <v>0</v>
      </c>
      <c r="AD159" s="439">
        <f>IF(NFI_Expiration=1,IF($A159&lt;VLOOKUP(M$5,NFI,5,0),1,0)*Table_NFI[[#This Row],[Blanket]],Table_NFI[[#This Row],[Blanket]])</f>
        <v>0</v>
      </c>
      <c r="AE159" s="439">
        <f>IF(NFI_Expiration=1,IF($A159&lt;VLOOKUP(N$5,NFI,5,0),1,0)*Table_NFI[[#This Row],[Kitchen Set]],Table_NFI[Kitchen Set])</f>
        <v>0</v>
      </c>
      <c r="AF159" s="439">
        <f>IF(NFI_Expiration=1,IF($A159&lt;VLOOKUP(O$5,NFI,5,0),1,0)*Table_NFI[[#This Row],[Clothes Kit]],Table_NFI[Clothes Kit])</f>
        <v>0</v>
      </c>
      <c r="AG159" s="439">
        <f>IF(NFI_Expiration=1,IF($A159&lt;VLOOKUP(P$5,NFI,5,0),1,0)*Table_NFI[[#This Row],[Plastic Bucket]],Table_NFI[Plastic Bucket])</f>
        <v>0</v>
      </c>
      <c r="AH159" s="439">
        <f>IF(NFI_Expiration=1,IF($A159&lt;VLOOKUP(Q$5,NFI,5,0),1,0)*Table_NFI[[#This Row],[Plastic Mat]],Table_NFI[Plastic Mat])*IF(Table_NFI[[#This Row],[Distribution Date]]&gt;"2014-04-01",1,2.5)</f>
        <v>0</v>
      </c>
      <c r="AI159" s="439">
        <f>IF(NFI_Expiration=1,IF($A159&lt;VLOOKUP(R$5,NFI,5,0),1,0)*Table_NFI[[#This Row],[Winter Clothes Adult]],Table_NFI[Winter Clothes Adult])</f>
        <v>0</v>
      </c>
      <c r="AJ159" s="439">
        <f>IF(NFI_Expiration=1,IF($A159&lt;VLOOKUP(S$5,NFI,5,0),1,0)*Table_NFI[[#This Row],[Winter Clothes Children]],Table_NFI[Winter Clothes Children])</f>
        <v>0</v>
      </c>
      <c r="AK159" s="439">
        <f>IF(NFI_Expiration=1,IF($A159&lt;VLOOKUP(T$5,NFI,5,0),1,0)*Table_NFI[[#This Row],[Winter Items Other]],Table_NFI[Winter Items Other])</f>
        <v>0</v>
      </c>
      <c r="AL159" s="439">
        <f>IF(NFI_Expiration=1,IF($A159&lt;VLOOKUP(M$5,NFI,5,0),1,0)*Table_NFI[[#This Row],[Winter Blanket]],Table_NFI[[#This Row],[Winter Blanket]])</f>
        <v>0</v>
      </c>
      <c r="AM159" s="439">
        <f>IF(Table_NFI[[#This Row],[Winter Clothes Adult]]+Table_NFI[[#This Row],[Winter Clothes Children]]+Table_NFI[[#This Row],[Winter Items Other]]+Table_NFI[[#This Row],[Winter Blanket]]&gt;0,1,0)</f>
        <v>1</v>
      </c>
      <c r="AN159" s="439">
        <f>IF(NFI_Expiration=1,IF($A159&lt;VLOOKUP(V$5,NFI,5,0),1,0)*Table_NFI[[#This Row],[Jerry Can]],Table_NFI[Jerry Can])</f>
        <v>0</v>
      </c>
      <c r="AO159" s="781" t="str">
        <f>IFERROR(VLOOKUP(Table_NFI[[#This Row],[Camp Name]],CL,2,0),"")</f>
        <v>MMR001CMP210</v>
      </c>
      <c r="AP159" s="772">
        <f ca="1">IF(Table_NFI[[#This Row],[Pcode]]="","",IF(OFFSET(CampList[Opening Date],MATCH(Table_NFI[[#This Row],[Pcode]],CampList[CP_Pcode],0)-1,0,1,1)&gt;=NFI_Monitor_Date,1,0))</f>
        <v>0</v>
      </c>
      <c r="AQ159" s="781" t="str">
        <f>IFERROR(VLOOKUP(Table_NFI[[#This Row],[Camp Name]],CL,3,0),"")</f>
        <v>Open</v>
      </c>
      <c r="AR159" s="439" t="str">
        <f ca="1">IF(Table_NFI[[#This Row],[Pcode]]="","",OFFSET(CampList[Priority],MATCH(Table_NFI[[#This Row],[Pcode]],CampList[CP_Pcode],0)-1,0,1,1))</f>
        <v>P1</v>
      </c>
      <c r="AS159" s="438">
        <f>IFERROR(Table_NFI[[#This Row],[Kitchen Set]]/VLOOKUP(Table_NFI[[#This Row],[Camp Name]],CL,4,0),"")</f>
        <v>0</v>
      </c>
      <c r="AT159" s="779"/>
      <c r="AU159" s="782"/>
    </row>
    <row r="160" spans="1:47" s="136" customFormat="1" x14ac:dyDescent="0.25">
      <c r="A160" s="451">
        <f t="shared" si="2"/>
        <v>15.233333333333333</v>
      </c>
      <c r="B160" s="768">
        <v>41913</v>
      </c>
      <c r="C160" s="769" t="s">
        <v>454</v>
      </c>
      <c r="D160" s="779" t="s">
        <v>507</v>
      </c>
      <c r="E160" s="779" t="s">
        <v>380</v>
      </c>
      <c r="F160" s="779" t="s">
        <v>310</v>
      </c>
      <c r="G160" s="779" t="s">
        <v>318</v>
      </c>
      <c r="H160" s="437"/>
      <c r="I160" s="437"/>
      <c r="J160" s="437"/>
      <c r="K160" s="437">
        <v>240</v>
      </c>
      <c r="L160" s="437"/>
      <c r="M160" s="437"/>
      <c r="N160" s="437"/>
      <c r="O160" s="437"/>
      <c r="P160" s="439"/>
      <c r="Q160" s="439"/>
      <c r="R160" s="439"/>
      <c r="S160" s="439"/>
      <c r="T160" s="439"/>
      <c r="U160" s="439"/>
      <c r="V160" s="439"/>
      <c r="W160" s="439"/>
      <c r="X160" s="439"/>
      <c r="Y160" s="439">
        <f>IF(NFI_Expiration=1,IF($A160&lt;VLOOKUP(H$5,NFI,5,0),1,0)*Table_NFI[[#This Row],[Hygiene Kit]],Table_NFI[Hygiene Kit])</f>
        <v>0</v>
      </c>
      <c r="Z160" s="439">
        <f>IF(NFI_Expiration=1,IF($A160&lt;VLOOKUP(I$5,NFI,5,0),1,0)*Table_NFI[[#This Row],[NFI Core Kit]],Table_NFI[NFI Core Kit])</f>
        <v>0</v>
      </c>
      <c r="AA160" s="439">
        <f>IF(NFI_Expiration=1,IF($A160&lt;VLOOKUP(J$5,NFI,5,0),1,0)*Table_NFI[[#This Row],[Sanitary Kit]],Table_NFI[Sanitary Kit])</f>
        <v>0</v>
      </c>
      <c r="AB160" s="439">
        <f>IF(NFI_Expiration=1,IF($A160&lt;VLOOKUP(K$5,NFI,5,0),1,0)*Table_NFI[[#This Row],[Mosquito net]],Table_NFI[Mosquito net])</f>
        <v>0</v>
      </c>
      <c r="AC160" s="439">
        <f>IF(NFI_Expiration=1,IF($A160&lt;VLOOKUP(L$5,NFI,5,0),1,0)*Table_NFI[[#This Row],[Tarpaulin]],Table_NFI[[#This Row],[Tarpaulin]])</f>
        <v>0</v>
      </c>
      <c r="AD160" s="439">
        <f>IF(NFI_Expiration=1,IF($A160&lt;VLOOKUP(M$5,NFI,5,0),1,0)*Table_NFI[[#This Row],[Blanket]],Table_NFI[[#This Row],[Blanket]])</f>
        <v>0</v>
      </c>
      <c r="AE160" s="439">
        <f>IF(NFI_Expiration=1,IF($A160&lt;VLOOKUP(N$5,NFI,5,0),1,0)*Table_NFI[[#This Row],[Kitchen Set]],Table_NFI[Kitchen Set])</f>
        <v>0</v>
      </c>
      <c r="AF160" s="439">
        <f>IF(NFI_Expiration=1,IF($A160&lt;VLOOKUP(O$5,NFI,5,0),1,0)*Table_NFI[[#This Row],[Clothes Kit]],Table_NFI[Clothes Kit])</f>
        <v>0</v>
      </c>
      <c r="AG160" s="439">
        <f>IF(NFI_Expiration=1,IF($A160&lt;VLOOKUP(P$5,NFI,5,0),1,0)*Table_NFI[[#This Row],[Plastic Bucket]],Table_NFI[Plastic Bucket])</f>
        <v>0</v>
      </c>
      <c r="AH160" s="439">
        <f>IF(NFI_Expiration=1,IF($A160&lt;VLOOKUP(Q$5,NFI,5,0),1,0)*Table_NFI[[#This Row],[Plastic Mat]],Table_NFI[Plastic Mat])*IF(Table_NFI[[#This Row],[Distribution Date]]&gt;"2014-04-01",1,2.5)</f>
        <v>0</v>
      </c>
      <c r="AI160" s="439">
        <f>IF(NFI_Expiration=1,IF($A160&lt;VLOOKUP(R$5,NFI,5,0),1,0)*Table_NFI[[#This Row],[Winter Clothes Adult]],Table_NFI[Winter Clothes Adult])</f>
        <v>0</v>
      </c>
      <c r="AJ160" s="439">
        <f>IF(NFI_Expiration=1,IF($A160&lt;VLOOKUP(S$5,NFI,5,0),1,0)*Table_NFI[[#This Row],[Winter Clothes Children]],Table_NFI[Winter Clothes Children])</f>
        <v>0</v>
      </c>
      <c r="AK160" s="439">
        <f>IF(NFI_Expiration=1,IF($A160&lt;VLOOKUP(T$5,NFI,5,0),1,0)*Table_NFI[[#This Row],[Winter Items Other]],Table_NFI[Winter Items Other])</f>
        <v>0</v>
      </c>
      <c r="AL160" s="439">
        <f>IF(NFI_Expiration=1,IF($A160&lt;VLOOKUP(M$5,NFI,5,0),1,0)*Table_NFI[[#This Row],[Winter Blanket]],Table_NFI[[#This Row],[Winter Blanket]])</f>
        <v>0</v>
      </c>
      <c r="AM160" s="439">
        <f>IF(Table_NFI[[#This Row],[Winter Clothes Adult]]+Table_NFI[[#This Row],[Winter Clothes Children]]+Table_NFI[[#This Row],[Winter Items Other]]+Table_NFI[[#This Row],[Winter Blanket]]&gt;0,1,0)</f>
        <v>0</v>
      </c>
      <c r="AN160" s="439">
        <f>IF(NFI_Expiration=1,IF($A160&lt;VLOOKUP(V$5,NFI,5,0),1,0)*Table_NFI[[#This Row],[Jerry Can]],Table_NFI[Jerry Can])</f>
        <v>0</v>
      </c>
      <c r="AO160" s="781" t="str">
        <f>IFERROR(VLOOKUP(Table_NFI[[#This Row],[Camp Name]],CL,2,0),"")</f>
        <v>MMR001CMP032</v>
      </c>
      <c r="AP160" s="772">
        <f ca="1">IF(Table_NFI[[#This Row],[Pcode]]="","",IF(OFFSET(CampList[Opening Date],MATCH(Table_NFI[[#This Row],[Pcode]],CampList[CP_Pcode],0)-1,0,1,1)&gt;=NFI_Monitor_Date,1,0))</f>
        <v>0</v>
      </c>
      <c r="AQ160" s="781" t="str">
        <f>IFERROR(VLOOKUP(Table_NFI[[#This Row],[Camp Name]],CL,3,0),"")</f>
        <v>Open</v>
      </c>
      <c r="AR160" s="439" t="str">
        <f ca="1">IF(Table_NFI[[#This Row],[Pcode]]="","",OFFSET(CampList[Priority],MATCH(Table_NFI[[#This Row],[Pcode]],CampList[CP_Pcode],0)-1,0,1,1))</f>
        <v>P4</v>
      </c>
      <c r="AS160" s="438">
        <f>IFERROR(Table_NFI[[#This Row],[Kitchen Set]]/VLOOKUP(Table_NFI[[#This Row],[Camp Name]],CL,4,0),"")</f>
        <v>0</v>
      </c>
      <c r="AT160" s="779"/>
      <c r="AU160" s="782"/>
    </row>
    <row r="161" spans="1:47" s="136" customFormat="1" x14ac:dyDescent="0.25">
      <c r="A161" s="451">
        <f t="shared" si="2"/>
        <v>15.233333333333333</v>
      </c>
      <c r="B161" s="768">
        <v>41913</v>
      </c>
      <c r="C161" s="769" t="s">
        <v>454</v>
      </c>
      <c r="D161" s="779" t="s">
        <v>507</v>
      </c>
      <c r="E161" s="779" t="s">
        <v>380</v>
      </c>
      <c r="F161" s="779" t="s">
        <v>310</v>
      </c>
      <c r="G161" s="779" t="s">
        <v>338</v>
      </c>
      <c r="H161" s="437"/>
      <c r="I161" s="437"/>
      <c r="J161" s="437"/>
      <c r="K161" s="437">
        <v>46</v>
      </c>
      <c r="L161" s="437"/>
      <c r="M161" s="437"/>
      <c r="N161" s="437"/>
      <c r="O161" s="437"/>
      <c r="P161" s="439"/>
      <c r="Q161" s="439"/>
      <c r="R161" s="439"/>
      <c r="S161" s="439"/>
      <c r="T161" s="439"/>
      <c r="U161" s="439"/>
      <c r="V161" s="439"/>
      <c r="W161" s="439"/>
      <c r="X161" s="439"/>
      <c r="Y161" s="439">
        <f>IF(NFI_Expiration=1,IF($A161&lt;VLOOKUP(H$5,NFI,5,0),1,0)*Table_NFI[[#This Row],[Hygiene Kit]],Table_NFI[Hygiene Kit])</f>
        <v>0</v>
      </c>
      <c r="Z161" s="439">
        <f>IF(NFI_Expiration=1,IF($A161&lt;VLOOKUP(I$5,NFI,5,0),1,0)*Table_NFI[[#This Row],[NFI Core Kit]],Table_NFI[NFI Core Kit])</f>
        <v>0</v>
      </c>
      <c r="AA161" s="439">
        <f>IF(NFI_Expiration=1,IF($A161&lt;VLOOKUP(J$5,NFI,5,0),1,0)*Table_NFI[[#This Row],[Sanitary Kit]],Table_NFI[Sanitary Kit])</f>
        <v>0</v>
      </c>
      <c r="AB161" s="439">
        <f>IF(NFI_Expiration=1,IF($A161&lt;VLOOKUP(K$5,NFI,5,0),1,0)*Table_NFI[[#This Row],[Mosquito net]],Table_NFI[Mosquito net])</f>
        <v>0</v>
      </c>
      <c r="AC161" s="439">
        <f>IF(NFI_Expiration=1,IF($A161&lt;VLOOKUP(L$5,NFI,5,0),1,0)*Table_NFI[[#This Row],[Tarpaulin]],Table_NFI[[#This Row],[Tarpaulin]])</f>
        <v>0</v>
      </c>
      <c r="AD161" s="439">
        <f>IF(NFI_Expiration=1,IF($A161&lt;VLOOKUP(M$5,NFI,5,0),1,0)*Table_NFI[[#This Row],[Blanket]],Table_NFI[[#This Row],[Blanket]])</f>
        <v>0</v>
      </c>
      <c r="AE161" s="439">
        <f>IF(NFI_Expiration=1,IF($A161&lt;VLOOKUP(N$5,NFI,5,0),1,0)*Table_NFI[[#This Row],[Kitchen Set]],Table_NFI[Kitchen Set])</f>
        <v>0</v>
      </c>
      <c r="AF161" s="439">
        <f>IF(NFI_Expiration=1,IF($A161&lt;VLOOKUP(O$5,NFI,5,0),1,0)*Table_NFI[[#This Row],[Clothes Kit]],Table_NFI[Clothes Kit])</f>
        <v>0</v>
      </c>
      <c r="AG161" s="439">
        <f>IF(NFI_Expiration=1,IF($A161&lt;VLOOKUP(P$5,NFI,5,0),1,0)*Table_NFI[[#This Row],[Plastic Bucket]],Table_NFI[Plastic Bucket])</f>
        <v>0</v>
      </c>
      <c r="AH161" s="439">
        <f>IF(NFI_Expiration=1,IF($A161&lt;VLOOKUP(Q$5,NFI,5,0),1,0)*Table_NFI[[#This Row],[Plastic Mat]],Table_NFI[Plastic Mat])*IF(Table_NFI[[#This Row],[Distribution Date]]&gt;"2014-04-01",1,2.5)</f>
        <v>0</v>
      </c>
      <c r="AI161" s="439">
        <f>IF(NFI_Expiration=1,IF($A161&lt;VLOOKUP(R$5,NFI,5,0),1,0)*Table_NFI[[#This Row],[Winter Clothes Adult]],Table_NFI[Winter Clothes Adult])</f>
        <v>0</v>
      </c>
      <c r="AJ161" s="439">
        <f>IF(NFI_Expiration=1,IF($A161&lt;VLOOKUP(S$5,NFI,5,0),1,0)*Table_NFI[[#This Row],[Winter Clothes Children]],Table_NFI[Winter Clothes Children])</f>
        <v>0</v>
      </c>
      <c r="AK161" s="439">
        <f>IF(NFI_Expiration=1,IF($A161&lt;VLOOKUP(T$5,NFI,5,0),1,0)*Table_NFI[[#This Row],[Winter Items Other]],Table_NFI[Winter Items Other])</f>
        <v>0</v>
      </c>
      <c r="AL161" s="439">
        <f>IF(NFI_Expiration=1,IF($A161&lt;VLOOKUP(M$5,NFI,5,0),1,0)*Table_NFI[[#This Row],[Winter Blanket]],Table_NFI[[#This Row],[Winter Blanket]])</f>
        <v>0</v>
      </c>
      <c r="AM161" s="439">
        <f>IF(Table_NFI[[#This Row],[Winter Clothes Adult]]+Table_NFI[[#This Row],[Winter Clothes Children]]+Table_NFI[[#This Row],[Winter Items Other]]+Table_NFI[[#This Row],[Winter Blanket]]&gt;0,1,0)</f>
        <v>0</v>
      </c>
      <c r="AN161" s="439">
        <f>IF(NFI_Expiration=1,IF($A161&lt;VLOOKUP(V$5,NFI,5,0),1,0)*Table_NFI[[#This Row],[Jerry Can]],Table_NFI[Jerry Can])</f>
        <v>0</v>
      </c>
      <c r="AO161" s="781" t="str">
        <f>IFERROR(VLOOKUP(Table_NFI[[#This Row],[Camp Name]],CL,2,0),"")</f>
        <v>MMR001CMP030</v>
      </c>
      <c r="AP161" s="772">
        <f ca="1">IF(Table_NFI[[#This Row],[Pcode]]="","",IF(OFFSET(CampList[Opening Date],MATCH(Table_NFI[[#This Row],[Pcode]],CampList[CP_Pcode],0)-1,0,1,1)&gt;=NFI_Monitor_Date,1,0))</f>
        <v>0</v>
      </c>
      <c r="AQ161" s="781" t="str">
        <f>IFERROR(VLOOKUP(Table_NFI[[#This Row],[Camp Name]],CL,3,0),"")</f>
        <v>Open</v>
      </c>
      <c r="AR161" s="439" t="str">
        <f ca="1">IF(Table_NFI[[#This Row],[Pcode]]="","",OFFSET(CampList[Priority],MATCH(Table_NFI[[#This Row],[Pcode]],CampList[CP_Pcode],0)-1,0,1,1))</f>
        <v>P4</v>
      </c>
      <c r="AS161" s="438">
        <f>IFERROR(Table_NFI[[#This Row],[Kitchen Set]]/VLOOKUP(Table_NFI[[#This Row],[Camp Name]],CL,4,0),"")</f>
        <v>0</v>
      </c>
      <c r="AT161" s="779"/>
      <c r="AU161" s="782"/>
    </row>
    <row r="162" spans="1:47" s="136" customFormat="1" x14ac:dyDescent="0.25">
      <c r="A162" s="451">
        <f t="shared" si="2"/>
        <v>15.233333333333333</v>
      </c>
      <c r="B162" s="768">
        <v>41913</v>
      </c>
      <c r="C162" s="769" t="s">
        <v>454</v>
      </c>
      <c r="D162" s="779" t="s">
        <v>507</v>
      </c>
      <c r="E162" s="779" t="s">
        <v>380</v>
      </c>
      <c r="F162" s="779" t="s">
        <v>310</v>
      </c>
      <c r="G162" s="779" t="s">
        <v>351</v>
      </c>
      <c r="H162" s="437"/>
      <c r="I162" s="437"/>
      <c r="J162" s="437"/>
      <c r="K162" s="437">
        <v>204</v>
      </c>
      <c r="L162" s="437"/>
      <c r="M162" s="437"/>
      <c r="N162" s="437"/>
      <c r="O162" s="437"/>
      <c r="P162" s="439"/>
      <c r="Q162" s="439"/>
      <c r="R162" s="439"/>
      <c r="S162" s="439"/>
      <c r="T162" s="439"/>
      <c r="U162" s="439"/>
      <c r="V162" s="439"/>
      <c r="W162" s="439"/>
      <c r="X162" s="439"/>
      <c r="Y162" s="439">
        <f>IF(NFI_Expiration=1,IF($A162&lt;VLOOKUP(H$5,NFI,5,0),1,0)*Table_NFI[[#This Row],[Hygiene Kit]],Table_NFI[Hygiene Kit])</f>
        <v>0</v>
      </c>
      <c r="Z162" s="439">
        <f>IF(NFI_Expiration=1,IF($A162&lt;VLOOKUP(I$5,NFI,5,0),1,0)*Table_NFI[[#This Row],[NFI Core Kit]],Table_NFI[NFI Core Kit])</f>
        <v>0</v>
      </c>
      <c r="AA162" s="439">
        <f>IF(NFI_Expiration=1,IF($A162&lt;VLOOKUP(J$5,NFI,5,0),1,0)*Table_NFI[[#This Row],[Sanitary Kit]],Table_NFI[Sanitary Kit])</f>
        <v>0</v>
      </c>
      <c r="AB162" s="439">
        <f>IF(NFI_Expiration=1,IF($A162&lt;VLOOKUP(K$5,NFI,5,0),1,0)*Table_NFI[[#This Row],[Mosquito net]],Table_NFI[Mosquito net])</f>
        <v>0</v>
      </c>
      <c r="AC162" s="439">
        <f>IF(NFI_Expiration=1,IF($A162&lt;VLOOKUP(L$5,NFI,5,0),1,0)*Table_NFI[[#This Row],[Tarpaulin]],Table_NFI[[#This Row],[Tarpaulin]])</f>
        <v>0</v>
      </c>
      <c r="AD162" s="439">
        <f>IF(NFI_Expiration=1,IF($A162&lt;VLOOKUP(M$5,NFI,5,0),1,0)*Table_NFI[[#This Row],[Blanket]],Table_NFI[[#This Row],[Blanket]])</f>
        <v>0</v>
      </c>
      <c r="AE162" s="439">
        <f>IF(NFI_Expiration=1,IF($A162&lt;VLOOKUP(N$5,NFI,5,0),1,0)*Table_NFI[[#This Row],[Kitchen Set]],Table_NFI[Kitchen Set])</f>
        <v>0</v>
      </c>
      <c r="AF162" s="439">
        <f>IF(NFI_Expiration=1,IF($A162&lt;VLOOKUP(O$5,NFI,5,0),1,0)*Table_NFI[[#This Row],[Clothes Kit]],Table_NFI[Clothes Kit])</f>
        <v>0</v>
      </c>
      <c r="AG162" s="439">
        <f>IF(NFI_Expiration=1,IF($A162&lt;VLOOKUP(P$5,NFI,5,0),1,0)*Table_NFI[[#This Row],[Plastic Bucket]],Table_NFI[Plastic Bucket])</f>
        <v>0</v>
      </c>
      <c r="AH162" s="439">
        <f>IF(NFI_Expiration=1,IF($A162&lt;VLOOKUP(Q$5,NFI,5,0),1,0)*Table_NFI[[#This Row],[Plastic Mat]],Table_NFI[Plastic Mat])*IF(Table_NFI[[#This Row],[Distribution Date]]&gt;"2014-04-01",1,2.5)</f>
        <v>0</v>
      </c>
      <c r="AI162" s="439">
        <f>IF(NFI_Expiration=1,IF($A162&lt;VLOOKUP(R$5,NFI,5,0),1,0)*Table_NFI[[#This Row],[Winter Clothes Adult]],Table_NFI[Winter Clothes Adult])</f>
        <v>0</v>
      </c>
      <c r="AJ162" s="439">
        <f>IF(NFI_Expiration=1,IF($A162&lt;VLOOKUP(S$5,NFI,5,0),1,0)*Table_NFI[[#This Row],[Winter Clothes Children]],Table_NFI[Winter Clothes Children])</f>
        <v>0</v>
      </c>
      <c r="AK162" s="439">
        <f>IF(NFI_Expiration=1,IF($A162&lt;VLOOKUP(T$5,NFI,5,0),1,0)*Table_NFI[[#This Row],[Winter Items Other]],Table_NFI[Winter Items Other])</f>
        <v>0</v>
      </c>
      <c r="AL162" s="439">
        <f>IF(NFI_Expiration=1,IF($A162&lt;VLOOKUP(M$5,NFI,5,0),1,0)*Table_NFI[[#This Row],[Winter Blanket]],Table_NFI[[#This Row],[Winter Blanket]])</f>
        <v>0</v>
      </c>
      <c r="AM162" s="439">
        <f>IF(Table_NFI[[#This Row],[Winter Clothes Adult]]+Table_NFI[[#This Row],[Winter Clothes Children]]+Table_NFI[[#This Row],[Winter Items Other]]+Table_NFI[[#This Row],[Winter Blanket]]&gt;0,1,0)</f>
        <v>0</v>
      </c>
      <c r="AN162" s="439">
        <f>IF(NFI_Expiration=1,IF($A162&lt;VLOOKUP(V$5,NFI,5,0),1,0)*Table_NFI[[#This Row],[Jerry Can]],Table_NFI[Jerry Can])</f>
        <v>0</v>
      </c>
      <c r="AO162" s="781" t="str">
        <f>IFERROR(VLOOKUP(Table_NFI[[#This Row],[Camp Name]],CL,2,0),"")</f>
        <v>MMR001CMP026</v>
      </c>
      <c r="AP162" s="772">
        <f ca="1">IF(Table_NFI[[#This Row],[Pcode]]="","",IF(OFFSET(CampList[Opening Date],MATCH(Table_NFI[[#This Row],[Pcode]],CampList[CP_Pcode],0)-1,0,1,1)&gt;=NFI_Monitor_Date,1,0))</f>
        <v>0</v>
      </c>
      <c r="AQ162" s="781" t="str">
        <f>IFERROR(VLOOKUP(Table_NFI[[#This Row],[Camp Name]],CL,3,0),"")</f>
        <v>Open</v>
      </c>
      <c r="AR162" s="439" t="str">
        <f ca="1">IF(Table_NFI[[#This Row],[Pcode]]="","",OFFSET(CampList[Priority],MATCH(Table_NFI[[#This Row],[Pcode]],CampList[CP_Pcode],0)-1,0,1,1))</f>
        <v>P4</v>
      </c>
      <c r="AS162" s="438">
        <f>IFERROR(Table_NFI[[#This Row],[Kitchen Set]]/VLOOKUP(Table_NFI[[#This Row],[Camp Name]],CL,4,0),"")</f>
        <v>0</v>
      </c>
      <c r="AT162" s="779"/>
      <c r="AU162" s="782"/>
    </row>
    <row r="163" spans="1:47" s="136" customFormat="1" x14ac:dyDescent="0.25">
      <c r="A163" s="451">
        <f t="shared" si="2"/>
        <v>15.233333333333333</v>
      </c>
      <c r="B163" s="768">
        <v>41913</v>
      </c>
      <c r="C163" s="769" t="s">
        <v>454</v>
      </c>
      <c r="D163" s="779" t="s">
        <v>507</v>
      </c>
      <c r="E163" s="779" t="s">
        <v>380</v>
      </c>
      <c r="F163" s="779" t="s">
        <v>529</v>
      </c>
      <c r="G163" s="779" t="s">
        <v>118</v>
      </c>
      <c r="H163" s="437"/>
      <c r="I163" s="437"/>
      <c r="J163" s="437"/>
      <c r="K163" s="437">
        <v>24</v>
      </c>
      <c r="L163" s="437"/>
      <c r="M163" s="437"/>
      <c r="N163" s="437"/>
      <c r="O163" s="437"/>
      <c r="P163" s="439"/>
      <c r="Q163" s="439"/>
      <c r="R163" s="439"/>
      <c r="S163" s="439"/>
      <c r="T163" s="439"/>
      <c r="U163" s="439"/>
      <c r="V163" s="439"/>
      <c r="W163" s="439"/>
      <c r="X163" s="439"/>
      <c r="Y163" s="439">
        <f>IF(NFI_Expiration=1,IF($A163&lt;VLOOKUP(H$5,NFI,5,0),1,0)*Table_NFI[[#This Row],[Hygiene Kit]],Table_NFI[Hygiene Kit])</f>
        <v>0</v>
      </c>
      <c r="Z163" s="439">
        <f>IF(NFI_Expiration=1,IF($A163&lt;VLOOKUP(I$5,NFI,5,0),1,0)*Table_NFI[[#This Row],[NFI Core Kit]],Table_NFI[NFI Core Kit])</f>
        <v>0</v>
      </c>
      <c r="AA163" s="439">
        <f>IF(NFI_Expiration=1,IF($A163&lt;VLOOKUP(J$5,NFI,5,0),1,0)*Table_NFI[[#This Row],[Sanitary Kit]],Table_NFI[Sanitary Kit])</f>
        <v>0</v>
      </c>
      <c r="AB163" s="439">
        <f>IF(NFI_Expiration=1,IF($A163&lt;VLOOKUP(K$5,NFI,5,0),1,0)*Table_NFI[[#This Row],[Mosquito net]],Table_NFI[Mosquito net])</f>
        <v>0</v>
      </c>
      <c r="AC163" s="439">
        <f>IF(NFI_Expiration=1,IF($A163&lt;VLOOKUP(L$5,NFI,5,0),1,0)*Table_NFI[[#This Row],[Tarpaulin]],Table_NFI[[#This Row],[Tarpaulin]])</f>
        <v>0</v>
      </c>
      <c r="AD163" s="439">
        <f>IF(NFI_Expiration=1,IF($A163&lt;VLOOKUP(M$5,NFI,5,0),1,0)*Table_NFI[[#This Row],[Blanket]],Table_NFI[[#This Row],[Blanket]])</f>
        <v>0</v>
      </c>
      <c r="AE163" s="439">
        <f>IF(NFI_Expiration=1,IF($A163&lt;VLOOKUP(N$5,NFI,5,0),1,0)*Table_NFI[[#This Row],[Kitchen Set]],Table_NFI[Kitchen Set])</f>
        <v>0</v>
      </c>
      <c r="AF163" s="439">
        <f>IF(NFI_Expiration=1,IF($A163&lt;VLOOKUP(O$5,NFI,5,0),1,0)*Table_NFI[[#This Row],[Clothes Kit]],Table_NFI[Clothes Kit])</f>
        <v>0</v>
      </c>
      <c r="AG163" s="439">
        <f>IF(NFI_Expiration=1,IF($A163&lt;VLOOKUP(P$5,NFI,5,0),1,0)*Table_NFI[[#This Row],[Plastic Bucket]],Table_NFI[Plastic Bucket])</f>
        <v>0</v>
      </c>
      <c r="AH163" s="439">
        <f>IF(NFI_Expiration=1,IF($A163&lt;VLOOKUP(Q$5,NFI,5,0),1,0)*Table_NFI[[#This Row],[Plastic Mat]],Table_NFI[Plastic Mat])*IF(Table_NFI[[#This Row],[Distribution Date]]&gt;"2014-04-01",1,2.5)</f>
        <v>0</v>
      </c>
      <c r="AI163" s="439">
        <f>IF(NFI_Expiration=1,IF($A163&lt;VLOOKUP(R$5,NFI,5,0),1,0)*Table_NFI[[#This Row],[Winter Clothes Adult]],Table_NFI[Winter Clothes Adult])</f>
        <v>0</v>
      </c>
      <c r="AJ163" s="439">
        <f>IF(NFI_Expiration=1,IF($A163&lt;VLOOKUP(S$5,NFI,5,0),1,0)*Table_NFI[[#This Row],[Winter Clothes Children]],Table_NFI[Winter Clothes Children])</f>
        <v>0</v>
      </c>
      <c r="AK163" s="439">
        <f>IF(NFI_Expiration=1,IF($A163&lt;VLOOKUP(T$5,NFI,5,0),1,0)*Table_NFI[[#This Row],[Winter Items Other]],Table_NFI[Winter Items Other])</f>
        <v>0</v>
      </c>
      <c r="AL163" s="439">
        <f>IF(NFI_Expiration=1,IF($A163&lt;VLOOKUP(M$5,NFI,5,0),1,0)*Table_NFI[[#This Row],[Winter Blanket]],Table_NFI[[#This Row],[Winter Blanket]])</f>
        <v>0</v>
      </c>
      <c r="AM163" s="439">
        <f>IF(Table_NFI[[#This Row],[Winter Clothes Adult]]+Table_NFI[[#This Row],[Winter Clothes Children]]+Table_NFI[[#This Row],[Winter Items Other]]+Table_NFI[[#This Row],[Winter Blanket]]&gt;0,1,0)</f>
        <v>0</v>
      </c>
      <c r="AN163" s="439">
        <f>IF(NFI_Expiration=1,IF($A163&lt;VLOOKUP(V$5,NFI,5,0),1,0)*Table_NFI[[#This Row],[Jerry Can]],Table_NFI[Jerry Can])</f>
        <v>0</v>
      </c>
      <c r="AO163" s="781" t="str">
        <f>IFERROR(VLOOKUP(Table_NFI[[#This Row],[Camp Name]],CL,2,0),"")</f>
        <v>MMR001CMP182</v>
      </c>
      <c r="AP163" s="772">
        <f ca="1">IF(Table_NFI[[#This Row],[Pcode]]="","",IF(OFFSET(CampList[Opening Date],MATCH(Table_NFI[[#This Row],[Pcode]],CampList[CP_Pcode],0)-1,0,1,1)&gt;=NFI_Monitor_Date,1,0))</f>
        <v>0</v>
      </c>
      <c r="AQ163" s="781" t="str">
        <f>IFERROR(VLOOKUP(Table_NFI[[#This Row],[Camp Name]],CL,3,0),"")</f>
        <v>Open</v>
      </c>
      <c r="AR163" s="439" t="str">
        <f ca="1">IF(Table_NFI[[#This Row],[Pcode]]="","",OFFSET(CampList[Priority],MATCH(Table_NFI[[#This Row],[Pcode]],CampList[CP_Pcode],0)-1,0,1,1))</f>
        <v>P4</v>
      </c>
      <c r="AS163" s="438">
        <f>IFERROR(Table_NFI[[#This Row],[Kitchen Set]]/VLOOKUP(Table_NFI[[#This Row],[Camp Name]],CL,4,0),"")</f>
        <v>0</v>
      </c>
      <c r="AT163" s="779"/>
      <c r="AU163" s="782"/>
    </row>
    <row r="164" spans="1:47" s="774" customFormat="1" x14ac:dyDescent="0.25">
      <c r="A164" s="451">
        <f t="shared" si="2"/>
        <v>15.233333333333333</v>
      </c>
      <c r="B164" s="768">
        <v>41913</v>
      </c>
      <c r="C164" s="769" t="s">
        <v>454</v>
      </c>
      <c r="D164" s="779" t="s">
        <v>508</v>
      </c>
      <c r="E164" s="779" t="s">
        <v>380</v>
      </c>
      <c r="F164" s="779" t="s">
        <v>27</v>
      </c>
      <c r="G164" s="779" t="s">
        <v>1026</v>
      </c>
      <c r="H164" s="437"/>
      <c r="I164" s="437"/>
      <c r="J164" s="437"/>
      <c r="K164" s="437">
        <v>56</v>
      </c>
      <c r="L164" s="437"/>
      <c r="M164" s="437"/>
      <c r="N164" s="437"/>
      <c r="O164" s="437"/>
      <c r="P164" s="439"/>
      <c r="Q164" s="439"/>
      <c r="R164" s="439"/>
      <c r="S164" s="439"/>
      <c r="T164" s="439"/>
      <c r="U164" s="437">
        <v>56</v>
      </c>
      <c r="V164" s="437"/>
      <c r="W164" s="437"/>
      <c r="X164" s="437"/>
      <c r="Y164" s="439">
        <f>IF(NFI_Expiration=1,IF($A164&lt;VLOOKUP(H$5,NFI,5,0),1,0)*Table_NFI[[#This Row],[Hygiene Kit]],Table_NFI[Hygiene Kit])</f>
        <v>0</v>
      </c>
      <c r="Z164" s="439">
        <f>IF(NFI_Expiration=1,IF($A164&lt;VLOOKUP(I$5,NFI,5,0),1,0)*Table_NFI[[#This Row],[NFI Core Kit]],Table_NFI[NFI Core Kit])</f>
        <v>0</v>
      </c>
      <c r="AA164" s="439">
        <f>IF(NFI_Expiration=1,IF($A164&lt;VLOOKUP(J$5,NFI,5,0),1,0)*Table_NFI[[#This Row],[Sanitary Kit]],Table_NFI[Sanitary Kit])</f>
        <v>0</v>
      </c>
      <c r="AB164" s="439">
        <f>IF(NFI_Expiration=1,IF($A164&lt;VLOOKUP(K$5,NFI,5,0),1,0)*Table_NFI[[#This Row],[Mosquito net]],Table_NFI[Mosquito net])</f>
        <v>0</v>
      </c>
      <c r="AC164" s="439">
        <f>IF(NFI_Expiration=1,IF($A164&lt;VLOOKUP(L$5,NFI,5,0),1,0)*Table_NFI[[#This Row],[Tarpaulin]],Table_NFI[[#This Row],[Tarpaulin]])</f>
        <v>0</v>
      </c>
      <c r="AD164" s="439">
        <f>IF(NFI_Expiration=1,IF($A164&lt;VLOOKUP(M$5,NFI,5,0),1,0)*Table_NFI[[#This Row],[Blanket]],Table_NFI[[#This Row],[Blanket]])</f>
        <v>0</v>
      </c>
      <c r="AE164" s="439">
        <f>IF(NFI_Expiration=1,IF($A164&lt;VLOOKUP(N$5,NFI,5,0),1,0)*Table_NFI[[#This Row],[Kitchen Set]],Table_NFI[Kitchen Set])</f>
        <v>0</v>
      </c>
      <c r="AF164" s="439">
        <f>IF(NFI_Expiration=1,IF($A164&lt;VLOOKUP(O$5,NFI,5,0),1,0)*Table_NFI[[#This Row],[Clothes Kit]],Table_NFI[Clothes Kit])</f>
        <v>0</v>
      </c>
      <c r="AG164" s="439">
        <f>IF(NFI_Expiration=1,IF($A164&lt;VLOOKUP(P$5,NFI,5,0),1,0)*Table_NFI[[#This Row],[Plastic Bucket]],Table_NFI[Plastic Bucket])</f>
        <v>0</v>
      </c>
      <c r="AH164" s="439">
        <f>IF(NFI_Expiration=1,IF($A164&lt;VLOOKUP(Q$5,NFI,5,0),1,0)*Table_NFI[[#This Row],[Plastic Mat]],Table_NFI[Plastic Mat])*IF(Table_NFI[[#This Row],[Distribution Date]]&gt;"2014-04-01",1,2.5)</f>
        <v>0</v>
      </c>
      <c r="AI164" s="439">
        <f>IF(NFI_Expiration=1,IF($A164&lt;VLOOKUP(R$5,NFI,5,0),1,0)*Table_NFI[[#This Row],[Winter Clothes Adult]],Table_NFI[Winter Clothes Adult])</f>
        <v>0</v>
      </c>
      <c r="AJ164" s="439">
        <f>IF(NFI_Expiration=1,IF($A164&lt;VLOOKUP(S$5,NFI,5,0),1,0)*Table_NFI[[#This Row],[Winter Clothes Children]],Table_NFI[Winter Clothes Children])</f>
        <v>0</v>
      </c>
      <c r="AK164" s="439">
        <f>IF(NFI_Expiration=1,IF($A164&lt;VLOOKUP(T$5,NFI,5,0),1,0)*Table_NFI[[#This Row],[Winter Items Other]],Table_NFI[Winter Items Other])</f>
        <v>0</v>
      </c>
      <c r="AL164" s="439">
        <f>IF(NFI_Expiration=1,IF($A164&lt;VLOOKUP(M$5,NFI,5,0),1,0)*Table_NFI[[#This Row],[Winter Blanket]],Table_NFI[[#This Row],[Winter Blanket]])</f>
        <v>0</v>
      </c>
      <c r="AM164" s="439">
        <f>IF(Table_NFI[[#This Row],[Winter Clothes Adult]]+Table_NFI[[#This Row],[Winter Clothes Children]]+Table_NFI[[#This Row],[Winter Items Other]]+Table_NFI[[#This Row],[Winter Blanket]]&gt;0,1,0)</f>
        <v>1</v>
      </c>
      <c r="AN164" s="439">
        <f>IF(NFI_Expiration=1,IF($A164&lt;VLOOKUP(V$5,NFI,5,0),1,0)*Table_NFI[[#This Row],[Jerry Can]],Table_NFI[Jerry Can])</f>
        <v>0</v>
      </c>
      <c r="AO164" s="781" t="str">
        <f>IFERROR(VLOOKUP(Table_NFI[[#This Row],[Camp Name]],CL,2,0),"")</f>
        <v>MMR001CMP225</v>
      </c>
      <c r="AP164" s="772">
        <f ca="1">IF(Table_NFI[[#This Row],[Pcode]]="","",IF(OFFSET(CampList[Opening Date],MATCH(Table_NFI[[#This Row],[Pcode]],CampList[CP_Pcode],0)-1,0,1,1)&gt;=NFI_Monitor_Date,1,0))</f>
        <v>0</v>
      </c>
      <c r="AQ164" s="781" t="str">
        <f>IFERROR(VLOOKUP(Table_NFI[[#This Row],[Camp Name]],CL,3,0),"")</f>
        <v>Open</v>
      </c>
      <c r="AR164" s="439" t="str">
        <f ca="1">IF(Table_NFI[[#This Row],[Pcode]]="","",OFFSET(CampList[Priority],MATCH(Table_NFI[[#This Row],[Pcode]],CampList[CP_Pcode],0)-1,0,1,1))</f>
        <v>P1</v>
      </c>
      <c r="AS164" s="438">
        <f>IFERROR(Table_NFI[[#This Row],[Kitchen Set]]/VLOOKUP(Table_NFI[[#This Row],[Camp Name]],CL,4,0),"")</f>
        <v>0</v>
      </c>
      <c r="AT164" s="779"/>
      <c r="AU164" s="782"/>
    </row>
    <row r="165" spans="1:47" s="774" customFormat="1" x14ac:dyDescent="0.25">
      <c r="A165" s="451">
        <f t="shared" si="2"/>
        <v>15.233333333333333</v>
      </c>
      <c r="B165" s="768">
        <v>41913</v>
      </c>
      <c r="C165" s="769" t="s">
        <v>454</v>
      </c>
      <c r="D165" s="779" t="s">
        <v>507</v>
      </c>
      <c r="E165" s="779" t="s">
        <v>380</v>
      </c>
      <c r="F165" s="779" t="s">
        <v>237</v>
      </c>
      <c r="G165" s="779" t="s">
        <v>279</v>
      </c>
      <c r="H165" s="437"/>
      <c r="I165" s="437"/>
      <c r="J165" s="437"/>
      <c r="K165" s="437">
        <v>30</v>
      </c>
      <c r="L165" s="437"/>
      <c r="M165" s="437"/>
      <c r="N165" s="437"/>
      <c r="O165" s="437"/>
      <c r="P165" s="439"/>
      <c r="Q165" s="439"/>
      <c r="R165" s="439"/>
      <c r="S165" s="439"/>
      <c r="T165" s="439"/>
      <c r="U165" s="439"/>
      <c r="V165" s="439"/>
      <c r="W165" s="439"/>
      <c r="X165" s="439"/>
      <c r="Y165" s="439">
        <f>IF(NFI_Expiration=1,IF($A165&lt;VLOOKUP(H$5,NFI,5,0),1,0)*Table_NFI[[#This Row],[Hygiene Kit]],Table_NFI[Hygiene Kit])</f>
        <v>0</v>
      </c>
      <c r="Z165" s="439">
        <f>IF(NFI_Expiration=1,IF($A165&lt;VLOOKUP(I$5,NFI,5,0),1,0)*Table_NFI[[#This Row],[NFI Core Kit]],Table_NFI[NFI Core Kit])</f>
        <v>0</v>
      </c>
      <c r="AA165" s="439">
        <f>IF(NFI_Expiration=1,IF($A165&lt;VLOOKUP(J$5,NFI,5,0),1,0)*Table_NFI[[#This Row],[Sanitary Kit]],Table_NFI[Sanitary Kit])</f>
        <v>0</v>
      </c>
      <c r="AB165" s="439">
        <f>IF(NFI_Expiration=1,IF($A165&lt;VLOOKUP(K$5,NFI,5,0),1,0)*Table_NFI[[#This Row],[Mosquito net]],Table_NFI[Mosquito net])</f>
        <v>0</v>
      </c>
      <c r="AC165" s="439">
        <f>IF(NFI_Expiration=1,IF($A165&lt;VLOOKUP(L$5,NFI,5,0),1,0)*Table_NFI[[#This Row],[Tarpaulin]],Table_NFI[[#This Row],[Tarpaulin]])</f>
        <v>0</v>
      </c>
      <c r="AD165" s="439">
        <f>IF(NFI_Expiration=1,IF($A165&lt;VLOOKUP(M$5,NFI,5,0),1,0)*Table_NFI[[#This Row],[Blanket]],Table_NFI[[#This Row],[Blanket]])</f>
        <v>0</v>
      </c>
      <c r="AE165" s="439">
        <f>IF(NFI_Expiration=1,IF($A165&lt;VLOOKUP(N$5,NFI,5,0),1,0)*Table_NFI[[#This Row],[Kitchen Set]],Table_NFI[Kitchen Set])</f>
        <v>0</v>
      </c>
      <c r="AF165" s="439">
        <f>IF(NFI_Expiration=1,IF($A165&lt;VLOOKUP(O$5,NFI,5,0),1,0)*Table_NFI[[#This Row],[Clothes Kit]],Table_NFI[Clothes Kit])</f>
        <v>0</v>
      </c>
      <c r="AG165" s="439">
        <f>IF(NFI_Expiration=1,IF($A165&lt;VLOOKUP(P$5,NFI,5,0),1,0)*Table_NFI[[#This Row],[Plastic Bucket]],Table_NFI[Plastic Bucket])</f>
        <v>0</v>
      </c>
      <c r="AH165" s="439">
        <f>IF(NFI_Expiration=1,IF($A165&lt;VLOOKUP(Q$5,NFI,5,0),1,0)*Table_NFI[[#This Row],[Plastic Mat]],Table_NFI[Plastic Mat])*IF(Table_NFI[[#This Row],[Distribution Date]]&gt;"2014-04-01",1,2.5)</f>
        <v>0</v>
      </c>
      <c r="AI165" s="439">
        <f>IF(NFI_Expiration=1,IF($A165&lt;VLOOKUP(R$5,NFI,5,0),1,0)*Table_NFI[[#This Row],[Winter Clothes Adult]],Table_NFI[Winter Clothes Adult])</f>
        <v>0</v>
      </c>
      <c r="AJ165" s="439">
        <f>IF(NFI_Expiration=1,IF($A165&lt;VLOOKUP(S$5,NFI,5,0),1,0)*Table_NFI[[#This Row],[Winter Clothes Children]],Table_NFI[Winter Clothes Children])</f>
        <v>0</v>
      </c>
      <c r="AK165" s="439">
        <f>IF(NFI_Expiration=1,IF($A165&lt;VLOOKUP(T$5,NFI,5,0),1,0)*Table_NFI[[#This Row],[Winter Items Other]],Table_NFI[Winter Items Other])</f>
        <v>0</v>
      </c>
      <c r="AL165" s="439">
        <f>IF(NFI_Expiration=1,IF($A165&lt;VLOOKUP(M$5,NFI,5,0),1,0)*Table_NFI[[#This Row],[Winter Blanket]],Table_NFI[[#This Row],[Winter Blanket]])</f>
        <v>0</v>
      </c>
      <c r="AM165" s="439">
        <f>IF(Table_NFI[[#This Row],[Winter Clothes Adult]]+Table_NFI[[#This Row],[Winter Clothes Children]]+Table_NFI[[#This Row],[Winter Items Other]]+Table_NFI[[#This Row],[Winter Blanket]]&gt;0,1,0)</f>
        <v>0</v>
      </c>
      <c r="AN165" s="439">
        <f>IF(NFI_Expiration=1,IF($A165&lt;VLOOKUP(V$5,NFI,5,0),1,0)*Table_NFI[[#This Row],[Jerry Can]],Table_NFI[Jerry Can])</f>
        <v>0</v>
      </c>
      <c r="AO165" s="781" t="str">
        <f>IFERROR(VLOOKUP(Table_NFI[[#This Row],[Camp Name]],CL,2,0),"")</f>
        <v>MMR001CMP007</v>
      </c>
      <c r="AP165" s="772">
        <f ca="1">IF(Table_NFI[[#This Row],[Pcode]]="","",IF(OFFSET(CampList[Opening Date],MATCH(Table_NFI[[#This Row],[Pcode]],CampList[CP_Pcode],0)-1,0,1,1)&gt;=NFI_Monitor_Date,1,0))</f>
        <v>0</v>
      </c>
      <c r="AQ165" s="781" t="str">
        <f>IFERROR(VLOOKUP(Table_NFI[[#This Row],[Camp Name]],CL,3,0),"")</f>
        <v>Open</v>
      </c>
      <c r="AR165" s="439" t="str">
        <f ca="1">IF(Table_NFI[[#This Row],[Pcode]]="","",OFFSET(CampList[Priority],MATCH(Table_NFI[[#This Row],[Pcode]],CampList[CP_Pcode],0)-1,0,1,1))</f>
        <v>P4</v>
      </c>
      <c r="AS165" s="438">
        <f>IFERROR(Table_NFI[[#This Row],[Kitchen Set]]/VLOOKUP(Table_NFI[[#This Row],[Camp Name]],CL,4,0),"")</f>
        <v>0</v>
      </c>
      <c r="AT165" s="779"/>
      <c r="AU165" s="782"/>
    </row>
    <row r="166" spans="1:47" s="136" customFormat="1" x14ac:dyDescent="0.25">
      <c r="A166" s="451">
        <f t="shared" si="2"/>
        <v>15.233333333333333</v>
      </c>
      <c r="B166" s="768">
        <v>41913</v>
      </c>
      <c r="C166" s="769" t="s">
        <v>454</v>
      </c>
      <c r="D166" s="779" t="s">
        <v>508</v>
      </c>
      <c r="E166" s="779" t="s">
        <v>380</v>
      </c>
      <c r="F166" s="779" t="s">
        <v>180</v>
      </c>
      <c r="G166" s="779" t="s">
        <v>181</v>
      </c>
      <c r="H166" s="437"/>
      <c r="I166" s="437"/>
      <c r="J166" s="437"/>
      <c r="K166" s="437">
        <v>24</v>
      </c>
      <c r="L166" s="437"/>
      <c r="M166" s="437"/>
      <c r="N166" s="437"/>
      <c r="O166" s="437"/>
      <c r="P166" s="439"/>
      <c r="Q166" s="439"/>
      <c r="R166" s="439"/>
      <c r="S166" s="439"/>
      <c r="T166" s="439"/>
      <c r="U166" s="439"/>
      <c r="V166" s="439"/>
      <c r="W166" s="439"/>
      <c r="X166" s="439"/>
      <c r="Y166" s="439">
        <f>IF(NFI_Expiration=1,IF($A166&lt;VLOOKUP(H$5,NFI,5,0),1,0)*Table_NFI[[#This Row],[Hygiene Kit]],Table_NFI[Hygiene Kit])</f>
        <v>0</v>
      </c>
      <c r="Z166" s="439">
        <f>IF(NFI_Expiration=1,IF($A166&lt;VLOOKUP(I$5,NFI,5,0),1,0)*Table_NFI[[#This Row],[NFI Core Kit]],Table_NFI[NFI Core Kit])</f>
        <v>0</v>
      </c>
      <c r="AA166" s="439">
        <f>IF(NFI_Expiration=1,IF($A166&lt;VLOOKUP(J$5,NFI,5,0),1,0)*Table_NFI[[#This Row],[Sanitary Kit]],Table_NFI[Sanitary Kit])</f>
        <v>0</v>
      </c>
      <c r="AB166" s="439">
        <f>IF(NFI_Expiration=1,IF($A166&lt;VLOOKUP(K$5,NFI,5,0),1,0)*Table_NFI[[#This Row],[Mosquito net]],Table_NFI[Mosquito net])</f>
        <v>0</v>
      </c>
      <c r="AC166" s="439">
        <f>IF(NFI_Expiration=1,IF($A166&lt;VLOOKUP(L$5,NFI,5,0),1,0)*Table_NFI[[#This Row],[Tarpaulin]],Table_NFI[[#This Row],[Tarpaulin]])</f>
        <v>0</v>
      </c>
      <c r="AD166" s="439">
        <f>IF(NFI_Expiration=1,IF($A166&lt;VLOOKUP(M$5,NFI,5,0),1,0)*Table_NFI[[#This Row],[Blanket]],Table_NFI[[#This Row],[Blanket]])</f>
        <v>0</v>
      </c>
      <c r="AE166" s="439">
        <f>IF(NFI_Expiration=1,IF($A166&lt;VLOOKUP(N$5,NFI,5,0),1,0)*Table_NFI[[#This Row],[Kitchen Set]],Table_NFI[Kitchen Set])</f>
        <v>0</v>
      </c>
      <c r="AF166" s="439">
        <f>IF(NFI_Expiration=1,IF($A166&lt;VLOOKUP(O$5,NFI,5,0),1,0)*Table_NFI[[#This Row],[Clothes Kit]],Table_NFI[Clothes Kit])</f>
        <v>0</v>
      </c>
      <c r="AG166" s="439">
        <f>IF(NFI_Expiration=1,IF($A166&lt;VLOOKUP(P$5,NFI,5,0),1,0)*Table_NFI[[#This Row],[Plastic Bucket]],Table_NFI[Plastic Bucket])</f>
        <v>0</v>
      </c>
      <c r="AH166" s="439">
        <f>IF(NFI_Expiration=1,IF($A166&lt;VLOOKUP(Q$5,NFI,5,0),1,0)*Table_NFI[[#This Row],[Plastic Mat]],Table_NFI[Plastic Mat])*IF(Table_NFI[[#This Row],[Distribution Date]]&gt;"2014-04-01",1,2.5)</f>
        <v>0</v>
      </c>
      <c r="AI166" s="439">
        <f>IF(NFI_Expiration=1,IF($A166&lt;VLOOKUP(R$5,NFI,5,0),1,0)*Table_NFI[[#This Row],[Winter Clothes Adult]],Table_NFI[Winter Clothes Adult])</f>
        <v>0</v>
      </c>
      <c r="AJ166" s="439">
        <f>IF(NFI_Expiration=1,IF($A166&lt;VLOOKUP(S$5,NFI,5,0),1,0)*Table_NFI[[#This Row],[Winter Clothes Children]],Table_NFI[Winter Clothes Children])</f>
        <v>0</v>
      </c>
      <c r="AK166" s="439">
        <f>IF(NFI_Expiration=1,IF($A166&lt;VLOOKUP(T$5,NFI,5,0),1,0)*Table_NFI[[#This Row],[Winter Items Other]],Table_NFI[Winter Items Other])</f>
        <v>0</v>
      </c>
      <c r="AL166" s="439">
        <f>IF(NFI_Expiration=1,IF($A166&lt;VLOOKUP(M$5,NFI,5,0),1,0)*Table_NFI[[#This Row],[Winter Blanket]],Table_NFI[[#This Row],[Winter Blanket]])</f>
        <v>0</v>
      </c>
      <c r="AM166" s="439">
        <f>IF(Table_NFI[[#This Row],[Winter Clothes Adult]]+Table_NFI[[#This Row],[Winter Clothes Children]]+Table_NFI[[#This Row],[Winter Items Other]]+Table_NFI[[#This Row],[Winter Blanket]]&gt;0,1,0)</f>
        <v>0</v>
      </c>
      <c r="AN166" s="439">
        <f>IF(NFI_Expiration=1,IF($A166&lt;VLOOKUP(V$5,NFI,5,0),1,0)*Table_NFI[[#This Row],[Jerry Can]],Table_NFI[Jerry Can])</f>
        <v>0</v>
      </c>
      <c r="AO166" s="781" t="str">
        <f>IFERROR(VLOOKUP(Table_NFI[[#This Row],[Camp Name]],CL,2,0),"")</f>
        <v>MMR001CMP080</v>
      </c>
      <c r="AP166" s="772">
        <f ca="1">IF(Table_NFI[[#This Row],[Pcode]]="","",IF(OFFSET(CampList[Opening Date],MATCH(Table_NFI[[#This Row],[Pcode]],CampList[CP_Pcode],0)-1,0,1,1)&gt;=NFI_Monitor_Date,1,0))</f>
        <v>0</v>
      </c>
      <c r="AQ166" s="781" t="str">
        <f>IFERROR(VLOOKUP(Table_NFI[[#This Row],[Camp Name]],CL,3,0),"")</f>
        <v>Open</v>
      </c>
      <c r="AR166" s="439" t="str">
        <f ca="1">IF(Table_NFI[[#This Row],[Pcode]]="","",OFFSET(CampList[Priority],MATCH(Table_NFI[[#This Row],[Pcode]],CampList[CP_Pcode],0)-1,0,1,1))</f>
        <v>P4</v>
      </c>
      <c r="AS166" s="438">
        <f>IFERROR(Table_NFI[[#This Row],[Kitchen Set]]/VLOOKUP(Table_NFI[[#This Row],[Camp Name]],CL,4,0),"")</f>
        <v>0</v>
      </c>
      <c r="AT166" s="779"/>
      <c r="AU166" s="782"/>
    </row>
    <row r="167" spans="1:47" s="136" customFormat="1" x14ac:dyDescent="0.25">
      <c r="A167" s="451">
        <f t="shared" si="2"/>
        <v>15.233333333333333</v>
      </c>
      <c r="B167" s="768">
        <v>41913</v>
      </c>
      <c r="C167" s="769" t="s">
        <v>454</v>
      </c>
      <c r="D167" s="779" t="s">
        <v>507</v>
      </c>
      <c r="E167" s="779" t="s">
        <v>380</v>
      </c>
      <c r="F167" s="779" t="s">
        <v>237</v>
      </c>
      <c r="G167" s="779" t="s">
        <v>249</v>
      </c>
      <c r="H167" s="437"/>
      <c r="I167" s="437"/>
      <c r="J167" s="437"/>
      <c r="K167" s="437">
        <v>26</v>
      </c>
      <c r="L167" s="437"/>
      <c r="M167" s="437"/>
      <c r="N167" s="437"/>
      <c r="O167" s="437"/>
      <c r="P167" s="439"/>
      <c r="Q167" s="439"/>
      <c r="R167" s="439"/>
      <c r="S167" s="439"/>
      <c r="T167" s="439"/>
      <c r="U167" s="439"/>
      <c r="V167" s="439"/>
      <c r="W167" s="439"/>
      <c r="X167" s="439"/>
      <c r="Y167" s="439">
        <f>IF(NFI_Expiration=1,IF($A167&lt;VLOOKUP(H$5,NFI,5,0),1,0)*Table_NFI[[#This Row],[Hygiene Kit]],Table_NFI[Hygiene Kit])</f>
        <v>0</v>
      </c>
      <c r="Z167" s="439">
        <f>IF(NFI_Expiration=1,IF($A167&lt;VLOOKUP(I$5,NFI,5,0),1,0)*Table_NFI[[#This Row],[NFI Core Kit]],Table_NFI[NFI Core Kit])</f>
        <v>0</v>
      </c>
      <c r="AA167" s="439">
        <f>IF(NFI_Expiration=1,IF($A167&lt;VLOOKUP(J$5,NFI,5,0),1,0)*Table_NFI[[#This Row],[Sanitary Kit]],Table_NFI[Sanitary Kit])</f>
        <v>0</v>
      </c>
      <c r="AB167" s="439">
        <f>IF(NFI_Expiration=1,IF($A167&lt;VLOOKUP(K$5,NFI,5,0),1,0)*Table_NFI[[#This Row],[Mosquito net]],Table_NFI[Mosquito net])</f>
        <v>0</v>
      </c>
      <c r="AC167" s="439">
        <f>IF(NFI_Expiration=1,IF($A167&lt;VLOOKUP(L$5,NFI,5,0),1,0)*Table_NFI[[#This Row],[Tarpaulin]],Table_NFI[[#This Row],[Tarpaulin]])</f>
        <v>0</v>
      </c>
      <c r="AD167" s="439">
        <f>IF(NFI_Expiration=1,IF($A167&lt;VLOOKUP(M$5,NFI,5,0),1,0)*Table_NFI[[#This Row],[Blanket]],Table_NFI[[#This Row],[Blanket]])</f>
        <v>0</v>
      </c>
      <c r="AE167" s="439">
        <f>IF(NFI_Expiration=1,IF($A167&lt;VLOOKUP(N$5,NFI,5,0),1,0)*Table_NFI[[#This Row],[Kitchen Set]],Table_NFI[Kitchen Set])</f>
        <v>0</v>
      </c>
      <c r="AF167" s="439">
        <f>IF(NFI_Expiration=1,IF($A167&lt;VLOOKUP(O$5,NFI,5,0),1,0)*Table_NFI[[#This Row],[Clothes Kit]],Table_NFI[Clothes Kit])</f>
        <v>0</v>
      </c>
      <c r="AG167" s="439">
        <f>IF(NFI_Expiration=1,IF($A167&lt;VLOOKUP(P$5,NFI,5,0),1,0)*Table_NFI[[#This Row],[Plastic Bucket]],Table_NFI[Plastic Bucket])</f>
        <v>0</v>
      </c>
      <c r="AH167" s="439">
        <f>IF(NFI_Expiration=1,IF($A167&lt;VLOOKUP(Q$5,NFI,5,0),1,0)*Table_NFI[[#This Row],[Plastic Mat]],Table_NFI[Plastic Mat])*IF(Table_NFI[[#This Row],[Distribution Date]]&gt;"2014-04-01",1,2.5)</f>
        <v>0</v>
      </c>
      <c r="AI167" s="439">
        <f>IF(NFI_Expiration=1,IF($A167&lt;VLOOKUP(R$5,NFI,5,0),1,0)*Table_NFI[[#This Row],[Winter Clothes Adult]],Table_NFI[Winter Clothes Adult])</f>
        <v>0</v>
      </c>
      <c r="AJ167" s="439">
        <f>IF(NFI_Expiration=1,IF($A167&lt;VLOOKUP(S$5,NFI,5,0),1,0)*Table_NFI[[#This Row],[Winter Clothes Children]],Table_NFI[Winter Clothes Children])</f>
        <v>0</v>
      </c>
      <c r="AK167" s="439">
        <f>IF(NFI_Expiration=1,IF($A167&lt;VLOOKUP(T$5,NFI,5,0),1,0)*Table_NFI[[#This Row],[Winter Items Other]],Table_NFI[Winter Items Other])</f>
        <v>0</v>
      </c>
      <c r="AL167" s="439">
        <f>IF(NFI_Expiration=1,IF($A167&lt;VLOOKUP(M$5,NFI,5,0),1,0)*Table_NFI[[#This Row],[Winter Blanket]],Table_NFI[[#This Row],[Winter Blanket]])</f>
        <v>0</v>
      </c>
      <c r="AM167" s="439">
        <f>IF(Table_NFI[[#This Row],[Winter Clothes Adult]]+Table_NFI[[#This Row],[Winter Clothes Children]]+Table_NFI[[#This Row],[Winter Items Other]]+Table_NFI[[#This Row],[Winter Blanket]]&gt;0,1,0)</f>
        <v>0</v>
      </c>
      <c r="AN167" s="439">
        <f>IF(NFI_Expiration=1,IF($A167&lt;VLOOKUP(V$5,NFI,5,0),1,0)*Table_NFI[[#This Row],[Jerry Can]],Table_NFI[Jerry Can])</f>
        <v>0</v>
      </c>
      <c r="AO167" s="781" t="str">
        <f>IFERROR(VLOOKUP(Table_NFI[[#This Row],[Camp Name]],CL,2,0),"")</f>
        <v>MMR001CMP004</v>
      </c>
      <c r="AP167" s="772">
        <f ca="1">IF(Table_NFI[[#This Row],[Pcode]]="","",IF(OFFSET(CampList[Opening Date],MATCH(Table_NFI[[#This Row],[Pcode]],CampList[CP_Pcode],0)-1,0,1,1)&gt;=NFI_Monitor_Date,1,0))</f>
        <v>0</v>
      </c>
      <c r="AQ167" s="781" t="str">
        <f>IFERROR(VLOOKUP(Table_NFI[[#This Row],[Camp Name]],CL,3,0),"")</f>
        <v>Open</v>
      </c>
      <c r="AR167" s="439" t="str">
        <f ca="1">IF(Table_NFI[[#This Row],[Pcode]]="","",OFFSET(CampList[Priority],MATCH(Table_NFI[[#This Row],[Pcode]],CampList[CP_Pcode],0)-1,0,1,1))</f>
        <v>P4</v>
      </c>
      <c r="AS167" s="438">
        <f>IFERROR(Table_NFI[[#This Row],[Kitchen Set]]/VLOOKUP(Table_NFI[[#This Row],[Camp Name]],CL,4,0),"")</f>
        <v>0</v>
      </c>
      <c r="AT167" s="779"/>
      <c r="AU167" s="782"/>
    </row>
    <row r="168" spans="1:47" s="136" customFormat="1" x14ac:dyDescent="0.25">
      <c r="A168" s="451">
        <f t="shared" si="2"/>
        <v>15.233333333333333</v>
      </c>
      <c r="B168" s="768">
        <v>41913</v>
      </c>
      <c r="C168" s="769" t="s">
        <v>454</v>
      </c>
      <c r="D168" s="779" t="s">
        <v>507</v>
      </c>
      <c r="E168" s="779" t="s">
        <v>380</v>
      </c>
      <c r="F168" s="779" t="s">
        <v>310</v>
      </c>
      <c r="G168" s="779" t="s">
        <v>349</v>
      </c>
      <c r="H168" s="437"/>
      <c r="I168" s="437"/>
      <c r="J168" s="437"/>
      <c r="K168" s="437">
        <v>144</v>
      </c>
      <c r="L168" s="437"/>
      <c r="M168" s="437"/>
      <c r="N168" s="437"/>
      <c r="O168" s="437"/>
      <c r="P168" s="439"/>
      <c r="Q168" s="439"/>
      <c r="R168" s="439"/>
      <c r="S168" s="439"/>
      <c r="T168" s="439"/>
      <c r="U168" s="439"/>
      <c r="V168" s="439"/>
      <c r="W168" s="439"/>
      <c r="X168" s="439"/>
      <c r="Y168" s="439">
        <f>IF(NFI_Expiration=1,IF($A168&lt;VLOOKUP(H$5,NFI,5,0),1,0)*Table_NFI[[#This Row],[Hygiene Kit]],Table_NFI[Hygiene Kit])</f>
        <v>0</v>
      </c>
      <c r="Z168" s="439">
        <f>IF(NFI_Expiration=1,IF($A168&lt;VLOOKUP(I$5,NFI,5,0),1,0)*Table_NFI[[#This Row],[NFI Core Kit]],Table_NFI[NFI Core Kit])</f>
        <v>0</v>
      </c>
      <c r="AA168" s="439">
        <f>IF(NFI_Expiration=1,IF($A168&lt;VLOOKUP(J$5,NFI,5,0),1,0)*Table_NFI[[#This Row],[Sanitary Kit]],Table_NFI[Sanitary Kit])</f>
        <v>0</v>
      </c>
      <c r="AB168" s="439">
        <f>IF(NFI_Expiration=1,IF($A168&lt;VLOOKUP(K$5,NFI,5,0),1,0)*Table_NFI[[#This Row],[Mosquito net]],Table_NFI[Mosquito net])</f>
        <v>0</v>
      </c>
      <c r="AC168" s="439">
        <f>IF(NFI_Expiration=1,IF($A168&lt;VLOOKUP(L$5,NFI,5,0),1,0)*Table_NFI[[#This Row],[Tarpaulin]],Table_NFI[[#This Row],[Tarpaulin]])</f>
        <v>0</v>
      </c>
      <c r="AD168" s="439">
        <f>IF(NFI_Expiration=1,IF($A168&lt;VLOOKUP(M$5,NFI,5,0),1,0)*Table_NFI[[#This Row],[Blanket]],Table_NFI[[#This Row],[Blanket]])</f>
        <v>0</v>
      </c>
      <c r="AE168" s="439">
        <f>IF(NFI_Expiration=1,IF($A168&lt;VLOOKUP(N$5,NFI,5,0),1,0)*Table_NFI[[#This Row],[Kitchen Set]],Table_NFI[Kitchen Set])</f>
        <v>0</v>
      </c>
      <c r="AF168" s="439">
        <f>IF(NFI_Expiration=1,IF($A168&lt;VLOOKUP(O$5,NFI,5,0),1,0)*Table_NFI[[#This Row],[Clothes Kit]],Table_NFI[Clothes Kit])</f>
        <v>0</v>
      </c>
      <c r="AG168" s="439">
        <f>IF(NFI_Expiration=1,IF($A168&lt;VLOOKUP(P$5,NFI,5,0),1,0)*Table_NFI[[#This Row],[Plastic Bucket]],Table_NFI[Plastic Bucket])</f>
        <v>0</v>
      </c>
      <c r="AH168" s="439">
        <f>IF(NFI_Expiration=1,IF($A168&lt;VLOOKUP(Q$5,NFI,5,0),1,0)*Table_NFI[[#This Row],[Plastic Mat]],Table_NFI[Plastic Mat])*IF(Table_NFI[[#This Row],[Distribution Date]]&gt;"2014-04-01",1,2.5)</f>
        <v>0</v>
      </c>
      <c r="AI168" s="439">
        <f>IF(NFI_Expiration=1,IF($A168&lt;VLOOKUP(R$5,NFI,5,0),1,0)*Table_NFI[[#This Row],[Winter Clothes Adult]],Table_NFI[Winter Clothes Adult])</f>
        <v>0</v>
      </c>
      <c r="AJ168" s="439">
        <f>IF(NFI_Expiration=1,IF($A168&lt;VLOOKUP(S$5,NFI,5,0),1,0)*Table_NFI[[#This Row],[Winter Clothes Children]],Table_NFI[Winter Clothes Children])</f>
        <v>0</v>
      </c>
      <c r="AK168" s="439">
        <f>IF(NFI_Expiration=1,IF($A168&lt;VLOOKUP(T$5,NFI,5,0),1,0)*Table_NFI[[#This Row],[Winter Items Other]],Table_NFI[Winter Items Other])</f>
        <v>0</v>
      </c>
      <c r="AL168" s="439">
        <f>IF(NFI_Expiration=1,IF($A168&lt;VLOOKUP(M$5,NFI,5,0),1,0)*Table_NFI[[#This Row],[Winter Blanket]],Table_NFI[[#This Row],[Winter Blanket]])</f>
        <v>0</v>
      </c>
      <c r="AM168" s="439">
        <f>IF(Table_NFI[[#This Row],[Winter Clothes Adult]]+Table_NFI[[#This Row],[Winter Clothes Children]]+Table_NFI[[#This Row],[Winter Items Other]]+Table_NFI[[#This Row],[Winter Blanket]]&gt;0,1,0)</f>
        <v>0</v>
      </c>
      <c r="AN168" s="439">
        <f>IF(NFI_Expiration=1,IF($A168&lt;VLOOKUP(V$5,NFI,5,0),1,0)*Table_NFI[[#This Row],[Jerry Can]],Table_NFI[Jerry Can])</f>
        <v>0</v>
      </c>
      <c r="AO168" s="781" t="str">
        <f>IFERROR(VLOOKUP(Table_NFI[[#This Row],[Camp Name]],CL,2,0),"")</f>
        <v>MMR001CMP037</v>
      </c>
      <c r="AP168" s="772">
        <f ca="1">IF(Table_NFI[[#This Row],[Pcode]]="","",IF(OFFSET(CampList[Opening Date],MATCH(Table_NFI[[#This Row],[Pcode]],CampList[CP_Pcode],0)-1,0,1,1)&gt;=NFI_Monitor_Date,1,0))</f>
        <v>0</v>
      </c>
      <c r="AQ168" s="781" t="str">
        <f>IFERROR(VLOOKUP(Table_NFI[[#This Row],[Camp Name]],CL,3,0),"")</f>
        <v>Open</v>
      </c>
      <c r="AR168" s="439" t="str">
        <f ca="1">IF(Table_NFI[[#This Row],[Pcode]]="","",OFFSET(CampList[Priority],MATCH(Table_NFI[[#This Row],[Pcode]],CampList[CP_Pcode],0)-1,0,1,1))</f>
        <v>P4</v>
      </c>
      <c r="AS168" s="438">
        <f>IFERROR(Table_NFI[[#This Row],[Kitchen Set]]/VLOOKUP(Table_NFI[[#This Row],[Camp Name]],CL,4,0),"")</f>
        <v>0</v>
      </c>
      <c r="AT168" s="779"/>
      <c r="AU168" s="782"/>
    </row>
    <row r="169" spans="1:47" s="136" customFormat="1" x14ac:dyDescent="0.25">
      <c r="A169" s="451">
        <f t="shared" si="2"/>
        <v>15.233333333333333</v>
      </c>
      <c r="B169" s="768">
        <v>41913</v>
      </c>
      <c r="C169" s="769" t="s">
        <v>454</v>
      </c>
      <c r="D169" s="779" t="s">
        <v>507</v>
      </c>
      <c r="E169" s="779" t="s">
        <v>380</v>
      </c>
      <c r="F169" s="779" t="s">
        <v>310</v>
      </c>
      <c r="G169" s="779" t="s">
        <v>316</v>
      </c>
      <c r="H169" s="437"/>
      <c r="I169" s="437"/>
      <c r="J169" s="437"/>
      <c r="K169" s="437">
        <v>150</v>
      </c>
      <c r="L169" s="437"/>
      <c r="M169" s="437"/>
      <c r="N169" s="437"/>
      <c r="O169" s="437"/>
      <c r="P169" s="439"/>
      <c r="Q169" s="439"/>
      <c r="R169" s="439"/>
      <c r="S169" s="439"/>
      <c r="T169" s="439"/>
      <c r="U169" s="439"/>
      <c r="V169" s="439"/>
      <c r="W169" s="439"/>
      <c r="X169" s="439"/>
      <c r="Y169" s="439">
        <f>IF(NFI_Expiration=1,IF($A169&lt;VLOOKUP(H$5,NFI,5,0),1,0)*Table_NFI[[#This Row],[Hygiene Kit]],Table_NFI[Hygiene Kit])</f>
        <v>0</v>
      </c>
      <c r="Z169" s="439">
        <f>IF(NFI_Expiration=1,IF($A169&lt;VLOOKUP(I$5,NFI,5,0),1,0)*Table_NFI[[#This Row],[NFI Core Kit]],Table_NFI[NFI Core Kit])</f>
        <v>0</v>
      </c>
      <c r="AA169" s="439">
        <f>IF(NFI_Expiration=1,IF($A169&lt;VLOOKUP(J$5,NFI,5,0),1,0)*Table_NFI[[#This Row],[Sanitary Kit]],Table_NFI[Sanitary Kit])</f>
        <v>0</v>
      </c>
      <c r="AB169" s="439">
        <f>IF(NFI_Expiration=1,IF($A169&lt;VLOOKUP(K$5,NFI,5,0),1,0)*Table_NFI[[#This Row],[Mosquito net]],Table_NFI[Mosquito net])</f>
        <v>0</v>
      </c>
      <c r="AC169" s="439">
        <f>IF(NFI_Expiration=1,IF($A169&lt;VLOOKUP(L$5,NFI,5,0),1,0)*Table_NFI[[#This Row],[Tarpaulin]],Table_NFI[[#This Row],[Tarpaulin]])</f>
        <v>0</v>
      </c>
      <c r="AD169" s="439">
        <f>IF(NFI_Expiration=1,IF($A169&lt;VLOOKUP(M$5,NFI,5,0),1,0)*Table_NFI[[#This Row],[Blanket]],Table_NFI[[#This Row],[Blanket]])</f>
        <v>0</v>
      </c>
      <c r="AE169" s="439">
        <f>IF(NFI_Expiration=1,IF($A169&lt;VLOOKUP(N$5,NFI,5,0),1,0)*Table_NFI[[#This Row],[Kitchen Set]],Table_NFI[Kitchen Set])</f>
        <v>0</v>
      </c>
      <c r="AF169" s="439">
        <f>IF(NFI_Expiration=1,IF($A169&lt;VLOOKUP(O$5,NFI,5,0),1,0)*Table_NFI[[#This Row],[Clothes Kit]],Table_NFI[Clothes Kit])</f>
        <v>0</v>
      </c>
      <c r="AG169" s="439">
        <f>IF(NFI_Expiration=1,IF($A169&lt;VLOOKUP(P$5,NFI,5,0),1,0)*Table_NFI[[#This Row],[Plastic Bucket]],Table_NFI[Plastic Bucket])</f>
        <v>0</v>
      </c>
      <c r="AH169" s="439">
        <f>IF(NFI_Expiration=1,IF($A169&lt;VLOOKUP(Q$5,NFI,5,0),1,0)*Table_NFI[[#This Row],[Plastic Mat]],Table_NFI[Plastic Mat])*IF(Table_NFI[[#This Row],[Distribution Date]]&gt;"2014-04-01",1,2.5)</f>
        <v>0</v>
      </c>
      <c r="AI169" s="439">
        <f>IF(NFI_Expiration=1,IF($A169&lt;VLOOKUP(R$5,NFI,5,0),1,0)*Table_NFI[[#This Row],[Winter Clothes Adult]],Table_NFI[Winter Clothes Adult])</f>
        <v>0</v>
      </c>
      <c r="AJ169" s="439">
        <f>IF(NFI_Expiration=1,IF($A169&lt;VLOOKUP(S$5,NFI,5,0),1,0)*Table_NFI[[#This Row],[Winter Clothes Children]],Table_NFI[Winter Clothes Children])</f>
        <v>0</v>
      </c>
      <c r="AK169" s="439">
        <f>IF(NFI_Expiration=1,IF($A169&lt;VLOOKUP(T$5,NFI,5,0),1,0)*Table_NFI[[#This Row],[Winter Items Other]],Table_NFI[Winter Items Other])</f>
        <v>0</v>
      </c>
      <c r="AL169" s="439">
        <f>IF(NFI_Expiration=1,IF($A169&lt;VLOOKUP(M$5,NFI,5,0),1,0)*Table_NFI[[#This Row],[Winter Blanket]],Table_NFI[[#This Row],[Winter Blanket]])</f>
        <v>0</v>
      </c>
      <c r="AM169" s="439">
        <f>IF(Table_NFI[[#This Row],[Winter Clothes Adult]]+Table_NFI[[#This Row],[Winter Clothes Children]]+Table_NFI[[#This Row],[Winter Items Other]]+Table_NFI[[#This Row],[Winter Blanket]]&gt;0,1,0)</f>
        <v>0</v>
      </c>
      <c r="AN169" s="439">
        <f>IF(NFI_Expiration=1,IF($A169&lt;VLOOKUP(V$5,NFI,5,0),1,0)*Table_NFI[[#This Row],[Jerry Can]],Table_NFI[Jerry Can])</f>
        <v>0</v>
      </c>
      <c r="AO169" s="781" t="str">
        <f>IFERROR(VLOOKUP(Table_NFI[[#This Row],[Camp Name]],CL,2,0),"")</f>
        <v>MMR001CMP038</v>
      </c>
      <c r="AP169" s="772">
        <f ca="1">IF(Table_NFI[[#This Row],[Pcode]]="","",IF(OFFSET(CampList[Opening Date],MATCH(Table_NFI[[#This Row],[Pcode]],CampList[CP_Pcode],0)-1,0,1,1)&gt;=NFI_Monitor_Date,1,0))</f>
        <v>0</v>
      </c>
      <c r="AQ169" s="781" t="str">
        <f>IFERROR(VLOOKUP(Table_NFI[[#This Row],[Camp Name]],CL,3,0),"")</f>
        <v>Open</v>
      </c>
      <c r="AR169" s="439" t="str">
        <f ca="1">IF(Table_NFI[[#This Row],[Pcode]]="","",OFFSET(CampList[Priority],MATCH(Table_NFI[[#This Row],[Pcode]],CampList[CP_Pcode],0)-1,0,1,1))</f>
        <v>P4</v>
      </c>
      <c r="AS169" s="438">
        <f>IFERROR(Table_NFI[[#This Row],[Kitchen Set]]/VLOOKUP(Table_NFI[[#This Row],[Camp Name]],CL,4,0),"")</f>
        <v>0</v>
      </c>
      <c r="AT169" s="779"/>
      <c r="AU169" s="782"/>
    </row>
    <row r="170" spans="1:47" s="136" customFormat="1" x14ac:dyDescent="0.25">
      <c r="A170" s="451">
        <f t="shared" si="2"/>
        <v>15.233333333333333</v>
      </c>
      <c r="B170" s="768">
        <v>41913</v>
      </c>
      <c r="C170" s="769" t="s">
        <v>454</v>
      </c>
      <c r="D170" s="779" t="s">
        <v>507</v>
      </c>
      <c r="E170" s="779" t="s">
        <v>380</v>
      </c>
      <c r="F170" s="779" t="s">
        <v>237</v>
      </c>
      <c r="G170" s="779" t="s">
        <v>283</v>
      </c>
      <c r="H170" s="437"/>
      <c r="I170" s="437"/>
      <c r="J170" s="437"/>
      <c r="K170" s="437">
        <v>12</v>
      </c>
      <c r="L170" s="437"/>
      <c r="M170" s="437"/>
      <c r="N170" s="437"/>
      <c r="O170" s="437"/>
      <c r="P170" s="439"/>
      <c r="Q170" s="439"/>
      <c r="R170" s="439"/>
      <c r="S170" s="439"/>
      <c r="T170" s="439"/>
      <c r="U170" s="439"/>
      <c r="V170" s="439"/>
      <c r="W170" s="439"/>
      <c r="X170" s="439"/>
      <c r="Y170" s="439">
        <f>IF(NFI_Expiration=1,IF($A170&lt;VLOOKUP(H$5,NFI,5,0),1,0)*Table_NFI[[#This Row],[Hygiene Kit]],Table_NFI[Hygiene Kit])</f>
        <v>0</v>
      </c>
      <c r="Z170" s="439">
        <f>IF(NFI_Expiration=1,IF($A170&lt;VLOOKUP(I$5,NFI,5,0),1,0)*Table_NFI[[#This Row],[NFI Core Kit]],Table_NFI[NFI Core Kit])</f>
        <v>0</v>
      </c>
      <c r="AA170" s="439">
        <f>IF(NFI_Expiration=1,IF($A170&lt;VLOOKUP(J$5,NFI,5,0),1,0)*Table_NFI[[#This Row],[Sanitary Kit]],Table_NFI[Sanitary Kit])</f>
        <v>0</v>
      </c>
      <c r="AB170" s="439">
        <f>IF(NFI_Expiration=1,IF($A170&lt;VLOOKUP(K$5,NFI,5,0),1,0)*Table_NFI[[#This Row],[Mosquito net]],Table_NFI[Mosquito net])</f>
        <v>0</v>
      </c>
      <c r="AC170" s="439">
        <f>IF(NFI_Expiration=1,IF($A170&lt;VLOOKUP(L$5,NFI,5,0),1,0)*Table_NFI[[#This Row],[Tarpaulin]],Table_NFI[[#This Row],[Tarpaulin]])</f>
        <v>0</v>
      </c>
      <c r="AD170" s="439">
        <f>IF(NFI_Expiration=1,IF($A170&lt;VLOOKUP(M$5,NFI,5,0),1,0)*Table_NFI[[#This Row],[Blanket]],Table_NFI[[#This Row],[Blanket]])</f>
        <v>0</v>
      </c>
      <c r="AE170" s="439">
        <f>IF(NFI_Expiration=1,IF($A170&lt;VLOOKUP(N$5,NFI,5,0),1,0)*Table_NFI[[#This Row],[Kitchen Set]],Table_NFI[Kitchen Set])</f>
        <v>0</v>
      </c>
      <c r="AF170" s="439">
        <f>IF(NFI_Expiration=1,IF($A170&lt;VLOOKUP(O$5,NFI,5,0),1,0)*Table_NFI[[#This Row],[Clothes Kit]],Table_NFI[Clothes Kit])</f>
        <v>0</v>
      </c>
      <c r="AG170" s="439">
        <f>IF(NFI_Expiration=1,IF($A170&lt;VLOOKUP(P$5,NFI,5,0),1,0)*Table_NFI[[#This Row],[Plastic Bucket]],Table_NFI[Plastic Bucket])</f>
        <v>0</v>
      </c>
      <c r="AH170" s="439">
        <f>IF(NFI_Expiration=1,IF($A170&lt;VLOOKUP(Q$5,NFI,5,0),1,0)*Table_NFI[[#This Row],[Plastic Mat]],Table_NFI[Plastic Mat])*IF(Table_NFI[[#This Row],[Distribution Date]]&gt;"2014-04-01",1,2.5)</f>
        <v>0</v>
      </c>
      <c r="AI170" s="439">
        <f>IF(NFI_Expiration=1,IF($A170&lt;VLOOKUP(R$5,NFI,5,0),1,0)*Table_NFI[[#This Row],[Winter Clothes Adult]],Table_NFI[Winter Clothes Adult])</f>
        <v>0</v>
      </c>
      <c r="AJ170" s="439">
        <f>IF(NFI_Expiration=1,IF($A170&lt;VLOOKUP(S$5,NFI,5,0),1,0)*Table_NFI[[#This Row],[Winter Clothes Children]],Table_NFI[Winter Clothes Children])</f>
        <v>0</v>
      </c>
      <c r="AK170" s="439">
        <f>IF(NFI_Expiration=1,IF($A170&lt;VLOOKUP(T$5,NFI,5,0),1,0)*Table_NFI[[#This Row],[Winter Items Other]],Table_NFI[Winter Items Other])</f>
        <v>0</v>
      </c>
      <c r="AL170" s="439">
        <f>IF(NFI_Expiration=1,IF($A170&lt;VLOOKUP(M$5,NFI,5,0),1,0)*Table_NFI[[#This Row],[Winter Blanket]],Table_NFI[[#This Row],[Winter Blanket]])</f>
        <v>0</v>
      </c>
      <c r="AM170" s="439">
        <f>IF(Table_NFI[[#This Row],[Winter Clothes Adult]]+Table_NFI[[#This Row],[Winter Clothes Children]]+Table_NFI[[#This Row],[Winter Items Other]]+Table_NFI[[#This Row],[Winter Blanket]]&gt;0,1,0)</f>
        <v>0</v>
      </c>
      <c r="AN170" s="439">
        <f>IF(NFI_Expiration=1,IF($A170&lt;VLOOKUP(V$5,NFI,5,0),1,0)*Table_NFI[[#This Row],[Jerry Can]],Table_NFI[Jerry Can])</f>
        <v>0</v>
      </c>
      <c r="AO170" s="781" t="str">
        <f>IFERROR(VLOOKUP(Table_NFI[[#This Row],[Camp Name]],CL,2,0),"")</f>
        <v>MMR001CMP022</v>
      </c>
      <c r="AP170" s="772">
        <f ca="1">IF(Table_NFI[[#This Row],[Pcode]]="","",IF(OFFSET(CampList[Opening Date],MATCH(Table_NFI[[#This Row],[Pcode]],CampList[CP_Pcode],0)-1,0,1,1)&gt;=NFI_Monitor_Date,1,0))</f>
        <v>0</v>
      </c>
      <c r="AQ170" s="781" t="str">
        <f>IFERROR(VLOOKUP(Table_NFI[[#This Row],[Camp Name]],CL,3,0),"")</f>
        <v>Open</v>
      </c>
      <c r="AR170" s="439" t="str">
        <f ca="1">IF(Table_NFI[[#This Row],[Pcode]]="","",OFFSET(CampList[Priority],MATCH(Table_NFI[[#This Row],[Pcode]],CampList[CP_Pcode],0)-1,0,1,1))</f>
        <v>P4</v>
      </c>
      <c r="AS170" s="438">
        <f>IFERROR(Table_NFI[[#This Row],[Kitchen Set]]/VLOOKUP(Table_NFI[[#This Row],[Camp Name]],CL,4,0),"")</f>
        <v>0</v>
      </c>
      <c r="AT170" s="779"/>
      <c r="AU170" s="782"/>
    </row>
    <row r="171" spans="1:47" s="136" customFormat="1" x14ac:dyDescent="0.25">
      <c r="A171" s="451">
        <f t="shared" si="2"/>
        <v>15.566666666666666</v>
      </c>
      <c r="B171" s="768">
        <v>41903</v>
      </c>
      <c r="C171" s="769" t="s">
        <v>454</v>
      </c>
      <c r="D171" s="769"/>
      <c r="E171" s="769" t="s">
        <v>380</v>
      </c>
      <c r="F171" s="769" t="s">
        <v>185</v>
      </c>
      <c r="G171" s="769" t="s">
        <v>215</v>
      </c>
      <c r="H171" s="436"/>
      <c r="I171" s="436"/>
      <c r="J171" s="436"/>
      <c r="K171" s="436">
        <v>604</v>
      </c>
      <c r="L171" s="437"/>
      <c r="M171" s="437"/>
      <c r="N171" s="437"/>
      <c r="O171" s="437"/>
      <c r="P171" s="439"/>
      <c r="Q171" s="439"/>
      <c r="R171" s="436"/>
      <c r="S171" s="436"/>
      <c r="T171" s="436"/>
      <c r="U171" s="436">
        <v>784</v>
      </c>
      <c r="V171" s="436"/>
      <c r="W171" s="436"/>
      <c r="X171" s="436"/>
      <c r="Y171" s="436">
        <f>IF(NFI_Expiration=1,IF($A171&lt;VLOOKUP(H$5,NFI,5,0),1,0)*Table_NFI[[#This Row],[Hygiene Kit]],Table_NFI[Hygiene Kit])</f>
        <v>0</v>
      </c>
      <c r="Z171" s="436">
        <f>IF(NFI_Expiration=1,IF($A171&lt;VLOOKUP(I$5,NFI,5,0),1,0)*Table_NFI[[#This Row],[NFI Core Kit]],Table_NFI[NFI Core Kit])</f>
        <v>0</v>
      </c>
      <c r="AA171" s="436">
        <f>IF(NFI_Expiration=1,IF($A171&lt;VLOOKUP(J$5,NFI,5,0),1,0)*Table_NFI[[#This Row],[Sanitary Kit]],Table_NFI[Sanitary Kit])</f>
        <v>0</v>
      </c>
      <c r="AB171" s="436">
        <f>IF(NFI_Expiration=1,IF($A171&lt;VLOOKUP(K$5,NFI,5,0),1,0)*Table_NFI[[#This Row],[Mosquito net]],Table_NFI[Mosquito net])</f>
        <v>0</v>
      </c>
      <c r="AC171" s="436">
        <f>IF(NFI_Expiration=1,IF($A171&lt;VLOOKUP(L$5,NFI,5,0),1,0)*Table_NFI[[#This Row],[Tarpaulin]],Table_NFI[[#This Row],[Tarpaulin]])</f>
        <v>0</v>
      </c>
      <c r="AD171" s="436">
        <f>IF(NFI_Expiration=1,IF($A171&lt;VLOOKUP(M$5,NFI,5,0),1,0)*Table_NFI[[#This Row],[Blanket]],Table_NFI[[#This Row],[Blanket]])</f>
        <v>0</v>
      </c>
      <c r="AE171" s="436">
        <f>IF(NFI_Expiration=1,IF($A171&lt;VLOOKUP(N$5,NFI,5,0),1,0)*Table_NFI[[#This Row],[Kitchen Set]],Table_NFI[Kitchen Set])</f>
        <v>0</v>
      </c>
      <c r="AF171" s="436">
        <f>IF(NFI_Expiration=1,IF($A171&lt;VLOOKUP(O$5,NFI,5,0),1,0)*Table_NFI[[#This Row],[Clothes Kit]],Table_NFI[Clothes Kit])</f>
        <v>0</v>
      </c>
      <c r="AG171" s="436">
        <f>IF(NFI_Expiration=1,IF($A171&lt;VLOOKUP(P$5,NFI,5,0),1,0)*Table_NFI[[#This Row],[Plastic Bucket]],Table_NFI[Plastic Bucket])</f>
        <v>0</v>
      </c>
      <c r="AH171" s="436">
        <f>IF(NFI_Expiration=1,IF($A171&lt;VLOOKUP(Q$5,NFI,5,0),1,0)*Table_NFI[[#This Row],[Plastic Mat]],Table_NFI[Plastic Mat])*IF(Table_NFI[[#This Row],[Distribution Date]]&gt;"2014-04-01",1,2.5)</f>
        <v>0</v>
      </c>
      <c r="AI171" s="436">
        <f>IF(NFI_Expiration=1,IF($A171&lt;VLOOKUP(R$5,NFI,5,0),1,0)*Table_NFI[[#This Row],[Winter Clothes Adult]],Table_NFI[Winter Clothes Adult])</f>
        <v>0</v>
      </c>
      <c r="AJ171" s="436">
        <f>IF(NFI_Expiration=1,IF($A171&lt;VLOOKUP(S$5,NFI,5,0),1,0)*Table_NFI[[#This Row],[Winter Clothes Children]],Table_NFI[Winter Clothes Children])</f>
        <v>0</v>
      </c>
      <c r="AK171" s="436">
        <f>IF(NFI_Expiration=1,IF($A171&lt;VLOOKUP(T$5,NFI,5,0),1,0)*Table_NFI[[#This Row],[Winter Items Other]],Table_NFI[Winter Items Other])</f>
        <v>0</v>
      </c>
      <c r="AL171" s="436">
        <f>IF(NFI_Expiration=1,IF($A171&lt;VLOOKUP(M$5,NFI,5,0),1,0)*Table_NFI[[#This Row],[Winter Blanket]],Table_NFI[[#This Row],[Winter Blanket]])</f>
        <v>0</v>
      </c>
      <c r="AM171" s="436">
        <f>IF(Table_NFI[[#This Row],[Winter Clothes Adult]]+Table_NFI[[#This Row],[Winter Clothes Children]]+Table_NFI[[#This Row],[Winter Items Other]]+Table_NFI[[#This Row],[Winter Blanket]]&gt;0,1,0)</f>
        <v>1</v>
      </c>
      <c r="AN171" s="439">
        <f>IF(NFI_Expiration=1,IF($A171&lt;VLOOKUP(V$5,NFI,5,0),1,0)*Table_NFI[[#This Row],[Jerry Can]],Table_NFI[Jerry Can])</f>
        <v>0</v>
      </c>
      <c r="AO171" s="771" t="str">
        <f>IFERROR(VLOOKUP(Table_NFI[[#This Row],[Camp Name]],CL,2,0),"")</f>
        <v>MMR001CMP131</v>
      </c>
      <c r="AP171" s="772">
        <f ca="1">IF(Table_NFI[[#This Row],[Pcode]]="","",IF(OFFSET(CampList[Opening Date],MATCH(Table_NFI[[#This Row],[Pcode]],CampList[CP_Pcode],0)-1,0,1,1)&gt;=NFI_Monitor_Date,1,0))</f>
        <v>0</v>
      </c>
      <c r="AQ171" s="781" t="str">
        <f>IFERROR(VLOOKUP(Table_NFI[[#This Row],[Camp Name]],CL,3,0),"")</f>
        <v>Open</v>
      </c>
      <c r="AR171" s="439" t="str">
        <f ca="1">IF(Table_NFI[[#This Row],[Pcode]]="","",OFFSET(CampList[Priority],MATCH(Table_NFI[[#This Row],[Pcode]],CampList[CP_Pcode],0)-1,0,1,1))</f>
        <v>P1</v>
      </c>
      <c r="AS171" s="438">
        <f>IFERROR(Table_NFI[[#This Row],[Kitchen Set]]/VLOOKUP(Table_NFI[[#This Row],[Camp Name]],CL,4,0),"")</f>
        <v>0</v>
      </c>
      <c r="AT171" s="769"/>
      <c r="AU171" s="773"/>
    </row>
    <row r="172" spans="1:47" s="774" customFormat="1" x14ac:dyDescent="0.25">
      <c r="A172" s="451">
        <f t="shared" si="2"/>
        <v>15.6</v>
      </c>
      <c r="B172" s="768">
        <v>41902</v>
      </c>
      <c r="C172" s="769" t="s">
        <v>454</v>
      </c>
      <c r="D172" s="769"/>
      <c r="E172" s="769" t="s">
        <v>380</v>
      </c>
      <c r="F172" s="769" t="s">
        <v>185</v>
      </c>
      <c r="G172" s="769" t="s">
        <v>219</v>
      </c>
      <c r="H172" s="436"/>
      <c r="I172" s="436"/>
      <c r="J172" s="436"/>
      <c r="K172" s="436">
        <v>1238</v>
      </c>
      <c r="L172" s="437"/>
      <c r="M172" s="437"/>
      <c r="N172" s="437"/>
      <c r="O172" s="437"/>
      <c r="P172" s="439"/>
      <c r="Q172" s="439"/>
      <c r="R172" s="436"/>
      <c r="S172" s="436"/>
      <c r="T172" s="436"/>
      <c r="U172" s="436">
        <v>1761</v>
      </c>
      <c r="V172" s="436"/>
      <c r="W172" s="436"/>
      <c r="X172" s="436"/>
      <c r="Y172" s="436">
        <f>IF(NFI_Expiration=1,IF($A172&lt;VLOOKUP(H$5,NFI,5,0),1,0)*Table_NFI[[#This Row],[Hygiene Kit]],Table_NFI[Hygiene Kit])</f>
        <v>0</v>
      </c>
      <c r="Z172" s="436">
        <f>IF(NFI_Expiration=1,IF($A172&lt;VLOOKUP(I$5,NFI,5,0),1,0)*Table_NFI[[#This Row],[NFI Core Kit]],Table_NFI[NFI Core Kit])</f>
        <v>0</v>
      </c>
      <c r="AA172" s="436">
        <f>IF(NFI_Expiration=1,IF($A172&lt;VLOOKUP(J$5,NFI,5,0),1,0)*Table_NFI[[#This Row],[Sanitary Kit]],Table_NFI[Sanitary Kit])</f>
        <v>0</v>
      </c>
      <c r="AB172" s="436">
        <f>IF(NFI_Expiration=1,IF($A172&lt;VLOOKUP(K$5,NFI,5,0),1,0)*Table_NFI[[#This Row],[Mosquito net]],Table_NFI[Mosquito net])</f>
        <v>0</v>
      </c>
      <c r="AC172" s="436">
        <f>IF(NFI_Expiration=1,IF($A172&lt;VLOOKUP(L$5,NFI,5,0),1,0)*Table_NFI[[#This Row],[Tarpaulin]],Table_NFI[[#This Row],[Tarpaulin]])</f>
        <v>0</v>
      </c>
      <c r="AD172" s="436">
        <f>IF(NFI_Expiration=1,IF($A172&lt;VLOOKUP(M$5,NFI,5,0),1,0)*Table_NFI[[#This Row],[Blanket]],Table_NFI[[#This Row],[Blanket]])</f>
        <v>0</v>
      </c>
      <c r="AE172" s="436">
        <f>IF(NFI_Expiration=1,IF($A172&lt;VLOOKUP(N$5,NFI,5,0),1,0)*Table_NFI[[#This Row],[Kitchen Set]],Table_NFI[Kitchen Set])</f>
        <v>0</v>
      </c>
      <c r="AF172" s="436">
        <f>IF(NFI_Expiration=1,IF($A172&lt;VLOOKUP(O$5,NFI,5,0),1,0)*Table_NFI[[#This Row],[Clothes Kit]],Table_NFI[Clothes Kit])</f>
        <v>0</v>
      </c>
      <c r="AG172" s="436">
        <f>IF(NFI_Expiration=1,IF($A172&lt;VLOOKUP(P$5,NFI,5,0),1,0)*Table_NFI[[#This Row],[Plastic Bucket]],Table_NFI[Plastic Bucket])</f>
        <v>0</v>
      </c>
      <c r="AH172" s="436">
        <f>IF(NFI_Expiration=1,IF($A172&lt;VLOOKUP(Q$5,NFI,5,0),1,0)*Table_NFI[[#This Row],[Plastic Mat]],Table_NFI[Plastic Mat])*IF(Table_NFI[[#This Row],[Distribution Date]]&gt;"2014-04-01",1,2.5)</f>
        <v>0</v>
      </c>
      <c r="AI172" s="436">
        <f>IF(NFI_Expiration=1,IF($A172&lt;VLOOKUP(R$5,NFI,5,0),1,0)*Table_NFI[[#This Row],[Winter Clothes Adult]],Table_NFI[Winter Clothes Adult])</f>
        <v>0</v>
      </c>
      <c r="AJ172" s="436">
        <f>IF(NFI_Expiration=1,IF($A172&lt;VLOOKUP(S$5,NFI,5,0),1,0)*Table_NFI[[#This Row],[Winter Clothes Children]],Table_NFI[Winter Clothes Children])</f>
        <v>0</v>
      </c>
      <c r="AK172" s="436">
        <f>IF(NFI_Expiration=1,IF($A172&lt;VLOOKUP(T$5,NFI,5,0),1,0)*Table_NFI[[#This Row],[Winter Items Other]],Table_NFI[Winter Items Other])</f>
        <v>0</v>
      </c>
      <c r="AL172" s="436">
        <f>IF(NFI_Expiration=1,IF($A172&lt;VLOOKUP(M$5,NFI,5,0),1,0)*Table_NFI[[#This Row],[Winter Blanket]],Table_NFI[[#This Row],[Winter Blanket]])</f>
        <v>0</v>
      </c>
      <c r="AM172" s="436">
        <f>IF(Table_NFI[[#This Row],[Winter Clothes Adult]]+Table_NFI[[#This Row],[Winter Clothes Children]]+Table_NFI[[#This Row],[Winter Items Other]]+Table_NFI[[#This Row],[Winter Blanket]]&gt;0,1,0)</f>
        <v>1</v>
      </c>
      <c r="AN172" s="439">
        <f>IF(NFI_Expiration=1,IF($A172&lt;VLOOKUP(V$5,NFI,5,0),1,0)*Table_NFI[[#This Row],[Jerry Can]],Table_NFI[Jerry Can])</f>
        <v>0</v>
      </c>
      <c r="AO172" s="771" t="str">
        <f>IFERROR(VLOOKUP(Table_NFI[[#This Row],[Camp Name]],CL,2,0),"")</f>
        <v>MMR001CMP126</v>
      </c>
      <c r="AP172" s="772">
        <f ca="1">IF(Table_NFI[[#This Row],[Pcode]]="","",IF(OFFSET(CampList[Opening Date],MATCH(Table_NFI[[#This Row],[Pcode]],CampList[CP_Pcode],0)-1,0,1,1)&gt;=NFI_Monitor_Date,1,0))</f>
        <v>0</v>
      </c>
      <c r="AQ172" s="781" t="str">
        <f>IFERROR(VLOOKUP(Table_NFI[[#This Row],[Camp Name]],CL,3,0),"")</f>
        <v>Open</v>
      </c>
      <c r="AR172" s="439" t="str">
        <f ca="1">IF(Table_NFI[[#This Row],[Pcode]]="","",OFFSET(CampList[Priority],MATCH(Table_NFI[[#This Row],[Pcode]],CampList[CP_Pcode],0)-1,0,1,1))</f>
        <v>P2</v>
      </c>
      <c r="AS172" s="438">
        <f>IFERROR(Table_NFI[[#This Row],[Kitchen Set]]/VLOOKUP(Table_NFI[[#This Row],[Camp Name]],CL,4,0),"")</f>
        <v>0</v>
      </c>
      <c r="AT172" s="769"/>
      <c r="AU172" s="773"/>
    </row>
    <row r="173" spans="1:47" s="774" customFormat="1" x14ac:dyDescent="0.25">
      <c r="A173" s="451">
        <f t="shared" si="2"/>
        <v>16.233333333333334</v>
      </c>
      <c r="B173" s="768">
        <v>41883</v>
      </c>
      <c r="C173" s="779" t="s">
        <v>1043</v>
      </c>
      <c r="D173" s="779"/>
      <c r="E173" s="779" t="s">
        <v>380</v>
      </c>
      <c r="F173" s="779" t="s">
        <v>310</v>
      </c>
      <c r="G173" s="779" t="s">
        <v>336</v>
      </c>
      <c r="H173" s="437"/>
      <c r="I173" s="437"/>
      <c r="J173" s="437"/>
      <c r="K173" s="437"/>
      <c r="L173" s="437"/>
      <c r="M173" s="437"/>
      <c r="N173" s="437"/>
      <c r="O173" s="437"/>
      <c r="P173" s="439"/>
      <c r="Q173" s="439"/>
      <c r="R173" s="439"/>
      <c r="S173" s="439">
        <v>407</v>
      </c>
      <c r="T173" s="439"/>
      <c r="U173" s="439"/>
      <c r="V173" s="439"/>
      <c r="W173" s="439"/>
      <c r="X173" s="439"/>
      <c r="Y173" s="439">
        <f>IF(NFI_Expiration=1,IF($A173&lt;VLOOKUP(H$5,NFI,5,0),1,0)*Table_NFI[[#This Row],[Hygiene Kit]],Table_NFI[Hygiene Kit])</f>
        <v>0</v>
      </c>
      <c r="Z173" s="439">
        <f>IF(NFI_Expiration=1,IF($A173&lt;VLOOKUP(I$5,NFI,5,0),1,0)*Table_NFI[[#This Row],[NFI Core Kit]],Table_NFI[NFI Core Kit])</f>
        <v>0</v>
      </c>
      <c r="AA173" s="439">
        <f>IF(NFI_Expiration=1,IF($A173&lt;VLOOKUP(J$5,NFI,5,0),1,0)*Table_NFI[[#This Row],[Sanitary Kit]],Table_NFI[Sanitary Kit])</f>
        <v>0</v>
      </c>
      <c r="AB173" s="439">
        <f>IF(NFI_Expiration=1,IF($A173&lt;VLOOKUP(K$5,NFI,5,0),1,0)*Table_NFI[[#This Row],[Mosquito net]],Table_NFI[Mosquito net])</f>
        <v>0</v>
      </c>
      <c r="AC173" s="439">
        <f>IF(NFI_Expiration=1,IF($A173&lt;VLOOKUP(L$5,NFI,5,0),1,0)*Table_NFI[[#This Row],[Tarpaulin]],Table_NFI[[#This Row],[Tarpaulin]])</f>
        <v>0</v>
      </c>
      <c r="AD173" s="439">
        <f>IF(NFI_Expiration=1,IF($A173&lt;VLOOKUP(M$5,NFI,5,0),1,0)*Table_NFI[[#This Row],[Blanket]],Table_NFI[[#This Row],[Blanket]])</f>
        <v>0</v>
      </c>
      <c r="AE173" s="439">
        <f>IF(NFI_Expiration=1,IF($A173&lt;VLOOKUP(N$5,NFI,5,0),1,0)*Table_NFI[[#This Row],[Kitchen Set]],Table_NFI[Kitchen Set])</f>
        <v>0</v>
      </c>
      <c r="AF173" s="439">
        <f>IF(NFI_Expiration=1,IF($A173&lt;VLOOKUP(O$5,NFI,5,0),1,0)*Table_NFI[[#This Row],[Clothes Kit]],Table_NFI[Clothes Kit])</f>
        <v>0</v>
      </c>
      <c r="AG173" s="439">
        <f>IF(NFI_Expiration=1,IF($A173&lt;VLOOKUP(P$5,NFI,5,0),1,0)*Table_NFI[[#This Row],[Plastic Bucket]],Table_NFI[Plastic Bucket])</f>
        <v>0</v>
      </c>
      <c r="AH173" s="439">
        <f>IF(NFI_Expiration=1,IF($A173&lt;VLOOKUP(Q$5,NFI,5,0),1,0)*Table_NFI[[#This Row],[Plastic Mat]],Table_NFI[Plastic Mat])*IF(Table_NFI[[#This Row],[Distribution Date]]&gt;"2014-04-01",1,2.5)</f>
        <v>0</v>
      </c>
      <c r="AI173" s="439">
        <f>IF(NFI_Expiration=1,IF($A173&lt;VLOOKUP(R$5,NFI,5,0),1,0)*Table_NFI[[#This Row],[Winter Clothes Adult]],Table_NFI[Winter Clothes Adult])</f>
        <v>0</v>
      </c>
      <c r="AJ173" s="439">
        <f>IF(NFI_Expiration=1,IF($A173&lt;VLOOKUP(S$5,NFI,5,0),1,0)*Table_NFI[[#This Row],[Winter Clothes Children]],Table_NFI[Winter Clothes Children])</f>
        <v>0</v>
      </c>
      <c r="AK173" s="439">
        <f>IF(NFI_Expiration=1,IF($A173&lt;VLOOKUP(T$5,NFI,5,0),1,0)*Table_NFI[[#This Row],[Winter Items Other]],Table_NFI[Winter Items Other])</f>
        <v>0</v>
      </c>
      <c r="AL173" s="439">
        <f>IF(NFI_Expiration=1,IF($A173&lt;VLOOKUP(M$5,NFI,5,0),1,0)*Table_NFI[[#This Row],[Winter Blanket]],Table_NFI[[#This Row],[Winter Blanket]])</f>
        <v>0</v>
      </c>
      <c r="AM173" s="439">
        <f>IF(Table_NFI[[#This Row],[Winter Clothes Adult]]+Table_NFI[[#This Row],[Winter Clothes Children]]+Table_NFI[[#This Row],[Winter Items Other]]+Table_NFI[[#This Row],[Winter Blanket]]&gt;0,1,0)</f>
        <v>1</v>
      </c>
      <c r="AN173" s="439">
        <f>IF(NFI_Expiration=1,IF($A173&lt;VLOOKUP(V$5,NFI,5,0),1,0)*Table_NFI[[#This Row],[Jerry Can]],Table_NFI[Jerry Can])</f>
        <v>0</v>
      </c>
      <c r="AO173" s="781" t="str">
        <f>IFERROR(VLOOKUP(Table_NFI[[#This Row],[Camp Name]],CL,2,0),"")</f>
        <v>MMR001CMP115</v>
      </c>
      <c r="AP173" s="772">
        <f ca="1">IF(Table_NFI[[#This Row],[Pcode]]="","",IF(OFFSET(CampList[Opening Date],MATCH(Table_NFI[[#This Row],[Pcode]],CampList[CP_Pcode],0)-1,0,1,1)&gt;=NFI_Monitor_Date,1,0))</f>
        <v>0</v>
      </c>
      <c r="AQ173" s="781" t="str">
        <f>IFERROR(VLOOKUP(Table_NFI[[#This Row],[Camp Name]],CL,3,0),"")</f>
        <v>Open</v>
      </c>
      <c r="AR173" s="439" t="str">
        <f ca="1">IF(Table_NFI[[#This Row],[Pcode]]="","",OFFSET(CampList[Priority],MATCH(Table_NFI[[#This Row],[Pcode]],CampList[CP_Pcode],0)-1,0,1,1))</f>
        <v>P1</v>
      </c>
      <c r="AS173" s="438">
        <f>IFERROR(Table_NFI[[#This Row],[Kitchen Set]]/VLOOKUP(Table_NFI[[#This Row],[Camp Name]],CL,4,0),"")</f>
        <v>0</v>
      </c>
      <c r="AT173" s="779"/>
      <c r="AU173" s="782"/>
    </row>
    <row r="174" spans="1:47" s="774" customFormat="1" x14ac:dyDescent="0.25">
      <c r="A174" s="451">
        <f t="shared" si="2"/>
        <v>16.233333333333334</v>
      </c>
      <c r="B174" s="768">
        <v>41883</v>
      </c>
      <c r="C174" s="779" t="s">
        <v>1043</v>
      </c>
      <c r="D174" s="779"/>
      <c r="E174" s="779" t="s">
        <v>380</v>
      </c>
      <c r="F174" s="779" t="s">
        <v>27</v>
      </c>
      <c r="G174" s="779" t="s">
        <v>364</v>
      </c>
      <c r="H174" s="437"/>
      <c r="I174" s="437"/>
      <c r="J174" s="437"/>
      <c r="K174" s="437"/>
      <c r="L174" s="437"/>
      <c r="M174" s="437"/>
      <c r="N174" s="437"/>
      <c r="O174" s="437"/>
      <c r="P174" s="439"/>
      <c r="Q174" s="439"/>
      <c r="R174" s="439"/>
      <c r="S174" s="439">
        <v>347</v>
      </c>
      <c r="T174" s="439"/>
      <c r="U174" s="439"/>
      <c r="V174" s="439"/>
      <c r="W174" s="439"/>
      <c r="X174" s="439"/>
      <c r="Y174" s="439">
        <f>IF(NFI_Expiration=1,IF($A174&lt;VLOOKUP(H$5,NFI,5,0),1,0)*Table_NFI[[#This Row],[Hygiene Kit]],Table_NFI[Hygiene Kit])</f>
        <v>0</v>
      </c>
      <c r="Z174" s="439">
        <f>IF(NFI_Expiration=1,IF($A174&lt;VLOOKUP(I$5,NFI,5,0),1,0)*Table_NFI[[#This Row],[NFI Core Kit]],Table_NFI[NFI Core Kit])</f>
        <v>0</v>
      </c>
      <c r="AA174" s="439">
        <f>IF(NFI_Expiration=1,IF($A174&lt;VLOOKUP(J$5,NFI,5,0),1,0)*Table_NFI[[#This Row],[Sanitary Kit]],Table_NFI[Sanitary Kit])</f>
        <v>0</v>
      </c>
      <c r="AB174" s="439">
        <f>IF(NFI_Expiration=1,IF($A174&lt;VLOOKUP(K$5,NFI,5,0),1,0)*Table_NFI[[#This Row],[Mosquito net]],Table_NFI[Mosquito net])</f>
        <v>0</v>
      </c>
      <c r="AC174" s="439">
        <f>IF(NFI_Expiration=1,IF($A174&lt;VLOOKUP(L$5,NFI,5,0),1,0)*Table_NFI[[#This Row],[Tarpaulin]],Table_NFI[[#This Row],[Tarpaulin]])</f>
        <v>0</v>
      </c>
      <c r="AD174" s="439">
        <f>IF(NFI_Expiration=1,IF($A174&lt;VLOOKUP(M$5,NFI,5,0),1,0)*Table_NFI[[#This Row],[Blanket]],Table_NFI[[#This Row],[Blanket]])</f>
        <v>0</v>
      </c>
      <c r="AE174" s="439">
        <f>IF(NFI_Expiration=1,IF($A174&lt;VLOOKUP(N$5,NFI,5,0),1,0)*Table_NFI[[#This Row],[Kitchen Set]],Table_NFI[Kitchen Set])</f>
        <v>0</v>
      </c>
      <c r="AF174" s="439">
        <f>IF(NFI_Expiration=1,IF($A174&lt;VLOOKUP(O$5,NFI,5,0),1,0)*Table_NFI[[#This Row],[Clothes Kit]],Table_NFI[Clothes Kit])</f>
        <v>0</v>
      </c>
      <c r="AG174" s="439">
        <f>IF(NFI_Expiration=1,IF($A174&lt;VLOOKUP(P$5,NFI,5,0),1,0)*Table_NFI[[#This Row],[Plastic Bucket]],Table_NFI[Plastic Bucket])</f>
        <v>0</v>
      </c>
      <c r="AH174" s="439">
        <f>IF(NFI_Expiration=1,IF($A174&lt;VLOOKUP(Q$5,NFI,5,0),1,0)*Table_NFI[[#This Row],[Plastic Mat]],Table_NFI[Plastic Mat])*IF(Table_NFI[[#This Row],[Distribution Date]]&gt;"2014-04-01",1,2.5)</f>
        <v>0</v>
      </c>
      <c r="AI174" s="439">
        <f>IF(NFI_Expiration=1,IF($A174&lt;VLOOKUP(R$5,NFI,5,0),1,0)*Table_NFI[[#This Row],[Winter Clothes Adult]],Table_NFI[Winter Clothes Adult])</f>
        <v>0</v>
      </c>
      <c r="AJ174" s="439">
        <f>IF(NFI_Expiration=1,IF($A174&lt;VLOOKUP(S$5,NFI,5,0),1,0)*Table_NFI[[#This Row],[Winter Clothes Children]],Table_NFI[Winter Clothes Children])</f>
        <v>0</v>
      </c>
      <c r="AK174" s="439">
        <f>IF(NFI_Expiration=1,IF($A174&lt;VLOOKUP(T$5,NFI,5,0),1,0)*Table_NFI[[#This Row],[Winter Items Other]],Table_NFI[Winter Items Other])</f>
        <v>0</v>
      </c>
      <c r="AL174" s="439">
        <f>IF(NFI_Expiration=1,IF($A174&lt;VLOOKUP(M$5,NFI,5,0),1,0)*Table_NFI[[#This Row],[Winter Blanket]],Table_NFI[[#This Row],[Winter Blanket]])</f>
        <v>0</v>
      </c>
      <c r="AM174" s="439">
        <f>IF(Table_NFI[[#This Row],[Winter Clothes Adult]]+Table_NFI[[#This Row],[Winter Clothes Children]]+Table_NFI[[#This Row],[Winter Items Other]]+Table_NFI[[#This Row],[Winter Blanket]]&gt;0,1,0)</f>
        <v>1</v>
      </c>
      <c r="AN174" s="439">
        <f>IF(NFI_Expiration=1,IF($A174&lt;VLOOKUP(V$5,NFI,5,0),1,0)*Table_NFI[[#This Row],[Jerry Can]],Table_NFI[Jerry Can])</f>
        <v>0</v>
      </c>
      <c r="AO174" s="781" t="str">
        <f>IFERROR(VLOOKUP(Table_NFI[[#This Row],[Camp Name]],CL,2,0),"")</f>
        <v>MMR001CMP043</v>
      </c>
      <c r="AP174" s="772">
        <f ca="1">IF(Table_NFI[[#This Row],[Pcode]]="","",IF(OFFSET(CampList[Opening Date],MATCH(Table_NFI[[#This Row],[Pcode]],CampList[CP_Pcode],0)-1,0,1,1)&gt;=NFI_Monitor_Date,1,0))</f>
        <v>0</v>
      </c>
      <c r="AQ174" s="781" t="str">
        <f>IFERROR(VLOOKUP(Table_NFI[[#This Row],[Camp Name]],CL,3,0),"")</f>
        <v>Open</v>
      </c>
      <c r="AR174" s="439" t="str">
        <f ca="1">IF(Table_NFI[[#This Row],[Pcode]]="","",OFFSET(CampList[Priority],MATCH(Table_NFI[[#This Row],[Pcode]],CampList[CP_Pcode],0)-1,0,1,1))</f>
        <v>P1</v>
      </c>
      <c r="AS174" s="438">
        <f>IFERROR(Table_NFI[[#This Row],[Kitchen Set]]/VLOOKUP(Table_NFI[[#This Row],[Camp Name]],CL,4,0),"")</f>
        <v>0</v>
      </c>
      <c r="AT174" s="779"/>
      <c r="AU174" s="782"/>
    </row>
    <row r="175" spans="1:47" s="774" customFormat="1" x14ac:dyDescent="0.25">
      <c r="A175" s="451">
        <f t="shared" si="2"/>
        <v>16.233333333333334</v>
      </c>
      <c r="B175" s="768">
        <v>41883</v>
      </c>
      <c r="C175" s="779" t="s">
        <v>1043</v>
      </c>
      <c r="D175" s="779"/>
      <c r="E175" s="779" t="s">
        <v>380</v>
      </c>
      <c r="F175" s="779" t="s">
        <v>310</v>
      </c>
      <c r="G175" s="779" t="s">
        <v>322</v>
      </c>
      <c r="H175" s="437"/>
      <c r="I175" s="437"/>
      <c r="J175" s="437"/>
      <c r="K175" s="437"/>
      <c r="L175" s="437"/>
      <c r="M175" s="437"/>
      <c r="N175" s="437"/>
      <c r="O175" s="437"/>
      <c r="P175" s="439"/>
      <c r="Q175" s="439"/>
      <c r="R175" s="439"/>
      <c r="S175" s="439">
        <v>917</v>
      </c>
      <c r="T175" s="439"/>
      <c r="U175" s="439"/>
      <c r="V175" s="439"/>
      <c r="W175" s="439"/>
      <c r="X175" s="439"/>
      <c r="Y175" s="439">
        <f>IF(NFI_Expiration=1,IF($A175&lt;VLOOKUP(H$5,NFI,5,0),1,0)*Table_NFI[[#This Row],[Hygiene Kit]],Table_NFI[Hygiene Kit])</f>
        <v>0</v>
      </c>
      <c r="Z175" s="439">
        <f>IF(NFI_Expiration=1,IF($A175&lt;VLOOKUP(I$5,NFI,5,0),1,0)*Table_NFI[[#This Row],[NFI Core Kit]],Table_NFI[NFI Core Kit])</f>
        <v>0</v>
      </c>
      <c r="AA175" s="439">
        <f>IF(NFI_Expiration=1,IF($A175&lt;VLOOKUP(J$5,NFI,5,0),1,0)*Table_NFI[[#This Row],[Sanitary Kit]],Table_NFI[Sanitary Kit])</f>
        <v>0</v>
      </c>
      <c r="AB175" s="439">
        <f>IF(NFI_Expiration=1,IF($A175&lt;VLOOKUP(K$5,NFI,5,0),1,0)*Table_NFI[[#This Row],[Mosquito net]],Table_NFI[Mosquito net])</f>
        <v>0</v>
      </c>
      <c r="AC175" s="439">
        <f>IF(NFI_Expiration=1,IF($A175&lt;VLOOKUP(L$5,NFI,5,0),1,0)*Table_NFI[[#This Row],[Tarpaulin]],Table_NFI[[#This Row],[Tarpaulin]])</f>
        <v>0</v>
      </c>
      <c r="AD175" s="439">
        <f>IF(NFI_Expiration=1,IF($A175&lt;VLOOKUP(M$5,NFI,5,0),1,0)*Table_NFI[[#This Row],[Blanket]],Table_NFI[[#This Row],[Blanket]])</f>
        <v>0</v>
      </c>
      <c r="AE175" s="439">
        <f>IF(NFI_Expiration=1,IF($A175&lt;VLOOKUP(N$5,NFI,5,0),1,0)*Table_NFI[[#This Row],[Kitchen Set]],Table_NFI[Kitchen Set])</f>
        <v>0</v>
      </c>
      <c r="AF175" s="439">
        <f>IF(NFI_Expiration=1,IF($A175&lt;VLOOKUP(O$5,NFI,5,0),1,0)*Table_NFI[[#This Row],[Clothes Kit]],Table_NFI[Clothes Kit])</f>
        <v>0</v>
      </c>
      <c r="AG175" s="439">
        <f>IF(NFI_Expiration=1,IF($A175&lt;VLOOKUP(P$5,NFI,5,0),1,0)*Table_NFI[[#This Row],[Plastic Bucket]],Table_NFI[Plastic Bucket])</f>
        <v>0</v>
      </c>
      <c r="AH175" s="439">
        <f>IF(NFI_Expiration=1,IF($A175&lt;VLOOKUP(Q$5,NFI,5,0),1,0)*Table_NFI[[#This Row],[Plastic Mat]],Table_NFI[Plastic Mat])*IF(Table_NFI[[#This Row],[Distribution Date]]&gt;"2014-04-01",1,2.5)</f>
        <v>0</v>
      </c>
      <c r="AI175" s="439">
        <f>IF(NFI_Expiration=1,IF($A175&lt;VLOOKUP(R$5,NFI,5,0),1,0)*Table_NFI[[#This Row],[Winter Clothes Adult]],Table_NFI[Winter Clothes Adult])</f>
        <v>0</v>
      </c>
      <c r="AJ175" s="439">
        <f>IF(NFI_Expiration=1,IF($A175&lt;VLOOKUP(S$5,NFI,5,0),1,0)*Table_NFI[[#This Row],[Winter Clothes Children]],Table_NFI[Winter Clothes Children])</f>
        <v>0</v>
      </c>
      <c r="AK175" s="439">
        <f>IF(NFI_Expiration=1,IF($A175&lt;VLOOKUP(T$5,NFI,5,0),1,0)*Table_NFI[[#This Row],[Winter Items Other]],Table_NFI[Winter Items Other])</f>
        <v>0</v>
      </c>
      <c r="AL175" s="439">
        <f>IF(NFI_Expiration=1,IF($A175&lt;VLOOKUP(M$5,NFI,5,0),1,0)*Table_NFI[[#This Row],[Winter Blanket]],Table_NFI[[#This Row],[Winter Blanket]])</f>
        <v>0</v>
      </c>
      <c r="AM175" s="439">
        <f>IF(Table_NFI[[#This Row],[Winter Clothes Adult]]+Table_NFI[[#This Row],[Winter Clothes Children]]+Table_NFI[[#This Row],[Winter Items Other]]+Table_NFI[[#This Row],[Winter Blanket]]&gt;0,1,0)</f>
        <v>1</v>
      </c>
      <c r="AN175" s="439">
        <f>IF(NFI_Expiration=1,IF($A175&lt;VLOOKUP(V$5,NFI,5,0),1,0)*Table_NFI[[#This Row],[Jerry Can]],Table_NFI[Jerry Can])</f>
        <v>0</v>
      </c>
      <c r="AO175" s="781" t="str">
        <f>IFERROR(VLOOKUP(Table_NFI[[#This Row],[Camp Name]],CL,2,0),"")</f>
        <v>MMR001CMP119</v>
      </c>
      <c r="AP175" s="772">
        <f ca="1">IF(Table_NFI[[#This Row],[Pcode]]="","",IF(OFFSET(CampList[Opening Date],MATCH(Table_NFI[[#This Row],[Pcode]],CampList[CP_Pcode],0)-1,0,1,1)&gt;=NFI_Monitor_Date,1,0))</f>
        <v>0</v>
      </c>
      <c r="AQ175" s="781" t="str">
        <f>IFERROR(VLOOKUP(Table_NFI[[#This Row],[Camp Name]],CL,3,0),"")</f>
        <v>Open</v>
      </c>
      <c r="AR175" s="439" t="str">
        <f ca="1">IF(Table_NFI[[#This Row],[Pcode]]="","",OFFSET(CampList[Priority],MATCH(Table_NFI[[#This Row],[Pcode]],CampList[CP_Pcode],0)-1,0,1,1))</f>
        <v>P2</v>
      </c>
      <c r="AS175" s="438">
        <f>IFERROR(Table_NFI[[#This Row],[Kitchen Set]]/VLOOKUP(Table_NFI[[#This Row],[Camp Name]],CL,4,0),"")</f>
        <v>0</v>
      </c>
      <c r="AT175" s="779"/>
      <c r="AU175" s="782"/>
    </row>
    <row r="176" spans="1:47" s="774" customFormat="1" x14ac:dyDescent="0.25">
      <c r="A176" s="451">
        <f t="shared" si="2"/>
        <v>16.233333333333334</v>
      </c>
      <c r="B176" s="768">
        <v>41883</v>
      </c>
      <c r="C176" s="779" t="s">
        <v>1043</v>
      </c>
      <c r="D176" s="779"/>
      <c r="E176" s="779" t="s">
        <v>380</v>
      </c>
      <c r="F176" s="779" t="s">
        <v>310</v>
      </c>
      <c r="G176" s="779" t="s">
        <v>1257</v>
      </c>
      <c r="H176" s="437"/>
      <c r="I176" s="437"/>
      <c r="J176" s="437"/>
      <c r="K176" s="437"/>
      <c r="L176" s="437"/>
      <c r="M176" s="437"/>
      <c r="N176" s="437"/>
      <c r="O176" s="437"/>
      <c r="P176" s="439"/>
      <c r="Q176" s="439"/>
      <c r="R176" s="439"/>
      <c r="S176" s="439">
        <v>291</v>
      </c>
      <c r="T176" s="439"/>
      <c r="U176" s="439"/>
      <c r="V176" s="439"/>
      <c r="W176" s="439"/>
      <c r="X176" s="439"/>
      <c r="Y176" s="439">
        <f>IF(NFI_Expiration=1,IF($A176&lt;VLOOKUP(H$5,NFI,5,0),1,0)*Table_NFI[[#This Row],[Hygiene Kit]],Table_NFI[Hygiene Kit])</f>
        <v>0</v>
      </c>
      <c r="Z176" s="439">
        <f>IF(NFI_Expiration=1,IF($A176&lt;VLOOKUP(I$5,NFI,5,0),1,0)*Table_NFI[[#This Row],[NFI Core Kit]],Table_NFI[NFI Core Kit])</f>
        <v>0</v>
      </c>
      <c r="AA176" s="439">
        <f>IF(NFI_Expiration=1,IF($A176&lt;VLOOKUP(J$5,NFI,5,0),1,0)*Table_NFI[[#This Row],[Sanitary Kit]],Table_NFI[Sanitary Kit])</f>
        <v>0</v>
      </c>
      <c r="AB176" s="439">
        <f>IF(NFI_Expiration=1,IF($A176&lt;VLOOKUP(K$5,NFI,5,0),1,0)*Table_NFI[[#This Row],[Mosquito net]],Table_NFI[Mosquito net])</f>
        <v>0</v>
      </c>
      <c r="AC176" s="439">
        <f>IF(NFI_Expiration=1,IF($A176&lt;VLOOKUP(L$5,NFI,5,0),1,0)*Table_NFI[[#This Row],[Tarpaulin]],Table_NFI[[#This Row],[Tarpaulin]])</f>
        <v>0</v>
      </c>
      <c r="AD176" s="439">
        <f>IF(NFI_Expiration=1,IF($A176&lt;VLOOKUP(M$5,NFI,5,0),1,0)*Table_NFI[[#This Row],[Blanket]],Table_NFI[[#This Row],[Blanket]])</f>
        <v>0</v>
      </c>
      <c r="AE176" s="439">
        <f>IF(NFI_Expiration=1,IF($A176&lt;VLOOKUP(N$5,NFI,5,0),1,0)*Table_NFI[[#This Row],[Kitchen Set]],Table_NFI[Kitchen Set])</f>
        <v>0</v>
      </c>
      <c r="AF176" s="439">
        <f>IF(NFI_Expiration=1,IF($A176&lt;VLOOKUP(O$5,NFI,5,0),1,0)*Table_NFI[[#This Row],[Clothes Kit]],Table_NFI[Clothes Kit])</f>
        <v>0</v>
      </c>
      <c r="AG176" s="439">
        <f>IF(NFI_Expiration=1,IF($A176&lt;VLOOKUP(P$5,NFI,5,0),1,0)*Table_NFI[[#This Row],[Plastic Bucket]],Table_NFI[Plastic Bucket])</f>
        <v>0</v>
      </c>
      <c r="AH176" s="439">
        <f>IF(NFI_Expiration=1,IF($A176&lt;VLOOKUP(Q$5,NFI,5,0),1,0)*Table_NFI[[#This Row],[Plastic Mat]],Table_NFI[Plastic Mat])*IF(Table_NFI[[#This Row],[Distribution Date]]&gt;"2014-04-01",1,2.5)</f>
        <v>0</v>
      </c>
      <c r="AI176" s="439">
        <f>IF(NFI_Expiration=1,IF($A176&lt;VLOOKUP(R$5,NFI,5,0),1,0)*Table_NFI[[#This Row],[Winter Clothes Adult]],Table_NFI[Winter Clothes Adult])</f>
        <v>0</v>
      </c>
      <c r="AJ176" s="439">
        <f>IF(NFI_Expiration=1,IF($A176&lt;VLOOKUP(S$5,NFI,5,0),1,0)*Table_NFI[[#This Row],[Winter Clothes Children]],Table_NFI[Winter Clothes Children])</f>
        <v>0</v>
      </c>
      <c r="AK176" s="439">
        <f>IF(NFI_Expiration=1,IF($A176&lt;VLOOKUP(T$5,NFI,5,0),1,0)*Table_NFI[[#This Row],[Winter Items Other]],Table_NFI[Winter Items Other])</f>
        <v>0</v>
      </c>
      <c r="AL176" s="439">
        <f>IF(NFI_Expiration=1,IF($A176&lt;VLOOKUP(M$5,NFI,5,0),1,0)*Table_NFI[[#This Row],[Winter Blanket]],Table_NFI[[#This Row],[Winter Blanket]])</f>
        <v>0</v>
      </c>
      <c r="AM176" s="439">
        <f>IF(Table_NFI[[#This Row],[Winter Clothes Adult]]+Table_NFI[[#This Row],[Winter Clothes Children]]+Table_NFI[[#This Row],[Winter Items Other]]+Table_NFI[[#This Row],[Winter Blanket]]&gt;0,1,0)</f>
        <v>1</v>
      </c>
      <c r="AN176" s="439">
        <f>IF(NFI_Expiration=1,IF($A176&lt;VLOOKUP(V$5,NFI,5,0),1,0)*Table_NFI[[#This Row],[Jerry Can]],Table_NFI[Jerry Can])</f>
        <v>0</v>
      </c>
      <c r="AO176" s="781" t="str">
        <f>IFERROR(VLOOKUP(Table_NFI[[#This Row],[Camp Name]],CL,2,0),"")</f>
        <v>MMR001CMP120</v>
      </c>
      <c r="AP176" s="772">
        <f ca="1">IF(Table_NFI[[#This Row],[Pcode]]="","",IF(OFFSET(CampList[Opening Date],MATCH(Table_NFI[[#This Row],[Pcode]],CampList[CP_Pcode],0)-1,0,1,1)&gt;=NFI_Monitor_Date,1,0))</f>
        <v>0</v>
      </c>
      <c r="AQ176" s="781" t="str">
        <f>IFERROR(VLOOKUP(Table_NFI[[#This Row],[Camp Name]],CL,3,0),"")</f>
        <v>Open</v>
      </c>
      <c r="AR176" s="439" t="str">
        <f ca="1">IF(Table_NFI[[#This Row],[Pcode]]="","",OFFSET(CampList[Priority],MATCH(Table_NFI[[#This Row],[Pcode]],CampList[CP_Pcode],0)-1,0,1,1))</f>
        <v>P1</v>
      </c>
      <c r="AS176" s="438">
        <f>IFERROR(Table_NFI[[#This Row],[Kitchen Set]]/VLOOKUP(Table_NFI[[#This Row],[Camp Name]],CL,4,0),"")</f>
        <v>0</v>
      </c>
      <c r="AT176" s="779"/>
      <c r="AU176" s="782"/>
    </row>
    <row r="177" spans="1:47" s="774" customFormat="1" x14ac:dyDescent="0.25">
      <c r="A177" s="451">
        <f t="shared" si="2"/>
        <v>16.233333333333334</v>
      </c>
      <c r="B177" s="768">
        <v>41883</v>
      </c>
      <c r="C177" s="779" t="s">
        <v>1043</v>
      </c>
      <c r="D177" s="779"/>
      <c r="E177" s="779" t="s">
        <v>380</v>
      </c>
      <c r="F177" s="779" t="s">
        <v>310</v>
      </c>
      <c r="G177" s="779" t="s">
        <v>347</v>
      </c>
      <c r="H177" s="437"/>
      <c r="I177" s="437"/>
      <c r="J177" s="437"/>
      <c r="K177" s="437"/>
      <c r="L177" s="437"/>
      <c r="M177" s="437"/>
      <c r="N177" s="437"/>
      <c r="O177" s="437"/>
      <c r="P177" s="439"/>
      <c r="Q177" s="439"/>
      <c r="R177" s="439"/>
      <c r="S177" s="439">
        <v>288</v>
      </c>
      <c r="T177" s="439"/>
      <c r="U177" s="439"/>
      <c r="V177" s="439"/>
      <c r="W177" s="439"/>
      <c r="X177" s="439"/>
      <c r="Y177" s="439">
        <f>IF(NFI_Expiration=1,IF($A177&lt;VLOOKUP(H$5,NFI,5,0),1,0)*Table_NFI[[#This Row],[Hygiene Kit]],Table_NFI[Hygiene Kit])</f>
        <v>0</v>
      </c>
      <c r="Z177" s="439">
        <f>IF(NFI_Expiration=1,IF($A177&lt;VLOOKUP(I$5,NFI,5,0),1,0)*Table_NFI[[#This Row],[NFI Core Kit]],Table_NFI[NFI Core Kit])</f>
        <v>0</v>
      </c>
      <c r="AA177" s="439">
        <f>IF(NFI_Expiration=1,IF($A177&lt;VLOOKUP(J$5,NFI,5,0),1,0)*Table_NFI[[#This Row],[Sanitary Kit]],Table_NFI[Sanitary Kit])</f>
        <v>0</v>
      </c>
      <c r="AB177" s="439">
        <f>IF(NFI_Expiration=1,IF($A177&lt;VLOOKUP(K$5,NFI,5,0),1,0)*Table_NFI[[#This Row],[Mosquito net]],Table_NFI[Mosquito net])</f>
        <v>0</v>
      </c>
      <c r="AC177" s="439">
        <f>IF(NFI_Expiration=1,IF($A177&lt;VLOOKUP(L$5,NFI,5,0),1,0)*Table_NFI[[#This Row],[Tarpaulin]],Table_NFI[[#This Row],[Tarpaulin]])</f>
        <v>0</v>
      </c>
      <c r="AD177" s="439">
        <f>IF(NFI_Expiration=1,IF($A177&lt;VLOOKUP(M$5,NFI,5,0),1,0)*Table_NFI[[#This Row],[Blanket]],Table_NFI[[#This Row],[Blanket]])</f>
        <v>0</v>
      </c>
      <c r="AE177" s="439">
        <f>IF(NFI_Expiration=1,IF($A177&lt;VLOOKUP(N$5,NFI,5,0),1,0)*Table_NFI[[#This Row],[Kitchen Set]],Table_NFI[Kitchen Set])</f>
        <v>0</v>
      </c>
      <c r="AF177" s="439">
        <f>IF(NFI_Expiration=1,IF($A177&lt;VLOOKUP(O$5,NFI,5,0),1,0)*Table_NFI[[#This Row],[Clothes Kit]],Table_NFI[Clothes Kit])</f>
        <v>0</v>
      </c>
      <c r="AG177" s="439">
        <f>IF(NFI_Expiration=1,IF($A177&lt;VLOOKUP(P$5,NFI,5,0),1,0)*Table_NFI[[#This Row],[Plastic Bucket]],Table_NFI[Plastic Bucket])</f>
        <v>0</v>
      </c>
      <c r="AH177" s="439">
        <f>IF(NFI_Expiration=1,IF($A177&lt;VLOOKUP(Q$5,NFI,5,0),1,0)*Table_NFI[[#This Row],[Plastic Mat]],Table_NFI[Plastic Mat])*IF(Table_NFI[[#This Row],[Distribution Date]]&gt;"2014-04-01",1,2.5)</f>
        <v>0</v>
      </c>
      <c r="AI177" s="439">
        <f>IF(NFI_Expiration=1,IF($A177&lt;VLOOKUP(R$5,NFI,5,0),1,0)*Table_NFI[[#This Row],[Winter Clothes Adult]],Table_NFI[Winter Clothes Adult])</f>
        <v>0</v>
      </c>
      <c r="AJ177" s="439">
        <f>IF(NFI_Expiration=1,IF($A177&lt;VLOOKUP(S$5,NFI,5,0),1,0)*Table_NFI[[#This Row],[Winter Clothes Children]],Table_NFI[Winter Clothes Children])</f>
        <v>0</v>
      </c>
      <c r="AK177" s="439">
        <f>IF(NFI_Expiration=1,IF($A177&lt;VLOOKUP(T$5,NFI,5,0),1,0)*Table_NFI[[#This Row],[Winter Items Other]],Table_NFI[Winter Items Other])</f>
        <v>0</v>
      </c>
      <c r="AL177" s="439">
        <f>IF(NFI_Expiration=1,IF($A177&lt;VLOOKUP(M$5,NFI,5,0),1,0)*Table_NFI[[#This Row],[Winter Blanket]],Table_NFI[[#This Row],[Winter Blanket]])</f>
        <v>0</v>
      </c>
      <c r="AM177" s="439">
        <f>IF(Table_NFI[[#This Row],[Winter Clothes Adult]]+Table_NFI[[#This Row],[Winter Clothes Children]]+Table_NFI[[#This Row],[Winter Items Other]]+Table_NFI[[#This Row],[Winter Blanket]]&gt;0,1,0)</f>
        <v>1</v>
      </c>
      <c r="AN177" s="439">
        <f>IF(NFI_Expiration=1,IF($A177&lt;VLOOKUP(V$5,NFI,5,0),1,0)*Table_NFI[[#This Row],[Jerry Can]],Table_NFI[Jerry Can])</f>
        <v>0</v>
      </c>
      <c r="AO177" s="781" t="str">
        <f>IFERROR(VLOOKUP(Table_NFI[[#This Row],[Camp Name]],CL,2,0),"")</f>
        <v>MMR001CMP041</v>
      </c>
      <c r="AP177" s="772">
        <f ca="1">IF(Table_NFI[[#This Row],[Pcode]]="","",IF(OFFSET(CampList[Opening Date],MATCH(Table_NFI[[#This Row],[Pcode]],CampList[CP_Pcode],0)-1,0,1,1)&gt;=NFI_Monitor_Date,1,0))</f>
        <v>0</v>
      </c>
      <c r="AQ177" s="781" t="str">
        <f>IFERROR(VLOOKUP(Table_NFI[[#This Row],[Camp Name]],CL,3,0),"")</f>
        <v>Open</v>
      </c>
      <c r="AR177" s="439" t="str">
        <f ca="1">IF(Table_NFI[[#This Row],[Pcode]]="","",OFFSET(CampList[Priority],MATCH(Table_NFI[[#This Row],[Pcode]],CampList[CP_Pcode],0)-1,0,1,1))</f>
        <v>P1</v>
      </c>
      <c r="AS177" s="438">
        <f>IFERROR(Table_NFI[[#This Row],[Kitchen Set]]/VLOOKUP(Table_NFI[[#This Row],[Camp Name]],CL,4,0),"")</f>
        <v>0</v>
      </c>
      <c r="AT177" s="779"/>
      <c r="AU177" s="782"/>
    </row>
    <row r="178" spans="1:47" s="774" customFormat="1" x14ac:dyDescent="0.25">
      <c r="A178" s="451">
        <f t="shared" si="2"/>
        <v>16.233333333333334</v>
      </c>
      <c r="B178" s="768">
        <v>41883</v>
      </c>
      <c r="C178" s="779" t="s">
        <v>1043</v>
      </c>
      <c r="D178" s="779"/>
      <c r="E178" s="779" t="s">
        <v>380</v>
      </c>
      <c r="F178" s="779" t="s">
        <v>310</v>
      </c>
      <c r="G178" s="779" t="s">
        <v>1259</v>
      </c>
      <c r="H178" s="437"/>
      <c r="I178" s="437"/>
      <c r="J178" s="437"/>
      <c r="K178" s="437"/>
      <c r="L178" s="437"/>
      <c r="M178" s="437"/>
      <c r="N178" s="437"/>
      <c r="O178" s="437"/>
      <c r="P178" s="439"/>
      <c r="Q178" s="439"/>
      <c r="R178" s="439"/>
      <c r="S178" s="439">
        <v>905</v>
      </c>
      <c r="T178" s="439"/>
      <c r="U178" s="439"/>
      <c r="V178" s="439"/>
      <c r="W178" s="439"/>
      <c r="X178" s="439"/>
      <c r="Y178" s="439">
        <f>IF(NFI_Expiration=1,IF($A178&lt;VLOOKUP(H$5,NFI,5,0),1,0)*Table_NFI[[#This Row],[Hygiene Kit]],Table_NFI[Hygiene Kit])</f>
        <v>0</v>
      </c>
      <c r="Z178" s="439">
        <f>IF(NFI_Expiration=1,IF($A178&lt;VLOOKUP(I$5,NFI,5,0),1,0)*Table_NFI[[#This Row],[NFI Core Kit]],Table_NFI[NFI Core Kit])</f>
        <v>0</v>
      </c>
      <c r="AA178" s="439">
        <f>IF(NFI_Expiration=1,IF($A178&lt;VLOOKUP(J$5,NFI,5,0),1,0)*Table_NFI[[#This Row],[Sanitary Kit]],Table_NFI[Sanitary Kit])</f>
        <v>0</v>
      </c>
      <c r="AB178" s="439">
        <f>IF(NFI_Expiration=1,IF($A178&lt;VLOOKUP(K$5,NFI,5,0),1,0)*Table_NFI[[#This Row],[Mosquito net]],Table_NFI[Mosquito net])</f>
        <v>0</v>
      </c>
      <c r="AC178" s="439">
        <f>IF(NFI_Expiration=1,IF($A178&lt;VLOOKUP(L$5,NFI,5,0),1,0)*Table_NFI[[#This Row],[Tarpaulin]],Table_NFI[[#This Row],[Tarpaulin]])</f>
        <v>0</v>
      </c>
      <c r="AD178" s="439">
        <f>IF(NFI_Expiration=1,IF($A178&lt;VLOOKUP(M$5,NFI,5,0),1,0)*Table_NFI[[#This Row],[Blanket]],Table_NFI[[#This Row],[Blanket]])</f>
        <v>0</v>
      </c>
      <c r="AE178" s="439">
        <f>IF(NFI_Expiration=1,IF($A178&lt;VLOOKUP(N$5,NFI,5,0),1,0)*Table_NFI[[#This Row],[Kitchen Set]],Table_NFI[Kitchen Set])</f>
        <v>0</v>
      </c>
      <c r="AF178" s="439">
        <f>IF(NFI_Expiration=1,IF($A178&lt;VLOOKUP(O$5,NFI,5,0),1,0)*Table_NFI[[#This Row],[Clothes Kit]],Table_NFI[Clothes Kit])</f>
        <v>0</v>
      </c>
      <c r="AG178" s="439">
        <f>IF(NFI_Expiration=1,IF($A178&lt;VLOOKUP(P$5,NFI,5,0),1,0)*Table_NFI[[#This Row],[Plastic Bucket]],Table_NFI[Plastic Bucket])</f>
        <v>0</v>
      </c>
      <c r="AH178" s="439">
        <f>IF(NFI_Expiration=1,IF($A178&lt;VLOOKUP(Q$5,NFI,5,0),1,0)*Table_NFI[[#This Row],[Plastic Mat]],Table_NFI[Plastic Mat])*IF(Table_NFI[[#This Row],[Distribution Date]]&gt;"2014-04-01",1,2.5)</f>
        <v>0</v>
      </c>
      <c r="AI178" s="439">
        <f>IF(NFI_Expiration=1,IF($A178&lt;VLOOKUP(R$5,NFI,5,0),1,0)*Table_NFI[[#This Row],[Winter Clothes Adult]],Table_NFI[Winter Clothes Adult])</f>
        <v>0</v>
      </c>
      <c r="AJ178" s="439">
        <f>IF(NFI_Expiration=1,IF($A178&lt;VLOOKUP(S$5,NFI,5,0),1,0)*Table_NFI[[#This Row],[Winter Clothes Children]],Table_NFI[Winter Clothes Children])</f>
        <v>0</v>
      </c>
      <c r="AK178" s="439">
        <f>IF(NFI_Expiration=1,IF($A178&lt;VLOOKUP(T$5,NFI,5,0),1,0)*Table_NFI[[#This Row],[Winter Items Other]],Table_NFI[Winter Items Other])</f>
        <v>0</v>
      </c>
      <c r="AL178" s="439">
        <f>IF(NFI_Expiration=1,IF($A178&lt;VLOOKUP(M$5,NFI,5,0),1,0)*Table_NFI[[#This Row],[Winter Blanket]],Table_NFI[[#This Row],[Winter Blanket]])</f>
        <v>0</v>
      </c>
      <c r="AM178" s="439">
        <f>IF(Table_NFI[[#This Row],[Winter Clothes Adult]]+Table_NFI[[#This Row],[Winter Clothes Children]]+Table_NFI[[#This Row],[Winter Items Other]]+Table_NFI[[#This Row],[Winter Blanket]]&gt;0,1,0)</f>
        <v>1</v>
      </c>
      <c r="AN178" s="439">
        <f>IF(NFI_Expiration=1,IF($A178&lt;VLOOKUP(V$5,NFI,5,0),1,0)*Table_NFI[[#This Row],[Jerry Can]],Table_NFI[Jerry Can])</f>
        <v>0</v>
      </c>
      <c r="AO178" s="781" t="str">
        <f>IFERROR(VLOOKUP(Table_NFI[[#This Row],[Camp Name]],CL,2,0),"")</f>
        <v>MMR001CMP111</v>
      </c>
      <c r="AP178" s="772">
        <f ca="1">IF(Table_NFI[[#This Row],[Pcode]]="","",IF(OFFSET(CampList[Opening Date],MATCH(Table_NFI[[#This Row],[Pcode]],CampList[CP_Pcode],0)-1,0,1,1)&gt;=NFI_Monitor_Date,1,0))</f>
        <v>0</v>
      </c>
      <c r="AQ178" s="781" t="str">
        <f>IFERROR(VLOOKUP(Table_NFI[[#This Row],[Camp Name]],CL,3,0),"")</f>
        <v>Open</v>
      </c>
      <c r="AR178" s="439" t="str">
        <f ca="1">IF(Table_NFI[[#This Row],[Pcode]]="","",OFFSET(CampList[Priority],MATCH(Table_NFI[[#This Row],[Pcode]],CampList[CP_Pcode],0)-1,0,1,1))</f>
        <v>P2</v>
      </c>
      <c r="AS178" s="438">
        <f>IFERROR(Table_NFI[[#This Row],[Kitchen Set]]/VLOOKUP(Table_NFI[[#This Row],[Camp Name]],CL,4,0),"")</f>
        <v>0</v>
      </c>
      <c r="AT178" s="779"/>
      <c r="AU178" s="782"/>
    </row>
    <row r="179" spans="1:47" s="774" customFormat="1" x14ac:dyDescent="0.25">
      <c r="A179" s="451">
        <f t="shared" si="2"/>
        <v>16.7</v>
      </c>
      <c r="B179" s="768">
        <v>41869</v>
      </c>
      <c r="C179" s="769" t="s">
        <v>454</v>
      </c>
      <c r="D179" s="769"/>
      <c r="E179" s="769" t="s">
        <v>380</v>
      </c>
      <c r="F179" s="435" t="s">
        <v>151</v>
      </c>
      <c r="G179" s="769" t="s">
        <v>1041</v>
      </c>
      <c r="H179" s="436"/>
      <c r="I179" s="436"/>
      <c r="J179" s="436"/>
      <c r="K179" s="436"/>
      <c r="L179" s="437">
        <v>70</v>
      </c>
      <c r="M179" s="437"/>
      <c r="N179" s="437"/>
      <c r="O179" s="437"/>
      <c r="P179" s="439"/>
      <c r="Q179" s="439"/>
      <c r="R179" s="436"/>
      <c r="S179" s="436"/>
      <c r="T179" s="436"/>
      <c r="U179" s="436"/>
      <c r="V179" s="436"/>
      <c r="W179" s="436"/>
      <c r="X179" s="436"/>
      <c r="Y179" s="436">
        <f>IF(NFI_Expiration=1,IF($A179&lt;VLOOKUP(H$5,NFI,5,0),1,0)*Table_NFI[[#This Row],[Hygiene Kit]],Table_NFI[Hygiene Kit])</f>
        <v>0</v>
      </c>
      <c r="Z179" s="436">
        <f>IF(NFI_Expiration=1,IF($A179&lt;VLOOKUP(I$5,NFI,5,0),1,0)*Table_NFI[[#This Row],[NFI Core Kit]],Table_NFI[NFI Core Kit])</f>
        <v>0</v>
      </c>
      <c r="AA179" s="436">
        <f>IF(NFI_Expiration=1,IF($A179&lt;VLOOKUP(J$5,NFI,5,0),1,0)*Table_NFI[[#This Row],[Sanitary Kit]],Table_NFI[Sanitary Kit])</f>
        <v>0</v>
      </c>
      <c r="AB179" s="436">
        <f>IF(NFI_Expiration=1,IF($A179&lt;VLOOKUP(K$5,NFI,5,0),1,0)*Table_NFI[[#This Row],[Mosquito net]],Table_NFI[Mosquito net])</f>
        <v>0</v>
      </c>
      <c r="AC179" s="436">
        <f>IF(NFI_Expiration=1,IF($A179&lt;VLOOKUP(L$5,NFI,5,0),1,0)*Table_NFI[[#This Row],[Tarpaulin]],Table_NFI[[#This Row],[Tarpaulin]])</f>
        <v>0</v>
      </c>
      <c r="AD179" s="436">
        <f>IF(NFI_Expiration=1,IF($A179&lt;VLOOKUP(M$5,NFI,5,0),1,0)*Table_NFI[[#This Row],[Blanket]],Table_NFI[[#This Row],[Blanket]])</f>
        <v>0</v>
      </c>
      <c r="AE179" s="436">
        <f>IF(NFI_Expiration=1,IF($A179&lt;VLOOKUP(N$5,NFI,5,0),1,0)*Table_NFI[[#This Row],[Kitchen Set]],Table_NFI[Kitchen Set])</f>
        <v>0</v>
      </c>
      <c r="AF179" s="436">
        <f>IF(NFI_Expiration=1,IF($A179&lt;VLOOKUP(O$5,NFI,5,0),1,0)*Table_NFI[[#This Row],[Clothes Kit]],Table_NFI[Clothes Kit])</f>
        <v>0</v>
      </c>
      <c r="AG179" s="436">
        <f>IF(NFI_Expiration=1,IF($A179&lt;VLOOKUP(P$5,NFI,5,0),1,0)*Table_NFI[[#This Row],[Plastic Bucket]],Table_NFI[Plastic Bucket])</f>
        <v>0</v>
      </c>
      <c r="AH179" s="436">
        <f>IF(NFI_Expiration=1,IF($A179&lt;VLOOKUP(Q$5,NFI,5,0),1,0)*Table_NFI[[#This Row],[Plastic Mat]],Table_NFI[Plastic Mat])*IF(Table_NFI[[#This Row],[Distribution Date]]&gt;"2014-04-01",1,2.5)</f>
        <v>0</v>
      </c>
      <c r="AI179" s="436">
        <f>IF(NFI_Expiration=1,IF($A179&lt;VLOOKUP(R$5,NFI,5,0),1,0)*Table_NFI[[#This Row],[Winter Clothes Adult]],Table_NFI[Winter Clothes Adult])</f>
        <v>0</v>
      </c>
      <c r="AJ179" s="436">
        <f>IF(NFI_Expiration=1,IF($A179&lt;VLOOKUP(S$5,NFI,5,0),1,0)*Table_NFI[[#This Row],[Winter Clothes Children]],Table_NFI[Winter Clothes Children])</f>
        <v>0</v>
      </c>
      <c r="AK179" s="436">
        <f>IF(NFI_Expiration=1,IF($A179&lt;VLOOKUP(T$5,NFI,5,0),1,0)*Table_NFI[[#This Row],[Winter Items Other]],Table_NFI[Winter Items Other])</f>
        <v>0</v>
      </c>
      <c r="AL179" s="436">
        <f>IF(NFI_Expiration=1,IF($A179&lt;VLOOKUP(M$5,NFI,5,0),1,0)*Table_NFI[[#This Row],[Winter Blanket]],Table_NFI[[#This Row],[Winter Blanket]])</f>
        <v>0</v>
      </c>
      <c r="AM179" s="436">
        <f>IF(Table_NFI[[#This Row],[Winter Clothes Adult]]+Table_NFI[[#This Row],[Winter Clothes Children]]+Table_NFI[[#This Row],[Winter Items Other]]+Table_NFI[[#This Row],[Winter Blanket]]&gt;0,1,0)</f>
        <v>0</v>
      </c>
      <c r="AN179" s="439">
        <f>IF(NFI_Expiration=1,IF($A179&lt;VLOOKUP(V$5,NFI,5,0),1,0)*Table_NFI[[#This Row],[Jerry Can]],Table_NFI[Jerry Can])</f>
        <v>0</v>
      </c>
      <c r="AO179" s="771" t="str">
        <f>IFERROR(VLOOKUP(Table_NFI[[#This Row],[Camp Name]],CL,2,0),"")</f>
        <v>MMR001CMP226</v>
      </c>
      <c r="AP179" s="772">
        <f ca="1">IF(Table_NFI[[#This Row],[Pcode]]="","",IF(OFFSET(CampList[Opening Date],MATCH(Table_NFI[[#This Row],[Pcode]],CampList[CP_Pcode],0)-1,0,1,1)&gt;=NFI_Monitor_Date,1,0))</f>
        <v>0</v>
      </c>
      <c r="AQ179" s="781" t="str">
        <f>IFERROR(VLOOKUP(Table_NFI[[#This Row],[Camp Name]],CL,3,0),"")</f>
        <v>Open</v>
      </c>
      <c r="AR179" s="439" t="str">
        <f ca="1">IF(Table_NFI[[#This Row],[Pcode]]="","",OFFSET(CampList[Priority],MATCH(Table_NFI[[#This Row],[Pcode]],CampList[CP_Pcode],0)-1,0,1,1))</f>
        <v>P2</v>
      </c>
      <c r="AS179" s="438">
        <f>IFERROR(Table_NFI[[#This Row],[Kitchen Set]]/VLOOKUP(Table_NFI[[#This Row],[Camp Name]],CL,4,0),"")</f>
        <v>0</v>
      </c>
      <c r="AT179" s="769"/>
      <c r="AU179" s="773"/>
    </row>
    <row r="180" spans="1:47" s="774" customFormat="1" x14ac:dyDescent="0.25">
      <c r="A180" s="451">
        <f t="shared" si="2"/>
        <v>16.966666666666665</v>
      </c>
      <c r="B180" s="768">
        <v>41861</v>
      </c>
      <c r="C180" s="769" t="s">
        <v>454</v>
      </c>
      <c r="D180" s="769"/>
      <c r="E180" s="769" t="s">
        <v>380</v>
      </c>
      <c r="F180" s="769" t="s">
        <v>185</v>
      </c>
      <c r="G180" s="769" t="s">
        <v>219</v>
      </c>
      <c r="H180" s="436"/>
      <c r="I180" s="436"/>
      <c r="J180" s="436"/>
      <c r="K180" s="436">
        <v>100</v>
      </c>
      <c r="L180" s="437">
        <v>52</v>
      </c>
      <c r="M180" s="437">
        <v>156</v>
      </c>
      <c r="N180" s="437">
        <v>40</v>
      </c>
      <c r="O180" s="437"/>
      <c r="P180" s="439">
        <v>52</v>
      </c>
      <c r="Q180" s="439">
        <v>210</v>
      </c>
      <c r="R180" s="436"/>
      <c r="S180" s="436"/>
      <c r="T180" s="436"/>
      <c r="U180" s="436"/>
      <c r="V180" s="436"/>
      <c r="W180" s="436"/>
      <c r="X180" s="436"/>
      <c r="Y180" s="436">
        <f>IF(NFI_Expiration=1,IF($A180&lt;VLOOKUP(H$5,NFI,5,0),1,0)*Table_NFI[[#This Row],[Hygiene Kit]],Table_NFI[Hygiene Kit])</f>
        <v>0</v>
      </c>
      <c r="Z180" s="436">
        <f>IF(NFI_Expiration=1,IF($A180&lt;VLOOKUP(I$5,NFI,5,0),1,0)*Table_NFI[[#This Row],[NFI Core Kit]],Table_NFI[NFI Core Kit])</f>
        <v>0</v>
      </c>
      <c r="AA180" s="436">
        <f>IF(NFI_Expiration=1,IF($A180&lt;VLOOKUP(J$5,NFI,5,0),1,0)*Table_NFI[[#This Row],[Sanitary Kit]],Table_NFI[Sanitary Kit])</f>
        <v>0</v>
      </c>
      <c r="AB180" s="436">
        <f>IF(NFI_Expiration=1,IF($A180&lt;VLOOKUP(K$5,NFI,5,0),1,0)*Table_NFI[[#This Row],[Mosquito net]],Table_NFI[Mosquito net])</f>
        <v>0</v>
      </c>
      <c r="AC180" s="436">
        <f>IF(NFI_Expiration=1,IF($A180&lt;VLOOKUP(L$5,NFI,5,0),1,0)*Table_NFI[[#This Row],[Tarpaulin]],Table_NFI[[#This Row],[Tarpaulin]])</f>
        <v>0</v>
      </c>
      <c r="AD180" s="436">
        <f>IF(NFI_Expiration=1,IF($A180&lt;VLOOKUP(M$5,NFI,5,0),1,0)*Table_NFI[[#This Row],[Blanket]],Table_NFI[[#This Row],[Blanket]])</f>
        <v>0</v>
      </c>
      <c r="AE180" s="436">
        <f>IF(NFI_Expiration=1,IF($A180&lt;VLOOKUP(N$5,NFI,5,0),1,0)*Table_NFI[[#This Row],[Kitchen Set]],Table_NFI[Kitchen Set])</f>
        <v>0</v>
      </c>
      <c r="AF180" s="436">
        <f>IF(NFI_Expiration=1,IF($A180&lt;VLOOKUP(O$5,NFI,5,0),1,0)*Table_NFI[[#This Row],[Clothes Kit]],Table_NFI[Clothes Kit])</f>
        <v>0</v>
      </c>
      <c r="AG180" s="436">
        <f>IF(NFI_Expiration=1,IF($A180&lt;VLOOKUP(P$5,NFI,5,0),1,0)*Table_NFI[[#This Row],[Plastic Bucket]],Table_NFI[Plastic Bucket])</f>
        <v>0</v>
      </c>
      <c r="AH180" s="436">
        <f>IF(NFI_Expiration=1,IF($A180&lt;VLOOKUP(Q$5,NFI,5,0),1,0)*Table_NFI[[#This Row],[Plastic Mat]],Table_NFI[Plastic Mat])*IF(Table_NFI[[#This Row],[Distribution Date]]&gt;"2014-04-01",1,2.5)</f>
        <v>0</v>
      </c>
      <c r="AI180" s="436">
        <f>IF(NFI_Expiration=1,IF($A180&lt;VLOOKUP(R$5,NFI,5,0),1,0)*Table_NFI[[#This Row],[Winter Clothes Adult]],Table_NFI[Winter Clothes Adult])</f>
        <v>0</v>
      </c>
      <c r="AJ180" s="436">
        <f>IF(NFI_Expiration=1,IF($A180&lt;VLOOKUP(S$5,NFI,5,0),1,0)*Table_NFI[[#This Row],[Winter Clothes Children]],Table_NFI[Winter Clothes Children])</f>
        <v>0</v>
      </c>
      <c r="AK180" s="436">
        <f>IF(NFI_Expiration=1,IF($A180&lt;VLOOKUP(T$5,NFI,5,0),1,0)*Table_NFI[[#This Row],[Winter Items Other]],Table_NFI[Winter Items Other])</f>
        <v>0</v>
      </c>
      <c r="AL180" s="436">
        <f>IF(NFI_Expiration=1,IF($A180&lt;VLOOKUP(M$5,NFI,5,0),1,0)*Table_NFI[[#This Row],[Winter Blanket]],Table_NFI[[#This Row],[Winter Blanket]])</f>
        <v>0</v>
      </c>
      <c r="AM180" s="436">
        <f>IF(Table_NFI[[#This Row],[Winter Clothes Adult]]+Table_NFI[[#This Row],[Winter Clothes Children]]+Table_NFI[[#This Row],[Winter Items Other]]+Table_NFI[[#This Row],[Winter Blanket]]&gt;0,1,0)</f>
        <v>0</v>
      </c>
      <c r="AN180" s="439">
        <f>IF(NFI_Expiration=1,IF($A180&lt;VLOOKUP(V$5,NFI,5,0),1,0)*Table_NFI[[#This Row],[Jerry Can]],Table_NFI[Jerry Can])</f>
        <v>0</v>
      </c>
      <c r="AO180" s="771" t="str">
        <f>IFERROR(VLOOKUP(Table_NFI[[#This Row],[Camp Name]],CL,2,0),"")</f>
        <v>MMR001CMP126</v>
      </c>
      <c r="AP180" s="772">
        <f ca="1">IF(Table_NFI[[#This Row],[Pcode]]="","",IF(OFFSET(CampList[Opening Date],MATCH(Table_NFI[[#This Row],[Pcode]],CampList[CP_Pcode],0)-1,0,1,1)&gt;=NFI_Monitor_Date,1,0))</f>
        <v>0</v>
      </c>
      <c r="AQ180" s="781" t="str">
        <f>IFERROR(VLOOKUP(Table_NFI[[#This Row],[Camp Name]],CL,3,0),"")</f>
        <v>Open</v>
      </c>
      <c r="AR180" s="439" t="str">
        <f ca="1">IF(Table_NFI[[#This Row],[Pcode]]="","",OFFSET(CampList[Priority],MATCH(Table_NFI[[#This Row],[Pcode]],CampList[CP_Pcode],0)-1,0,1,1))</f>
        <v>P2</v>
      </c>
      <c r="AS180" s="438">
        <f>IFERROR(Table_NFI[[#This Row],[Kitchen Set]]/VLOOKUP(Table_NFI[[#This Row],[Camp Name]],CL,4,0),"")</f>
        <v>5.9084194977843424E-2</v>
      </c>
      <c r="AT180" s="769"/>
      <c r="AU180" s="773"/>
    </row>
    <row r="181" spans="1:47" s="136" customFormat="1" x14ac:dyDescent="0.25">
      <c r="A181" s="451">
        <f t="shared" si="2"/>
        <v>17.066666666666666</v>
      </c>
      <c r="B181" s="768">
        <v>41858</v>
      </c>
      <c r="C181" s="769" t="s">
        <v>454</v>
      </c>
      <c r="D181" s="769" t="s">
        <v>507</v>
      </c>
      <c r="E181" s="769" t="s">
        <v>380</v>
      </c>
      <c r="F181" s="769" t="s">
        <v>27</v>
      </c>
      <c r="G181" s="769" t="s">
        <v>365</v>
      </c>
      <c r="H181" s="436"/>
      <c r="I181" s="436"/>
      <c r="J181" s="436">
        <v>50</v>
      </c>
      <c r="K181" s="436">
        <v>25</v>
      </c>
      <c r="L181" s="437">
        <v>50</v>
      </c>
      <c r="M181" s="437">
        <v>25</v>
      </c>
      <c r="N181" s="437"/>
      <c r="O181" s="437">
        <v>25</v>
      </c>
      <c r="P181" s="439">
        <v>125</v>
      </c>
      <c r="Q181" s="439"/>
      <c r="R181" s="436"/>
      <c r="S181" s="436"/>
      <c r="T181" s="436"/>
      <c r="U181" s="436"/>
      <c r="V181" s="436"/>
      <c r="W181" s="436"/>
      <c r="X181" s="436"/>
      <c r="Y181" s="436">
        <f>IF(NFI_Expiration=1,IF($A181&lt;VLOOKUP(H$5,NFI,5,0),1,0)*Table_NFI[[#This Row],[Hygiene Kit]],Table_NFI[Hygiene Kit])</f>
        <v>0</v>
      </c>
      <c r="Z181" s="436">
        <f>IF(NFI_Expiration=1,IF($A181&lt;VLOOKUP(I$5,NFI,5,0),1,0)*Table_NFI[[#This Row],[NFI Core Kit]],Table_NFI[NFI Core Kit])</f>
        <v>0</v>
      </c>
      <c r="AA181" s="436">
        <f>IF(NFI_Expiration=1,IF($A181&lt;VLOOKUP(J$5,NFI,5,0),1,0)*Table_NFI[[#This Row],[Sanitary Kit]],Table_NFI[Sanitary Kit])</f>
        <v>0</v>
      </c>
      <c r="AB181" s="436">
        <f>IF(NFI_Expiration=1,IF($A181&lt;VLOOKUP(K$5,NFI,5,0),1,0)*Table_NFI[[#This Row],[Mosquito net]],Table_NFI[Mosquito net])</f>
        <v>0</v>
      </c>
      <c r="AC181" s="436">
        <f>IF(NFI_Expiration=1,IF($A181&lt;VLOOKUP(L$5,NFI,5,0),1,0)*Table_NFI[[#This Row],[Tarpaulin]],Table_NFI[[#This Row],[Tarpaulin]])</f>
        <v>0</v>
      </c>
      <c r="AD181" s="436">
        <f>IF(NFI_Expiration=1,IF($A181&lt;VLOOKUP(M$5,NFI,5,0),1,0)*Table_NFI[[#This Row],[Blanket]],Table_NFI[[#This Row],[Blanket]])</f>
        <v>0</v>
      </c>
      <c r="AE181" s="436">
        <f>IF(NFI_Expiration=1,IF($A181&lt;VLOOKUP(N$5,NFI,5,0),1,0)*Table_NFI[[#This Row],[Kitchen Set]],Table_NFI[Kitchen Set])</f>
        <v>0</v>
      </c>
      <c r="AF181" s="436">
        <f>IF(NFI_Expiration=1,IF($A181&lt;VLOOKUP(O$5,NFI,5,0),1,0)*Table_NFI[[#This Row],[Clothes Kit]],Table_NFI[Clothes Kit])</f>
        <v>0</v>
      </c>
      <c r="AG181" s="436">
        <f>IF(NFI_Expiration=1,IF($A181&lt;VLOOKUP(P$5,NFI,5,0),1,0)*Table_NFI[[#This Row],[Plastic Bucket]],Table_NFI[Plastic Bucket])</f>
        <v>0</v>
      </c>
      <c r="AH181" s="436">
        <f>IF(NFI_Expiration=1,IF($A181&lt;VLOOKUP(Q$5,NFI,5,0),1,0)*Table_NFI[[#This Row],[Plastic Mat]],Table_NFI[Plastic Mat])*IF(Table_NFI[[#This Row],[Distribution Date]]&gt;"2014-04-01",1,2.5)</f>
        <v>0</v>
      </c>
      <c r="AI181" s="436">
        <f>IF(NFI_Expiration=1,IF($A181&lt;VLOOKUP(R$5,NFI,5,0),1,0)*Table_NFI[[#This Row],[Winter Clothes Adult]],Table_NFI[Winter Clothes Adult])</f>
        <v>0</v>
      </c>
      <c r="AJ181" s="436">
        <f>IF(NFI_Expiration=1,IF($A181&lt;VLOOKUP(S$5,NFI,5,0),1,0)*Table_NFI[[#This Row],[Winter Clothes Children]],Table_NFI[Winter Clothes Children])</f>
        <v>0</v>
      </c>
      <c r="AK181" s="436">
        <f>IF(NFI_Expiration=1,IF($A181&lt;VLOOKUP(T$5,NFI,5,0),1,0)*Table_NFI[[#This Row],[Winter Items Other]],Table_NFI[Winter Items Other])</f>
        <v>0</v>
      </c>
      <c r="AL181" s="436">
        <f>IF(NFI_Expiration=1,IF($A181&lt;VLOOKUP(M$5,NFI,5,0),1,0)*Table_NFI[[#This Row],[Winter Blanket]],Table_NFI[[#This Row],[Winter Blanket]])</f>
        <v>0</v>
      </c>
      <c r="AM181" s="436">
        <f>IF(Table_NFI[[#This Row],[Winter Clothes Adult]]+Table_NFI[[#This Row],[Winter Clothes Children]]+Table_NFI[[#This Row],[Winter Items Other]]+Table_NFI[[#This Row],[Winter Blanket]]&gt;0,1,0)</f>
        <v>0</v>
      </c>
      <c r="AN181" s="439">
        <f>IF(NFI_Expiration=1,IF($A181&lt;VLOOKUP(V$5,NFI,5,0),1,0)*Table_NFI[[#This Row],[Jerry Can]],Table_NFI[Jerry Can])</f>
        <v>0</v>
      </c>
      <c r="AO181" s="771" t="str">
        <f>IFERROR(VLOOKUP(Table_NFI[[#This Row],[Camp Name]],CL,2,0),"")</f>
        <v>MMR001CMP195</v>
      </c>
      <c r="AP181" s="772">
        <f ca="1">IF(Table_NFI[[#This Row],[Pcode]]="","",IF(OFFSET(CampList[Opening Date],MATCH(Table_NFI[[#This Row],[Pcode]],CampList[CP_Pcode],0)-1,0,1,1)&gt;=NFI_Monitor_Date,1,0))</f>
        <v>0</v>
      </c>
      <c r="AQ181" s="781" t="str">
        <f>IFERROR(VLOOKUP(Table_NFI[[#This Row],[Camp Name]],CL,3,0),"")</f>
        <v>Open</v>
      </c>
      <c r="AR181" s="439" t="str">
        <f ca="1">IF(Table_NFI[[#This Row],[Pcode]]="","",OFFSET(CampList[Priority],MATCH(Table_NFI[[#This Row],[Pcode]],CampList[CP_Pcode],0)-1,0,1,1))</f>
        <v>P1</v>
      </c>
      <c r="AS181" s="438">
        <f>IFERROR(Table_NFI[[#This Row],[Kitchen Set]]/VLOOKUP(Table_NFI[[#This Row],[Camp Name]],CL,4,0),"")</f>
        <v>0</v>
      </c>
      <c r="AT181" s="769"/>
      <c r="AU181" s="773"/>
    </row>
    <row r="182" spans="1:47" s="136" customFormat="1" x14ac:dyDescent="0.25">
      <c r="A182" s="451">
        <f t="shared" si="2"/>
        <v>17.066666666666666</v>
      </c>
      <c r="B182" s="768">
        <v>41858</v>
      </c>
      <c r="C182" s="769" t="s">
        <v>454</v>
      </c>
      <c r="D182" s="769" t="s">
        <v>507</v>
      </c>
      <c r="E182" s="769" t="s">
        <v>380</v>
      </c>
      <c r="F182" s="769" t="s">
        <v>310</v>
      </c>
      <c r="G182" s="769" t="s">
        <v>318</v>
      </c>
      <c r="H182" s="436"/>
      <c r="I182" s="436"/>
      <c r="J182" s="436">
        <v>24</v>
      </c>
      <c r="K182" s="436">
        <v>12</v>
      </c>
      <c r="L182" s="437">
        <v>24</v>
      </c>
      <c r="M182" s="437">
        <v>12</v>
      </c>
      <c r="N182" s="437"/>
      <c r="O182" s="437">
        <v>12</v>
      </c>
      <c r="P182" s="439">
        <v>60</v>
      </c>
      <c r="Q182" s="439"/>
      <c r="R182" s="436"/>
      <c r="S182" s="436"/>
      <c r="T182" s="436"/>
      <c r="U182" s="436"/>
      <c r="V182" s="436"/>
      <c r="W182" s="436"/>
      <c r="X182" s="436"/>
      <c r="Y182" s="436">
        <f>IF(NFI_Expiration=1,IF($A182&lt;VLOOKUP(H$5,NFI,5,0),1,0)*Table_NFI[[#This Row],[Hygiene Kit]],Table_NFI[Hygiene Kit])</f>
        <v>0</v>
      </c>
      <c r="Z182" s="436">
        <f>IF(NFI_Expiration=1,IF($A182&lt;VLOOKUP(I$5,NFI,5,0),1,0)*Table_NFI[[#This Row],[NFI Core Kit]],Table_NFI[NFI Core Kit])</f>
        <v>0</v>
      </c>
      <c r="AA182" s="436">
        <f>IF(NFI_Expiration=1,IF($A182&lt;VLOOKUP(J$5,NFI,5,0),1,0)*Table_NFI[[#This Row],[Sanitary Kit]],Table_NFI[Sanitary Kit])</f>
        <v>0</v>
      </c>
      <c r="AB182" s="436">
        <f>IF(NFI_Expiration=1,IF($A182&lt;VLOOKUP(K$5,NFI,5,0),1,0)*Table_NFI[[#This Row],[Mosquito net]],Table_NFI[Mosquito net])</f>
        <v>0</v>
      </c>
      <c r="AC182" s="436">
        <f>IF(NFI_Expiration=1,IF($A182&lt;VLOOKUP(L$5,NFI,5,0),1,0)*Table_NFI[[#This Row],[Tarpaulin]],Table_NFI[[#This Row],[Tarpaulin]])</f>
        <v>0</v>
      </c>
      <c r="AD182" s="436">
        <f>IF(NFI_Expiration=1,IF($A182&lt;VLOOKUP(M$5,NFI,5,0),1,0)*Table_NFI[[#This Row],[Blanket]],Table_NFI[[#This Row],[Blanket]])</f>
        <v>0</v>
      </c>
      <c r="AE182" s="436">
        <f>IF(NFI_Expiration=1,IF($A182&lt;VLOOKUP(N$5,NFI,5,0),1,0)*Table_NFI[[#This Row],[Kitchen Set]],Table_NFI[Kitchen Set])</f>
        <v>0</v>
      </c>
      <c r="AF182" s="436">
        <f>IF(NFI_Expiration=1,IF($A182&lt;VLOOKUP(O$5,NFI,5,0),1,0)*Table_NFI[[#This Row],[Clothes Kit]],Table_NFI[Clothes Kit])</f>
        <v>0</v>
      </c>
      <c r="AG182" s="436">
        <f>IF(NFI_Expiration=1,IF($A182&lt;VLOOKUP(P$5,NFI,5,0),1,0)*Table_NFI[[#This Row],[Plastic Bucket]],Table_NFI[Plastic Bucket])</f>
        <v>0</v>
      </c>
      <c r="AH182" s="436">
        <f>IF(NFI_Expiration=1,IF($A182&lt;VLOOKUP(Q$5,NFI,5,0),1,0)*Table_NFI[[#This Row],[Plastic Mat]],Table_NFI[Plastic Mat])*IF(Table_NFI[[#This Row],[Distribution Date]]&gt;"2014-04-01",1,2.5)</f>
        <v>0</v>
      </c>
      <c r="AI182" s="436">
        <f>IF(NFI_Expiration=1,IF($A182&lt;VLOOKUP(R$5,NFI,5,0),1,0)*Table_NFI[[#This Row],[Winter Clothes Adult]],Table_NFI[Winter Clothes Adult])</f>
        <v>0</v>
      </c>
      <c r="AJ182" s="436">
        <f>IF(NFI_Expiration=1,IF($A182&lt;VLOOKUP(S$5,NFI,5,0),1,0)*Table_NFI[[#This Row],[Winter Clothes Children]],Table_NFI[Winter Clothes Children])</f>
        <v>0</v>
      </c>
      <c r="AK182" s="436">
        <f>IF(NFI_Expiration=1,IF($A182&lt;VLOOKUP(T$5,NFI,5,0),1,0)*Table_NFI[[#This Row],[Winter Items Other]],Table_NFI[Winter Items Other])</f>
        <v>0</v>
      </c>
      <c r="AL182" s="436">
        <f>IF(NFI_Expiration=1,IF($A182&lt;VLOOKUP(M$5,NFI,5,0),1,0)*Table_NFI[[#This Row],[Winter Blanket]],Table_NFI[[#This Row],[Winter Blanket]])</f>
        <v>0</v>
      </c>
      <c r="AM182" s="436">
        <f>IF(Table_NFI[[#This Row],[Winter Clothes Adult]]+Table_NFI[[#This Row],[Winter Clothes Children]]+Table_NFI[[#This Row],[Winter Items Other]]+Table_NFI[[#This Row],[Winter Blanket]]&gt;0,1,0)</f>
        <v>0</v>
      </c>
      <c r="AN182" s="439">
        <f>IF(NFI_Expiration=1,IF($A182&lt;VLOOKUP(V$5,NFI,5,0),1,0)*Table_NFI[[#This Row],[Jerry Can]],Table_NFI[Jerry Can])</f>
        <v>0</v>
      </c>
      <c r="AO182" s="771" t="str">
        <f>IFERROR(VLOOKUP(Table_NFI[[#This Row],[Camp Name]],CL,2,0),"")</f>
        <v>MMR001CMP032</v>
      </c>
      <c r="AP182" s="772">
        <f ca="1">IF(Table_NFI[[#This Row],[Pcode]]="","",IF(OFFSET(CampList[Opening Date],MATCH(Table_NFI[[#This Row],[Pcode]],CampList[CP_Pcode],0)-1,0,1,1)&gt;=NFI_Monitor_Date,1,0))</f>
        <v>0</v>
      </c>
      <c r="AQ182" s="781" t="str">
        <f>IFERROR(VLOOKUP(Table_NFI[[#This Row],[Camp Name]],CL,3,0),"")</f>
        <v>Open</v>
      </c>
      <c r="AR182" s="439" t="str">
        <f ca="1">IF(Table_NFI[[#This Row],[Pcode]]="","",OFFSET(CampList[Priority],MATCH(Table_NFI[[#This Row],[Pcode]],CampList[CP_Pcode],0)-1,0,1,1))</f>
        <v>P4</v>
      </c>
      <c r="AS182" s="438">
        <f>IFERROR(Table_NFI[[#This Row],[Kitchen Set]]/VLOOKUP(Table_NFI[[#This Row],[Camp Name]],CL,4,0),"")</f>
        <v>0</v>
      </c>
      <c r="AT182" s="769"/>
      <c r="AU182" s="773"/>
    </row>
    <row r="183" spans="1:47" s="774" customFormat="1" x14ac:dyDescent="0.25">
      <c r="A183" s="451">
        <f t="shared" si="2"/>
        <v>17.166666666666668</v>
      </c>
      <c r="B183" s="768">
        <v>41855</v>
      </c>
      <c r="C183" s="769" t="s">
        <v>454</v>
      </c>
      <c r="D183" s="769"/>
      <c r="E183" s="769" t="s">
        <v>380</v>
      </c>
      <c r="F183" s="769" t="s">
        <v>5</v>
      </c>
      <c r="G183" s="769"/>
      <c r="H183" s="436"/>
      <c r="I183" s="436"/>
      <c r="J183" s="436"/>
      <c r="K183" s="436"/>
      <c r="L183" s="437">
        <v>5</v>
      </c>
      <c r="M183" s="437"/>
      <c r="N183" s="437"/>
      <c r="O183" s="437"/>
      <c r="P183" s="439"/>
      <c r="Q183" s="439"/>
      <c r="R183" s="436"/>
      <c r="S183" s="436"/>
      <c r="T183" s="436"/>
      <c r="U183" s="436"/>
      <c r="V183" s="436"/>
      <c r="W183" s="436"/>
      <c r="X183" s="436"/>
      <c r="Y183" s="436">
        <f>IF(NFI_Expiration=1,IF($A183&lt;VLOOKUP(H$5,NFI,5,0),1,0)*Table_NFI[[#This Row],[Hygiene Kit]],Table_NFI[Hygiene Kit])</f>
        <v>0</v>
      </c>
      <c r="Z183" s="436">
        <f>IF(NFI_Expiration=1,IF($A183&lt;VLOOKUP(I$5,NFI,5,0),1,0)*Table_NFI[[#This Row],[NFI Core Kit]],Table_NFI[NFI Core Kit])</f>
        <v>0</v>
      </c>
      <c r="AA183" s="436">
        <f>IF(NFI_Expiration=1,IF($A183&lt;VLOOKUP(J$5,NFI,5,0),1,0)*Table_NFI[[#This Row],[Sanitary Kit]],Table_NFI[Sanitary Kit])</f>
        <v>0</v>
      </c>
      <c r="AB183" s="436">
        <f>IF(NFI_Expiration=1,IF($A183&lt;VLOOKUP(K$5,NFI,5,0),1,0)*Table_NFI[[#This Row],[Mosquito net]],Table_NFI[Mosquito net])</f>
        <v>0</v>
      </c>
      <c r="AC183" s="436">
        <f>IF(NFI_Expiration=1,IF($A183&lt;VLOOKUP(L$5,NFI,5,0),1,0)*Table_NFI[[#This Row],[Tarpaulin]],Table_NFI[[#This Row],[Tarpaulin]])</f>
        <v>0</v>
      </c>
      <c r="AD183" s="436">
        <f>IF(NFI_Expiration=1,IF($A183&lt;VLOOKUP(M$5,NFI,5,0),1,0)*Table_NFI[[#This Row],[Blanket]],Table_NFI[[#This Row],[Blanket]])</f>
        <v>0</v>
      </c>
      <c r="AE183" s="436">
        <f>IF(NFI_Expiration=1,IF($A183&lt;VLOOKUP(N$5,NFI,5,0),1,0)*Table_NFI[[#This Row],[Kitchen Set]],Table_NFI[Kitchen Set])</f>
        <v>0</v>
      </c>
      <c r="AF183" s="436">
        <f>IF(NFI_Expiration=1,IF($A183&lt;VLOOKUP(O$5,NFI,5,0),1,0)*Table_NFI[[#This Row],[Clothes Kit]],Table_NFI[Clothes Kit])</f>
        <v>0</v>
      </c>
      <c r="AG183" s="436">
        <f>IF(NFI_Expiration=1,IF($A183&lt;VLOOKUP(P$5,NFI,5,0),1,0)*Table_NFI[[#This Row],[Plastic Bucket]],Table_NFI[Plastic Bucket])</f>
        <v>0</v>
      </c>
      <c r="AH183" s="436">
        <f>IF(NFI_Expiration=1,IF($A183&lt;VLOOKUP(Q$5,NFI,5,0),1,0)*Table_NFI[[#This Row],[Plastic Mat]],Table_NFI[Plastic Mat])*IF(Table_NFI[[#This Row],[Distribution Date]]&gt;"2014-04-01",1,2.5)</f>
        <v>0</v>
      </c>
      <c r="AI183" s="436">
        <f>IF(NFI_Expiration=1,IF($A183&lt;VLOOKUP(R$5,NFI,5,0),1,0)*Table_NFI[[#This Row],[Winter Clothes Adult]],Table_NFI[Winter Clothes Adult])</f>
        <v>0</v>
      </c>
      <c r="AJ183" s="436">
        <f>IF(NFI_Expiration=1,IF($A183&lt;VLOOKUP(S$5,NFI,5,0),1,0)*Table_NFI[[#This Row],[Winter Clothes Children]],Table_NFI[Winter Clothes Children])</f>
        <v>0</v>
      </c>
      <c r="AK183" s="436">
        <f>IF(NFI_Expiration=1,IF($A183&lt;VLOOKUP(T$5,NFI,5,0),1,0)*Table_NFI[[#This Row],[Winter Items Other]],Table_NFI[Winter Items Other])</f>
        <v>0</v>
      </c>
      <c r="AL183" s="436">
        <f>IF(NFI_Expiration=1,IF($A183&lt;VLOOKUP(M$5,NFI,5,0),1,0)*Table_NFI[[#This Row],[Winter Blanket]],Table_NFI[[#This Row],[Winter Blanket]])</f>
        <v>0</v>
      </c>
      <c r="AM183" s="436">
        <f>IF(Table_NFI[[#This Row],[Winter Clothes Adult]]+Table_NFI[[#This Row],[Winter Clothes Children]]+Table_NFI[[#This Row],[Winter Items Other]]+Table_NFI[[#This Row],[Winter Blanket]]&gt;0,1,0)</f>
        <v>0</v>
      </c>
      <c r="AN183" s="439">
        <f>IF(NFI_Expiration=1,IF($A183&lt;VLOOKUP(V$5,NFI,5,0),1,0)*Table_NFI[[#This Row],[Jerry Can]],Table_NFI[Jerry Can])</f>
        <v>0</v>
      </c>
      <c r="AO183" s="771" t="str">
        <f>IFERROR(VLOOKUP(Table_NFI[[#This Row],[Camp Name]],CL,2,0),"")</f>
        <v/>
      </c>
      <c r="AP183" s="772" t="str">
        <f ca="1">IF(Table_NFI[[#This Row],[Pcode]]="","",IF(OFFSET(CampList[Opening Date],MATCH(Table_NFI[[#This Row],[Pcode]],CampList[CP_Pcode],0)-1,0,1,1)&gt;=NFI_Monitor_Date,1,0))</f>
        <v/>
      </c>
      <c r="AQ183" s="781" t="str">
        <f>IFERROR(VLOOKUP(Table_NFI[[#This Row],[Camp Name]],CL,3,0),"")</f>
        <v/>
      </c>
      <c r="AR183" s="439" t="str">
        <f ca="1">IF(Table_NFI[[#This Row],[Pcode]]="","",OFFSET(CampList[Priority],MATCH(Table_NFI[[#This Row],[Pcode]],CampList[CP_Pcode],0)-1,0,1,1))</f>
        <v/>
      </c>
      <c r="AS183" s="438" t="str">
        <f>IFERROR(Table_NFI[[#This Row],[Kitchen Set]]/VLOOKUP(Table_NFI[[#This Row],[Camp Name]],CL,4,0),"")</f>
        <v/>
      </c>
      <c r="AT183" s="769"/>
      <c r="AU183" s="773"/>
    </row>
    <row r="184" spans="1:47" s="136" customFormat="1" x14ac:dyDescent="0.25">
      <c r="A184" s="451">
        <f t="shared" si="2"/>
        <v>17.166666666666668</v>
      </c>
      <c r="B184" s="768">
        <v>41855</v>
      </c>
      <c r="C184" s="769" t="s">
        <v>454</v>
      </c>
      <c r="D184" s="769"/>
      <c r="E184" s="769" t="s">
        <v>380</v>
      </c>
      <c r="F184" s="769" t="s">
        <v>185</v>
      </c>
      <c r="G184" s="769" t="s">
        <v>223</v>
      </c>
      <c r="H184" s="436"/>
      <c r="I184" s="436"/>
      <c r="J184" s="436"/>
      <c r="K184" s="436"/>
      <c r="L184" s="437">
        <v>116</v>
      </c>
      <c r="M184" s="437"/>
      <c r="N184" s="437"/>
      <c r="O184" s="437"/>
      <c r="P184" s="439"/>
      <c r="Q184" s="439"/>
      <c r="R184" s="436"/>
      <c r="S184" s="436"/>
      <c r="T184" s="436"/>
      <c r="U184" s="436"/>
      <c r="V184" s="436"/>
      <c r="W184" s="436"/>
      <c r="X184" s="436"/>
      <c r="Y184" s="436">
        <f>IF(NFI_Expiration=1,IF($A184&lt;VLOOKUP(H$5,NFI,5,0),1,0)*Table_NFI[[#This Row],[Hygiene Kit]],Table_NFI[Hygiene Kit])</f>
        <v>0</v>
      </c>
      <c r="Z184" s="436">
        <f>IF(NFI_Expiration=1,IF($A184&lt;VLOOKUP(I$5,NFI,5,0),1,0)*Table_NFI[[#This Row],[NFI Core Kit]],Table_NFI[NFI Core Kit])</f>
        <v>0</v>
      </c>
      <c r="AA184" s="436">
        <f>IF(NFI_Expiration=1,IF($A184&lt;VLOOKUP(J$5,NFI,5,0),1,0)*Table_NFI[[#This Row],[Sanitary Kit]],Table_NFI[Sanitary Kit])</f>
        <v>0</v>
      </c>
      <c r="AB184" s="436">
        <f>IF(NFI_Expiration=1,IF($A184&lt;VLOOKUP(K$5,NFI,5,0),1,0)*Table_NFI[[#This Row],[Mosquito net]],Table_NFI[Mosquito net])</f>
        <v>0</v>
      </c>
      <c r="AC184" s="436">
        <f>IF(NFI_Expiration=1,IF($A184&lt;VLOOKUP(L$5,NFI,5,0),1,0)*Table_NFI[[#This Row],[Tarpaulin]],Table_NFI[[#This Row],[Tarpaulin]])</f>
        <v>0</v>
      </c>
      <c r="AD184" s="436">
        <f>IF(NFI_Expiration=1,IF($A184&lt;VLOOKUP(M$5,NFI,5,0),1,0)*Table_NFI[[#This Row],[Blanket]],Table_NFI[[#This Row],[Blanket]])</f>
        <v>0</v>
      </c>
      <c r="AE184" s="436">
        <f>IF(NFI_Expiration=1,IF($A184&lt;VLOOKUP(N$5,NFI,5,0),1,0)*Table_NFI[[#This Row],[Kitchen Set]],Table_NFI[Kitchen Set])</f>
        <v>0</v>
      </c>
      <c r="AF184" s="436">
        <f>IF(NFI_Expiration=1,IF($A184&lt;VLOOKUP(O$5,NFI,5,0),1,0)*Table_NFI[[#This Row],[Clothes Kit]],Table_NFI[Clothes Kit])</f>
        <v>0</v>
      </c>
      <c r="AG184" s="436">
        <f>IF(NFI_Expiration=1,IF($A184&lt;VLOOKUP(P$5,NFI,5,0),1,0)*Table_NFI[[#This Row],[Plastic Bucket]],Table_NFI[Plastic Bucket])</f>
        <v>0</v>
      </c>
      <c r="AH184" s="436">
        <f>IF(NFI_Expiration=1,IF($A184&lt;VLOOKUP(Q$5,NFI,5,0),1,0)*Table_NFI[[#This Row],[Plastic Mat]],Table_NFI[Plastic Mat])*IF(Table_NFI[[#This Row],[Distribution Date]]&gt;"2014-04-01",1,2.5)</f>
        <v>0</v>
      </c>
      <c r="AI184" s="436">
        <f>IF(NFI_Expiration=1,IF($A184&lt;VLOOKUP(R$5,NFI,5,0),1,0)*Table_NFI[[#This Row],[Winter Clothes Adult]],Table_NFI[Winter Clothes Adult])</f>
        <v>0</v>
      </c>
      <c r="AJ184" s="436">
        <f>IF(NFI_Expiration=1,IF($A184&lt;VLOOKUP(S$5,NFI,5,0),1,0)*Table_NFI[[#This Row],[Winter Clothes Children]],Table_NFI[Winter Clothes Children])</f>
        <v>0</v>
      </c>
      <c r="AK184" s="436">
        <f>IF(NFI_Expiration=1,IF($A184&lt;VLOOKUP(T$5,NFI,5,0),1,0)*Table_NFI[[#This Row],[Winter Items Other]],Table_NFI[Winter Items Other])</f>
        <v>0</v>
      </c>
      <c r="AL184" s="436">
        <f>IF(NFI_Expiration=1,IF($A184&lt;VLOOKUP(M$5,NFI,5,0),1,0)*Table_NFI[[#This Row],[Winter Blanket]],Table_NFI[[#This Row],[Winter Blanket]])</f>
        <v>0</v>
      </c>
      <c r="AM184" s="436">
        <f>IF(Table_NFI[[#This Row],[Winter Clothes Adult]]+Table_NFI[[#This Row],[Winter Clothes Children]]+Table_NFI[[#This Row],[Winter Items Other]]+Table_NFI[[#This Row],[Winter Blanket]]&gt;0,1,0)</f>
        <v>0</v>
      </c>
      <c r="AN184" s="439">
        <f>IF(NFI_Expiration=1,IF($A184&lt;VLOOKUP(V$5,NFI,5,0),1,0)*Table_NFI[[#This Row],[Jerry Can]],Table_NFI[Jerry Can])</f>
        <v>0</v>
      </c>
      <c r="AO184" s="771" t="str">
        <f>IFERROR(VLOOKUP(Table_NFI[[#This Row],[Camp Name]],CL,2,0),"")</f>
        <v>MMR001CMP069</v>
      </c>
      <c r="AP184" s="772">
        <f ca="1">IF(Table_NFI[[#This Row],[Pcode]]="","",IF(OFFSET(CampList[Opening Date],MATCH(Table_NFI[[#This Row],[Pcode]],CampList[CP_Pcode],0)-1,0,1,1)&gt;=NFI_Monitor_Date,1,0))</f>
        <v>0</v>
      </c>
      <c r="AQ184" s="781" t="str">
        <f>IFERROR(VLOOKUP(Table_NFI[[#This Row],[Camp Name]],CL,3,0),"")</f>
        <v>Open</v>
      </c>
      <c r="AR184" s="439" t="str">
        <f ca="1">IF(Table_NFI[[#This Row],[Pcode]]="","",OFFSET(CampList[Priority],MATCH(Table_NFI[[#This Row],[Pcode]],CampList[CP_Pcode],0)-1,0,1,1))</f>
        <v>P3</v>
      </c>
      <c r="AS184" s="438">
        <f>IFERROR(Table_NFI[[#This Row],[Kitchen Set]]/VLOOKUP(Table_NFI[[#This Row],[Camp Name]],CL,4,0),"")</f>
        <v>0</v>
      </c>
      <c r="AT184" s="769"/>
      <c r="AU184" s="773"/>
    </row>
    <row r="185" spans="1:47" s="136" customFormat="1" x14ac:dyDescent="0.25">
      <c r="A185" s="451">
        <f t="shared" si="2"/>
        <v>17.166666666666668</v>
      </c>
      <c r="B185" s="768">
        <v>41855</v>
      </c>
      <c r="C185" s="769" t="s">
        <v>454</v>
      </c>
      <c r="D185" s="769"/>
      <c r="E185" s="769" t="s">
        <v>380</v>
      </c>
      <c r="F185" s="769" t="s">
        <v>185</v>
      </c>
      <c r="G185" s="769" t="s">
        <v>190</v>
      </c>
      <c r="H185" s="436"/>
      <c r="I185" s="436"/>
      <c r="J185" s="436"/>
      <c r="K185" s="436">
        <v>84</v>
      </c>
      <c r="L185" s="437">
        <v>36</v>
      </c>
      <c r="M185" s="437">
        <v>84</v>
      </c>
      <c r="N185" s="437">
        <v>36</v>
      </c>
      <c r="O185" s="437"/>
      <c r="P185" s="439">
        <v>36</v>
      </c>
      <c r="Q185" s="439">
        <v>180</v>
      </c>
      <c r="R185" s="436"/>
      <c r="S185" s="436"/>
      <c r="T185" s="436"/>
      <c r="U185" s="436"/>
      <c r="V185" s="436"/>
      <c r="W185" s="436"/>
      <c r="X185" s="436"/>
      <c r="Y185" s="436">
        <f>IF(NFI_Expiration=1,IF($A185&lt;VLOOKUP(H$5,NFI,5,0),1,0)*Table_NFI[[#This Row],[Hygiene Kit]],Table_NFI[Hygiene Kit])</f>
        <v>0</v>
      </c>
      <c r="Z185" s="436">
        <f>IF(NFI_Expiration=1,IF($A185&lt;VLOOKUP(I$5,NFI,5,0),1,0)*Table_NFI[[#This Row],[NFI Core Kit]],Table_NFI[NFI Core Kit])</f>
        <v>0</v>
      </c>
      <c r="AA185" s="436">
        <f>IF(NFI_Expiration=1,IF($A185&lt;VLOOKUP(J$5,NFI,5,0),1,0)*Table_NFI[[#This Row],[Sanitary Kit]],Table_NFI[Sanitary Kit])</f>
        <v>0</v>
      </c>
      <c r="AB185" s="436">
        <f>IF(NFI_Expiration=1,IF($A185&lt;VLOOKUP(K$5,NFI,5,0),1,0)*Table_NFI[[#This Row],[Mosquito net]],Table_NFI[Mosquito net])</f>
        <v>0</v>
      </c>
      <c r="AC185" s="436">
        <f>IF(NFI_Expiration=1,IF($A185&lt;VLOOKUP(L$5,NFI,5,0),1,0)*Table_NFI[[#This Row],[Tarpaulin]],Table_NFI[[#This Row],[Tarpaulin]])</f>
        <v>0</v>
      </c>
      <c r="AD185" s="436">
        <f>IF(NFI_Expiration=1,IF($A185&lt;VLOOKUP(M$5,NFI,5,0),1,0)*Table_NFI[[#This Row],[Blanket]],Table_NFI[[#This Row],[Blanket]])</f>
        <v>0</v>
      </c>
      <c r="AE185" s="436">
        <f>IF(NFI_Expiration=1,IF($A185&lt;VLOOKUP(N$5,NFI,5,0),1,0)*Table_NFI[[#This Row],[Kitchen Set]],Table_NFI[Kitchen Set])</f>
        <v>0</v>
      </c>
      <c r="AF185" s="436">
        <f>IF(NFI_Expiration=1,IF($A185&lt;VLOOKUP(O$5,NFI,5,0),1,0)*Table_NFI[[#This Row],[Clothes Kit]],Table_NFI[Clothes Kit])</f>
        <v>0</v>
      </c>
      <c r="AG185" s="436">
        <f>IF(NFI_Expiration=1,IF($A185&lt;VLOOKUP(P$5,NFI,5,0),1,0)*Table_NFI[[#This Row],[Plastic Bucket]],Table_NFI[Plastic Bucket])</f>
        <v>0</v>
      </c>
      <c r="AH185" s="436">
        <f>IF(NFI_Expiration=1,IF($A185&lt;VLOOKUP(Q$5,NFI,5,0),1,0)*Table_NFI[[#This Row],[Plastic Mat]],Table_NFI[Plastic Mat])*IF(Table_NFI[[#This Row],[Distribution Date]]&gt;"2014-04-01",1,2.5)</f>
        <v>0</v>
      </c>
      <c r="AI185" s="436">
        <f>IF(NFI_Expiration=1,IF($A185&lt;VLOOKUP(R$5,NFI,5,0),1,0)*Table_NFI[[#This Row],[Winter Clothes Adult]],Table_NFI[Winter Clothes Adult])</f>
        <v>0</v>
      </c>
      <c r="AJ185" s="436">
        <f>IF(NFI_Expiration=1,IF($A185&lt;VLOOKUP(S$5,NFI,5,0),1,0)*Table_NFI[[#This Row],[Winter Clothes Children]],Table_NFI[Winter Clothes Children])</f>
        <v>0</v>
      </c>
      <c r="AK185" s="436">
        <f>IF(NFI_Expiration=1,IF($A185&lt;VLOOKUP(T$5,NFI,5,0),1,0)*Table_NFI[[#This Row],[Winter Items Other]],Table_NFI[Winter Items Other])</f>
        <v>0</v>
      </c>
      <c r="AL185" s="436">
        <f>IF(NFI_Expiration=1,IF($A185&lt;VLOOKUP(M$5,NFI,5,0),1,0)*Table_NFI[[#This Row],[Winter Blanket]],Table_NFI[[#This Row],[Winter Blanket]])</f>
        <v>0</v>
      </c>
      <c r="AM185" s="436">
        <f>IF(Table_NFI[[#This Row],[Winter Clothes Adult]]+Table_NFI[[#This Row],[Winter Clothes Children]]+Table_NFI[[#This Row],[Winter Items Other]]+Table_NFI[[#This Row],[Winter Blanket]]&gt;0,1,0)</f>
        <v>0</v>
      </c>
      <c r="AN185" s="439">
        <f>IF(NFI_Expiration=1,IF($A185&lt;VLOOKUP(V$5,NFI,5,0),1,0)*Table_NFI[[#This Row],[Jerry Can]],Table_NFI[Jerry Can])</f>
        <v>0</v>
      </c>
      <c r="AO185" s="771" t="str">
        <f>IFERROR(VLOOKUP(Table_NFI[[#This Row],[Camp Name]],CL,2,0),"")</f>
        <v>MMR001CMP070</v>
      </c>
      <c r="AP185" s="772">
        <f ca="1">IF(Table_NFI[[#This Row],[Pcode]]="","",IF(OFFSET(CampList[Opening Date],MATCH(Table_NFI[[#This Row],[Pcode]],CampList[CP_Pcode],0)-1,0,1,1)&gt;=NFI_Monitor_Date,1,0))</f>
        <v>0</v>
      </c>
      <c r="AQ185" s="781" t="str">
        <f>IFERROR(VLOOKUP(Table_NFI[[#This Row],[Camp Name]],CL,3,0),"")</f>
        <v>Open</v>
      </c>
      <c r="AR185" s="439" t="str">
        <f ca="1">IF(Table_NFI[[#This Row],[Pcode]]="","",OFFSET(CampList[Priority],MATCH(Table_NFI[[#This Row],[Pcode]],CampList[CP_Pcode],0)-1,0,1,1))</f>
        <v>P3</v>
      </c>
      <c r="AS185" s="438">
        <f>IFERROR(Table_NFI[[#This Row],[Kitchen Set]]/VLOOKUP(Table_NFI[[#This Row],[Camp Name]],CL,4,0),"")</f>
        <v>0.19148936170212766</v>
      </c>
      <c r="AT185" s="769"/>
      <c r="AU185" s="773"/>
    </row>
    <row r="186" spans="1:47" s="136" customFormat="1" x14ac:dyDescent="0.25">
      <c r="A186" s="451">
        <f t="shared" si="2"/>
        <v>17.166666666666668</v>
      </c>
      <c r="B186" s="768">
        <v>41855</v>
      </c>
      <c r="C186" s="769" t="s">
        <v>454</v>
      </c>
      <c r="D186" s="769"/>
      <c r="E186" s="769" t="s">
        <v>380</v>
      </c>
      <c r="F186" s="769" t="s">
        <v>151</v>
      </c>
      <c r="G186" s="769" t="s">
        <v>949</v>
      </c>
      <c r="H186" s="436"/>
      <c r="I186" s="436"/>
      <c r="J186" s="436"/>
      <c r="K186" s="436"/>
      <c r="L186" s="437"/>
      <c r="M186" s="437"/>
      <c r="N186" s="437"/>
      <c r="O186" s="437"/>
      <c r="P186" s="439">
        <v>2</v>
      </c>
      <c r="Q186" s="439"/>
      <c r="R186" s="436"/>
      <c r="S186" s="436"/>
      <c r="T186" s="436"/>
      <c r="U186" s="436"/>
      <c r="V186" s="436"/>
      <c r="W186" s="436"/>
      <c r="X186" s="436"/>
      <c r="Y186" s="436">
        <f>IF(NFI_Expiration=1,IF($A186&lt;VLOOKUP(H$5,NFI,5,0),1,0)*Table_NFI[[#This Row],[Hygiene Kit]],Table_NFI[Hygiene Kit])</f>
        <v>0</v>
      </c>
      <c r="Z186" s="436">
        <f>IF(NFI_Expiration=1,IF($A186&lt;VLOOKUP(I$5,NFI,5,0),1,0)*Table_NFI[[#This Row],[NFI Core Kit]],Table_NFI[NFI Core Kit])</f>
        <v>0</v>
      </c>
      <c r="AA186" s="436">
        <f>IF(NFI_Expiration=1,IF($A186&lt;VLOOKUP(J$5,NFI,5,0),1,0)*Table_NFI[[#This Row],[Sanitary Kit]],Table_NFI[Sanitary Kit])</f>
        <v>0</v>
      </c>
      <c r="AB186" s="436">
        <f>IF(NFI_Expiration=1,IF($A186&lt;VLOOKUP(K$5,NFI,5,0),1,0)*Table_NFI[[#This Row],[Mosquito net]],Table_NFI[Mosquito net])</f>
        <v>0</v>
      </c>
      <c r="AC186" s="436">
        <f>IF(NFI_Expiration=1,IF($A186&lt;VLOOKUP(L$5,NFI,5,0),1,0)*Table_NFI[[#This Row],[Tarpaulin]],Table_NFI[[#This Row],[Tarpaulin]])</f>
        <v>0</v>
      </c>
      <c r="AD186" s="436">
        <f>IF(NFI_Expiration=1,IF($A186&lt;VLOOKUP(M$5,NFI,5,0),1,0)*Table_NFI[[#This Row],[Blanket]],Table_NFI[[#This Row],[Blanket]])</f>
        <v>0</v>
      </c>
      <c r="AE186" s="436">
        <f>IF(NFI_Expiration=1,IF($A186&lt;VLOOKUP(N$5,NFI,5,0),1,0)*Table_NFI[[#This Row],[Kitchen Set]],Table_NFI[Kitchen Set])</f>
        <v>0</v>
      </c>
      <c r="AF186" s="436">
        <f>IF(NFI_Expiration=1,IF($A186&lt;VLOOKUP(O$5,NFI,5,0),1,0)*Table_NFI[[#This Row],[Clothes Kit]],Table_NFI[Clothes Kit])</f>
        <v>0</v>
      </c>
      <c r="AG186" s="436">
        <f>IF(NFI_Expiration=1,IF($A186&lt;VLOOKUP(P$5,NFI,5,0),1,0)*Table_NFI[[#This Row],[Plastic Bucket]],Table_NFI[Plastic Bucket])</f>
        <v>0</v>
      </c>
      <c r="AH186" s="436">
        <f>IF(NFI_Expiration=1,IF($A186&lt;VLOOKUP(Q$5,NFI,5,0),1,0)*Table_NFI[[#This Row],[Plastic Mat]],Table_NFI[Plastic Mat])*IF(Table_NFI[[#This Row],[Distribution Date]]&gt;"2014-04-01",1,2.5)</f>
        <v>0</v>
      </c>
      <c r="AI186" s="436">
        <f>IF(NFI_Expiration=1,IF($A186&lt;VLOOKUP(R$5,NFI,5,0),1,0)*Table_NFI[[#This Row],[Winter Clothes Adult]],Table_NFI[Winter Clothes Adult])</f>
        <v>0</v>
      </c>
      <c r="AJ186" s="436">
        <f>IF(NFI_Expiration=1,IF($A186&lt;VLOOKUP(S$5,NFI,5,0),1,0)*Table_NFI[[#This Row],[Winter Clothes Children]],Table_NFI[Winter Clothes Children])</f>
        <v>0</v>
      </c>
      <c r="AK186" s="436">
        <f>IF(NFI_Expiration=1,IF($A186&lt;VLOOKUP(T$5,NFI,5,0),1,0)*Table_NFI[[#This Row],[Winter Items Other]],Table_NFI[Winter Items Other])</f>
        <v>0</v>
      </c>
      <c r="AL186" s="436">
        <f>IF(NFI_Expiration=1,IF($A186&lt;VLOOKUP(M$5,NFI,5,0),1,0)*Table_NFI[[#This Row],[Winter Blanket]],Table_NFI[[#This Row],[Winter Blanket]])</f>
        <v>0</v>
      </c>
      <c r="AM186" s="436">
        <f>IF(Table_NFI[[#This Row],[Winter Clothes Adult]]+Table_NFI[[#This Row],[Winter Clothes Children]]+Table_NFI[[#This Row],[Winter Items Other]]+Table_NFI[[#This Row],[Winter Blanket]]&gt;0,1,0)</f>
        <v>0</v>
      </c>
      <c r="AN186" s="439">
        <f>IF(NFI_Expiration=1,IF($A186&lt;VLOOKUP(V$5,NFI,5,0),1,0)*Table_NFI[[#This Row],[Jerry Can]],Table_NFI[Jerry Can])</f>
        <v>0</v>
      </c>
      <c r="AO186" s="771" t="str">
        <f>IFERROR(VLOOKUP(Table_NFI[[#This Row],[Camp Name]],CL,2,0),"")</f>
        <v>MMR001CMP223</v>
      </c>
      <c r="AP186" s="772">
        <f ca="1">IF(Table_NFI[[#This Row],[Pcode]]="","",IF(OFFSET(CampList[Opening Date],MATCH(Table_NFI[[#This Row],[Pcode]],CampList[CP_Pcode],0)-1,0,1,1)&gt;=NFI_Monitor_Date,1,0))</f>
        <v>0</v>
      </c>
      <c r="AQ186" s="781" t="str">
        <f>IFERROR(VLOOKUP(Table_NFI[[#This Row],[Camp Name]],CL,3,0),"")</f>
        <v>Open</v>
      </c>
      <c r="AR186" s="439" t="str">
        <f ca="1">IF(Table_NFI[[#This Row],[Pcode]]="","",OFFSET(CampList[Priority],MATCH(Table_NFI[[#This Row],[Pcode]],CampList[CP_Pcode],0)-1,0,1,1))</f>
        <v>P4</v>
      </c>
      <c r="AS186" s="438">
        <f>IFERROR(Table_NFI[[#This Row],[Kitchen Set]]/VLOOKUP(Table_NFI[[#This Row],[Camp Name]],CL,4,0),"")</f>
        <v>0</v>
      </c>
      <c r="AT186" s="769"/>
      <c r="AU186" s="773"/>
    </row>
    <row r="187" spans="1:47" s="136" customFormat="1" x14ac:dyDescent="0.25">
      <c r="A187" s="451">
        <f t="shared" si="2"/>
        <v>17.366666666666667</v>
      </c>
      <c r="B187" s="768">
        <v>41849</v>
      </c>
      <c r="C187" s="769" t="s">
        <v>454</v>
      </c>
      <c r="D187" s="769"/>
      <c r="E187" s="769" t="s">
        <v>380</v>
      </c>
      <c r="F187" s="769" t="s">
        <v>185</v>
      </c>
      <c r="G187" s="769" t="s">
        <v>196</v>
      </c>
      <c r="H187" s="436"/>
      <c r="I187" s="436"/>
      <c r="J187" s="436"/>
      <c r="K187" s="436">
        <v>254</v>
      </c>
      <c r="L187" s="437">
        <v>204</v>
      </c>
      <c r="M187" s="437">
        <v>254</v>
      </c>
      <c r="N187" s="437">
        <v>134</v>
      </c>
      <c r="O187" s="437"/>
      <c r="P187" s="439">
        <v>134</v>
      </c>
      <c r="Q187" s="439">
        <v>608</v>
      </c>
      <c r="R187" s="436"/>
      <c r="S187" s="436"/>
      <c r="T187" s="436"/>
      <c r="U187" s="436"/>
      <c r="V187" s="436"/>
      <c r="W187" s="436"/>
      <c r="X187" s="436"/>
      <c r="Y187" s="436">
        <f>IF(NFI_Expiration=1,IF($A187&lt;VLOOKUP(H$5,NFI,5,0),1,0)*Table_NFI[[#This Row],[Hygiene Kit]],Table_NFI[Hygiene Kit])</f>
        <v>0</v>
      </c>
      <c r="Z187" s="436">
        <f>IF(NFI_Expiration=1,IF($A187&lt;VLOOKUP(I$5,NFI,5,0),1,0)*Table_NFI[[#This Row],[NFI Core Kit]],Table_NFI[NFI Core Kit])</f>
        <v>0</v>
      </c>
      <c r="AA187" s="436">
        <f>IF(NFI_Expiration=1,IF($A187&lt;VLOOKUP(J$5,NFI,5,0),1,0)*Table_NFI[[#This Row],[Sanitary Kit]],Table_NFI[Sanitary Kit])</f>
        <v>0</v>
      </c>
      <c r="AB187" s="436">
        <f>IF(NFI_Expiration=1,IF($A187&lt;VLOOKUP(K$5,NFI,5,0),1,0)*Table_NFI[[#This Row],[Mosquito net]],Table_NFI[Mosquito net])</f>
        <v>0</v>
      </c>
      <c r="AC187" s="436">
        <f>IF(NFI_Expiration=1,IF($A187&lt;VLOOKUP(L$5,NFI,5,0),1,0)*Table_NFI[[#This Row],[Tarpaulin]],Table_NFI[[#This Row],[Tarpaulin]])</f>
        <v>0</v>
      </c>
      <c r="AD187" s="436">
        <f>IF(NFI_Expiration=1,IF($A187&lt;VLOOKUP(M$5,NFI,5,0),1,0)*Table_NFI[[#This Row],[Blanket]],Table_NFI[[#This Row],[Blanket]])</f>
        <v>0</v>
      </c>
      <c r="AE187" s="436">
        <f>IF(NFI_Expiration=1,IF($A187&lt;VLOOKUP(N$5,NFI,5,0),1,0)*Table_NFI[[#This Row],[Kitchen Set]],Table_NFI[Kitchen Set])</f>
        <v>0</v>
      </c>
      <c r="AF187" s="436">
        <f>IF(NFI_Expiration=1,IF($A187&lt;VLOOKUP(O$5,NFI,5,0),1,0)*Table_NFI[[#This Row],[Clothes Kit]],Table_NFI[Clothes Kit])</f>
        <v>0</v>
      </c>
      <c r="AG187" s="436">
        <f>IF(NFI_Expiration=1,IF($A187&lt;VLOOKUP(P$5,NFI,5,0),1,0)*Table_NFI[[#This Row],[Plastic Bucket]],Table_NFI[Plastic Bucket])</f>
        <v>0</v>
      </c>
      <c r="AH187" s="436">
        <f>IF(NFI_Expiration=1,IF($A187&lt;VLOOKUP(Q$5,NFI,5,0),1,0)*Table_NFI[[#This Row],[Plastic Mat]],Table_NFI[Plastic Mat])*IF(Table_NFI[[#This Row],[Distribution Date]]&gt;"2014-04-01",1,2.5)</f>
        <v>0</v>
      </c>
      <c r="AI187" s="436">
        <f>IF(NFI_Expiration=1,IF($A187&lt;VLOOKUP(R$5,NFI,5,0),1,0)*Table_NFI[[#This Row],[Winter Clothes Adult]],Table_NFI[Winter Clothes Adult])</f>
        <v>0</v>
      </c>
      <c r="AJ187" s="436">
        <f>IF(NFI_Expiration=1,IF($A187&lt;VLOOKUP(S$5,NFI,5,0),1,0)*Table_NFI[[#This Row],[Winter Clothes Children]],Table_NFI[Winter Clothes Children])</f>
        <v>0</v>
      </c>
      <c r="AK187" s="436">
        <f>IF(NFI_Expiration=1,IF($A187&lt;VLOOKUP(T$5,NFI,5,0),1,0)*Table_NFI[[#This Row],[Winter Items Other]],Table_NFI[Winter Items Other])</f>
        <v>0</v>
      </c>
      <c r="AL187" s="436">
        <f>IF(NFI_Expiration=1,IF($A187&lt;VLOOKUP(M$5,NFI,5,0),1,0)*Table_NFI[[#This Row],[Winter Blanket]],Table_NFI[[#This Row],[Winter Blanket]])</f>
        <v>0</v>
      </c>
      <c r="AM187" s="436">
        <f>IF(Table_NFI[[#This Row],[Winter Clothes Adult]]+Table_NFI[[#This Row],[Winter Clothes Children]]+Table_NFI[[#This Row],[Winter Items Other]]+Table_NFI[[#This Row],[Winter Blanket]]&gt;0,1,0)</f>
        <v>0</v>
      </c>
      <c r="AN187" s="439">
        <f>IF(NFI_Expiration=1,IF($A187&lt;VLOOKUP(V$5,NFI,5,0),1,0)*Table_NFI[[#This Row],[Jerry Can]],Table_NFI[Jerry Can])</f>
        <v>0</v>
      </c>
      <c r="AO187" s="771" t="str">
        <f>IFERROR(VLOOKUP(Table_NFI[[#This Row],[Camp Name]],CL,2,0),"")</f>
        <v>MMR001CMP121</v>
      </c>
      <c r="AP187" s="772">
        <f ca="1">IF(Table_NFI[[#This Row],[Pcode]]="","",IF(OFFSET(CampList[Opening Date],MATCH(Table_NFI[[#This Row],[Pcode]],CampList[CP_Pcode],0)-1,0,1,1)&gt;=NFI_Monitor_Date,1,0))</f>
        <v>0</v>
      </c>
      <c r="AQ187" s="781" t="str">
        <f>IFERROR(VLOOKUP(Table_NFI[[#This Row],[Camp Name]],CL,3,0),"")</f>
        <v>Open</v>
      </c>
      <c r="AR187" s="439" t="str">
        <f ca="1">IF(Table_NFI[[#This Row],[Pcode]]="","",OFFSET(CampList[Priority],MATCH(Table_NFI[[#This Row],[Pcode]],CampList[CP_Pcode],0)-1,0,1,1))</f>
        <v>P2</v>
      </c>
      <c r="AS187" s="438">
        <f>IFERROR(Table_NFI[[#This Row],[Kitchen Set]]/VLOOKUP(Table_NFI[[#This Row],[Camp Name]],CL,4,0),"")</f>
        <v>7.9056047197640117E-2</v>
      </c>
      <c r="AT187" s="769"/>
      <c r="AU187" s="773"/>
    </row>
    <row r="188" spans="1:47" s="136" customFormat="1" x14ac:dyDescent="0.25">
      <c r="A188" s="451">
        <f t="shared" si="2"/>
        <v>17.366666666666667</v>
      </c>
      <c r="B188" s="768">
        <v>41849</v>
      </c>
      <c r="C188" s="769" t="s">
        <v>454</v>
      </c>
      <c r="D188" s="769"/>
      <c r="E188" s="769" t="s">
        <v>380</v>
      </c>
      <c r="F188" s="769" t="s">
        <v>310</v>
      </c>
      <c r="G188" s="769" t="s">
        <v>353</v>
      </c>
      <c r="H188" s="436"/>
      <c r="I188" s="436"/>
      <c r="J188" s="436"/>
      <c r="K188" s="436">
        <v>46</v>
      </c>
      <c r="L188" s="437">
        <v>46</v>
      </c>
      <c r="M188" s="437">
        <v>46</v>
      </c>
      <c r="N188" s="437">
        <v>16</v>
      </c>
      <c r="O188" s="437"/>
      <c r="P188" s="439">
        <v>16</v>
      </c>
      <c r="Q188" s="439">
        <v>142</v>
      </c>
      <c r="R188" s="436"/>
      <c r="S188" s="436"/>
      <c r="T188" s="436"/>
      <c r="U188" s="436"/>
      <c r="V188" s="436"/>
      <c r="W188" s="436"/>
      <c r="X188" s="436"/>
      <c r="Y188" s="436">
        <f>IF(NFI_Expiration=1,IF($A188&lt;VLOOKUP(H$5,NFI,5,0),1,0)*Table_NFI[[#This Row],[Hygiene Kit]],Table_NFI[Hygiene Kit])</f>
        <v>0</v>
      </c>
      <c r="Z188" s="436">
        <f>IF(NFI_Expiration=1,IF($A188&lt;VLOOKUP(I$5,NFI,5,0),1,0)*Table_NFI[[#This Row],[NFI Core Kit]],Table_NFI[NFI Core Kit])</f>
        <v>0</v>
      </c>
      <c r="AA188" s="436">
        <f>IF(NFI_Expiration=1,IF($A188&lt;VLOOKUP(J$5,NFI,5,0),1,0)*Table_NFI[[#This Row],[Sanitary Kit]],Table_NFI[Sanitary Kit])</f>
        <v>0</v>
      </c>
      <c r="AB188" s="436">
        <f>IF(NFI_Expiration=1,IF($A188&lt;VLOOKUP(K$5,NFI,5,0),1,0)*Table_NFI[[#This Row],[Mosquito net]],Table_NFI[Mosquito net])</f>
        <v>0</v>
      </c>
      <c r="AC188" s="436">
        <f>IF(NFI_Expiration=1,IF($A188&lt;VLOOKUP(L$5,NFI,5,0),1,0)*Table_NFI[[#This Row],[Tarpaulin]],Table_NFI[[#This Row],[Tarpaulin]])</f>
        <v>0</v>
      </c>
      <c r="AD188" s="436">
        <f>IF(NFI_Expiration=1,IF($A188&lt;VLOOKUP(M$5,NFI,5,0),1,0)*Table_NFI[[#This Row],[Blanket]],Table_NFI[[#This Row],[Blanket]])</f>
        <v>0</v>
      </c>
      <c r="AE188" s="436">
        <f>IF(NFI_Expiration=1,IF($A188&lt;VLOOKUP(N$5,NFI,5,0),1,0)*Table_NFI[[#This Row],[Kitchen Set]],Table_NFI[Kitchen Set])</f>
        <v>0</v>
      </c>
      <c r="AF188" s="436">
        <f>IF(NFI_Expiration=1,IF($A188&lt;VLOOKUP(O$5,NFI,5,0),1,0)*Table_NFI[[#This Row],[Clothes Kit]],Table_NFI[Clothes Kit])</f>
        <v>0</v>
      </c>
      <c r="AG188" s="436">
        <f>IF(NFI_Expiration=1,IF($A188&lt;VLOOKUP(P$5,NFI,5,0),1,0)*Table_NFI[[#This Row],[Plastic Bucket]],Table_NFI[Plastic Bucket])</f>
        <v>0</v>
      </c>
      <c r="AH188" s="436">
        <f>IF(NFI_Expiration=1,IF($A188&lt;VLOOKUP(Q$5,NFI,5,0),1,0)*Table_NFI[[#This Row],[Plastic Mat]],Table_NFI[Plastic Mat])*IF(Table_NFI[[#This Row],[Distribution Date]]&gt;"2014-04-01",1,2.5)</f>
        <v>0</v>
      </c>
      <c r="AI188" s="436">
        <f>IF(NFI_Expiration=1,IF($A188&lt;VLOOKUP(R$5,NFI,5,0),1,0)*Table_NFI[[#This Row],[Winter Clothes Adult]],Table_NFI[Winter Clothes Adult])</f>
        <v>0</v>
      </c>
      <c r="AJ188" s="436">
        <f>IF(NFI_Expiration=1,IF($A188&lt;VLOOKUP(S$5,NFI,5,0),1,0)*Table_NFI[[#This Row],[Winter Clothes Children]],Table_NFI[Winter Clothes Children])</f>
        <v>0</v>
      </c>
      <c r="AK188" s="436">
        <f>IF(NFI_Expiration=1,IF($A188&lt;VLOOKUP(T$5,NFI,5,0),1,0)*Table_NFI[[#This Row],[Winter Items Other]],Table_NFI[Winter Items Other])</f>
        <v>0</v>
      </c>
      <c r="AL188" s="436">
        <f>IF(NFI_Expiration=1,IF($A188&lt;VLOOKUP(M$5,NFI,5,0),1,0)*Table_NFI[[#This Row],[Winter Blanket]],Table_NFI[[#This Row],[Winter Blanket]])</f>
        <v>0</v>
      </c>
      <c r="AM188" s="436">
        <f>IF(Table_NFI[[#This Row],[Winter Clothes Adult]]+Table_NFI[[#This Row],[Winter Clothes Children]]+Table_NFI[[#This Row],[Winter Items Other]]+Table_NFI[[#This Row],[Winter Blanket]]&gt;0,1,0)</f>
        <v>0</v>
      </c>
      <c r="AN188" s="439">
        <f>IF(NFI_Expiration=1,IF($A188&lt;VLOOKUP(V$5,NFI,5,0),1,0)*Table_NFI[[#This Row],[Jerry Can]],Table_NFI[Jerry Can])</f>
        <v>0</v>
      </c>
      <c r="AO188" s="771" t="str">
        <f>IFERROR(VLOOKUP(Table_NFI[[#This Row],[Camp Name]],CL,2,0),"")</f>
        <v>MMR001CMP116</v>
      </c>
      <c r="AP188" s="772">
        <f ca="1">IF(Table_NFI[[#This Row],[Pcode]]="","",IF(OFFSET(CampList[Opening Date],MATCH(Table_NFI[[#This Row],[Pcode]],CampList[CP_Pcode],0)-1,0,1,1)&gt;=NFI_Monitor_Date,1,0))</f>
        <v>0</v>
      </c>
      <c r="AQ188" s="781" t="str">
        <f>IFERROR(VLOOKUP(Table_NFI[[#This Row],[Camp Name]],CL,3,0),"")</f>
        <v>Open</v>
      </c>
      <c r="AR188" s="439" t="str">
        <f ca="1">IF(Table_NFI[[#This Row],[Pcode]]="","",OFFSET(CampList[Priority],MATCH(Table_NFI[[#This Row],[Pcode]],CampList[CP_Pcode],0)-1,0,1,1))</f>
        <v>P4</v>
      </c>
      <c r="AS188" s="438">
        <f>IFERROR(Table_NFI[[#This Row],[Kitchen Set]]/VLOOKUP(Table_NFI[[#This Row],[Camp Name]],CL,4,0),"")</f>
        <v>1.1869436201780416E-2</v>
      </c>
      <c r="AT188" s="769"/>
      <c r="AU188" s="773"/>
    </row>
    <row r="189" spans="1:47" s="136" customFormat="1" x14ac:dyDescent="0.25">
      <c r="A189" s="451">
        <f t="shared" si="2"/>
        <v>17.5</v>
      </c>
      <c r="B189" s="768">
        <v>41845</v>
      </c>
      <c r="C189" s="769" t="s">
        <v>454</v>
      </c>
      <c r="D189" s="769"/>
      <c r="E189" s="769" t="s">
        <v>380</v>
      </c>
      <c r="F189" s="769" t="s">
        <v>5</v>
      </c>
      <c r="G189" s="769" t="s">
        <v>18</v>
      </c>
      <c r="H189" s="436"/>
      <c r="I189" s="436"/>
      <c r="J189" s="436"/>
      <c r="K189" s="436"/>
      <c r="L189" s="437">
        <v>7</v>
      </c>
      <c r="M189" s="437">
        <v>3</v>
      </c>
      <c r="N189" s="437"/>
      <c r="O189" s="437"/>
      <c r="P189" s="439">
        <v>4</v>
      </c>
      <c r="Q189" s="439">
        <v>9</v>
      </c>
      <c r="R189" s="436"/>
      <c r="S189" s="436"/>
      <c r="T189" s="436"/>
      <c r="U189" s="436"/>
      <c r="V189" s="436"/>
      <c r="W189" s="436"/>
      <c r="X189" s="436"/>
      <c r="Y189" s="436">
        <f>IF(NFI_Expiration=1,IF($A189&lt;VLOOKUP(H$5,NFI,5,0),1,0)*Table_NFI[[#This Row],[Hygiene Kit]],Table_NFI[Hygiene Kit])</f>
        <v>0</v>
      </c>
      <c r="Z189" s="436">
        <f>IF(NFI_Expiration=1,IF($A189&lt;VLOOKUP(I$5,NFI,5,0),1,0)*Table_NFI[[#This Row],[NFI Core Kit]],Table_NFI[NFI Core Kit])</f>
        <v>0</v>
      </c>
      <c r="AA189" s="436">
        <f>IF(NFI_Expiration=1,IF($A189&lt;VLOOKUP(J$5,NFI,5,0),1,0)*Table_NFI[[#This Row],[Sanitary Kit]],Table_NFI[Sanitary Kit])</f>
        <v>0</v>
      </c>
      <c r="AB189" s="436">
        <f>IF(NFI_Expiration=1,IF($A189&lt;VLOOKUP(K$5,NFI,5,0),1,0)*Table_NFI[[#This Row],[Mosquito net]],Table_NFI[Mosquito net])</f>
        <v>0</v>
      </c>
      <c r="AC189" s="436">
        <f>IF(NFI_Expiration=1,IF($A189&lt;VLOOKUP(L$5,NFI,5,0),1,0)*Table_NFI[[#This Row],[Tarpaulin]],Table_NFI[[#This Row],[Tarpaulin]])</f>
        <v>0</v>
      </c>
      <c r="AD189" s="436">
        <f>IF(NFI_Expiration=1,IF($A189&lt;VLOOKUP(M$5,NFI,5,0),1,0)*Table_NFI[[#This Row],[Blanket]],Table_NFI[[#This Row],[Blanket]])</f>
        <v>0</v>
      </c>
      <c r="AE189" s="436">
        <f>IF(NFI_Expiration=1,IF($A189&lt;VLOOKUP(N$5,NFI,5,0),1,0)*Table_NFI[[#This Row],[Kitchen Set]],Table_NFI[Kitchen Set])</f>
        <v>0</v>
      </c>
      <c r="AF189" s="436">
        <f>IF(NFI_Expiration=1,IF($A189&lt;VLOOKUP(O$5,NFI,5,0),1,0)*Table_NFI[[#This Row],[Clothes Kit]],Table_NFI[Clothes Kit])</f>
        <v>0</v>
      </c>
      <c r="AG189" s="436">
        <f>IF(NFI_Expiration=1,IF($A189&lt;VLOOKUP(P$5,NFI,5,0),1,0)*Table_NFI[[#This Row],[Plastic Bucket]],Table_NFI[Plastic Bucket])</f>
        <v>0</v>
      </c>
      <c r="AH189" s="436">
        <f>IF(NFI_Expiration=1,IF($A189&lt;VLOOKUP(Q$5,NFI,5,0),1,0)*Table_NFI[[#This Row],[Plastic Mat]],Table_NFI[Plastic Mat])*IF(Table_NFI[[#This Row],[Distribution Date]]&gt;"2014-04-01",1,2.5)</f>
        <v>0</v>
      </c>
      <c r="AI189" s="436">
        <f>IF(NFI_Expiration=1,IF($A189&lt;VLOOKUP(R$5,NFI,5,0),1,0)*Table_NFI[[#This Row],[Winter Clothes Adult]],Table_NFI[Winter Clothes Adult])</f>
        <v>0</v>
      </c>
      <c r="AJ189" s="436">
        <f>IF(NFI_Expiration=1,IF($A189&lt;VLOOKUP(S$5,NFI,5,0),1,0)*Table_NFI[[#This Row],[Winter Clothes Children]],Table_NFI[Winter Clothes Children])</f>
        <v>0</v>
      </c>
      <c r="AK189" s="436">
        <f>IF(NFI_Expiration=1,IF($A189&lt;VLOOKUP(T$5,NFI,5,0),1,0)*Table_NFI[[#This Row],[Winter Items Other]],Table_NFI[Winter Items Other])</f>
        <v>0</v>
      </c>
      <c r="AL189" s="436">
        <f>IF(NFI_Expiration=1,IF($A189&lt;VLOOKUP(M$5,NFI,5,0),1,0)*Table_NFI[[#This Row],[Winter Blanket]],Table_NFI[[#This Row],[Winter Blanket]])</f>
        <v>0</v>
      </c>
      <c r="AM189" s="436">
        <f>IF(Table_NFI[[#This Row],[Winter Clothes Adult]]+Table_NFI[[#This Row],[Winter Clothes Children]]+Table_NFI[[#This Row],[Winter Items Other]]+Table_NFI[[#This Row],[Winter Blanket]]&gt;0,1,0)</f>
        <v>0</v>
      </c>
      <c r="AN189" s="439">
        <f>IF(NFI_Expiration=1,IF($A189&lt;VLOOKUP(V$5,NFI,5,0),1,0)*Table_NFI[[#This Row],[Jerry Can]],Table_NFI[Jerry Can])</f>
        <v>0</v>
      </c>
      <c r="AO189" s="771" t="str">
        <f>IFERROR(VLOOKUP(Table_NFI[[#This Row],[Camp Name]],CL,2,0),"")</f>
        <v>MMR001CMP049</v>
      </c>
      <c r="AP189" s="772">
        <f ca="1">IF(Table_NFI[[#This Row],[Pcode]]="","",IF(OFFSET(CampList[Opening Date],MATCH(Table_NFI[[#This Row],[Pcode]],CampList[CP_Pcode],0)-1,0,1,1)&gt;=NFI_Monitor_Date,1,0))</f>
        <v>0</v>
      </c>
      <c r="AQ189" s="781" t="str">
        <f>IFERROR(VLOOKUP(Table_NFI[[#This Row],[Camp Name]],CL,3,0),"")</f>
        <v>Open</v>
      </c>
      <c r="AR189" s="439" t="str">
        <f ca="1">IF(Table_NFI[[#This Row],[Pcode]]="","",OFFSET(CampList[Priority],MATCH(Table_NFI[[#This Row],[Pcode]],CampList[CP_Pcode],0)-1,0,1,1))</f>
        <v>P4</v>
      </c>
      <c r="AS189" s="438">
        <f>IFERROR(Table_NFI[[#This Row],[Kitchen Set]]/VLOOKUP(Table_NFI[[#This Row],[Camp Name]],CL,4,0),"")</f>
        <v>0</v>
      </c>
      <c r="AT189" s="769"/>
      <c r="AU189" s="773"/>
    </row>
    <row r="190" spans="1:47" s="136" customFormat="1" x14ac:dyDescent="0.25">
      <c r="A190" s="451">
        <f t="shared" si="2"/>
        <v>17.633333333333333</v>
      </c>
      <c r="B190" s="768">
        <v>41841</v>
      </c>
      <c r="C190" s="769" t="s">
        <v>454</v>
      </c>
      <c r="D190" s="769"/>
      <c r="E190" s="769" t="s">
        <v>380</v>
      </c>
      <c r="F190" s="769" t="s">
        <v>5</v>
      </c>
      <c r="G190" s="769" t="s">
        <v>18</v>
      </c>
      <c r="H190" s="436"/>
      <c r="I190" s="436"/>
      <c r="J190" s="436"/>
      <c r="K190" s="436">
        <v>10</v>
      </c>
      <c r="L190" s="437">
        <v>36</v>
      </c>
      <c r="M190" s="437">
        <v>10</v>
      </c>
      <c r="N190" s="437">
        <v>5</v>
      </c>
      <c r="O190" s="437"/>
      <c r="P190" s="439">
        <v>33</v>
      </c>
      <c r="Q190" s="439">
        <v>117</v>
      </c>
      <c r="R190" s="436"/>
      <c r="S190" s="436"/>
      <c r="T190" s="436"/>
      <c r="U190" s="436"/>
      <c r="V190" s="436"/>
      <c r="W190" s="436"/>
      <c r="X190" s="436"/>
      <c r="Y190" s="436">
        <f>IF(NFI_Expiration=1,IF($A190&lt;VLOOKUP(H$5,NFI,5,0),1,0)*Table_NFI[[#This Row],[Hygiene Kit]],Table_NFI[Hygiene Kit])</f>
        <v>0</v>
      </c>
      <c r="Z190" s="436">
        <f>IF(NFI_Expiration=1,IF($A190&lt;VLOOKUP(I$5,NFI,5,0),1,0)*Table_NFI[[#This Row],[NFI Core Kit]],Table_NFI[NFI Core Kit])</f>
        <v>0</v>
      </c>
      <c r="AA190" s="436">
        <f>IF(NFI_Expiration=1,IF($A190&lt;VLOOKUP(J$5,NFI,5,0),1,0)*Table_NFI[[#This Row],[Sanitary Kit]],Table_NFI[Sanitary Kit])</f>
        <v>0</v>
      </c>
      <c r="AB190" s="436">
        <f>IF(NFI_Expiration=1,IF($A190&lt;VLOOKUP(K$5,NFI,5,0),1,0)*Table_NFI[[#This Row],[Mosquito net]],Table_NFI[Mosquito net])</f>
        <v>0</v>
      </c>
      <c r="AC190" s="436">
        <f>IF(NFI_Expiration=1,IF($A190&lt;VLOOKUP(L$5,NFI,5,0),1,0)*Table_NFI[[#This Row],[Tarpaulin]],Table_NFI[[#This Row],[Tarpaulin]])</f>
        <v>0</v>
      </c>
      <c r="AD190" s="436">
        <f>IF(NFI_Expiration=1,IF($A190&lt;VLOOKUP(M$5,NFI,5,0),1,0)*Table_NFI[[#This Row],[Blanket]],Table_NFI[[#This Row],[Blanket]])</f>
        <v>0</v>
      </c>
      <c r="AE190" s="436">
        <f>IF(NFI_Expiration=1,IF($A190&lt;VLOOKUP(N$5,NFI,5,0),1,0)*Table_NFI[[#This Row],[Kitchen Set]],Table_NFI[Kitchen Set])</f>
        <v>0</v>
      </c>
      <c r="AF190" s="436">
        <f>IF(NFI_Expiration=1,IF($A190&lt;VLOOKUP(O$5,NFI,5,0),1,0)*Table_NFI[[#This Row],[Clothes Kit]],Table_NFI[Clothes Kit])</f>
        <v>0</v>
      </c>
      <c r="AG190" s="436">
        <f>IF(NFI_Expiration=1,IF($A190&lt;VLOOKUP(P$5,NFI,5,0),1,0)*Table_NFI[[#This Row],[Plastic Bucket]],Table_NFI[Plastic Bucket])</f>
        <v>0</v>
      </c>
      <c r="AH190" s="436">
        <f>IF(NFI_Expiration=1,IF($A190&lt;VLOOKUP(Q$5,NFI,5,0),1,0)*Table_NFI[[#This Row],[Plastic Mat]],Table_NFI[Plastic Mat])*IF(Table_NFI[[#This Row],[Distribution Date]]&gt;"2014-04-01",1,2.5)</f>
        <v>0</v>
      </c>
      <c r="AI190" s="436">
        <f>IF(NFI_Expiration=1,IF($A190&lt;VLOOKUP(R$5,NFI,5,0),1,0)*Table_NFI[[#This Row],[Winter Clothes Adult]],Table_NFI[Winter Clothes Adult])</f>
        <v>0</v>
      </c>
      <c r="AJ190" s="436">
        <f>IF(NFI_Expiration=1,IF($A190&lt;VLOOKUP(S$5,NFI,5,0),1,0)*Table_NFI[[#This Row],[Winter Clothes Children]],Table_NFI[Winter Clothes Children])</f>
        <v>0</v>
      </c>
      <c r="AK190" s="436">
        <f>IF(NFI_Expiration=1,IF($A190&lt;VLOOKUP(T$5,NFI,5,0),1,0)*Table_NFI[[#This Row],[Winter Items Other]],Table_NFI[Winter Items Other])</f>
        <v>0</v>
      </c>
      <c r="AL190" s="436">
        <f>IF(NFI_Expiration=1,IF($A190&lt;VLOOKUP(M$5,NFI,5,0),1,0)*Table_NFI[[#This Row],[Winter Blanket]],Table_NFI[[#This Row],[Winter Blanket]])</f>
        <v>0</v>
      </c>
      <c r="AM190" s="436">
        <f>IF(Table_NFI[[#This Row],[Winter Clothes Adult]]+Table_NFI[[#This Row],[Winter Clothes Children]]+Table_NFI[[#This Row],[Winter Items Other]]+Table_NFI[[#This Row],[Winter Blanket]]&gt;0,1,0)</f>
        <v>0</v>
      </c>
      <c r="AN190" s="439">
        <f>IF(NFI_Expiration=1,IF($A190&lt;VLOOKUP(V$5,NFI,5,0),1,0)*Table_NFI[[#This Row],[Jerry Can]],Table_NFI[Jerry Can])</f>
        <v>0</v>
      </c>
      <c r="AO190" s="771" t="str">
        <f>IFERROR(VLOOKUP(Table_NFI[[#This Row],[Camp Name]],CL,2,0),"")</f>
        <v>MMR001CMP049</v>
      </c>
      <c r="AP190" s="772">
        <f ca="1">IF(Table_NFI[[#This Row],[Pcode]]="","",IF(OFFSET(CampList[Opening Date],MATCH(Table_NFI[[#This Row],[Pcode]],CampList[CP_Pcode],0)-1,0,1,1)&gt;=NFI_Monitor_Date,1,0))</f>
        <v>0</v>
      </c>
      <c r="AQ190" s="781" t="str">
        <f>IFERROR(VLOOKUP(Table_NFI[[#This Row],[Camp Name]],CL,3,0),"")</f>
        <v>Open</v>
      </c>
      <c r="AR190" s="439" t="str">
        <f ca="1">IF(Table_NFI[[#This Row],[Pcode]]="","",OFFSET(CampList[Priority],MATCH(Table_NFI[[#This Row],[Pcode]],CampList[CP_Pcode],0)-1,0,1,1))</f>
        <v>P4</v>
      </c>
      <c r="AS190" s="438">
        <f>IFERROR(Table_NFI[[#This Row],[Kitchen Set]]/VLOOKUP(Table_NFI[[#This Row],[Camp Name]],CL,4,0),"")</f>
        <v>4.3103448275862072E-2</v>
      </c>
      <c r="AT190" s="769"/>
      <c r="AU190" s="773"/>
    </row>
    <row r="191" spans="1:47" s="136" customFormat="1" x14ac:dyDescent="0.25">
      <c r="A191" s="451">
        <f t="shared" si="2"/>
        <v>17.633333333333333</v>
      </c>
      <c r="B191" s="768">
        <v>41841</v>
      </c>
      <c r="C191" s="769" t="s">
        <v>454</v>
      </c>
      <c r="D191" s="769"/>
      <c r="E191" s="769" t="s">
        <v>380</v>
      </c>
      <c r="F191" s="769" t="s">
        <v>185</v>
      </c>
      <c r="G191" s="769" t="s">
        <v>209</v>
      </c>
      <c r="H191" s="436"/>
      <c r="I191" s="436"/>
      <c r="J191" s="436"/>
      <c r="K191" s="436"/>
      <c r="L191" s="437">
        <v>75</v>
      </c>
      <c r="M191" s="437"/>
      <c r="N191" s="437"/>
      <c r="O191" s="437"/>
      <c r="P191" s="439"/>
      <c r="Q191" s="439"/>
      <c r="R191" s="436"/>
      <c r="S191" s="436"/>
      <c r="T191" s="436"/>
      <c r="U191" s="436"/>
      <c r="V191" s="436"/>
      <c r="W191" s="436"/>
      <c r="X191" s="436"/>
      <c r="Y191" s="436">
        <f>IF(NFI_Expiration=1,IF($A191&lt;VLOOKUP(H$5,NFI,5,0),1,0)*Table_NFI[[#This Row],[Hygiene Kit]],Table_NFI[Hygiene Kit])</f>
        <v>0</v>
      </c>
      <c r="Z191" s="436">
        <f>IF(NFI_Expiration=1,IF($A191&lt;VLOOKUP(I$5,NFI,5,0),1,0)*Table_NFI[[#This Row],[NFI Core Kit]],Table_NFI[NFI Core Kit])</f>
        <v>0</v>
      </c>
      <c r="AA191" s="436">
        <f>IF(NFI_Expiration=1,IF($A191&lt;VLOOKUP(J$5,NFI,5,0),1,0)*Table_NFI[[#This Row],[Sanitary Kit]],Table_NFI[Sanitary Kit])</f>
        <v>0</v>
      </c>
      <c r="AB191" s="436">
        <f>IF(NFI_Expiration=1,IF($A191&lt;VLOOKUP(K$5,NFI,5,0),1,0)*Table_NFI[[#This Row],[Mosquito net]],Table_NFI[Mosquito net])</f>
        <v>0</v>
      </c>
      <c r="AC191" s="436">
        <f>IF(NFI_Expiration=1,IF($A191&lt;VLOOKUP(L$5,NFI,5,0),1,0)*Table_NFI[[#This Row],[Tarpaulin]],Table_NFI[[#This Row],[Tarpaulin]])</f>
        <v>0</v>
      </c>
      <c r="AD191" s="436">
        <f>IF(NFI_Expiration=1,IF($A191&lt;VLOOKUP(M$5,NFI,5,0),1,0)*Table_NFI[[#This Row],[Blanket]],Table_NFI[[#This Row],[Blanket]])</f>
        <v>0</v>
      </c>
      <c r="AE191" s="436">
        <f>IF(NFI_Expiration=1,IF($A191&lt;VLOOKUP(N$5,NFI,5,0),1,0)*Table_NFI[[#This Row],[Kitchen Set]],Table_NFI[Kitchen Set])</f>
        <v>0</v>
      </c>
      <c r="AF191" s="436">
        <f>IF(NFI_Expiration=1,IF($A191&lt;VLOOKUP(O$5,NFI,5,0),1,0)*Table_NFI[[#This Row],[Clothes Kit]],Table_NFI[Clothes Kit])</f>
        <v>0</v>
      </c>
      <c r="AG191" s="436">
        <f>IF(NFI_Expiration=1,IF($A191&lt;VLOOKUP(P$5,NFI,5,0),1,0)*Table_NFI[[#This Row],[Plastic Bucket]],Table_NFI[Plastic Bucket])</f>
        <v>0</v>
      </c>
      <c r="AH191" s="436">
        <f>IF(NFI_Expiration=1,IF($A191&lt;VLOOKUP(Q$5,NFI,5,0),1,0)*Table_NFI[[#This Row],[Plastic Mat]],Table_NFI[Plastic Mat])*IF(Table_NFI[[#This Row],[Distribution Date]]&gt;"2014-04-01",1,2.5)</f>
        <v>0</v>
      </c>
      <c r="AI191" s="436">
        <f>IF(NFI_Expiration=1,IF($A191&lt;VLOOKUP(R$5,NFI,5,0),1,0)*Table_NFI[[#This Row],[Winter Clothes Adult]],Table_NFI[Winter Clothes Adult])</f>
        <v>0</v>
      </c>
      <c r="AJ191" s="436">
        <f>IF(NFI_Expiration=1,IF($A191&lt;VLOOKUP(S$5,NFI,5,0),1,0)*Table_NFI[[#This Row],[Winter Clothes Children]],Table_NFI[Winter Clothes Children])</f>
        <v>0</v>
      </c>
      <c r="AK191" s="436">
        <f>IF(NFI_Expiration=1,IF($A191&lt;VLOOKUP(T$5,NFI,5,0),1,0)*Table_NFI[[#This Row],[Winter Items Other]],Table_NFI[Winter Items Other])</f>
        <v>0</v>
      </c>
      <c r="AL191" s="436">
        <f>IF(NFI_Expiration=1,IF($A191&lt;VLOOKUP(M$5,NFI,5,0),1,0)*Table_NFI[[#This Row],[Winter Blanket]],Table_NFI[[#This Row],[Winter Blanket]])</f>
        <v>0</v>
      </c>
      <c r="AM191" s="436">
        <f>IF(Table_NFI[[#This Row],[Winter Clothes Adult]]+Table_NFI[[#This Row],[Winter Clothes Children]]+Table_NFI[[#This Row],[Winter Items Other]]+Table_NFI[[#This Row],[Winter Blanket]]&gt;0,1,0)</f>
        <v>0</v>
      </c>
      <c r="AN191" s="439">
        <f>IF(NFI_Expiration=1,IF($A191&lt;VLOOKUP(V$5,NFI,5,0),1,0)*Table_NFI[[#This Row],[Jerry Can]],Table_NFI[Jerry Can])</f>
        <v>0</v>
      </c>
      <c r="AO191" s="771" t="str">
        <f>IFERROR(VLOOKUP(Table_NFI[[#This Row],[Camp Name]],CL,2,0),"")</f>
        <v>MMR001CMP056</v>
      </c>
      <c r="AP191" s="772">
        <f ca="1">IF(Table_NFI[[#This Row],[Pcode]]="","",IF(OFFSET(CampList[Opening Date],MATCH(Table_NFI[[#This Row],[Pcode]],CampList[CP_Pcode],0)-1,0,1,1)&gt;=NFI_Monitor_Date,1,0))</f>
        <v>0</v>
      </c>
      <c r="AQ191" s="781" t="str">
        <f>IFERROR(VLOOKUP(Table_NFI[[#This Row],[Camp Name]],CL,3,0),"")</f>
        <v>Open</v>
      </c>
      <c r="AR191" s="439" t="str">
        <f ca="1">IF(Table_NFI[[#This Row],[Pcode]]="","",OFFSET(CampList[Priority],MATCH(Table_NFI[[#This Row],[Pcode]],CampList[CP_Pcode],0)-1,0,1,1))</f>
        <v>P4</v>
      </c>
      <c r="AS191" s="438">
        <f>IFERROR(Table_NFI[[#This Row],[Kitchen Set]]/VLOOKUP(Table_NFI[[#This Row],[Camp Name]],CL,4,0),"")</f>
        <v>0</v>
      </c>
      <c r="AT191" s="769"/>
      <c r="AU191" s="773"/>
    </row>
    <row r="192" spans="1:47" s="136" customFormat="1" x14ac:dyDescent="0.25">
      <c r="A192" s="451">
        <f t="shared" si="2"/>
        <v>18.033333333333335</v>
      </c>
      <c r="B192" s="768">
        <v>41829</v>
      </c>
      <c r="C192" s="769" t="s">
        <v>454</v>
      </c>
      <c r="D192" s="769"/>
      <c r="E192" s="769" t="s">
        <v>380</v>
      </c>
      <c r="F192" s="769" t="s">
        <v>151</v>
      </c>
      <c r="G192" s="769" t="s">
        <v>891</v>
      </c>
      <c r="H192" s="436"/>
      <c r="I192" s="436"/>
      <c r="J192" s="436"/>
      <c r="K192" s="436"/>
      <c r="L192" s="437"/>
      <c r="M192" s="437">
        <v>10</v>
      </c>
      <c r="N192" s="437"/>
      <c r="O192" s="437"/>
      <c r="P192" s="439"/>
      <c r="Q192" s="439"/>
      <c r="R192" s="436"/>
      <c r="S192" s="436"/>
      <c r="T192" s="436"/>
      <c r="U192" s="436"/>
      <c r="V192" s="436"/>
      <c r="W192" s="436"/>
      <c r="X192" s="436"/>
      <c r="Y192" s="436">
        <f>IF(NFI_Expiration=1,IF($A192&lt;VLOOKUP(H$5,NFI,5,0),1,0)*Table_NFI[[#This Row],[Hygiene Kit]],Table_NFI[Hygiene Kit])</f>
        <v>0</v>
      </c>
      <c r="Z192" s="436">
        <f>IF(NFI_Expiration=1,IF($A192&lt;VLOOKUP(I$5,NFI,5,0),1,0)*Table_NFI[[#This Row],[NFI Core Kit]],Table_NFI[NFI Core Kit])</f>
        <v>0</v>
      </c>
      <c r="AA192" s="436">
        <f>IF(NFI_Expiration=1,IF($A192&lt;VLOOKUP(J$5,NFI,5,0),1,0)*Table_NFI[[#This Row],[Sanitary Kit]],Table_NFI[Sanitary Kit])</f>
        <v>0</v>
      </c>
      <c r="AB192" s="436">
        <f>IF(NFI_Expiration=1,IF($A192&lt;VLOOKUP(K$5,NFI,5,0),1,0)*Table_NFI[[#This Row],[Mosquito net]],Table_NFI[Mosquito net])</f>
        <v>0</v>
      </c>
      <c r="AC192" s="436">
        <f>IF(NFI_Expiration=1,IF($A192&lt;VLOOKUP(L$5,NFI,5,0),1,0)*Table_NFI[[#This Row],[Tarpaulin]],Table_NFI[[#This Row],[Tarpaulin]])</f>
        <v>0</v>
      </c>
      <c r="AD192" s="436">
        <f>IF(NFI_Expiration=1,IF($A192&lt;VLOOKUP(M$5,NFI,5,0),1,0)*Table_NFI[[#This Row],[Blanket]],Table_NFI[[#This Row],[Blanket]])</f>
        <v>0</v>
      </c>
      <c r="AE192" s="436">
        <f>IF(NFI_Expiration=1,IF($A192&lt;VLOOKUP(N$5,NFI,5,0),1,0)*Table_NFI[[#This Row],[Kitchen Set]],Table_NFI[Kitchen Set])</f>
        <v>0</v>
      </c>
      <c r="AF192" s="436">
        <f>IF(NFI_Expiration=1,IF($A192&lt;VLOOKUP(O$5,NFI,5,0),1,0)*Table_NFI[[#This Row],[Clothes Kit]],Table_NFI[Clothes Kit])</f>
        <v>0</v>
      </c>
      <c r="AG192" s="436">
        <f>IF(NFI_Expiration=1,IF($A192&lt;VLOOKUP(P$5,NFI,5,0),1,0)*Table_NFI[[#This Row],[Plastic Bucket]],Table_NFI[Plastic Bucket])</f>
        <v>0</v>
      </c>
      <c r="AH192" s="436">
        <f>IF(NFI_Expiration=1,IF($A192&lt;VLOOKUP(Q$5,NFI,5,0),1,0)*Table_NFI[[#This Row],[Plastic Mat]],Table_NFI[Plastic Mat])*IF(Table_NFI[[#This Row],[Distribution Date]]&gt;"2014-04-01",1,2.5)</f>
        <v>0</v>
      </c>
      <c r="AI192" s="436">
        <f>IF(NFI_Expiration=1,IF($A192&lt;VLOOKUP(R$5,NFI,5,0),1,0)*Table_NFI[[#This Row],[Winter Clothes Adult]],Table_NFI[Winter Clothes Adult])</f>
        <v>0</v>
      </c>
      <c r="AJ192" s="436">
        <f>IF(NFI_Expiration=1,IF($A192&lt;VLOOKUP(S$5,NFI,5,0),1,0)*Table_NFI[[#This Row],[Winter Clothes Children]],Table_NFI[Winter Clothes Children])</f>
        <v>0</v>
      </c>
      <c r="AK192" s="436">
        <f>IF(NFI_Expiration=1,IF($A192&lt;VLOOKUP(T$5,NFI,5,0),1,0)*Table_NFI[[#This Row],[Winter Items Other]],Table_NFI[Winter Items Other])</f>
        <v>0</v>
      </c>
      <c r="AL192" s="436">
        <f>IF(NFI_Expiration=1,IF($A192&lt;VLOOKUP(M$5,NFI,5,0),1,0)*Table_NFI[[#This Row],[Winter Blanket]],Table_NFI[[#This Row],[Winter Blanket]])</f>
        <v>0</v>
      </c>
      <c r="AM192" s="436">
        <f>IF(Table_NFI[[#This Row],[Winter Clothes Adult]]+Table_NFI[[#This Row],[Winter Clothes Children]]+Table_NFI[[#This Row],[Winter Items Other]]+Table_NFI[[#This Row],[Winter Blanket]]&gt;0,1,0)</f>
        <v>0</v>
      </c>
      <c r="AN192" s="439">
        <f>IF(NFI_Expiration=1,IF($A192&lt;VLOOKUP(V$5,NFI,5,0),1,0)*Table_NFI[[#This Row],[Jerry Can]],Table_NFI[Jerry Can])</f>
        <v>0</v>
      </c>
      <c r="AO192" s="771" t="str">
        <f>IFERROR(VLOOKUP(Table_NFI[[#This Row],[Camp Name]],CL,2,0),"")</f>
        <v>MMR001CMP218</v>
      </c>
      <c r="AP192" s="772">
        <f ca="1">IF(Table_NFI[[#This Row],[Pcode]]="","",IF(OFFSET(CampList[Opening Date],MATCH(Table_NFI[[#This Row],[Pcode]],CampList[CP_Pcode],0)-1,0,1,1)&gt;=NFI_Monitor_Date,1,0))</f>
        <v>0</v>
      </c>
      <c r="AQ192" s="781" t="str">
        <f>IFERROR(VLOOKUP(Table_NFI[[#This Row],[Camp Name]],CL,3,0),"")</f>
        <v>Open</v>
      </c>
      <c r="AR192" s="439" t="str">
        <f ca="1">IF(Table_NFI[[#This Row],[Pcode]]="","",OFFSET(CampList[Priority],MATCH(Table_NFI[[#This Row],[Pcode]],CampList[CP_Pcode],0)-1,0,1,1))</f>
        <v>P4</v>
      </c>
      <c r="AS192" s="438">
        <f>IFERROR(Table_NFI[[#This Row],[Kitchen Set]]/VLOOKUP(Table_NFI[[#This Row],[Camp Name]],CL,4,0),"")</f>
        <v>0</v>
      </c>
      <c r="AT192" s="769"/>
      <c r="AU192" s="773"/>
    </row>
    <row r="193" spans="1:47" s="136" customFormat="1" x14ac:dyDescent="0.25">
      <c r="A193" s="451">
        <f t="shared" si="2"/>
        <v>18.033333333333335</v>
      </c>
      <c r="B193" s="768">
        <v>41829</v>
      </c>
      <c r="C193" s="769" t="s">
        <v>454</v>
      </c>
      <c r="D193" s="769"/>
      <c r="E193" s="769" t="s">
        <v>380</v>
      </c>
      <c r="F193" s="769" t="s">
        <v>151</v>
      </c>
      <c r="G193" s="769" t="s">
        <v>949</v>
      </c>
      <c r="H193" s="436"/>
      <c r="I193" s="436"/>
      <c r="J193" s="436"/>
      <c r="K193" s="436">
        <v>35</v>
      </c>
      <c r="L193" s="437">
        <v>13</v>
      </c>
      <c r="M193" s="437">
        <v>70</v>
      </c>
      <c r="N193" s="437">
        <v>13</v>
      </c>
      <c r="O193" s="437"/>
      <c r="P193" s="439">
        <v>13</v>
      </c>
      <c r="Q193" s="439">
        <v>25</v>
      </c>
      <c r="R193" s="436"/>
      <c r="S193" s="436"/>
      <c r="T193" s="436"/>
      <c r="U193" s="436"/>
      <c r="V193" s="436"/>
      <c r="W193" s="436"/>
      <c r="X193" s="436"/>
      <c r="Y193" s="436">
        <f>IF(NFI_Expiration=1,IF($A193&lt;VLOOKUP(H$5,NFI,5,0),1,0)*Table_NFI[[#This Row],[Hygiene Kit]],Table_NFI[Hygiene Kit])</f>
        <v>0</v>
      </c>
      <c r="Z193" s="436">
        <f>IF(NFI_Expiration=1,IF($A193&lt;VLOOKUP(I$5,NFI,5,0),1,0)*Table_NFI[[#This Row],[NFI Core Kit]],Table_NFI[NFI Core Kit])</f>
        <v>0</v>
      </c>
      <c r="AA193" s="436">
        <f>IF(NFI_Expiration=1,IF($A193&lt;VLOOKUP(J$5,NFI,5,0),1,0)*Table_NFI[[#This Row],[Sanitary Kit]],Table_NFI[Sanitary Kit])</f>
        <v>0</v>
      </c>
      <c r="AB193" s="436">
        <f>IF(NFI_Expiration=1,IF($A193&lt;VLOOKUP(K$5,NFI,5,0),1,0)*Table_NFI[[#This Row],[Mosquito net]],Table_NFI[Mosquito net])</f>
        <v>0</v>
      </c>
      <c r="AC193" s="436">
        <f>IF(NFI_Expiration=1,IF($A193&lt;VLOOKUP(L$5,NFI,5,0),1,0)*Table_NFI[[#This Row],[Tarpaulin]],Table_NFI[[#This Row],[Tarpaulin]])</f>
        <v>0</v>
      </c>
      <c r="AD193" s="436">
        <f>IF(NFI_Expiration=1,IF($A193&lt;VLOOKUP(M$5,NFI,5,0),1,0)*Table_NFI[[#This Row],[Blanket]],Table_NFI[[#This Row],[Blanket]])</f>
        <v>0</v>
      </c>
      <c r="AE193" s="436">
        <f>IF(NFI_Expiration=1,IF($A193&lt;VLOOKUP(N$5,NFI,5,0),1,0)*Table_NFI[[#This Row],[Kitchen Set]],Table_NFI[Kitchen Set])</f>
        <v>0</v>
      </c>
      <c r="AF193" s="436">
        <f>IF(NFI_Expiration=1,IF($A193&lt;VLOOKUP(O$5,NFI,5,0),1,0)*Table_NFI[[#This Row],[Clothes Kit]],Table_NFI[Clothes Kit])</f>
        <v>0</v>
      </c>
      <c r="AG193" s="436">
        <f>IF(NFI_Expiration=1,IF($A193&lt;VLOOKUP(P$5,NFI,5,0),1,0)*Table_NFI[[#This Row],[Plastic Bucket]],Table_NFI[Plastic Bucket])</f>
        <v>0</v>
      </c>
      <c r="AH193" s="436">
        <f>IF(NFI_Expiration=1,IF($A193&lt;VLOOKUP(Q$5,NFI,5,0),1,0)*Table_NFI[[#This Row],[Plastic Mat]],Table_NFI[Plastic Mat])*IF(Table_NFI[[#This Row],[Distribution Date]]&gt;"2014-04-01",1,2.5)</f>
        <v>0</v>
      </c>
      <c r="AI193" s="436">
        <f>IF(NFI_Expiration=1,IF($A193&lt;VLOOKUP(R$5,NFI,5,0),1,0)*Table_NFI[[#This Row],[Winter Clothes Adult]],Table_NFI[Winter Clothes Adult])</f>
        <v>0</v>
      </c>
      <c r="AJ193" s="436">
        <f>IF(NFI_Expiration=1,IF($A193&lt;VLOOKUP(S$5,NFI,5,0),1,0)*Table_NFI[[#This Row],[Winter Clothes Children]],Table_NFI[Winter Clothes Children])</f>
        <v>0</v>
      </c>
      <c r="AK193" s="436">
        <f>IF(NFI_Expiration=1,IF($A193&lt;VLOOKUP(T$5,NFI,5,0),1,0)*Table_NFI[[#This Row],[Winter Items Other]],Table_NFI[Winter Items Other])</f>
        <v>0</v>
      </c>
      <c r="AL193" s="436">
        <f>IF(NFI_Expiration=1,IF($A193&lt;VLOOKUP(M$5,NFI,5,0),1,0)*Table_NFI[[#This Row],[Winter Blanket]],Table_NFI[[#This Row],[Winter Blanket]])</f>
        <v>0</v>
      </c>
      <c r="AM193" s="436">
        <f>IF(Table_NFI[[#This Row],[Winter Clothes Adult]]+Table_NFI[[#This Row],[Winter Clothes Children]]+Table_NFI[[#This Row],[Winter Items Other]]+Table_NFI[[#This Row],[Winter Blanket]]&gt;0,1,0)</f>
        <v>0</v>
      </c>
      <c r="AN193" s="439">
        <f>IF(NFI_Expiration=1,IF($A193&lt;VLOOKUP(V$5,NFI,5,0),1,0)*Table_NFI[[#This Row],[Jerry Can]],Table_NFI[Jerry Can])</f>
        <v>0</v>
      </c>
      <c r="AO193" s="771" t="str">
        <f>IFERROR(VLOOKUP(Table_NFI[[#This Row],[Camp Name]],CL,2,0),"")</f>
        <v>MMR001CMP223</v>
      </c>
      <c r="AP193" s="772">
        <f ca="1">IF(Table_NFI[[#This Row],[Pcode]]="","",IF(OFFSET(CampList[Opening Date],MATCH(Table_NFI[[#This Row],[Pcode]],CampList[CP_Pcode],0)-1,0,1,1)&gt;=NFI_Monitor_Date,1,0))</f>
        <v>0</v>
      </c>
      <c r="AQ193" s="781" t="str">
        <f>IFERROR(VLOOKUP(Table_NFI[[#This Row],[Camp Name]],CL,3,0),"")</f>
        <v>Open</v>
      </c>
      <c r="AR193" s="439" t="str">
        <f ca="1">IF(Table_NFI[[#This Row],[Pcode]]="","",OFFSET(CampList[Priority],MATCH(Table_NFI[[#This Row],[Pcode]],CampList[CP_Pcode],0)-1,0,1,1))</f>
        <v>P4</v>
      </c>
      <c r="AS193" s="438">
        <f>IFERROR(Table_NFI[[#This Row],[Kitchen Set]]/VLOOKUP(Table_NFI[[#This Row],[Camp Name]],CL,4,0),"")</f>
        <v>0.10569105691056911</v>
      </c>
      <c r="AT193" s="769"/>
      <c r="AU193" s="773"/>
    </row>
    <row r="194" spans="1:47" s="136" customFormat="1" x14ac:dyDescent="0.25">
      <c r="A194" s="451">
        <f t="shared" si="2"/>
        <v>18.166666666666668</v>
      </c>
      <c r="B194" s="768">
        <v>41825</v>
      </c>
      <c r="C194" s="769" t="s">
        <v>1111</v>
      </c>
      <c r="D194" s="769" t="s">
        <v>907</v>
      </c>
      <c r="E194" s="769" t="s">
        <v>380</v>
      </c>
      <c r="F194" s="769" t="s">
        <v>310</v>
      </c>
      <c r="G194" s="769" t="s">
        <v>316</v>
      </c>
      <c r="H194" s="436"/>
      <c r="I194" s="436"/>
      <c r="J194" s="436"/>
      <c r="K194" s="436"/>
      <c r="L194" s="437"/>
      <c r="M194" s="437"/>
      <c r="N194" s="437"/>
      <c r="O194" s="437"/>
      <c r="P194" s="439"/>
      <c r="Q194" s="439"/>
      <c r="R194" s="436"/>
      <c r="S194" s="436"/>
      <c r="T194" s="436"/>
      <c r="U194" s="436">
        <v>124</v>
      </c>
      <c r="V194" s="436"/>
      <c r="W194" s="436"/>
      <c r="X194" s="436"/>
      <c r="Y194" s="448">
        <f>IF(NFI_Expiration=1,IF($A194&lt;VLOOKUP(H$5,NFI,5,0),1,0)*Table_NFI[[#This Row],[Hygiene Kit]],Table_NFI[Hygiene Kit])</f>
        <v>0</v>
      </c>
      <c r="Z194" s="448">
        <f>IF(NFI_Expiration=1,IF($A194&lt;VLOOKUP(I$5,NFI,5,0),1,0)*Table_NFI[[#This Row],[NFI Core Kit]],Table_NFI[NFI Core Kit])</f>
        <v>0</v>
      </c>
      <c r="AA194" s="448">
        <f>IF(NFI_Expiration=1,IF($A194&lt;VLOOKUP(J$5,NFI,5,0),1,0)*Table_NFI[[#This Row],[Sanitary Kit]],Table_NFI[Sanitary Kit])</f>
        <v>0</v>
      </c>
      <c r="AB194" s="448">
        <f>IF(NFI_Expiration=1,IF($A194&lt;VLOOKUP(K$5,NFI,5,0),1,0)*Table_NFI[[#This Row],[Mosquito net]],Table_NFI[Mosquito net])</f>
        <v>0</v>
      </c>
      <c r="AC194" s="448">
        <f>IF(NFI_Expiration=1,IF($A194&lt;VLOOKUP(L$5,NFI,5,0),1,0)*Table_NFI[[#This Row],[Tarpaulin]],Table_NFI[[#This Row],[Tarpaulin]])</f>
        <v>0</v>
      </c>
      <c r="AD194" s="448">
        <f>IF(NFI_Expiration=1,IF($A194&lt;VLOOKUP(M$5,NFI,5,0),1,0)*Table_NFI[[#This Row],[Blanket]],Table_NFI[[#This Row],[Blanket]])</f>
        <v>0</v>
      </c>
      <c r="AE194" s="448">
        <f>IF(NFI_Expiration=1,IF($A194&lt;VLOOKUP(N$5,NFI,5,0),1,0)*Table_NFI[[#This Row],[Kitchen Set]],Table_NFI[Kitchen Set])</f>
        <v>0</v>
      </c>
      <c r="AF194" s="448">
        <f>IF(NFI_Expiration=1,IF($A194&lt;VLOOKUP(O$5,NFI,5,0),1,0)*Table_NFI[[#This Row],[Clothes Kit]],Table_NFI[Clothes Kit])</f>
        <v>0</v>
      </c>
      <c r="AG194" s="448">
        <f>IF(NFI_Expiration=1,IF($A194&lt;VLOOKUP(P$5,NFI,5,0),1,0)*Table_NFI[[#This Row],[Plastic Bucket]],Table_NFI[Plastic Bucket])</f>
        <v>0</v>
      </c>
      <c r="AH194" s="448">
        <f>IF(NFI_Expiration=1,IF($A194&lt;VLOOKUP(Q$5,NFI,5,0),1,0)*Table_NFI[[#This Row],[Plastic Mat]],Table_NFI[Plastic Mat])*IF(Table_NFI[[#This Row],[Distribution Date]]&gt;"2014-04-01",1,2.5)</f>
        <v>0</v>
      </c>
      <c r="AI194" s="448">
        <f>IF(NFI_Expiration=1,IF($A194&lt;VLOOKUP(R$5,NFI,5,0),1,0)*Table_NFI[[#This Row],[Winter Clothes Adult]],Table_NFI[Winter Clothes Adult])</f>
        <v>0</v>
      </c>
      <c r="AJ194" s="448">
        <f>IF(NFI_Expiration=1,IF($A194&lt;VLOOKUP(S$5,NFI,5,0),1,0)*Table_NFI[[#This Row],[Winter Clothes Children]],Table_NFI[Winter Clothes Children])</f>
        <v>0</v>
      </c>
      <c r="AK194" s="448">
        <f>IF(NFI_Expiration=1,IF($A194&lt;VLOOKUP(T$5,NFI,5,0),1,0)*Table_NFI[[#This Row],[Winter Items Other]],Table_NFI[Winter Items Other])</f>
        <v>0</v>
      </c>
      <c r="AL194" s="448">
        <f>IF(NFI_Expiration=1,IF($A194&lt;VLOOKUP(M$5,NFI,5,0),1,0)*Table_NFI[[#This Row],[Winter Blanket]],Table_NFI[[#This Row],[Winter Blanket]])</f>
        <v>0</v>
      </c>
      <c r="AM194" s="448">
        <f>IF(Table_NFI[[#This Row],[Winter Clothes Adult]]+Table_NFI[[#This Row],[Winter Clothes Children]]+Table_NFI[[#This Row],[Winter Items Other]]+Table_NFI[[#This Row],[Winter Blanket]]&gt;0,1,0)</f>
        <v>1</v>
      </c>
      <c r="AN194" s="439">
        <f>IF(NFI_Expiration=1,IF($A194&lt;VLOOKUP(V$5,NFI,5,0),1,0)*Table_NFI[[#This Row],[Jerry Can]],Table_NFI[Jerry Can])</f>
        <v>0</v>
      </c>
      <c r="AO194" s="787" t="str">
        <f>IFERROR(VLOOKUP(Table_NFI[[#This Row],[Camp Name]],CL,2,0),"")</f>
        <v>MMR001CMP038</v>
      </c>
      <c r="AP194" s="788">
        <f ca="1">IF(Table_NFI[[#This Row],[Pcode]]="","",IF(OFFSET(CampList[Opening Date],MATCH(Table_NFI[[#This Row],[Pcode]],CampList[CP_Pcode],0)-1,0,1,1)&gt;=NFI_Monitor_Date,1,0))</f>
        <v>0</v>
      </c>
      <c r="AQ194" s="787" t="str">
        <f>IFERROR(VLOOKUP(Table_NFI[[#This Row],[Camp Name]],CL,3,0),"")</f>
        <v>Open</v>
      </c>
      <c r="AR194" s="448" t="str">
        <f ca="1">IF(Table_NFI[[#This Row],[Pcode]]="","",OFFSET(CampList[Priority],MATCH(Table_NFI[[#This Row],[Pcode]],CampList[CP_Pcode],0)-1,0,1,1))</f>
        <v>P4</v>
      </c>
      <c r="AS194" s="449">
        <f>IFERROR(Table_NFI[[#This Row],[Kitchen Set]]/VLOOKUP(Table_NFI[[#This Row],[Camp Name]],CL,4,0),"")</f>
        <v>0</v>
      </c>
      <c r="AT194" s="789"/>
      <c r="AU194" s="773"/>
    </row>
    <row r="195" spans="1:47" s="136" customFormat="1" x14ac:dyDescent="0.25">
      <c r="A195" s="451">
        <f t="shared" si="2"/>
        <v>18.233333333333334</v>
      </c>
      <c r="B195" s="768">
        <v>41823</v>
      </c>
      <c r="C195" s="769" t="s">
        <v>454</v>
      </c>
      <c r="D195" s="769"/>
      <c r="E195" s="769" t="s">
        <v>380</v>
      </c>
      <c r="F195" s="769" t="s">
        <v>151</v>
      </c>
      <c r="G195" s="769" t="s">
        <v>891</v>
      </c>
      <c r="H195" s="436"/>
      <c r="I195" s="436"/>
      <c r="J195" s="436"/>
      <c r="K195" s="436"/>
      <c r="L195" s="437"/>
      <c r="M195" s="437">
        <v>9</v>
      </c>
      <c r="N195" s="437"/>
      <c r="O195" s="437"/>
      <c r="P195" s="439">
        <v>19</v>
      </c>
      <c r="Q195" s="439">
        <v>1</v>
      </c>
      <c r="R195" s="436"/>
      <c r="S195" s="436"/>
      <c r="T195" s="436"/>
      <c r="U195" s="436"/>
      <c r="V195" s="436"/>
      <c r="W195" s="436"/>
      <c r="X195" s="436"/>
      <c r="Y195" s="436">
        <f>IF(NFI_Expiration=1,IF($A195&lt;VLOOKUP(H$5,NFI,5,0),1,0)*Table_NFI[[#This Row],[Hygiene Kit]],Table_NFI[Hygiene Kit])</f>
        <v>0</v>
      </c>
      <c r="Z195" s="436">
        <f>IF(NFI_Expiration=1,IF($A195&lt;VLOOKUP(I$5,NFI,5,0),1,0)*Table_NFI[[#This Row],[NFI Core Kit]],Table_NFI[NFI Core Kit])</f>
        <v>0</v>
      </c>
      <c r="AA195" s="436">
        <f>IF(NFI_Expiration=1,IF($A195&lt;VLOOKUP(J$5,NFI,5,0),1,0)*Table_NFI[[#This Row],[Sanitary Kit]],Table_NFI[Sanitary Kit])</f>
        <v>0</v>
      </c>
      <c r="AB195" s="436">
        <f>IF(NFI_Expiration=1,IF($A195&lt;VLOOKUP(K$5,NFI,5,0),1,0)*Table_NFI[[#This Row],[Mosquito net]],Table_NFI[Mosquito net])</f>
        <v>0</v>
      </c>
      <c r="AC195" s="436">
        <f>IF(NFI_Expiration=1,IF($A195&lt;VLOOKUP(L$5,NFI,5,0),1,0)*Table_NFI[[#This Row],[Tarpaulin]],Table_NFI[[#This Row],[Tarpaulin]])</f>
        <v>0</v>
      </c>
      <c r="AD195" s="436">
        <f>IF(NFI_Expiration=1,IF($A195&lt;VLOOKUP(M$5,NFI,5,0),1,0)*Table_NFI[[#This Row],[Blanket]],Table_NFI[[#This Row],[Blanket]])</f>
        <v>0</v>
      </c>
      <c r="AE195" s="436">
        <f>IF(NFI_Expiration=1,IF($A195&lt;VLOOKUP(N$5,NFI,5,0),1,0)*Table_NFI[[#This Row],[Kitchen Set]],Table_NFI[Kitchen Set])</f>
        <v>0</v>
      </c>
      <c r="AF195" s="436">
        <f>IF(NFI_Expiration=1,IF($A195&lt;VLOOKUP(O$5,NFI,5,0),1,0)*Table_NFI[[#This Row],[Clothes Kit]],Table_NFI[Clothes Kit])</f>
        <v>0</v>
      </c>
      <c r="AG195" s="436">
        <f>IF(NFI_Expiration=1,IF($A195&lt;VLOOKUP(P$5,NFI,5,0),1,0)*Table_NFI[[#This Row],[Plastic Bucket]],Table_NFI[Plastic Bucket])</f>
        <v>0</v>
      </c>
      <c r="AH195" s="436">
        <f>IF(NFI_Expiration=1,IF($A195&lt;VLOOKUP(Q$5,NFI,5,0),1,0)*Table_NFI[[#This Row],[Plastic Mat]],Table_NFI[Plastic Mat])*IF(Table_NFI[[#This Row],[Distribution Date]]&gt;"2014-04-01",1,2.5)</f>
        <v>0</v>
      </c>
      <c r="AI195" s="436">
        <f>IF(NFI_Expiration=1,IF($A195&lt;VLOOKUP(R$5,NFI,5,0),1,0)*Table_NFI[[#This Row],[Winter Clothes Adult]],Table_NFI[Winter Clothes Adult])</f>
        <v>0</v>
      </c>
      <c r="AJ195" s="436">
        <f>IF(NFI_Expiration=1,IF($A195&lt;VLOOKUP(S$5,NFI,5,0),1,0)*Table_NFI[[#This Row],[Winter Clothes Children]],Table_NFI[Winter Clothes Children])</f>
        <v>0</v>
      </c>
      <c r="AK195" s="436">
        <f>IF(NFI_Expiration=1,IF($A195&lt;VLOOKUP(T$5,NFI,5,0),1,0)*Table_NFI[[#This Row],[Winter Items Other]],Table_NFI[Winter Items Other])</f>
        <v>0</v>
      </c>
      <c r="AL195" s="436">
        <f>IF(NFI_Expiration=1,IF($A195&lt;VLOOKUP(M$5,NFI,5,0),1,0)*Table_NFI[[#This Row],[Winter Blanket]],Table_NFI[[#This Row],[Winter Blanket]])</f>
        <v>0</v>
      </c>
      <c r="AM195" s="436">
        <f>IF(Table_NFI[[#This Row],[Winter Clothes Adult]]+Table_NFI[[#This Row],[Winter Clothes Children]]+Table_NFI[[#This Row],[Winter Items Other]]+Table_NFI[[#This Row],[Winter Blanket]]&gt;0,1,0)</f>
        <v>0</v>
      </c>
      <c r="AN195" s="439">
        <f>IF(NFI_Expiration=1,IF($A195&lt;VLOOKUP(V$5,NFI,5,0),1,0)*Table_NFI[[#This Row],[Jerry Can]],Table_NFI[Jerry Can])</f>
        <v>0</v>
      </c>
      <c r="AO195" s="771" t="str">
        <f>IFERROR(VLOOKUP(Table_NFI[[#This Row],[Camp Name]],CL,2,0),"")</f>
        <v>MMR001CMP218</v>
      </c>
      <c r="AP195" s="772">
        <f ca="1">IF(Table_NFI[[#This Row],[Pcode]]="","",IF(OFFSET(CampList[Opening Date],MATCH(Table_NFI[[#This Row],[Pcode]],CampList[CP_Pcode],0)-1,0,1,1)&gt;=NFI_Monitor_Date,1,0))</f>
        <v>0</v>
      </c>
      <c r="AQ195" s="781" t="str">
        <f>IFERROR(VLOOKUP(Table_NFI[[#This Row],[Camp Name]],CL,3,0),"")</f>
        <v>Open</v>
      </c>
      <c r="AR195" s="439" t="str">
        <f ca="1">IF(Table_NFI[[#This Row],[Pcode]]="","",OFFSET(CampList[Priority],MATCH(Table_NFI[[#This Row],[Pcode]],CampList[CP_Pcode],0)-1,0,1,1))</f>
        <v>P4</v>
      </c>
      <c r="AS195" s="438">
        <f>IFERROR(Table_NFI[[#This Row],[Kitchen Set]]/VLOOKUP(Table_NFI[[#This Row],[Camp Name]],CL,4,0),"")</f>
        <v>0</v>
      </c>
      <c r="AT195" s="769"/>
      <c r="AU195" s="773"/>
    </row>
    <row r="196" spans="1:47" s="774" customFormat="1" x14ac:dyDescent="0.25">
      <c r="A196" s="451">
        <f t="shared" si="2"/>
        <v>18.233333333333334</v>
      </c>
      <c r="B196" s="768">
        <v>41823</v>
      </c>
      <c r="C196" s="769" t="s">
        <v>454</v>
      </c>
      <c r="D196" s="769"/>
      <c r="E196" s="769" t="s">
        <v>380</v>
      </c>
      <c r="F196" s="769" t="s">
        <v>151</v>
      </c>
      <c r="G196" s="769" t="s">
        <v>949</v>
      </c>
      <c r="H196" s="436"/>
      <c r="I196" s="436"/>
      <c r="J196" s="436"/>
      <c r="K196" s="436">
        <v>50</v>
      </c>
      <c r="L196" s="437">
        <v>15</v>
      </c>
      <c r="M196" s="437"/>
      <c r="N196" s="437">
        <v>15</v>
      </c>
      <c r="O196" s="437"/>
      <c r="P196" s="439">
        <v>15</v>
      </c>
      <c r="Q196" s="439">
        <v>60</v>
      </c>
      <c r="R196" s="436"/>
      <c r="S196" s="436"/>
      <c r="T196" s="436"/>
      <c r="U196" s="436"/>
      <c r="V196" s="436"/>
      <c r="W196" s="436"/>
      <c r="X196" s="436"/>
      <c r="Y196" s="436">
        <f>IF(NFI_Expiration=1,IF($A196&lt;VLOOKUP(H$5,NFI,5,0),1,0)*Table_NFI[[#This Row],[Hygiene Kit]],Table_NFI[Hygiene Kit])</f>
        <v>0</v>
      </c>
      <c r="Z196" s="436">
        <f>IF(NFI_Expiration=1,IF($A196&lt;VLOOKUP(I$5,NFI,5,0),1,0)*Table_NFI[[#This Row],[NFI Core Kit]],Table_NFI[NFI Core Kit])</f>
        <v>0</v>
      </c>
      <c r="AA196" s="436">
        <f>IF(NFI_Expiration=1,IF($A196&lt;VLOOKUP(J$5,NFI,5,0),1,0)*Table_NFI[[#This Row],[Sanitary Kit]],Table_NFI[Sanitary Kit])</f>
        <v>0</v>
      </c>
      <c r="AB196" s="436">
        <f>IF(NFI_Expiration=1,IF($A196&lt;VLOOKUP(K$5,NFI,5,0),1,0)*Table_NFI[[#This Row],[Mosquito net]],Table_NFI[Mosquito net])</f>
        <v>0</v>
      </c>
      <c r="AC196" s="436">
        <f>IF(NFI_Expiration=1,IF($A196&lt;VLOOKUP(L$5,NFI,5,0),1,0)*Table_NFI[[#This Row],[Tarpaulin]],Table_NFI[[#This Row],[Tarpaulin]])</f>
        <v>0</v>
      </c>
      <c r="AD196" s="436">
        <f>IF(NFI_Expiration=1,IF($A196&lt;VLOOKUP(M$5,NFI,5,0),1,0)*Table_NFI[[#This Row],[Blanket]],Table_NFI[[#This Row],[Blanket]])</f>
        <v>0</v>
      </c>
      <c r="AE196" s="436">
        <f>IF(NFI_Expiration=1,IF($A196&lt;VLOOKUP(N$5,NFI,5,0),1,0)*Table_NFI[[#This Row],[Kitchen Set]],Table_NFI[Kitchen Set])</f>
        <v>0</v>
      </c>
      <c r="AF196" s="436">
        <f>IF(NFI_Expiration=1,IF($A196&lt;VLOOKUP(O$5,NFI,5,0),1,0)*Table_NFI[[#This Row],[Clothes Kit]],Table_NFI[Clothes Kit])</f>
        <v>0</v>
      </c>
      <c r="AG196" s="436">
        <f>IF(NFI_Expiration=1,IF($A196&lt;VLOOKUP(P$5,NFI,5,0),1,0)*Table_NFI[[#This Row],[Plastic Bucket]],Table_NFI[Plastic Bucket])</f>
        <v>0</v>
      </c>
      <c r="AH196" s="436">
        <f>IF(NFI_Expiration=1,IF($A196&lt;VLOOKUP(Q$5,NFI,5,0),1,0)*Table_NFI[[#This Row],[Plastic Mat]],Table_NFI[Plastic Mat])*IF(Table_NFI[[#This Row],[Distribution Date]]&gt;"2014-04-01",1,2.5)</f>
        <v>0</v>
      </c>
      <c r="AI196" s="436">
        <f>IF(NFI_Expiration=1,IF($A196&lt;VLOOKUP(R$5,NFI,5,0),1,0)*Table_NFI[[#This Row],[Winter Clothes Adult]],Table_NFI[Winter Clothes Adult])</f>
        <v>0</v>
      </c>
      <c r="AJ196" s="436">
        <f>IF(NFI_Expiration=1,IF($A196&lt;VLOOKUP(S$5,NFI,5,0),1,0)*Table_NFI[[#This Row],[Winter Clothes Children]],Table_NFI[Winter Clothes Children])</f>
        <v>0</v>
      </c>
      <c r="AK196" s="436">
        <f>IF(NFI_Expiration=1,IF($A196&lt;VLOOKUP(T$5,NFI,5,0),1,0)*Table_NFI[[#This Row],[Winter Items Other]],Table_NFI[Winter Items Other])</f>
        <v>0</v>
      </c>
      <c r="AL196" s="436">
        <f>IF(NFI_Expiration=1,IF($A196&lt;VLOOKUP(M$5,NFI,5,0),1,0)*Table_NFI[[#This Row],[Winter Blanket]],Table_NFI[[#This Row],[Winter Blanket]])</f>
        <v>0</v>
      </c>
      <c r="AM196" s="436">
        <f>IF(Table_NFI[[#This Row],[Winter Clothes Adult]]+Table_NFI[[#This Row],[Winter Clothes Children]]+Table_NFI[[#This Row],[Winter Items Other]]+Table_NFI[[#This Row],[Winter Blanket]]&gt;0,1,0)</f>
        <v>0</v>
      </c>
      <c r="AN196" s="439">
        <f>IF(NFI_Expiration=1,IF($A196&lt;VLOOKUP(V$5,NFI,5,0),1,0)*Table_NFI[[#This Row],[Jerry Can]],Table_NFI[Jerry Can])</f>
        <v>0</v>
      </c>
      <c r="AO196" s="771" t="str">
        <f>IFERROR(VLOOKUP(Table_NFI[[#This Row],[Camp Name]],CL,2,0),"")</f>
        <v>MMR001CMP223</v>
      </c>
      <c r="AP196" s="772">
        <f ca="1">IF(Table_NFI[[#This Row],[Pcode]]="","",IF(OFFSET(CampList[Opening Date],MATCH(Table_NFI[[#This Row],[Pcode]],CampList[CP_Pcode],0)-1,0,1,1)&gt;=NFI_Monitor_Date,1,0))</f>
        <v>0</v>
      </c>
      <c r="AQ196" s="781" t="str">
        <f>IFERROR(VLOOKUP(Table_NFI[[#This Row],[Camp Name]],CL,3,0),"")</f>
        <v>Open</v>
      </c>
      <c r="AR196" s="439" t="str">
        <f ca="1">IF(Table_NFI[[#This Row],[Pcode]]="","",OFFSET(CampList[Priority],MATCH(Table_NFI[[#This Row],[Pcode]],CampList[CP_Pcode],0)-1,0,1,1))</f>
        <v>P4</v>
      </c>
      <c r="AS196" s="438">
        <f>IFERROR(Table_NFI[[#This Row],[Kitchen Set]]/VLOOKUP(Table_NFI[[#This Row],[Camp Name]],CL,4,0),"")</f>
        <v>0.12195121951219512</v>
      </c>
      <c r="AT196" s="769"/>
      <c r="AU196" s="773"/>
    </row>
    <row r="197" spans="1:47" s="774" customFormat="1" x14ac:dyDescent="0.25">
      <c r="A197" s="451">
        <f t="shared" si="2"/>
        <v>18.3</v>
      </c>
      <c r="B197" s="768">
        <v>41821</v>
      </c>
      <c r="C197" s="769" t="s">
        <v>454</v>
      </c>
      <c r="D197" s="769"/>
      <c r="E197" s="769" t="s">
        <v>380</v>
      </c>
      <c r="F197" s="769" t="s">
        <v>151</v>
      </c>
      <c r="G197" s="769" t="s">
        <v>891</v>
      </c>
      <c r="H197" s="436"/>
      <c r="I197" s="436"/>
      <c r="J197" s="436"/>
      <c r="K197" s="436"/>
      <c r="L197" s="437">
        <v>19</v>
      </c>
      <c r="M197" s="437"/>
      <c r="N197" s="437">
        <v>19</v>
      </c>
      <c r="O197" s="437"/>
      <c r="P197" s="439"/>
      <c r="Q197" s="439">
        <v>100</v>
      </c>
      <c r="R197" s="436"/>
      <c r="S197" s="436"/>
      <c r="T197" s="436"/>
      <c r="U197" s="436"/>
      <c r="V197" s="436"/>
      <c r="W197" s="436"/>
      <c r="X197" s="436"/>
      <c r="Y197" s="436">
        <f>IF(NFI_Expiration=1,IF($A197&lt;VLOOKUP(H$5,NFI,5,0),1,0)*Table_NFI[[#This Row],[Hygiene Kit]],Table_NFI[Hygiene Kit])</f>
        <v>0</v>
      </c>
      <c r="Z197" s="436">
        <f>IF(NFI_Expiration=1,IF($A197&lt;VLOOKUP(I$5,NFI,5,0),1,0)*Table_NFI[[#This Row],[NFI Core Kit]],Table_NFI[NFI Core Kit])</f>
        <v>0</v>
      </c>
      <c r="AA197" s="436">
        <f>IF(NFI_Expiration=1,IF($A197&lt;VLOOKUP(J$5,NFI,5,0),1,0)*Table_NFI[[#This Row],[Sanitary Kit]],Table_NFI[Sanitary Kit])</f>
        <v>0</v>
      </c>
      <c r="AB197" s="436">
        <f>IF(NFI_Expiration=1,IF($A197&lt;VLOOKUP(K$5,NFI,5,0),1,0)*Table_NFI[[#This Row],[Mosquito net]],Table_NFI[Mosquito net])</f>
        <v>0</v>
      </c>
      <c r="AC197" s="436">
        <f>IF(NFI_Expiration=1,IF($A197&lt;VLOOKUP(L$5,NFI,5,0),1,0)*Table_NFI[[#This Row],[Tarpaulin]],Table_NFI[[#This Row],[Tarpaulin]])</f>
        <v>0</v>
      </c>
      <c r="AD197" s="436">
        <f>IF(NFI_Expiration=1,IF($A197&lt;VLOOKUP(M$5,NFI,5,0),1,0)*Table_NFI[[#This Row],[Blanket]],Table_NFI[[#This Row],[Blanket]])</f>
        <v>0</v>
      </c>
      <c r="AE197" s="436">
        <f>IF(NFI_Expiration=1,IF($A197&lt;VLOOKUP(N$5,NFI,5,0),1,0)*Table_NFI[[#This Row],[Kitchen Set]],Table_NFI[Kitchen Set])</f>
        <v>0</v>
      </c>
      <c r="AF197" s="436">
        <f>IF(NFI_Expiration=1,IF($A197&lt;VLOOKUP(O$5,NFI,5,0),1,0)*Table_NFI[[#This Row],[Clothes Kit]],Table_NFI[Clothes Kit])</f>
        <v>0</v>
      </c>
      <c r="AG197" s="436">
        <f>IF(NFI_Expiration=1,IF($A197&lt;VLOOKUP(P$5,NFI,5,0),1,0)*Table_NFI[[#This Row],[Plastic Bucket]],Table_NFI[Plastic Bucket])</f>
        <v>0</v>
      </c>
      <c r="AH197" s="436">
        <f>IF(NFI_Expiration=1,IF($A197&lt;VLOOKUP(Q$5,NFI,5,0),1,0)*Table_NFI[[#This Row],[Plastic Mat]],Table_NFI[Plastic Mat])*IF(Table_NFI[[#This Row],[Distribution Date]]&gt;"2014-04-01",1,2.5)</f>
        <v>0</v>
      </c>
      <c r="AI197" s="436">
        <f>IF(NFI_Expiration=1,IF($A197&lt;VLOOKUP(R$5,NFI,5,0),1,0)*Table_NFI[[#This Row],[Winter Clothes Adult]],Table_NFI[Winter Clothes Adult])</f>
        <v>0</v>
      </c>
      <c r="AJ197" s="436">
        <f>IF(NFI_Expiration=1,IF($A197&lt;VLOOKUP(S$5,NFI,5,0),1,0)*Table_NFI[[#This Row],[Winter Clothes Children]],Table_NFI[Winter Clothes Children])</f>
        <v>0</v>
      </c>
      <c r="AK197" s="436">
        <f>IF(NFI_Expiration=1,IF($A197&lt;VLOOKUP(T$5,NFI,5,0),1,0)*Table_NFI[[#This Row],[Winter Items Other]],Table_NFI[Winter Items Other])</f>
        <v>0</v>
      </c>
      <c r="AL197" s="436">
        <f>IF(NFI_Expiration=1,IF($A197&lt;VLOOKUP(M$5,NFI,5,0),1,0)*Table_NFI[[#This Row],[Winter Blanket]],Table_NFI[[#This Row],[Winter Blanket]])</f>
        <v>0</v>
      </c>
      <c r="AM197" s="436">
        <f>IF(Table_NFI[[#This Row],[Winter Clothes Adult]]+Table_NFI[[#This Row],[Winter Clothes Children]]+Table_NFI[[#This Row],[Winter Items Other]]+Table_NFI[[#This Row],[Winter Blanket]]&gt;0,1,0)</f>
        <v>0</v>
      </c>
      <c r="AN197" s="439">
        <f>IF(NFI_Expiration=1,IF($A197&lt;VLOOKUP(V$5,NFI,5,0),1,0)*Table_NFI[[#This Row],[Jerry Can]],Table_NFI[Jerry Can])</f>
        <v>0</v>
      </c>
      <c r="AO197" s="771" t="str">
        <f>IFERROR(VLOOKUP(Table_NFI[[#This Row],[Camp Name]],CL,2,0),"")</f>
        <v>MMR001CMP218</v>
      </c>
      <c r="AP197" s="772">
        <f ca="1">IF(Table_NFI[[#This Row],[Pcode]]="","",IF(OFFSET(CampList[Opening Date],MATCH(Table_NFI[[#This Row],[Pcode]],CampList[CP_Pcode],0)-1,0,1,1)&gt;=NFI_Monitor_Date,1,0))</f>
        <v>0</v>
      </c>
      <c r="AQ197" s="781" t="str">
        <f>IFERROR(VLOOKUP(Table_NFI[[#This Row],[Camp Name]],CL,3,0),"")</f>
        <v>Open</v>
      </c>
      <c r="AR197" s="439" t="str">
        <f ca="1">IF(Table_NFI[[#This Row],[Pcode]]="","",OFFSET(CampList[Priority],MATCH(Table_NFI[[#This Row],[Pcode]],CampList[CP_Pcode],0)-1,0,1,1))</f>
        <v>P4</v>
      </c>
      <c r="AS197" s="438">
        <f>IFERROR(Table_NFI[[#This Row],[Kitchen Set]]/VLOOKUP(Table_NFI[[#This Row],[Camp Name]],CL,4,0),"")</f>
        <v>5.1075268817204304E-2</v>
      </c>
      <c r="AT197" s="769"/>
      <c r="AU197" s="773"/>
    </row>
    <row r="198" spans="1:47" s="774" customFormat="1" x14ac:dyDescent="0.25">
      <c r="A198" s="451">
        <f t="shared" ref="A198:A261" si="3">IF(ISBLANK(B198),"",(Report_Date-B198)/30)</f>
        <v>18.5</v>
      </c>
      <c r="B198" s="768">
        <v>41815</v>
      </c>
      <c r="C198" s="769" t="s">
        <v>1111</v>
      </c>
      <c r="D198" s="769" t="s">
        <v>907</v>
      </c>
      <c r="E198" s="769" t="s">
        <v>380</v>
      </c>
      <c r="F198" s="769" t="s">
        <v>185</v>
      </c>
      <c r="G198" s="769" t="s">
        <v>209</v>
      </c>
      <c r="H198" s="436"/>
      <c r="I198" s="436"/>
      <c r="J198" s="436"/>
      <c r="K198" s="436"/>
      <c r="L198" s="437"/>
      <c r="M198" s="437"/>
      <c r="N198" s="437"/>
      <c r="O198" s="437"/>
      <c r="P198" s="439"/>
      <c r="Q198" s="439"/>
      <c r="R198" s="436"/>
      <c r="S198" s="436"/>
      <c r="T198" s="436"/>
      <c r="U198" s="436">
        <v>832</v>
      </c>
      <c r="V198" s="436"/>
      <c r="W198" s="436"/>
      <c r="X198" s="436"/>
      <c r="Y198" s="448">
        <f>IF(NFI_Expiration=1,IF($A198&lt;VLOOKUP(H$5,NFI,5,0),1,0)*Table_NFI[[#This Row],[Hygiene Kit]],Table_NFI[Hygiene Kit])</f>
        <v>0</v>
      </c>
      <c r="Z198" s="448">
        <f>IF(NFI_Expiration=1,IF($A198&lt;VLOOKUP(I$5,NFI,5,0),1,0)*Table_NFI[[#This Row],[NFI Core Kit]],Table_NFI[NFI Core Kit])</f>
        <v>0</v>
      </c>
      <c r="AA198" s="448">
        <f>IF(NFI_Expiration=1,IF($A198&lt;VLOOKUP(J$5,NFI,5,0),1,0)*Table_NFI[[#This Row],[Sanitary Kit]],Table_NFI[Sanitary Kit])</f>
        <v>0</v>
      </c>
      <c r="AB198" s="448">
        <f>IF(NFI_Expiration=1,IF($A198&lt;VLOOKUP(K$5,NFI,5,0),1,0)*Table_NFI[[#This Row],[Mosquito net]],Table_NFI[Mosquito net])</f>
        <v>0</v>
      </c>
      <c r="AC198" s="448">
        <f>IF(NFI_Expiration=1,IF($A198&lt;VLOOKUP(L$5,NFI,5,0),1,0)*Table_NFI[[#This Row],[Tarpaulin]],Table_NFI[[#This Row],[Tarpaulin]])</f>
        <v>0</v>
      </c>
      <c r="AD198" s="448">
        <f>IF(NFI_Expiration=1,IF($A198&lt;VLOOKUP(M$5,NFI,5,0),1,0)*Table_NFI[[#This Row],[Blanket]],Table_NFI[[#This Row],[Blanket]])</f>
        <v>0</v>
      </c>
      <c r="AE198" s="448">
        <f>IF(NFI_Expiration=1,IF($A198&lt;VLOOKUP(N$5,NFI,5,0),1,0)*Table_NFI[[#This Row],[Kitchen Set]],Table_NFI[Kitchen Set])</f>
        <v>0</v>
      </c>
      <c r="AF198" s="448">
        <f>IF(NFI_Expiration=1,IF($A198&lt;VLOOKUP(O$5,NFI,5,0),1,0)*Table_NFI[[#This Row],[Clothes Kit]],Table_NFI[Clothes Kit])</f>
        <v>0</v>
      </c>
      <c r="AG198" s="448">
        <f>IF(NFI_Expiration=1,IF($A198&lt;VLOOKUP(P$5,NFI,5,0),1,0)*Table_NFI[[#This Row],[Plastic Bucket]],Table_NFI[Plastic Bucket])</f>
        <v>0</v>
      </c>
      <c r="AH198" s="448">
        <f>IF(NFI_Expiration=1,IF($A198&lt;VLOOKUP(Q$5,NFI,5,0),1,0)*Table_NFI[[#This Row],[Plastic Mat]],Table_NFI[Plastic Mat])*IF(Table_NFI[[#This Row],[Distribution Date]]&gt;"2014-04-01",1,2.5)</f>
        <v>0</v>
      </c>
      <c r="AI198" s="448">
        <f>IF(NFI_Expiration=1,IF($A198&lt;VLOOKUP(R$5,NFI,5,0),1,0)*Table_NFI[[#This Row],[Winter Clothes Adult]],Table_NFI[Winter Clothes Adult])</f>
        <v>0</v>
      </c>
      <c r="AJ198" s="448">
        <f>IF(NFI_Expiration=1,IF($A198&lt;VLOOKUP(S$5,NFI,5,0),1,0)*Table_NFI[[#This Row],[Winter Clothes Children]],Table_NFI[Winter Clothes Children])</f>
        <v>0</v>
      </c>
      <c r="AK198" s="448">
        <f>IF(NFI_Expiration=1,IF($A198&lt;VLOOKUP(T$5,NFI,5,0),1,0)*Table_NFI[[#This Row],[Winter Items Other]],Table_NFI[Winter Items Other])</f>
        <v>0</v>
      </c>
      <c r="AL198" s="448">
        <f>IF(NFI_Expiration=1,IF($A198&lt;VLOOKUP(M$5,NFI,5,0),1,0)*Table_NFI[[#This Row],[Winter Blanket]],Table_NFI[[#This Row],[Winter Blanket]])</f>
        <v>0</v>
      </c>
      <c r="AM198" s="448">
        <f>IF(Table_NFI[[#This Row],[Winter Clothes Adult]]+Table_NFI[[#This Row],[Winter Clothes Children]]+Table_NFI[[#This Row],[Winter Items Other]]+Table_NFI[[#This Row],[Winter Blanket]]&gt;0,1,0)</f>
        <v>1</v>
      </c>
      <c r="AN198" s="439">
        <f>IF(NFI_Expiration=1,IF($A198&lt;VLOOKUP(V$5,NFI,5,0),1,0)*Table_NFI[[#This Row],[Jerry Can]],Table_NFI[Jerry Can])</f>
        <v>0</v>
      </c>
      <c r="AO198" s="787" t="str">
        <f>IFERROR(VLOOKUP(Table_NFI[[#This Row],[Camp Name]],CL,2,0),"")</f>
        <v>MMR001CMP056</v>
      </c>
      <c r="AP198" s="788">
        <f ca="1">IF(Table_NFI[[#This Row],[Pcode]]="","",IF(OFFSET(CampList[Opening Date],MATCH(Table_NFI[[#This Row],[Pcode]],CampList[CP_Pcode],0)-1,0,1,1)&gt;=NFI_Monitor_Date,1,0))</f>
        <v>0</v>
      </c>
      <c r="AQ198" s="787" t="str">
        <f>IFERROR(VLOOKUP(Table_NFI[[#This Row],[Camp Name]],CL,3,0),"")</f>
        <v>Open</v>
      </c>
      <c r="AR198" s="448" t="str">
        <f ca="1">IF(Table_NFI[[#This Row],[Pcode]]="","",OFFSET(CampList[Priority],MATCH(Table_NFI[[#This Row],[Pcode]],CampList[CP_Pcode],0)-1,0,1,1))</f>
        <v>P4</v>
      </c>
      <c r="AS198" s="449">
        <f>IFERROR(Table_NFI[[#This Row],[Kitchen Set]]/VLOOKUP(Table_NFI[[#This Row],[Camp Name]],CL,4,0),"")</f>
        <v>0</v>
      </c>
      <c r="AT198" s="789"/>
      <c r="AU198" s="773"/>
    </row>
    <row r="199" spans="1:47" s="774" customFormat="1" x14ac:dyDescent="0.25">
      <c r="A199" s="451">
        <f t="shared" si="3"/>
        <v>18.533333333333335</v>
      </c>
      <c r="B199" s="768">
        <v>41814</v>
      </c>
      <c r="C199" s="769" t="s">
        <v>1111</v>
      </c>
      <c r="D199" s="769" t="s">
        <v>907</v>
      </c>
      <c r="E199" s="769" t="s">
        <v>380</v>
      </c>
      <c r="F199" s="769" t="s">
        <v>237</v>
      </c>
      <c r="G199" s="769" t="s">
        <v>263</v>
      </c>
      <c r="H199" s="436"/>
      <c r="I199" s="436"/>
      <c r="J199" s="436"/>
      <c r="K199" s="436"/>
      <c r="L199" s="437"/>
      <c r="M199" s="437"/>
      <c r="N199" s="437"/>
      <c r="O199" s="437"/>
      <c r="P199" s="439"/>
      <c r="Q199" s="439"/>
      <c r="R199" s="436"/>
      <c r="S199" s="436"/>
      <c r="T199" s="436"/>
      <c r="U199" s="436">
        <v>44</v>
      </c>
      <c r="V199" s="436"/>
      <c r="W199" s="436"/>
      <c r="X199" s="436"/>
      <c r="Y199" s="448">
        <f>IF(NFI_Expiration=1,IF($A199&lt;VLOOKUP(H$5,NFI,5,0),1,0)*Table_NFI[[#This Row],[Hygiene Kit]],Table_NFI[Hygiene Kit])</f>
        <v>0</v>
      </c>
      <c r="Z199" s="448">
        <f>IF(NFI_Expiration=1,IF($A199&lt;VLOOKUP(I$5,NFI,5,0),1,0)*Table_NFI[[#This Row],[NFI Core Kit]],Table_NFI[NFI Core Kit])</f>
        <v>0</v>
      </c>
      <c r="AA199" s="448">
        <f>IF(NFI_Expiration=1,IF($A199&lt;VLOOKUP(J$5,NFI,5,0),1,0)*Table_NFI[[#This Row],[Sanitary Kit]],Table_NFI[Sanitary Kit])</f>
        <v>0</v>
      </c>
      <c r="AB199" s="448">
        <f>IF(NFI_Expiration=1,IF($A199&lt;VLOOKUP(K$5,NFI,5,0),1,0)*Table_NFI[[#This Row],[Mosquito net]],Table_NFI[Mosquito net])</f>
        <v>0</v>
      </c>
      <c r="AC199" s="448">
        <f>IF(NFI_Expiration=1,IF($A199&lt;VLOOKUP(L$5,NFI,5,0),1,0)*Table_NFI[[#This Row],[Tarpaulin]],Table_NFI[[#This Row],[Tarpaulin]])</f>
        <v>0</v>
      </c>
      <c r="AD199" s="448">
        <f>IF(NFI_Expiration=1,IF($A199&lt;VLOOKUP(M$5,NFI,5,0),1,0)*Table_NFI[[#This Row],[Blanket]],Table_NFI[[#This Row],[Blanket]])</f>
        <v>0</v>
      </c>
      <c r="AE199" s="448">
        <f>IF(NFI_Expiration=1,IF($A199&lt;VLOOKUP(N$5,NFI,5,0),1,0)*Table_NFI[[#This Row],[Kitchen Set]],Table_NFI[Kitchen Set])</f>
        <v>0</v>
      </c>
      <c r="AF199" s="448">
        <f>IF(NFI_Expiration=1,IF($A199&lt;VLOOKUP(O$5,NFI,5,0),1,0)*Table_NFI[[#This Row],[Clothes Kit]],Table_NFI[Clothes Kit])</f>
        <v>0</v>
      </c>
      <c r="AG199" s="448">
        <f>IF(NFI_Expiration=1,IF($A199&lt;VLOOKUP(P$5,NFI,5,0),1,0)*Table_NFI[[#This Row],[Plastic Bucket]],Table_NFI[Plastic Bucket])</f>
        <v>0</v>
      </c>
      <c r="AH199" s="448">
        <f>IF(NFI_Expiration=1,IF($A199&lt;VLOOKUP(Q$5,NFI,5,0),1,0)*Table_NFI[[#This Row],[Plastic Mat]],Table_NFI[Plastic Mat])*IF(Table_NFI[[#This Row],[Distribution Date]]&gt;"2014-04-01",1,2.5)</f>
        <v>0</v>
      </c>
      <c r="AI199" s="448">
        <f>IF(NFI_Expiration=1,IF($A199&lt;VLOOKUP(R$5,NFI,5,0),1,0)*Table_NFI[[#This Row],[Winter Clothes Adult]],Table_NFI[Winter Clothes Adult])</f>
        <v>0</v>
      </c>
      <c r="AJ199" s="448">
        <f>IF(NFI_Expiration=1,IF($A199&lt;VLOOKUP(S$5,NFI,5,0),1,0)*Table_NFI[[#This Row],[Winter Clothes Children]],Table_NFI[Winter Clothes Children])</f>
        <v>0</v>
      </c>
      <c r="AK199" s="448">
        <f>IF(NFI_Expiration=1,IF($A199&lt;VLOOKUP(T$5,NFI,5,0),1,0)*Table_NFI[[#This Row],[Winter Items Other]],Table_NFI[Winter Items Other])</f>
        <v>0</v>
      </c>
      <c r="AL199" s="448">
        <f>IF(NFI_Expiration=1,IF($A199&lt;VLOOKUP(M$5,NFI,5,0),1,0)*Table_NFI[[#This Row],[Winter Blanket]],Table_NFI[[#This Row],[Winter Blanket]])</f>
        <v>0</v>
      </c>
      <c r="AM199" s="448">
        <f>IF(Table_NFI[[#This Row],[Winter Clothes Adult]]+Table_NFI[[#This Row],[Winter Clothes Children]]+Table_NFI[[#This Row],[Winter Items Other]]+Table_NFI[[#This Row],[Winter Blanket]]&gt;0,1,0)</f>
        <v>1</v>
      </c>
      <c r="AN199" s="439">
        <f>IF(NFI_Expiration=1,IF($A199&lt;VLOOKUP(V$5,NFI,5,0),1,0)*Table_NFI[[#This Row],[Jerry Can]],Table_NFI[Jerry Can])</f>
        <v>0</v>
      </c>
      <c r="AO199" s="787" t="str">
        <f>IFERROR(VLOOKUP(Table_NFI[[#This Row],[Camp Name]],CL,2,0),"")</f>
        <v>MMR001CMP020</v>
      </c>
      <c r="AP199" s="788">
        <f ca="1">IF(Table_NFI[[#This Row],[Pcode]]="","",IF(OFFSET(CampList[Opening Date],MATCH(Table_NFI[[#This Row],[Pcode]],CampList[CP_Pcode],0)-1,0,1,1)&gt;=NFI_Monitor_Date,1,0))</f>
        <v>0</v>
      </c>
      <c r="AQ199" s="787" t="str">
        <f>IFERROR(VLOOKUP(Table_NFI[[#This Row],[Camp Name]],CL,3,0),"")</f>
        <v>Open</v>
      </c>
      <c r="AR199" s="448" t="str">
        <f ca="1">IF(Table_NFI[[#This Row],[Pcode]]="","",OFFSET(CampList[Priority],MATCH(Table_NFI[[#This Row],[Pcode]],CampList[CP_Pcode],0)-1,0,1,1))</f>
        <v>P4</v>
      </c>
      <c r="AS199" s="449">
        <f>IFERROR(Table_NFI[[#This Row],[Kitchen Set]]/VLOOKUP(Table_NFI[[#This Row],[Camp Name]],CL,4,0),"")</f>
        <v>0</v>
      </c>
      <c r="AT199" s="789"/>
      <c r="AU199" s="773"/>
    </row>
    <row r="200" spans="1:47" s="774" customFormat="1" x14ac:dyDescent="0.25">
      <c r="A200" s="451">
        <f t="shared" si="3"/>
        <v>18.533333333333335</v>
      </c>
      <c r="B200" s="768">
        <v>41814</v>
      </c>
      <c r="C200" s="769" t="s">
        <v>1111</v>
      </c>
      <c r="D200" s="769" t="s">
        <v>907</v>
      </c>
      <c r="E200" s="769" t="s">
        <v>380</v>
      </c>
      <c r="F200" s="769" t="s">
        <v>237</v>
      </c>
      <c r="G200" s="769" t="s">
        <v>265</v>
      </c>
      <c r="H200" s="436"/>
      <c r="I200" s="436"/>
      <c r="J200" s="436"/>
      <c r="K200" s="436"/>
      <c r="L200" s="437"/>
      <c r="M200" s="437"/>
      <c r="N200" s="437"/>
      <c r="O200" s="437"/>
      <c r="P200" s="439"/>
      <c r="Q200" s="439"/>
      <c r="R200" s="436"/>
      <c r="S200" s="436"/>
      <c r="T200" s="436"/>
      <c r="U200" s="436">
        <v>28</v>
      </c>
      <c r="V200" s="436"/>
      <c r="W200" s="436"/>
      <c r="X200" s="436"/>
      <c r="Y200" s="448">
        <f>IF(NFI_Expiration=1,IF($A200&lt;VLOOKUP(H$5,NFI,5,0),1,0)*Table_NFI[[#This Row],[Hygiene Kit]],Table_NFI[Hygiene Kit])</f>
        <v>0</v>
      </c>
      <c r="Z200" s="448">
        <f>IF(NFI_Expiration=1,IF($A200&lt;VLOOKUP(I$5,NFI,5,0),1,0)*Table_NFI[[#This Row],[NFI Core Kit]],Table_NFI[NFI Core Kit])</f>
        <v>0</v>
      </c>
      <c r="AA200" s="448">
        <f>IF(NFI_Expiration=1,IF($A200&lt;VLOOKUP(J$5,NFI,5,0),1,0)*Table_NFI[[#This Row],[Sanitary Kit]],Table_NFI[Sanitary Kit])</f>
        <v>0</v>
      </c>
      <c r="AB200" s="448">
        <f>IF(NFI_Expiration=1,IF($A200&lt;VLOOKUP(K$5,NFI,5,0),1,0)*Table_NFI[[#This Row],[Mosquito net]],Table_NFI[Mosquito net])</f>
        <v>0</v>
      </c>
      <c r="AC200" s="448">
        <f>IF(NFI_Expiration=1,IF($A200&lt;VLOOKUP(L$5,NFI,5,0),1,0)*Table_NFI[[#This Row],[Tarpaulin]],Table_NFI[[#This Row],[Tarpaulin]])</f>
        <v>0</v>
      </c>
      <c r="AD200" s="448">
        <f>IF(NFI_Expiration=1,IF($A200&lt;VLOOKUP(M$5,NFI,5,0),1,0)*Table_NFI[[#This Row],[Blanket]],Table_NFI[[#This Row],[Blanket]])</f>
        <v>0</v>
      </c>
      <c r="AE200" s="448">
        <f>IF(NFI_Expiration=1,IF($A200&lt;VLOOKUP(N$5,NFI,5,0),1,0)*Table_NFI[[#This Row],[Kitchen Set]],Table_NFI[Kitchen Set])</f>
        <v>0</v>
      </c>
      <c r="AF200" s="448">
        <f>IF(NFI_Expiration=1,IF($A200&lt;VLOOKUP(O$5,NFI,5,0),1,0)*Table_NFI[[#This Row],[Clothes Kit]],Table_NFI[Clothes Kit])</f>
        <v>0</v>
      </c>
      <c r="AG200" s="448">
        <f>IF(NFI_Expiration=1,IF($A200&lt;VLOOKUP(P$5,NFI,5,0),1,0)*Table_NFI[[#This Row],[Plastic Bucket]],Table_NFI[Plastic Bucket])</f>
        <v>0</v>
      </c>
      <c r="AH200" s="448">
        <f>IF(NFI_Expiration=1,IF($A200&lt;VLOOKUP(Q$5,NFI,5,0),1,0)*Table_NFI[[#This Row],[Plastic Mat]],Table_NFI[Plastic Mat])*IF(Table_NFI[[#This Row],[Distribution Date]]&gt;"2014-04-01",1,2.5)</f>
        <v>0</v>
      </c>
      <c r="AI200" s="448">
        <f>IF(NFI_Expiration=1,IF($A200&lt;VLOOKUP(R$5,NFI,5,0),1,0)*Table_NFI[[#This Row],[Winter Clothes Adult]],Table_NFI[Winter Clothes Adult])</f>
        <v>0</v>
      </c>
      <c r="AJ200" s="448">
        <f>IF(NFI_Expiration=1,IF($A200&lt;VLOOKUP(S$5,NFI,5,0),1,0)*Table_NFI[[#This Row],[Winter Clothes Children]],Table_NFI[Winter Clothes Children])</f>
        <v>0</v>
      </c>
      <c r="AK200" s="448">
        <f>IF(NFI_Expiration=1,IF($A200&lt;VLOOKUP(T$5,NFI,5,0),1,0)*Table_NFI[[#This Row],[Winter Items Other]],Table_NFI[Winter Items Other])</f>
        <v>0</v>
      </c>
      <c r="AL200" s="448">
        <f>IF(NFI_Expiration=1,IF($A200&lt;VLOOKUP(M$5,NFI,5,0),1,0)*Table_NFI[[#This Row],[Winter Blanket]],Table_NFI[[#This Row],[Winter Blanket]])</f>
        <v>0</v>
      </c>
      <c r="AM200" s="448">
        <f>IF(Table_NFI[[#This Row],[Winter Clothes Adult]]+Table_NFI[[#This Row],[Winter Clothes Children]]+Table_NFI[[#This Row],[Winter Items Other]]+Table_NFI[[#This Row],[Winter Blanket]]&gt;0,1,0)</f>
        <v>1</v>
      </c>
      <c r="AN200" s="439">
        <f>IF(NFI_Expiration=1,IF($A200&lt;VLOOKUP(V$5,NFI,5,0),1,0)*Table_NFI[[#This Row],[Jerry Can]],Table_NFI[Jerry Can])</f>
        <v>0</v>
      </c>
      <c r="AO200" s="787" t="str">
        <f>IFERROR(VLOOKUP(Table_NFI[[#This Row],[Camp Name]],CL,2,0),"")</f>
        <v>MMR001CMP021</v>
      </c>
      <c r="AP200" s="788">
        <f ca="1">IF(Table_NFI[[#This Row],[Pcode]]="","",IF(OFFSET(CampList[Opening Date],MATCH(Table_NFI[[#This Row],[Pcode]],CampList[CP_Pcode],0)-1,0,1,1)&gt;=NFI_Monitor_Date,1,0))</f>
        <v>0</v>
      </c>
      <c r="AQ200" s="787" t="str">
        <f>IFERROR(VLOOKUP(Table_NFI[[#This Row],[Camp Name]],CL,3,0),"")</f>
        <v>Open</v>
      </c>
      <c r="AR200" s="448" t="str">
        <f ca="1">IF(Table_NFI[[#This Row],[Pcode]]="","",OFFSET(CampList[Priority],MATCH(Table_NFI[[#This Row],[Pcode]],CampList[CP_Pcode],0)-1,0,1,1))</f>
        <v>P4</v>
      </c>
      <c r="AS200" s="449">
        <f>IFERROR(Table_NFI[[#This Row],[Kitchen Set]]/VLOOKUP(Table_NFI[[#This Row],[Camp Name]],CL,4,0),"")</f>
        <v>0</v>
      </c>
      <c r="AT200" s="789"/>
      <c r="AU200" s="773"/>
    </row>
    <row r="201" spans="1:47" s="774" customFormat="1" x14ac:dyDescent="0.25">
      <c r="A201" s="451">
        <f t="shared" si="3"/>
        <v>18.566666666666666</v>
      </c>
      <c r="B201" s="768">
        <v>41813</v>
      </c>
      <c r="C201" s="769" t="s">
        <v>1111</v>
      </c>
      <c r="D201" s="769" t="s">
        <v>907</v>
      </c>
      <c r="E201" s="769" t="s">
        <v>380</v>
      </c>
      <c r="F201" s="769" t="s">
        <v>237</v>
      </c>
      <c r="G201" s="769" t="s">
        <v>275</v>
      </c>
      <c r="H201" s="436"/>
      <c r="I201" s="436"/>
      <c r="J201" s="436"/>
      <c r="K201" s="436"/>
      <c r="L201" s="437"/>
      <c r="M201" s="437"/>
      <c r="N201" s="437"/>
      <c r="O201" s="437"/>
      <c r="P201" s="439"/>
      <c r="Q201" s="439"/>
      <c r="R201" s="436"/>
      <c r="S201" s="436"/>
      <c r="T201" s="436"/>
      <c r="U201" s="436">
        <v>88</v>
      </c>
      <c r="V201" s="436"/>
      <c r="W201" s="436"/>
      <c r="X201" s="436"/>
      <c r="Y201" s="448">
        <f>IF(NFI_Expiration=1,IF($A201&lt;VLOOKUP(H$5,NFI,5,0),1,0)*Table_NFI[[#This Row],[Hygiene Kit]],Table_NFI[Hygiene Kit])</f>
        <v>0</v>
      </c>
      <c r="Z201" s="448">
        <f>IF(NFI_Expiration=1,IF($A201&lt;VLOOKUP(I$5,NFI,5,0),1,0)*Table_NFI[[#This Row],[NFI Core Kit]],Table_NFI[NFI Core Kit])</f>
        <v>0</v>
      </c>
      <c r="AA201" s="448">
        <f>IF(NFI_Expiration=1,IF($A201&lt;VLOOKUP(J$5,NFI,5,0),1,0)*Table_NFI[[#This Row],[Sanitary Kit]],Table_NFI[Sanitary Kit])</f>
        <v>0</v>
      </c>
      <c r="AB201" s="448">
        <f>IF(NFI_Expiration=1,IF($A201&lt;VLOOKUP(K$5,NFI,5,0),1,0)*Table_NFI[[#This Row],[Mosquito net]],Table_NFI[Mosquito net])</f>
        <v>0</v>
      </c>
      <c r="AC201" s="448">
        <f>IF(NFI_Expiration=1,IF($A201&lt;VLOOKUP(L$5,NFI,5,0),1,0)*Table_NFI[[#This Row],[Tarpaulin]],Table_NFI[[#This Row],[Tarpaulin]])</f>
        <v>0</v>
      </c>
      <c r="AD201" s="448">
        <f>IF(NFI_Expiration=1,IF($A201&lt;VLOOKUP(M$5,NFI,5,0),1,0)*Table_NFI[[#This Row],[Blanket]],Table_NFI[[#This Row],[Blanket]])</f>
        <v>0</v>
      </c>
      <c r="AE201" s="448">
        <f>IF(NFI_Expiration=1,IF($A201&lt;VLOOKUP(N$5,NFI,5,0),1,0)*Table_NFI[[#This Row],[Kitchen Set]],Table_NFI[Kitchen Set])</f>
        <v>0</v>
      </c>
      <c r="AF201" s="448">
        <f>IF(NFI_Expiration=1,IF($A201&lt;VLOOKUP(O$5,NFI,5,0),1,0)*Table_NFI[[#This Row],[Clothes Kit]],Table_NFI[Clothes Kit])</f>
        <v>0</v>
      </c>
      <c r="AG201" s="448">
        <f>IF(NFI_Expiration=1,IF($A201&lt;VLOOKUP(P$5,NFI,5,0),1,0)*Table_NFI[[#This Row],[Plastic Bucket]],Table_NFI[Plastic Bucket])</f>
        <v>0</v>
      </c>
      <c r="AH201" s="448">
        <f>IF(NFI_Expiration=1,IF($A201&lt;VLOOKUP(Q$5,NFI,5,0),1,0)*Table_NFI[[#This Row],[Plastic Mat]],Table_NFI[Plastic Mat])*IF(Table_NFI[[#This Row],[Distribution Date]]&gt;"2014-04-01",1,2.5)</f>
        <v>0</v>
      </c>
      <c r="AI201" s="448">
        <f>IF(NFI_Expiration=1,IF($A201&lt;VLOOKUP(R$5,NFI,5,0),1,0)*Table_NFI[[#This Row],[Winter Clothes Adult]],Table_NFI[Winter Clothes Adult])</f>
        <v>0</v>
      </c>
      <c r="AJ201" s="448">
        <f>IF(NFI_Expiration=1,IF($A201&lt;VLOOKUP(S$5,NFI,5,0),1,0)*Table_NFI[[#This Row],[Winter Clothes Children]],Table_NFI[Winter Clothes Children])</f>
        <v>0</v>
      </c>
      <c r="AK201" s="448">
        <f>IF(NFI_Expiration=1,IF($A201&lt;VLOOKUP(T$5,NFI,5,0),1,0)*Table_NFI[[#This Row],[Winter Items Other]],Table_NFI[Winter Items Other])</f>
        <v>0</v>
      </c>
      <c r="AL201" s="448">
        <f>IF(NFI_Expiration=1,IF($A201&lt;VLOOKUP(M$5,NFI,5,0),1,0)*Table_NFI[[#This Row],[Winter Blanket]],Table_NFI[[#This Row],[Winter Blanket]])</f>
        <v>0</v>
      </c>
      <c r="AM201" s="448">
        <f>IF(Table_NFI[[#This Row],[Winter Clothes Adult]]+Table_NFI[[#This Row],[Winter Clothes Children]]+Table_NFI[[#This Row],[Winter Items Other]]+Table_NFI[[#This Row],[Winter Blanket]]&gt;0,1,0)</f>
        <v>1</v>
      </c>
      <c r="AN201" s="439">
        <f>IF(NFI_Expiration=1,IF($A201&lt;VLOOKUP(V$5,NFI,5,0),1,0)*Table_NFI[[#This Row],[Jerry Can]],Table_NFI[Jerry Can])</f>
        <v>0</v>
      </c>
      <c r="AO201" s="787" t="str">
        <f>IFERROR(VLOOKUP(Table_NFI[[#This Row],[Camp Name]],CL,2,0),"")</f>
        <v>MMR001CMP005</v>
      </c>
      <c r="AP201" s="788">
        <f ca="1">IF(Table_NFI[[#This Row],[Pcode]]="","",IF(OFFSET(CampList[Opening Date],MATCH(Table_NFI[[#This Row],[Pcode]],CampList[CP_Pcode],0)-1,0,1,1)&gt;=NFI_Monitor_Date,1,0))</f>
        <v>0</v>
      </c>
      <c r="AQ201" s="787" t="str">
        <f>IFERROR(VLOOKUP(Table_NFI[[#This Row],[Camp Name]],CL,3,0),"")</f>
        <v>Open</v>
      </c>
      <c r="AR201" s="448" t="str">
        <f ca="1">IF(Table_NFI[[#This Row],[Pcode]]="","",OFFSET(CampList[Priority],MATCH(Table_NFI[[#This Row],[Pcode]],CampList[CP_Pcode],0)-1,0,1,1))</f>
        <v>P4</v>
      </c>
      <c r="AS201" s="449">
        <f>IFERROR(Table_NFI[[#This Row],[Kitchen Set]]/VLOOKUP(Table_NFI[[#This Row],[Camp Name]],CL,4,0),"")</f>
        <v>0</v>
      </c>
      <c r="AT201" s="789"/>
      <c r="AU201" s="773"/>
    </row>
    <row r="202" spans="1:47" s="136" customFormat="1" x14ac:dyDescent="0.25">
      <c r="A202" s="451">
        <f t="shared" si="3"/>
        <v>18.600000000000001</v>
      </c>
      <c r="B202" s="768">
        <v>41812</v>
      </c>
      <c r="C202" s="769" t="s">
        <v>1111</v>
      </c>
      <c r="D202" s="769" t="s">
        <v>907</v>
      </c>
      <c r="E202" s="769" t="s">
        <v>380</v>
      </c>
      <c r="F202" s="769" t="s">
        <v>185</v>
      </c>
      <c r="G202" s="769" t="s">
        <v>211</v>
      </c>
      <c r="H202" s="436"/>
      <c r="I202" s="436"/>
      <c r="J202" s="436"/>
      <c r="K202" s="436"/>
      <c r="L202" s="437"/>
      <c r="M202" s="437"/>
      <c r="N202" s="437"/>
      <c r="O202" s="437"/>
      <c r="P202" s="439"/>
      <c r="Q202" s="439"/>
      <c r="R202" s="436"/>
      <c r="S202" s="436"/>
      <c r="T202" s="436"/>
      <c r="U202" s="436">
        <v>462</v>
      </c>
      <c r="V202" s="436"/>
      <c r="W202" s="436"/>
      <c r="X202" s="436"/>
      <c r="Y202" s="448">
        <f>IF(NFI_Expiration=1,IF($A202&lt;VLOOKUP(H$5,NFI,5,0),1,0)*Table_NFI[[#This Row],[Hygiene Kit]],Table_NFI[Hygiene Kit])</f>
        <v>0</v>
      </c>
      <c r="Z202" s="448">
        <f>IF(NFI_Expiration=1,IF($A202&lt;VLOOKUP(I$5,NFI,5,0),1,0)*Table_NFI[[#This Row],[NFI Core Kit]],Table_NFI[NFI Core Kit])</f>
        <v>0</v>
      </c>
      <c r="AA202" s="448">
        <f>IF(NFI_Expiration=1,IF($A202&lt;VLOOKUP(J$5,NFI,5,0),1,0)*Table_NFI[[#This Row],[Sanitary Kit]],Table_NFI[Sanitary Kit])</f>
        <v>0</v>
      </c>
      <c r="AB202" s="448">
        <f>IF(NFI_Expiration=1,IF($A202&lt;VLOOKUP(K$5,NFI,5,0),1,0)*Table_NFI[[#This Row],[Mosquito net]],Table_NFI[Mosquito net])</f>
        <v>0</v>
      </c>
      <c r="AC202" s="448">
        <f>IF(NFI_Expiration=1,IF($A202&lt;VLOOKUP(L$5,NFI,5,0),1,0)*Table_NFI[[#This Row],[Tarpaulin]],Table_NFI[[#This Row],[Tarpaulin]])</f>
        <v>0</v>
      </c>
      <c r="AD202" s="448">
        <f>IF(NFI_Expiration=1,IF($A202&lt;VLOOKUP(M$5,NFI,5,0),1,0)*Table_NFI[[#This Row],[Blanket]],Table_NFI[[#This Row],[Blanket]])</f>
        <v>0</v>
      </c>
      <c r="AE202" s="448">
        <f>IF(NFI_Expiration=1,IF($A202&lt;VLOOKUP(N$5,NFI,5,0),1,0)*Table_NFI[[#This Row],[Kitchen Set]],Table_NFI[Kitchen Set])</f>
        <v>0</v>
      </c>
      <c r="AF202" s="448">
        <f>IF(NFI_Expiration=1,IF($A202&lt;VLOOKUP(O$5,NFI,5,0),1,0)*Table_NFI[[#This Row],[Clothes Kit]],Table_NFI[Clothes Kit])</f>
        <v>0</v>
      </c>
      <c r="AG202" s="448">
        <f>IF(NFI_Expiration=1,IF($A202&lt;VLOOKUP(P$5,NFI,5,0),1,0)*Table_NFI[[#This Row],[Plastic Bucket]],Table_NFI[Plastic Bucket])</f>
        <v>0</v>
      </c>
      <c r="AH202" s="448">
        <f>IF(NFI_Expiration=1,IF($A202&lt;VLOOKUP(Q$5,NFI,5,0),1,0)*Table_NFI[[#This Row],[Plastic Mat]],Table_NFI[Plastic Mat])*IF(Table_NFI[[#This Row],[Distribution Date]]&gt;"2014-04-01",1,2.5)</f>
        <v>0</v>
      </c>
      <c r="AI202" s="448">
        <f>IF(NFI_Expiration=1,IF($A202&lt;VLOOKUP(R$5,NFI,5,0),1,0)*Table_NFI[[#This Row],[Winter Clothes Adult]],Table_NFI[Winter Clothes Adult])</f>
        <v>0</v>
      </c>
      <c r="AJ202" s="448">
        <f>IF(NFI_Expiration=1,IF($A202&lt;VLOOKUP(S$5,NFI,5,0),1,0)*Table_NFI[[#This Row],[Winter Clothes Children]],Table_NFI[Winter Clothes Children])</f>
        <v>0</v>
      </c>
      <c r="AK202" s="448">
        <f>IF(NFI_Expiration=1,IF($A202&lt;VLOOKUP(T$5,NFI,5,0),1,0)*Table_NFI[[#This Row],[Winter Items Other]],Table_NFI[Winter Items Other])</f>
        <v>0</v>
      </c>
      <c r="AL202" s="448">
        <f>IF(NFI_Expiration=1,IF($A202&lt;VLOOKUP(M$5,NFI,5,0),1,0)*Table_NFI[[#This Row],[Winter Blanket]],Table_NFI[[#This Row],[Winter Blanket]])</f>
        <v>0</v>
      </c>
      <c r="AM202" s="448">
        <f>IF(Table_NFI[[#This Row],[Winter Clothes Adult]]+Table_NFI[[#This Row],[Winter Clothes Children]]+Table_NFI[[#This Row],[Winter Items Other]]+Table_NFI[[#This Row],[Winter Blanket]]&gt;0,1,0)</f>
        <v>1</v>
      </c>
      <c r="AN202" s="439">
        <f>IF(NFI_Expiration=1,IF($A202&lt;VLOOKUP(V$5,NFI,5,0),1,0)*Table_NFI[[#This Row],[Jerry Can]],Table_NFI[Jerry Can])</f>
        <v>0</v>
      </c>
      <c r="AO202" s="787" t="str">
        <f>IFERROR(VLOOKUP(Table_NFI[[#This Row],[Camp Name]],CL,2,0),"")</f>
        <v>MMR001CMP057</v>
      </c>
      <c r="AP202" s="788">
        <f ca="1">IF(Table_NFI[[#This Row],[Pcode]]="","",IF(OFFSET(CampList[Opening Date],MATCH(Table_NFI[[#This Row],[Pcode]],CampList[CP_Pcode],0)-1,0,1,1)&gt;=NFI_Monitor_Date,1,0))</f>
        <v>0</v>
      </c>
      <c r="AQ202" s="787" t="str">
        <f>IFERROR(VLOOKUP(Table_NFI[[#This Row],[Camp Name]],CL,3,0),"")</f>
        <v>Closed</v>
      </c>
      <c r="AR202" s="448" t="str">
        <f ca="1">IF(Table_NFI[[#This Row],[Pcode]]="","",OFFSET(CampList[Priority],MATCH(Table_NFI[[#This Row],[Pcode]],CampList[CP_Pcode],0)-1,0,1,1))</f>
        <v>P4</v>
      </c>
      <c r="AS202" s="449" t="str">
        <f>IFERROR(Table_NFI[[#This Row],[Kitchen Set]]/VLOOKUP(Table_NFI[[#This Row],[Camp Name]],CL,4,0),"")</f>
        <v/>
      </c>
      <c r="AT202" s="789"/>
      <c r="AU202" s="773"/>
    </row>
    <row r="203" spans="1:47" s="774" customFormat="1" x14ac:dyDescent="0.25">
      <c r="A203" s="451">
        <f t="shared" si="3"/>
        <v>18.633333333333333</v>
      </c>
      <c r="B203" s="768">
        <v>41811</v>
      </c>
      <c r="C203" s="769" t="s">
        <v>1111</v>
      </c>
      <c r="D203" s="769" t="s">
        <v>907</v>
      </c>
      <c r="E203" s="769" t="s">
        <v>380</v>
      </c>
      <c r="F203" s="769" t="s">
        <v>237</v>
      </c>
      <c r="G203" s="769" t="s">
        <v>243</v>
      </c>
      <c r="H203" s="436"/>
      <c r="I203" s="436"/>
      <c r="J203" s="436"/>
      <c r="K203" s="436"/>
      <c r="L203" s="437"/>
      <c r="M203" s="437"/>
      <c r="N203" s="437"/>
      <c r="O203" s="437"/>
      <c r="P203" s="439"/>
      <c r="Q203" s="439"/>
      <c r="R203" s="436"/>
      <c r="S203" s="436"/>
      <c r="T203" s="436"/>
      <c r="U203" s="436">
        <v>12</v>
      </c>
      <c r="V203" s="436"/>
      <c r="W203" s="436"/>
      <c r="X203" s="436"/>
      <c r="Y203" s="448">
        <f>IF(NFI_Expiration=1,IF($A203&lt;VLOOKUP(H$5,NFI,5,0),1,0)*Table_NFI[[#This Row],[Hygiene Kit]],Table_NFI[Hygiene Kit])</f>
        <v>0</v>
      </c>
      <c r="Z203" s="448">
        <f>IF(NFI_Expiration=1,IF($A203&lt;VLOOKUP(I$5,NFI,5,0),1,0)*Table_NFI[[#This Row],[NFI Core Kit]],Table_NFI[NFI Core Kit])</f>
        <v>0</v>
      </c>
      <c r="AA203" s="448">
        <f>IF(NFI_Expiration=1,IF($A203&lt;VLOOKUP(J$5,NFI,5,0),1,0)*Table_NFI[[#This Row],[Sanitary Kit]],Table_NFI[Sanitary Kit])</f>
        <v>0</v>
      </c>
      <c r="AB203" s="448">
        <f>IF(NFI_Expiration=1,IF($A203&lt;VLOOKUP(K$5,NFI,5,0),1,0)*Table_NFI[[#This Row],[Mosquito net]],Table_NFI[Mosquito net])</f>
        <v>0</v>
      </c>
      <c r="AC203" s="448">
        <f>IF(NFI_Expiration=1,IF($A203&lt;VLOOKUP(L$5,NFI,5,0),1,0)*Table_NFI[[#This Row],[Tarpaulin]],Table_NFI[[#This Row],[Tarpaulin]])</f>
        <v>0</v>
      </c>
      <c r="AD203" s="448">
        <f>IF(NFI_Expiration=1,IF($A203&lt;VLOOKUP(M$5,NFI,5,0),1,0)*Table_NFI[[#This Row],[Blanket]],Table_NFI[[#This Row],[Blanket]])</f>
        <v>0</v>
      </c>
      <c r="AE203" s="448">
        <f>IF(NFI_Expiration=1,IF($A203&lt;VLOOKUP(N$5,NFI,5,0),1,0)*Table_NFI[[#This Row],[Kitchen Set]],Table_NFI[Kitchen Set])</f>
        <v>0</v>
      </c>
      <c r="AF203" s="448">
        <f>IF(NFI_Expiration=1,IF($A203&lt;VLOOKUP(O$5,NFI,5,0),1,0)*Table_NFI[[#This Row],[Clothes Kit]],Table_NFI[Clothes Kit])</f>
        <v>0</v>
      </c>
      <c r="AG203" s="448">
        <f>IF(NFI_Expiration=1,IF($A203&lt;VLOOKUP(P$5,NFI,5,0),1,0)*Table_NFI[[#This Row],[Plastic Bucket]],Table_NFI[Plastic Bucket])</f>
        <v>0</v>
      </c>
      <c r="AH203" s="448">
        <f>IF(NFI_Expiration=1,IF($A203&lt;VLOOKUP(Q$5,NFI,5,0),1,0)*Table_NFI[[#This Row],[Plastic Mat]],Table_NFI[Plastic Mat])*IF(Table_NFI[[#This Row],[Distribution Date]]&gt;"2014-04-01",1,2.5)</f>
        <v>0</v>
      </c>
      <c r="AI203" s="448">
        <f>IF(NFI_Expiration=1,IF($A203&lt;VLOOKUP(R$5,NFI,5,0),1,0)*Table_NFI[[#This Row],[Winter Clothes Adult]],Table_NFI[Winter Clothes Adult])</f>
        <v>0</v>
      </c>
      <c r="AJ203" s="448">
        <f>IF(NFI_Expiration=1,IF($A203&lt;VLOOKUP(S$5,NFI,5,0),1,0)*Table_NFI[[#This Row],[Winter Clothes Children]],Table_NFI[Winter Clothes Children])</f>
        <v>0</v>
      </c>
      <c r="AK203" s="448">
        <f>IF(NFI_Expiration=1,IF($A203&lt;VLOOKUP(T$5,NFI,5,0),1,0)*Table_NFI[[#This Row],[Winter Items Other]],Table_NFI[Winter Items Other])</f>
        <v>0</v>
      </c>
      <c r="AL203" s="448">
        <f>IF(NFI_Expiration=1,IF($A203&lt;VLOOKUP(M$5,NFI,5,0),1,0)*Table_NFI[[#This Row],[Winter Blanket]],Table_NFI[[#This Row],[Winter Blanket]])</f>
        <v>0</v>
      </c>
      <c r="AM203" s="448">
        <f>IF(Table_NFI[[#This Row],[Winter Clothes Adult]]+Table_NFI[[#This Row],[Winter Clothes Children]]+Table_NFI[[#This Row],[Winter Items Other]]+Table_NFI[[#This Row],[Winter Blanket]]&gt;0,1,0)</f>
        <v>1</v>
      </c>
      <c r="AN203" s="439">
        <f>IF(NFI_Expiration=1,IF($A203&lt;VLOOKUP(V$5,NFI,5,0),1,0)*Table_NFI[[#This Row],[Jerry Can]],Table_NFI[Jerry Can])</f>
        <v>0</v>
      </c>
      <c r="AO203" s="787" t="str">
        <f>IFERROR(VLOOKUP(Table_NFI[[#This Row],[Camp Name]],CL,2,0),"")</f>
        <v>MMR001CMP012</v>
      </c>
      <c r="AP203" s="788">
        <f ca="1">IF(Table_NFI[[#This Row],[Pcode]]="","",IF(OFFSET(CampList[Opening Date],MATCH(Table_NFI[[#This Row],[Pcode]],CampList[CP_Pcode],0)-1,0,1,1)&gt;=NFI_Monitor_Date,1,0))</f>
        <v>0</v>
      </c>
      <c r="AQ203" s="787" t="str">
        <f>IFERROR(VLOOKUP(Table_NFI[[#This Row],[Camp Name]],CL,3,0),"")</f>
        <v>Open</v>
      </c>
      <c r="AR203" s="448" t="str">
        <f ca="1">IF(Table_NFI[[#This Row],[Pcode]]="","",OFFSET(CampList[Priority],MATCH(Table_NFI[[#This Row],[Pcode]],CampList[CP_Pcode],0)-1,0,1,1))</f>
        <v>P4</v>
      </c>
      <c r="AS203" s="449">
        <f>IFERROR(Table_NFI[[#This Row],[Kitchen Set]]/VLOOKUP(Table_NFI[[#This Row],[Camp Name]],CL,4,0),"")</f>
        <v>0</v>
      </c>
      <c r="AT203" s="789"/>
      <c r="AU203" s="773"/>
    </row>
    <row r="204" spans="1:47" s="774" customFormat="1" x14ac:dyDescent="0.25">
      <c r="A204" s="451">
        <f t="shared" si="3"/>
        <v>18.633333333333333</v>
      </c>
      <c r="B204" s="768">
        <v>41811</v>
      </c>
      <c r="C204" s="769" t="s">
        <v>1111</v>
      </c>
      <c r="D204" s="769" t="s">
        <v>907</v>
      </c>
      <c r="E204" s="769" t="s">
        <v>380</v>
      </c>
      <c r="F204" s="769" t="s">
        <v>237</v>
      </c>
      <c r="G204" s="769" t="s">
        <v>245</v>
      </c>
      <c r="H204" s="436"/>
      <c r="I204" s="436"/>
      <c r="J204" s="436"/>
      <c r="K204" s="436"/>
      <c r="L204" s="437"/>
      <c r="M204" s="437"/>
      <c r="N204" s="437"/>
      <c r="O204" s="437"/>
      <c r="P204" s="439"/>
      <c r="Q204" s="439"/>
      <c r="R204" s="436"/>
      <c r="S204" s="436"/>
      <c r="T204" s="436"/>
      <c r="U204" s="436">
        <v>12</v>
      </c>
      <c r="V204" s="436"/>
      <c r="W204" s="436"/>
      <c r="X204" s="436"/>
      <c r="Y204" s="448">
        <f>IF(NFI_Expiration=1,IF($A204&lt;VLOOKUP(H$5,NFI,5,0),1,0)*Table_NFI[[#This Row],[Hygiene Kit]],Table_NFI[Hygiene Kit])</f>
        <v>0</v>
      </c>
      <c r="Z204" s="448">
        <f>IF(NFI_Expiration=1,IF($A204&lt;VLOOKUP(I$5,NFI,5,0),1,0)*Table_NFI[[#This Row],[NFI Core Kit]],Table_NFI[NFI Core Kit])</f>
        <v>0</v>
      </c>
      <c r="AA204" s="448">
        <f>IF(NFI_Expiration=1,IF($A204&lt;VLOOKUP(J$5,NFI,5,0),1,0)*Table_NFI[[#This Row],[Sanitary Kit]],Table_NFI[Sanitary Kit])</f>
        <v>0</v>
      </c>
      <c r="AB204" s="448">
        <f>IF(NFI_Expiration=1,IF($A204&lt;VLOOKUP(K$5,NFI,5,0),1,0)*Table_NFI[[#This Row],[Mosquito net]],Table_NFI[Mosquito net])</f>
        <v>0</v>
      </c>
      <c r="AC204" s="448">
        <f>IF(NFI_Expiration=1,IF($A204&lt;VLOOKUP(L$5,NFI,5,0),1,0)*Table_NFI[[#This Row],[Tarpaulin]],Table_NFI[[#This Row],[Tarpaulin]])</f>
        <v>0</v>
      </c>
      <c r="AD204" s="448">
        <f>IF(NFI_Expiration=1,IF($A204&lt;VLOOKUP(M$5,NFI,5,0),1,0)*Table_NFI[[#This Row],[Blanket]],Table_NFI[[#This Row],[Blanket]])</f>
        <v>0</v>
      </c>
      <c r="AE204" s="448">
        <f>IF(NFI_Expiration=1,IF($A204&lt;VLOOKUP(N$5,NFI,5,0),1,0)*Table_NFI[[#This Row],[Kitchen Set]],Table_NFI[Kitchen Set])</f>
        <v>0</v>
      </c>
      <c r="AF204" s="448">
        <f>IF(NFI_Expiration=1,IF($A204&lt;VLOOKUP(O$5,NFI,5,0),1,0)*Table_NFI[[#This Row],[Clothes Kit]],Table_NFI[Clothes Kit])</f>
        <v>0</v>
      </c>
      <c r="AG204" s="448">
        <f>IF(NFI_Expiration=1,IF($A204&lt;VLOOKUP(P$5,NFI,5,0),1,0)*Table_NFI[[#This Row],[Plastic Bucket]],Table_NFI[Plastic Bucket])</f>
        <v>0</v>
      </c>
      <c r="AH204" s="448">
        <f>IF(NFI_Expiration=1,IF($A204&lt;VLOOKUP(Q$5,NFI,5,0),1,0)*Table_NFI[[#This Row],[Plastic Mat]],Table_NFI[Plastic Mat])*IF(Table_NFI[[#This Row],[Distribution Date]]&gt;"2014-04-01",1,2.5)</f>
        <v>0</v>
      </c>
      <c r="AI204" s="448">
        <f>IF(NFI_Expiration=1,IF($A204&lt;VLOOKUP(R$5,NFI,5,0),1,0)*Table_NFI[[#This Row],[Winter Clothes Adult]],Table_NFI[Winter Clothes Adult])</f>
        <v>0</v>
      </c>
      <c r="AJ204" s="448">
        <f>IF(NFI_Expiration=1,IF($A204&lt;VLOOKUP(S$5,NFI,5,0),1,0)*Table_NFI[[#This Row],[Winter Clothes Children]],Table_NFI[Winter Clothes Children])</f>
        <v>0</v>
      </c>
      <c r="AK204" s="448">
        <f>IF(NFI_Expiration=1,IF($A204&lt;VLOOKUP(T$5,NFI,5,0),1,0)*Table_NFI[[#This Row],[Winter Items Other]],Table_NFI[Winter Items Other])</f>
        <v>0</v>
      </c>
      <c r="AL204" s="448">
        <f>IF(NFI_Expiration=1,IF($A204&lt;VLOOKUP(M$5,NFI,5,0),1,0)*Table_NFI[[#This Row],[Winter Blanket]],Table_NFI[[#This Row],[Winter Blanket]])</f>
        <v>0</v>
      </c>
      <c r="AM204" s="448">
        <f>IF(Table_NFI[[#This Row],[Winter Clothes Adult]]+Table_NFI[[#This Row],[Winter Clothes Children]]+Table_NFI[[#This Row],[Winter Items Other]]+Table_NFI[[#This Row],[Winter Blanket]]&gt;0,1,0)</f>
        <v>1</v>
      </c>
      <c r="AN204" s="439">
        <f>IF(NFI_Expiration=1,IF($A204&lt;VLOOKUP(V$5,NFI,5,0),1,0)*Table_NFI[[#This Row],[Jerry Can]],Table_NFI[Jerry Can])</f>
        <v>0</v>
      </c>
      <c r="AO204" s="787" t="str">
        <f>IFERROR(VLOOKUP(Table_NFI[[#This Row],[Camp Name]],CL,2,0),"")</f>
        <v>MMR001CMP010</v>
      </c>
      <c r="AP204" s="788">
        <f ca="1">IF(Table_NFI[[#This Row],[Pcode]]="","",IF(OFFSET(CampList[Opening Date],MATCH(Table_NFI[[#This Row],[Pcode]],CampList[CP_Pcode],0)-1,0,1,1)&gt;=NFI_Monitor_Date,1,0))</f>
        <v>0</v>
      </c>
      <c r="AQ204" s="787" t="str">
        <f>IFERROR(VLOOKUP(Table_NFI[[#This Row],[Camp Name]],CL,3,0),"")</f>
        <v>Open</v>
      </c>
      <c r="AR204" s="448" t="str">
        <f ca="1">IF(Table_NFI[[#This Row],[Pcode]]="","",OFFSET(CampList[Priority],MATCH(Table_NFI[[#This Row],[Pcode]],CampList[CP_Pcode],0)-1,0,1,1))</f>
        <v>P4</v>
      </c>
      <c r="AS204" s="449">
        <f>IFERROR(Table_NFI[[#This Row],[Kitchen Set]]/VLOOKUP(Table_NFI[[#This Row],[Camp Name]],CL,4,0),"")</f>
        <v>0</v>
      </c>
      <c r="AT204" s="789"/>
      <c r="AU204" s="773"/>
    </row>
    <row r="205" spans="1:47" s="774" customFormat="1" x14ac:dyDescent="0.25">
      <c r="A205" s="451">
        <f t="shared" si="3"/>
        <v>18.633333333333333</v>
      </c>
      <c r="B205" s="768">
        <v>41811</v>
      </c>
      <c r="C205" s="769" t="s">
        <v>1111</v>
      </c>
      <c r="D205" s="769" t="s">
        <v>907</v>
      </c>
      <c r="E205" s="769" t="s">
        <v>380</v>
      </c>
      <c r="F205" s="769" t="s">
        <v>237</v>
      </c>
      <c r="G205" s="769" t="s">
        <v>247</v>
      </c>
      <c r="H205" s="436"/>
      <c r="I205" s="436"/>
      <c r="J205" s="436"/>
      <c r="K205" s="436"/>
      <c r="L205" s="437"/>
      <c r="M205" s="437"/>
      <c r="N205" s="437"/>
      <c r="O205" s="437"/>
      <c r="P205" s="439"/>
      <c r="Q205" s="439"/>
      <c r="R205" s="436"/>
      <c r="S205" s="436"/>
      <c r="T205" s="436"/>
      <c r="U205" s="436">
        <v>16</v>
      </c>
      <c r="V205" s="436"/>
      <c r="W205" s="436"/>
      <c r="X205" s="436"/>
      <c r="Y205" s="448">
        <f>IF(NFI_Expiration=1,IF($A205&lt;VLOOKUP(H$5,NFI,5,0),1,0)*Table_NFI[[#This Row],[Hygiene Kit]],Table_NFI[Hygiene Kit])</f>
        <v>0</v>
      </c>
      <c r="Z205" s="448">
        <f>IF(NFI_Expiration=1,IF($A205&lt;VLOOKUP(I$5,NFI,5,0),1,0)*Table_NFI[[#This Row],[NFI Core Kit]],Table_NFI[NFI Core Kit])</f>
        <v>0</v>
      </c>
      <c r="AA205" s="448">
        <f>IF(NFI_Expiration=1,IF($A205&lt;VLOOKUP(J$5,NFI,5,0),1,0)*Table_NFI[[#This Row],[Sanitary Kit]],Table_NFI[Sanitary Kit])</f>
        <v>0</v>
      </c>
      <c r="AB205" s="448">
        <f>IF(NFI_Expiration=1,IF($A205&lt;VLOOKUP(K$5,NFI,5,0),1,0)*Table_NFI[[#This Row],[Mosquito net]],Table_NFI[Mosquito net])</f>
        <v>0</v>
      </c>
      <c r="AC205" s="448">
        <f>IF(NFI_Expiration=1,IF($A205&lt;VLOOKUP(L$5,NFI,5,0),1,0)*Table_NFI[[#This Row],[Tarpaulin]],Table_NFI[[#This Row],[Tarpaulin]])</f>
        <v>0</v>
      </c>
      <c r="AD205" s="448">
        <f>IF(NFI_Expiration=1,IF($A205&lt;VLOOKUP(M$5,NFI,5,0),1,0)*Table_NFI[[#This Row],[Blanket]],Table_NFI[[#This Row],[Blanket]])</f>
        <v>0</v>
      </c>
      <c r="AE205" s="448">
        <f>IF(NFI_Expiration=1,IF($A205&lt;VLOOKUP(N$5,NFI,5,0),1,0)*Table_NFI[[#This Row],[Kitchen Set]],Table_NFI[Kitchen Set])</f>
        <v>0</v>
      </c>
      <c r="AF205" s="448">
        <f>IF(NFI_Expiration=1,IF($A205&lt;VLOOKUP(O$5,NFI,5,0),1,0)*Table_NFI[[#This Row],[Clothes Kit]],Table_NFI[Clothes Kit])</f>
        <v>0</v>
      </c>
      <c r="AG205" s="448">
        <f>IF(NFI_Expiration=1,IF($A205&lt;VLOOKUP(P$5,NFI,5,0),1,0)*Table_NFI[[#This Row],[Plastic Bucket]],Table_NFI[Plastic Bucket])</f>
        <v>0</v>
      </c>
      <c r="AH205" s="448">
        <f>IF(NFI_Expiration=1,IF($A205&lt;VLOOKUP(Q$5,NFI,5,0),1,0)*Table_NFI[[#This Row],[Plastic Mat]],Table_NFI[Plastic Mat])*IF(Table_NFI[[#This Row],[Distribution Date]]&gt;"2014-04-01",1,2.5)</f>
        <v>0</v>
      </c>
      <c r="AI205" s="448">
        <f>IF(NFI_Expiration=1,IF($A205&lt;VLOOKUP(R$5,NFI,5,0),1,0)*Table_NFI[[#This Row],[Winter Clothes Adult]],Table_NFI[Winter Clothes Adult])</f>
        <v>0</v>
      </c>
      <c r="AJ205" s="448">
        <f>IF(NFI_Expiration=1,IF($A205&lt;VLOOKUP(S$5,NFI,5,0),1,0)*Table_NFI[[#This Row],[Winter Clothes Children]],Table_NFI[Winter Clothes Children])</f>
        <v>0</v>
      </c>
      <c r="AK205" s="448">
        <f>IF(NFI_Expiration=1,IF($A205&lt;VLOOKUP(T$5,NFI,5,0),1,0)*Table_NFI[[#This Row],[Winter Items Other]],Table_NFI[Winter Items Other])</f>
        <v>0</v>
      </c>
      <c r="AL205" s="448">
        <f>IF(NFI_Expiration=1,IF($A205&lt;VLOOKUP(M$5,NFI,5,0),1,0)*Table_NFI[[#This Row],[Winter Blanket]],Table_NFI[[#This Row],[Winter Blanket]])</f>
        <v>0</v>
      </c>
      <c r="AM205" s="448">
        <f>IF(Table_NFI[[#This Row],[Winter Clothes Adult]]+Table_NFI[[#This Row],[Winter Clothes Children]]+Table_NFI[[#This Row],[Winter Items Other]]+Table_NFI[[#This Row],[Winter Blanket]]&gt;0,1,0)</f>
        <v>1</v>
      </c>
      <c r="AN205" s="439">
        <f>IF(NFI_Expiration=1,IF($A205&lt;VLOOKUP(V$5,NFI,5,0),1,0)*Table_NFI[[#This Row],[Jerry Can]],Table_NFI[Jerry Can])</f>
        <v>0</v>
      </c>
      <c r="AO205" s="787" t="str">
        <f>IFERROR(VLOOKUP(Table_NFI[[#This Row],[Camp Name]],CL,2,0),"")</f>
        <v>MMR001CMP011</v>
      </c>
      <c r="AP205" s="788">
        <f ca="1">IF(Table_NFI[[#This Row],[Pcode]]="","",IF(OFFSET(CampList[Opening Date],MATCH(Table_NFI[[#This Row],[Pcode]],CampList[CP_Pcode],0)-1,0,1,1)&gt;=NFI_Monitor_Date,1,0))</f>
        <v>0</v>
      </c>
      <c r="AQ205" s="787" t="str">
        <f>IFERROR(VLOOKUP(Table_NFI[[#This Row],[Camp Name]],CL,3,0),"")</f>
        <v>Open</v>
      </c>
      <c r="AR205" s="448" t="str">
        <f ca="1">IF(Table_NFI[[#This Row],[Pcode]]="","",OFFSET(CampList[Priority],MATCH(Table_NFI[[#This Row],[Pcode]],CampList[CP_Pcode],0)-1,0,1,1))</f>
        <v>P4</v>
      </c>
      <c r="AS205" s="449">
        <f>IFERROR(Table_NFI[[#This Row],[Kitchen Set]]/VLOOKUP(Table_NFI[[#This Row],[Camp Name]],CL,4,0),"")</f>
        <v>0</v>
      </c>
      <c r="AT205" s="789"/>
      <c r="AU205" s="773"/>
    </row>
    <row r="206" spans="1:47" s="774" customFormat="1" x14ac:dyDescent="0.25">
      <c r="A206" s="451">
        <f t="shared" si="3"/>
        <v>18.666666666666668</v>
      </c>
      <c r="B206" s="768">
        <v>41810</v>
      </c>
      <c r="C206" s="769" t="s">
        <v>1111</v>
      </c>
      <c r="D206" s="769" t="s">
        <v>907</v>
      </c>
      <c r="E206" s="769" t="s">
        <v>380</v>
      </c>
      <c r="F206" s="769" t="s">
        <v>237</v>
      </c>
      <c r="G206" s="769" t="s">
        <v>249</v>
      </c>
      <c r="H206" s="436"/>
      <c r="I206" s="436"/>
      <c r="J206" s="436"/>
      <c r="K206" s="436"/>
      <c r="L206" s="437"/>
      <c r="M206" s="437"/>
      <c r="N206" s="437"/>
      <c r="O206" s="437"/>
      <c r="P206" s="439"/>
      <c r="Q206" s="439"/>
      <c r="R206" s="436"/>
      <c r="S206" s="436"/>
      <c r="T206" s="436"/>
      <c r="U206" s="436">
        <v>16</v>
      </c>
      <c r="V206" s="436"/>
      <c r="W206" s="436"/>
      <c r="X206" s="436"/>
      <c r="Y206" s="448">
        <f>IF(NFI_Expiration=1,IF($A206&lt;VLOOKUP(H$5,NFI,5,0),1,0)*Table_NFI[[#This Row],[Hygiene Kit]],Table_NFI[Hygiene Kit])</f>
        <v>0</v>
      </c>
      <c r="Z206" s="448">
        <f>IF(NFI_Expiration=1,IF($A206&lt;VLOOKUP(I$5,NFI,5,0),1,0)*Table_NFI[[#This Row],[NFI Core Kit]],Table_NFI[NFI Core Kit])</f>
        <v>0</v>
      </c>
      <c r="AA206" s="448">
        <f>IF(NFI_Expiration=1,IF($A206&lt;VLOOKUP(J$5,NFI,5,0),1,0)*Table_NFI[[#This Row],[Sanitary Kit]],Table_NFI[Sanitary Kit])</f>
        <v>0</v>
      </c>
      <c r="AB206" s="448">
        <f>IF(NFI_Expiration=1,IF($A206&lt;VLOOKUP(K$5,NFI,5,0),1,0)*Table_NFI[[#This Row],[Mosquito net]],Table_NFI[Mosquito net])</f>
        <v>0</v>
      </c>
      <c r="AC206" s="448">
        <f>IF(NFI_Expiration=1,IF($A206&lt;VLOOKUP(L$5,NFI,5,0),1,0)*Table_NFI[[#This Row],[Tarpaulin]],Table_NFI[[#This Row],[Tarpaulin]])</f>
        <v>0</v>
      </c>
      <c r="AD206" s="448">
        <f>IF(NFI_Expiration=1,IF($A206&lt;VLOOKUP(M$5,NFI,5,0),1,0)*Table_NFI[[#This Row],[Blanket]],Table_NFI[[#This Row],[Blanket]])</f>
        <v>0</v>
      </c>
      <c r="AE206" s="448">
        <f>IF(NFI_Expiration=1,IF($A206&lt;VLOOKUP(N$5,NFI,5,0),1,0)*Table_NFI[[#This Row],[Kitchen Set]],Table_NFI[Kitchen Set])</f>
        <v>0</v>
      </c>
      <c r="AF206" s="448">
        <f>IF(NFI_Expiration=1,IF($A206&lt;VLOOKUP(O$5,NFI,5,0),1,0)*Table_NFI[[#This Row],[Clothes Kit]],Table_NFI[Clothes Kit])</f>
        <v>0</v>
      </c>
      <c r="AG206" s="448">
        <f>IF(NFI_Expiration=1,IF($A206&lt;VLOOKUP(P$5,NFI,5,0),1,0)*Table_NFI[[#This Row],[Plastic Bucket]],Table_NFI[Plastic Bucket])</f>
        <v>0</v>
      </c>
      <c r="AH206" s="448">
        <f>IF(NFI_Expiration=1,IF($A206&lt;VLOOKUP(Q$5,NFI,5,0),1,0)*Table_NFI[[#This Row],[Plastic Mat]],Table_NFI[Plastic Mat])*IF(Table_NFI[[#This Row],[Distribution Date]]&gt;"2014-04-01",1,2.5)</f>
        <v>0</v>
      </c>
      <c r="AI206" s="448">
        <f>IF(NFI_Expiration=1,IF($A206&lt;VLOOKUP(R$5,NFI,5,0),1,0)*Table_NFI[[#This Row],[Winter Clothes Adult]],Table_NFI[Winter Clothes Adult])</f>
        <v>0</v>
      </c>
      <c r="AJ206" s="448">
        <f>IF(NFI_Expiration=1,IF($A206&lt;VLOOKUP(S$5,NFI,5,0),1,0)*Table_NFI[[#This Row],[Winter Clothes Children]],Table_NFI[Winter Clothes Children])</f>
        <v>0</v>
      </c>
      <c r="AK206" s="448">
        <f>IF(NFI_Expiration=1,IF($A206&lt;VLOOKUP(T$5,NFI,5,0),1,0)*Table_NFI[[#This Row],[Winter Items Other]],Table_NFI[Winter Items Other])</f>
        <v>0</v>
      </c>
      <c r="AL206" s="448">
        <f>IF(NFI_Expiration=1,IF($A206&lt;VLOOKUP(M$5,NFI,5,0),1,0)*Table_NFI[[#This Row],[Winter Blanket]],Table_NFI[[#This Row],[Winter Blanket]])</f>
        <v>0</v>
      </c>
      <c r="AM206" s="448">
        <f>IF(Table_NFI[[#This Row],[Winter Clothes Adult]]+Table_NFI[[#This Row],[Winter Clothes Children]]+Table_NFI[[#This Row],[Winter Items Other]]+Table_NFI[[#This Row],[Winter Blanket]]&gt;0,1,0)</f>
        <v>1</v>
      </c>
      <c r="AN206" s="439">
        <f>IF(NFI_Expiration=1,IF($A206&lt;VLOOKUP(V$5,NFI,5,0),1,0)*Table_NFI[[#This Row],[Jerry Can]],Table_NFI[Jerry Can])</f>
        <v>0</v>
      </c>
      <c r="AO206" s="787" t="str">
        <f>IFERROR(VLOOKUP(Table_NFI[[#This Row],[Camp Name]],CL,2,0),"")</f>
        <v>MMR001CMP004</v>
      </c>
      <c r="AP206" s="788">
        <f ca="1">IF(Table_NFI[[#This Row],[Pcode]]="","",IF(OFFSET(CampList[Opening Date],MATCH(Table_NFI[[#This Row],[Pcode]],CampList[CP_Pcode],0)-1,0,1,1)&gt;=NFI_Monitor_Date,1,0))</f>
        <v>0</v>
      </c>
      <c r="AQ206" s="787" t="str">
        <f>IFERROR(VLOOKUP(Table_NFI[[#This Row],[Camp Name]],CL,3,0),"")</f>
        <v>Open</v>
      </c>
      <c r="AR206" s="448" t="str">
        <f ca="1">IF(Table_NFI[[#This Row],[Pcode]]="","",OFFSET(CampList[Priority],MATCH(Table_NFI[[#This Row],[Pcode]],CampList[CP_Pcode],0)-1,0,1,1))</f>
        <v>P4</v>
      </c>
      <c r="AS206" s="449">
        <f>IFERROR(Table_NFI[[#This Row],[Kitchen Set]]/VLOOKUP(Table_NFI[[#This Row],[Camp Name]],CL,4,0),"")</f>
        <v>0</v>
      </c>
      <c r="AT206" s="789"/>
      <c r="AU206" s="773"/>
    </row>
    <row r="207" spans="1:47" s="774" customFormat="1" x14ac:dyDescent="0.25">
      <c r="A207" s="451">
        <f t="shared" si="3"/>
        <v>18.766666666666666</v>
      </c>
      <c r="B207" s="768">
        <v>41807</v>
      </c>
      <c r="C207" s="769" t="s">
        <v>454</v>
      </c>
      <c r="D207" s="769"/>
      <c r="E207" s="769" t="s">
        <v>380</v>
      </c>
      <c r="F207" s="769" t="s">
        <v>151</v>
      </c>
      <c r="G207" s="769" t="s">
        <v>891</v>
      </c>
      <c r="H207" s="436"/>
      <c r="I207" s="436"/>
      <c r="J207" s="436"/>
      <c r="K207" s="436">
        <v>10</v>
      </c>
      <c r="L207" s="437">
        <v>3</v>
      </c>
      <c r="M207" s="437">
        <v>10</v>
      </c>
      <c r="N207" s="437">
        <v>3</v>
      </c>
      <c r="O207" s="437"/>
      <c r="P207" s="439">
        <v>3</v>
      </c>
      <c r="Q207" s="439">
        <v>10</v>
      </c>
      <c r="R207" s="436"/>
      <c r="S207" s="436"/>
      <c r="T207" s="436"/>
      <c r="U207" s="436"/>
      <c r="V207" s="436"/>
      <c r="W207" s="436"/>
      <c r="X207" s="436"/>
      <c r="Y207" s="436">
        <f>IF(NFI_Expiration=1,IF($A207&lt;VLOOKUP(H$5,NFI,5,0),1,0)*Table_NFI[[#This Row],[Hygiene Kit]],Table_NFI[Hygiene Kit])</f>
        <v>0</v>
      </c>
      <c r="Z207" s="436">
        <f>IF(NFI_Expiration=1,IF($A207&lt;VLOOKUP(I$5,NFI,5,0),1,0)*Table_NFI[[#This Row],[NFI Core Kit]],Table_NFI[NFI Core Kit])</f>
        <v>0</v>
      </c>
      <c r="AA207" s="436">
        <f>IF(NFI_Expiration=1,IF($A207&lt;VLOOKUP(J$5,NFI,5,0),1,0)*Table_NFI[[#This Row],[Sanitary Kit]],Table_NFI[Sanitary Kit])</f>
        <v>0</v>
      </c>
      <c r="AB207" s="436">
        <f>IF(NFI_Expiration=1,IF($A207&lt;VLOOKUP(K$5,NFI,5,0),1,0)*Table_NFI[[#This Row],[Mosquito net]],Table_NFI[Mosquito net])</f>
        <v>0</v>
      </c>
      <c r="AC207" s="436">
        <f>IF(NFI_Expiration=1,IF($A207&lt;VLOOKUP(L$5,NFI,5,0),1,0)*Table_NFI[[#This Row],[Tarpaulin]],Table_NFI[[#This Row],[Tarpaulin]])</f>
        <v>0</v>
      </c>
      <c r="AD207" s="436">
        <f>IF(NFI_Expiration=1,IF($A207&lt;VLOOKUP(M$5,NFI,5,0),1,0)*Table_NFI[[#This Row],[Blanket]],Table_NFI[[#This Row],[Blanket]])</f>
        <v>0</v>
      </c>
      <c r="AE207" s="436">
        <f>IF(NFI_Expiration=1,IF($A207&lt;VLOOKUP(N$5,NFI,5,0),1,0)*Table_NFI[[#This Row],[Kitchen Set]],Table_NFI[Kitchen Set])</f>
        <v>0</v>
      </c>
      <c r="AF207" s="436">
        <f>IF(NFI_Expiration=1,IF($A207&lt;VLOOKUP(O$5,NFI,5,0),1,0)*Table_NFI[[#This Row],[Clothes Kit]],Table_NFI[Clothes Kit])</f>
        <v>0</v>
      </c>
      <c r="AG207" s="436">
        <f>IF(NFI_Expiration=1,IF($A207&lt;VLOOKUP(P$5,NFI,5,0),1,0)*Table_NFI[[#This Row],[Plastic Bucket]],Table_NFI[Plastic Bucket])</f>
        <v>0</v>
      </c>
      <c r="AH207" s="436">
        <f>IF(NFI_Expiration=1,IF($A207&lt;VLOOKUP(Q$5,NFI,5,0),1,0)*Table_NFI[[#This Row],[Plastic Mat]],Table_NFI[Plastic Mat])*IF(Table_NFI[[#This Row],[Distribution Date]]&gt;"2014-04-01",1,2.5)</f>
        <v>0</v>
      </c>
      <c r="AI207" s="436">
        <f>IF(NFI_Expiration=1,IF($A207&lt;VLOOKUP(R$5,NFI,5,0),1,0)*Table_NFI[[#This Row],[Winter Clothes Adult]],Table_NFI[Winter Clothes Adult])</f>
        <v>0</v>
      </c>
      <c r="AJ207" s="436">
        <f>IF(NFI_Expiration=1,IF($A207&lt;VLOOKUP(S$5,NFI,5,0),1,0)*Table_NFI[[#This Row],[Winter Clothes Children]],Table_NFI[Winter Clothes Children])</f>
        <v>0</v>
      </c>
      <c r="AK207" s="436">
        <f>IF(NFI_Expiration=1,IF($A207&lt;VLOOKUP(T$5,NFI,5,0),1,0)*Table_NFI[[#This Row],[Winter Items Other]],Table_NFI[Winter Items Other])</f>
        <v>0</v>
      </c>
      <c r="AL207" s="436">
        <f>IF(NFI_Expiration=1,IF($A207&lt;VLOOKUP(M$5,NFI,5,0),1,0)*Table_NFI[[#This Row],[Winter Blanket]],Table_NFI[[#This Row],[Winter Blanket]])</f>
        <v>0</v>
      </c>
      <c r="AM207" s="436">
        <f>IF(Table_NFI[[#This Row],[Winter Clothes Adult]]+Table_NFI[[#This Row],[Winter Clothes Children]]+Table_NFI[[#This Row],[Winter Items Other]]+Table_NFI[[#This Row],[Winter Blanket]]&gt;0,1,0)</f>
        <v>0</v>
      </c>
      <c r="AN207" s="439">
        <f>IF(NFI_Expiration=1,IF($A207&lt;VLOOKUP(V$5,NFI,5,0),1,0)*Table_NFI[[#This Row],[Jerry Can]],Table_NFI[Jerry Can])</f>
        <v>0</v>
      </c>
      <c r="AO207" s="771" t="str">
        <f>IFERROR(VLOOKUP(Table_NFI[[#This Row],[Camp Name]],CL,2,0),"")</f>
        <v>MMR001CMP218</v>
      </c>
      <c r="AP207" s="772">
        <f ca="1">IF(Table_NFI[[#This Row],[Pcode]]="","",IF(OFFSET(CampList[Opening Date],MATCH(Table_NFI[[#This Row],[Pcode]],CampList[CP_Pcode],0)-1,0,1,1)&gt;=NFI_Monitor_Date,1,0))</f>
        <v>0</v>
      </c>
      <c r="AQ207" s="781" t="str">
        <f>IFERROR(VLOOKUP(Table_NFI[[#This Row],[Camp Name]],CL,3,0),"")</f>
        <v>Open</v>
      </c>
      <c r="AR207" s="439" t="str">
        <f ca="1">IF(Table_NFI[[#This Row],[Pcode]]="","",OFFSET(CampList[Priority],MATCH(Table_NFI[[#This Row],[Pcode]],CampList[CP_Pcode],0)-1,0,1,1))</f>
        <v>P4</v>
      </c>
      <c r="AS207" s="438">
        <f>IFERROR(Table_NFI[[#This Row],[Kitchen Set]]/VLOOKUP(Table_NFI[[#This Row],[Camp Name]],CL,4,0),"")</f>
        <v>8.0645161290322578E-3</v>
      </c>
      <c r="AT207" s="769"/>
      <c r="AU207" s="773"/>
    </row>
    <row r="208" spans="1:47" s="774" customFormat="1" x14ac:dyDescent="0.25">
      <c r="A208" s="451">
        <f t="shared" si="3"/>
        <v>18.833333333333332</v>
      </c>
      <c r="B208" s="768">
        <v>41805</v>
      </c>
      <c r="C208" s="769" t="s">
        <v>1111</v>
      </c>
      <c r="D208" s="769" t="s">
        <v>907</v>
      </c>
      <c r="E208" s="769" t="s">
        <v>380</v>
      </c>
      <c r="F208" s="769" t="s">
        <v>302</v>
      </c>
      <c r="G208" s="769" t="s">
        <v>306</v>
      </c>
      <c r="H208" s="436"/>
      <c r="I208" s="436"/>
      <c r="J208" s="436"/>
      <c r="K208" s="436"/>
      <c r="L208" s="437"/>
      <c r="M208" s="437"/>
      <c r="N208" s="437"/>
      <c r="O208" s="437"/>
      <c r="P208" s="439"/>
      <c r="Q208" s="439"/>
      <c r="R208" s="436"/>
      <c r="S208" s="436"/>
      <c r="T208" s="436"/>
      <c r="U208" s="436">
        <v>158</v>
      </c>
      <c r="V208" s="436"/>
      <c r="W208" s="436"/>
      <c r="X208" s="436"/>
      <c r="Y208" s="448">
        <f>IF(NFI_Expiration=1,IF($A208&lt;VLOOKUP(H$5,NFI,5,0),1,0)*Table_NFI[[#This Row],[Hygiene Kit]],Table_NFI[Hygiene Kit])</f>
        <v>0</v>
      </c>
      <c r="Z208" s="448">
        <f>IF(NFI_Expiration=1,IF($A208&lt;VLOOKUP(I$5,NFI,5,0),1,0)*Table_NFI[[#This Row],[NFI Core Kit]],Table_NFI[NFI Core Kit])</f>
        <v>0</v>
      </c>
      <c r="AA208" s="448">
        <f>IF(NFI_Expiration=1,IF($A208&lt;VLOOKUP(J$5,NFI,5,0),1,0)*Table_NFI[[#This Row],[Sanitary Kit]],Table_NFI[Sanitary Kit])</f>
        <v>0</v>
      </c>
      <c r="AB208" s="448">
        <f>IF(NFI_Expiration=1,IF($A208&lt;VLOOKUP(K$5,NFI,5,0),1,0)*Table_NFI[[#This Row],[Mosquito net]],Table_NFI[Mosquito net])</f>
        <v>0</v>
      </c>
      <c r="AC208" s="448">
        <f>IF(NFI_Expiration=1,IF($A208&lt;VLOOKUP(L$5,NFI,5,0),1,0)*Table_NFI[[#This Row],[Tarpaulin]],Table_NFI[[#This Row],[Tarpaulin]])</f>
        <v>0</v>
      </c>
      <c r="AD208" s="448">
        <f>IF(NFI_Expiration=1,IF($A208&lt;VLOOKUP(M$5,NFI,5,0),1,0)*Table_NFI[[#This Row],[Blanket]],Table_NFI[[#This Row],[Blanket]])</f>
        <v>0</v>
      </c>
      <c r="AE208" s="448">
        <f>IF(NFI_Expiration=1,IF($A208&lt;VLOOKUP(N$5,NFI,5,0),1,0)*Table_NFI[[#This Row],[Kitchen Set]],Table_NFI[Kitchen Set])</f>
        <v>0</v>
      </c>
      <c r="AF208" s="448">
        <f>IF(NFI_Expiration=1,IF($A208&lt;VLOOKUP(O$5,NFI,5,0),1,0)*Table_NFI[[#This Row],[Clothes Kit]],Table_NFI[Clothes Kit])</f>
        <v>0</v>
      </c>
      <c r="AG208" s="448">
        <f>IF(NFI_Expiration=1,IF($A208&lt;VLOOKUP(P$5,NFI,5,0),1,0)*Table_NFI[[#This Row],[Plastic Bucket]],Table_NFI[Plastic Bucket])</f>
        <v>0</v>
      </c>
      <c r="AH208" s="448">
        <f>IF(NFI_Expiration=1,IF($A208&lt;VLOOKUP(Q$5,NFI,5,0),1,0)*Table_NFI[[#This Row],[Plastic Mat]],Table_NFI[Plastic Mat])*IF(Table_NFI[[#This Row],[Distribution Date]]&gt;"2014-04-01",1,2.5)</f>
        <v>0</v>
      </c>
      <c r="AI208" s="448">
        <f>IF(NFI_Expiration=1,IF($A208&lt;VLOOKUP(R$5,NFI,5,0),1,0)*Table_NFI[[#This Row],[Winter Clothes Adult]],Table_NFI[Winter Clothes Adult])</f>
        <v>0</v>
      </c>
      <c r="AJ208" s="448">
        <f>IF(NFI_Expiration=1,IF($A208&lt;VLOOKUP(S$5,NFI,5,0),1,0)*Table_NFI[[#This Row],[Winter Clothes Children]],Table_NFI[Winter Clothes Children])</f>
        <v>0</v>
      </c>
      <c r="AK208" s="448">
        <f>IF(NFI_Expiration=1,IF($A208&lt;VLOOKUP(T$5,NFI,5,0),1,0)*Table_NFI[[#This Row],[Winter Items Other]],Table_NFI[Winter Items Other])</f>
        <v>0</v>
      </c>
      <c r="AL208" s="448">
        <f>IF(NFI_Expiration=1,IF($A208&lt;VLOOKUP(M$5,NFI,5,0),1,0)*Table_NFI[[#This Row],[Winter Blanket]],Table_NFI[[#This Row],[Winter Blanket]])</f>
        <v>0</v>
      </c>
      <c r="AM208" s="448">
        <f>IF(Table_NFI[[#This Row],[Winter Clothes Adult]]+Table_NFI[[#This Row],[Winter Clothes Children]]+Table_NFI[[#This Row],[Winter Items Other]]+Table_NFI[[#This Row],[Winter Blanket]]&gt;0,1,0)</f>
        <v>1</v>
      </c>
      <c r="AN208" s="439">
        <f>IF(NFI_Expiration=1,IF($A208&lt;VLOOKUP(V$5,NFI,5,0),1,0)*Table_NFI[[#This Row],[Jerry Can]],Table_NFI[Jerry Can])</f>
        <v>0</v>
      </c>
      <c r="AO208" s="787" t="str">
        <f>IFERROR(VLOOKUP(Table_NFI[[#This Row],[Camp Name]],CL,2,0),"")</f>
        <v>MMR001CMP067</v>
      </c>
      <c r="AP208" s="788">
        <f ca="1">IF(Table_NFI[[#This Row],[Pcode]]="","",IF(OFFSET(CampList[Opening Date],MATCH(Table_NFI[[#This Row],[Pcode]],CampList[CP_Pcode],0)-1,0,1,1)&gt;=NFI_Monitor_Date,1,0))</f>
        <v>0</v>
      </c>
      <c r="AQ208" s="787" t="str">
        <f>IFERROR(VLOOKUP(Table_NFI[[#This Row],[Camp Name]],CL,3,0),"")</f>
        <v>Open</v>
      </c>
      <c r="AR208" s="448" t="str">
        <f ca="1">IF(Table_NFI[[#This Row],[Pcode]]="","",OFFSET(CampList[Priority],MATCH(Table_NFI[[#This Row],[Pcode]],CampList[CP_Pcode],0)-1,0,1,1))</f>
        <v>P4</v>
      </c>
      <c r="AS208" s="449">
        <f>IFERROR(Table_NFI[[#This Row],[Kitchen Set]]/VLOOKUP(Table_NFI[[#This Row],[Camp Name]],CL,4,0),"")</f>
        <v>0</v>
      </c>
      <c r="AT208" s="789"/>
      <c r="AU208" s="773"/>
    </row>
    <row r="209" spans="1:47" s="774" customFormat="1" x14ac:dyDescent="0.25">
      <c r="A209" s="451">
        <f t="shared" si="3"/>
        <v>18.833333333333332</v>
      </c>
      <c r="B209" s="768">
        <v>41805</v>
      </c>
      <c r="C209" s="769" t="s">
        <v>1111</v>
      </c>
      <c r="D209" s="769" t="s">
        <v>907</v>
      </c>
      <c r="E209" s="769" t="s">
        <v>380</v>
      </c>
      <c r="F209" s="769" t="s">
        <v>302</v>
      </c>
      <c r="G209" s="769" t="s">
        <v>308</v>
      </c>
      <c r="H209" s="436"/>
      <c r="I209" s="436"/>
      <c r="J209" s="436"/>
      <c r="K209" s="436"/>
      <c r="L209" s="437"/>
      <c r="M209" s="437"/>
      <c r="N209" s="437"/>
      <c r="O209" s="437"/>
      <c r="P209" s="439"/>
      <c r="Q209" s="439"/>
      <c r="R209" s="436"/>
      <c r="S209" s="436"/>
      <c r="T209" s="436"/>
      <c r="U209" s="436">
        <v>112</v>
      </c>
      <c r="V209" s="436"/>
      <c r="W209" s="436"/>
      <c r="X209" s="436"/>
      <c r="Y209" s="448">
        <f>IF(NFI_Expiration=1,IF($A209&lt;VLOOKUP(H$5,NFI,5,0),1,0)*Table_NFI[[#This Row],[Hygiene Kit]],Table_NFI[Hygiene Kit])</f>
        <v>0</v>
      </c>
      <c r="Z209" s="448">
        <f>IF(NFI_Expiration=1,IF($A209&lt;VLOOKUP(I$5,NFI,5,0),1,0)*Table_NFI[[#This Row],[NFI Core Kit]],Table_NFI[NFI Core Kit])</f>
        <v>0</v>
      </c>
      <c r="AA209" s="448">
        <f>IF(NFI_Expiration=1,IF($A209&lt;VLOOKUP(J$5,NFI,5,0),1,0)*Table_NFI[[#This Row],[Sanitary Kit]],Table_NFI[Sanitary Kit])</f>
        <v>0</v>
      </c>
      <c r="AB209" s="448">
        <f>IF(NFI_Expiration=1,IF($A209&lt;VLOOKUP(K$5,NFI,5,0),1,0)*Table_NFI[[#This Row],[Mosquito net]],Table_NFI[Mosquito net])</f>
        <v>0</v>
      </c>
      <c r="AC209" s="448">
        <f>IF(NFI_Expiration=1,IF($A209&lt;VLOOKUP(L$5,NFI,5,0),1,0)*Table_NFI[[#This Row],[Tarpaulin]],Table_NFI[[#This Row],[Tarpaulin]])</f>
        <v>0</v>
      </c>
      <c r="AD209" s="448">
        <f>IF(NFI_Expiration=1,IF($A209&lt;VLOOKUP(M$5,NFI,5,0),1,0)*Table_NFI[[#This Row],[Blanket]],Table_NFI[[#This Row],[Blanket]])</f>
        <v>0</v>
      </c>
      <c r="AE209" s="448">
        <f>IF(NFI_Expiration=1,IF($A209&lt;VLOOKUP(N$5,NFI,5,0),1,0)*Table_NFI[[#This Row],[Kitchen Set]],Table_NFI[Kitchen Set])</f>
        <v>0</v>
      </c>
      <c r="AF209" s="448">
        <f>IF(NFI_Expiration=1,IF($A209&lt;VLOOKUP(O$5,NFI,5,0),1,0)*Table_NFI[[#This Row],[Clothes Kit]],Table_NFI[Clothes Kit])</f>
        <v>0</v>
      </c>
      <c r="AG209" s="448">
        <f>IF(NFI_Expiration=1,IF($A209&lt;VLOOKUP(P$5,NFI,5,0),1,0)*Table_NFI[[#This Row],[Plastic Bucket]],Table_NFI[Plastic Bucket])</f>
        <v>0</v>
      </c>
      <c r="AH209" s="448">
        <f>IF(NFI_Expiration=1,IF($A209&lt;VLOOKUP(Q$5,NFI,5,0),1,0)*Table_NFI[[#This Row],[Plastic Mat]],Table_NFI[Plastic Mat])*IF(Table_NFI[[#This Row],[Distribution Date]]&gt;"2014-04-01",1,2.5)</f>
        <v>0</v>
      </c>
      <c r="AI209" s="448">
        <f>IF(NFI_Expiration=1,IF($A209&lt;VLOOKUP(R$5,NFI,5,0),1,0)*Table_NFI[[#This Row],[Winter Clothes Adult]],Table_NFI[Winter Clothes Adult])</f>
        <v>0</v>
      </c>
      <c r="AJ209" s="448">
        <f>IF(NFI_Expiration=1,IF($A209&lt;VLOOKUP(S$5,NFI,5,0),1,0)*Table_NFI[[#This Row],[Winter Clothes Children]],Table_NFI[Winter Clothes Children])</f>
        <v>0</v>
      </c>
      <c r="AK209" s="448">
        <f>IF(NFI_Expiration=1,IF($A209&lt;VLOOKUP(T$5,NFI,5,0),1,0)*Table_NFI[[#This Row],[Winter Items Other]],Table_NFI[Winter Items Other])</f>
        <v>0</v>
      </c>
      <c r="AL209" s="448">
        <f>IF(NFI_Expiration=1,IF($A209&lt;VLOOKUP(M$5,NFI,5,0),1,0)*Table_NFI[[#This Row],[Winter Blanket]],Table_NFI[[#This Row],[Winter Blanket]])</f>
        <v>0</v>
      </c>
      <c r="AM209" s="448">
        <f>IF(Table_NFI[[#This Row],[Winter Clothes Adult]]+Table_NFI[[#This Row],[Winter Clothes Children]]+Table_NFI[[#This Row],[Winter Items Other]]+Table_NFI[[#This Row],[Winter Blanket]]&gt;0,1,0)</f>
        <v>1</v>
      </c>
      <c r="AN209" s="439">
        <f>IF(NFI_Expiration=1,IF($A209&lt;VLOOKUP(V$5,NFI,5,0),1,0)*Table_NFI[[#This Row],[Jerry Can]],Table_NFI[Jerry Can])</f>
        <v>0</v>
      </c>
      <c r="AO209" s="787" t="str">
        <f>IFERROR(VLOOKUP(Table_NFI[[#This Row],[Camp Name]],CL,2,0),"")</f>
        <v>MMR001CMP068</v>
      </c>
      <c r="AP209" s="788">
        <f ca="1">IF(Table_NFI[[#This Row],[Pcode]]="","",IF(OFFSET(CampList[Opening Date],MATCH(Table_NFI[[#This Row],[Pcode]],CampList[CP_Pcode],0)-1,0,1,1)&gt;=NFI_Monitor_Date,1,0))</f>
        <v>0</v>
      </c>
      <c r="AQ209" s="787" t="str">
        <f>IFERROR(VLOOKUP(Table_NFI[[#This Row],[Camp Name]],CL,3,0),"")</f>
        <v>Open</v>
      </c>
      <c r="AR209" s="448" t="str">
        <f ca="1">IF(Table_NFI[[#This Row],[Pcode]]="","",OFFSET(CampList[Priority],MATCH(Table_NFI[[#This Row],[Pcode]],CampList[CP_Pcode],0)-1,0,1,1))</f>
        <v>P4</v>
      </c>
      <c r="AS209" s="449">
        <f>IFERROR(Table_NFI[[#This Row],[Kitchen Set]]/VLOOKUP(Table_NFI[[#This Row],[Camp Name]],CL,4,0),"")</f>
        <v>0</v>
      </c>
      <c r="AT209" s="789"/>
      <c r="AU209" s="773"/>
    </row>
    <row r="210" spans="1:47" s="774" customFormat="1" x14ac:dyDescent="0.25">
      <c r="A210" s="451">
        <f t="shared" si="3"/>
        <v>18.866666666666667</v>
      </c>
      <c r="B210" s="768">
        <v>41804</v>
      </c>
      <c r="C210" s="769" t="s">
        <v>1111</v>
      </c>
      <c r="D210" s="769" t="s">
        <v>907</v>
      </c>
      <c r="E210" s="769" t="s">
        <v>380</v>
      </c>
      <c r="F210" s="769" t="s">
        <v>237</v>
      </c>
      <c r="G210" s="769" t="s">
        <v>253</v>
      </c>
      <c r="H210" s="436"/>
      <c r="I210" s="436"/>
      <c r="J210" s="436"/>
      <c r="K210" s="436"/>
      <c r="L210" s="437"/>
      <c r="M210" s="437"/>
      <c r="N210" s="437"/>
      <c r="O210" s="437"/>
      <c r="P210" s="439"/>
      <c r="Q210" s="439"/>
      <c r="R210" s="436"/>
      <c r="S210" s="436"/>
      <c r="T210" s="436"/>
      <c r="U210" s="436">
        <v>406</v>
      </c>
      <c r="V210" s="436"/>
      <c r="W210" s="436"/>
      <c r="X210" s="436"/>
      <c r="Y210" s="448">
        <f>IF(NFI_Expiration=1,IF($A210&lt;VLOOKUP(H$5,NFI,5,0),1,0)*Table_NFI[[#This Row],[Hygiene Kit]],Table_NFI[Hygiene Kit])</f>
        <v>0</v>
      </c>
      <c r="Z210" s="448">
        <f>IF(NFI_Expiration=1,IF($A210&lt;VLOOKUP(I$5,NFI,5,0),1,0)*Table_NFI[[#This Row],[NFI Core Kit]],Table_NFI[NFI Core Kit])</f>
        <v>0</v>
      </c>
      <c r="AA210" s="448">
        <f>IF(NFI_Expiration=1,IF($A210&lt;VLOOKUP(J$5,NFI,5,0),1,0)*Table_NFI[[#This Row],[Sanitary Kit]],Table_NFI[Sanitary Kit])</f>
        <v>0</v>
      </c>
      <c r="AB210" s="448">
        <f>IF(NFI_Expiration=1,IF($A210&lt;VLOOKUP(K$5,NFI,5,0),1,0)*Table_NFI[[#This Row],[Mosquito net]],Table_NFI[Mosquito net])</f>
        <v>0</v>
      </c>
      <c r="AC210" s="448">
        <f>IF(NFI_Expiration=1,IF($A210&lt;VLOOKUP(L$5,NFI,5,0),1,0)*Table_NFI[[#This Row],[Tarpaulin]],Table_NFI[[#This Row],[Tarpaulin]])</f>
        <v>0</v>
      </c>
      <c r="AD210" s="448">
        <f>IF(NFI_Expiration=1,IF($A210&lt;VLOOKUP(M$5,NFI,5,0),1,0)*Table_NFI[[#This Row],[Blanket]],Table_NFI[[#This Row],[Blanket]])</f>
        <v>0</v>
      </c>
      <c r="AE210" s="448">
        <f>IF(NFI_Expiration=1,IF($A210&lt;VLOOKUP(N$5,NFI,5,0),1,0)*Table_NFI[[#This Row],[Kitchen Set]],Table_NFI[Kitchen Set])</f>
        <v>0</v>
      </c>
      <c r="AF210" s="448">
        <f>IF(NFI_Expiration=1,IF($A210&lt;VLOOKUP(O$5,NFI,5,0),1,0)*Table_NFI[[#This Row],[Clothes Kit]],Table_NFI[Clothes Kit])</f>
        <v>0</v>
      </c>
      <c r="AG210" s="448">
        <f>IF(NFI_Expiration=1,IF($A210&lt;VLOOKUP(P$5,NFI,5,0),1,0)*Table_NFI[[#This Row],[Plastic Bucket]],Table_NFI[Plastic Bucket])</f>
        <v>0</v>
      </c>
      <c r="AH210" s="448">
        <f>IF(NFI_Expiration=1,IF($A210&lt;VLOOKUP(Q$5,NFI,5,0),1,0)*Table_NFI[[#This Row],[Plastic Mat]],Table_NFI[Plastic Mat])*IF(Table_NFI[[#This Row],[Distribution Date]]&gt;"2014-04-01",1,2.5)</f>
        <v>0</v>
      </c>
      <c r="AI210" s="448">
        <f>IF(NFI_Expiration=1,IF($A210&lt;VLOOKUP(R$5,NFI,5,0),1,0)*Table_NFI[[#This Row],[Winter Clothes Adult]],Table_NFI[Winter Clothes Adult])</f>
        <v>0</v>
      </c>
      <c r="AJ210" s="448">
        <f>IF(NFI_Expiration=1,IF($A210&lt;VLOOKUP(S$5,NFI,5,0),1,0)*Table_NFI[[#This Row],[Winter Clothes Children]],Table_NFI[Winter Clothes Children])</f>
        <v>0</v>
      </c>
      <c r="AK210" s="448">
        <f>IF(NFI_Expiration=1,IF($A210&lt;VLOOKUP(T$5,NFI,5,0),1,0)*Table_NFI[[#This Row],[Winter Items Other]],Table_NFI[Winter Items Other])</f>
        <v>0</v>
      </c>
      <c r="AL210" s="448">
        <f>IF(NFI_Expiration=1,IF($A210&lt;VLOOKUP(M$5,NFI,5,0),1,0)*Table_NFI[[#This Row],[Winter Blanket]],Table_NFI[[#This Row],[Winter Blanket]])</f>
        <v>0</v>
      </c>
      <c r="AM210" s="448">
        <f>IF(Table_NFI[[#This Row],[Winter Clothes Adult]]+Table_NFI[[#This Row],[Winter Clothes Children]]+Table_NFI[[#This Row],[Winter Items Other]]+Table_NFI[[#This Row],[Winter Blanket]]&gt;0,1,0)</f>
        <v>1</v>
      </c>
      <c r="AN210" s="439">
        <f>IF(NFI_Expiration=1,IF($A210&lt;VLOOKUP(V$5,NFI,5,0),1,0)*Table_NFI[[#This Row],[Jerry Can]],Table_NFI[Jerry Can])</f>
        <v>0</v>
      </c>
      <c r="AO210" s="787" t="str">
        <f>IFERROR(VLOOKUP(Table_NFI[[#This Row],[Camp Name]],CL,2,0),"")</f>
        <v>MMR001CMP018</v>
      </c>
      <c r="AP210" s="788">
        <f ca="1">IF(Table_NFI[[#This Row],[Pcode]]="","",IF(OFFSET(CampList[Opening Date],MATCH(Table_NFI[[#This Row],[Pcode]],CampList[CP_Pcode],0)-1,0,1,1)&gt;=NFI_Monitor_Date,1,0))</f>
        <v>0</v>
      </c>
      <c r="AQ210" s="787" t="str">
        <f>IFERROR(VLOOKUP(Table_NFI[[#This Row],[Camp Name]],CL,3,0),"")</f>
        <v>Open</v>
      </c>
      <c r="AR210" s="448" t="str">
        <f ca="1">IF(Table_NFI[[#This Row],[Pcode]]="","",OFFSET(CampList[Priority],MATCH(Table_NFI[[#This Row],[Pcode]],CampList[CP_Pcode],0)-1,0,1,1))</f>
        <v>P4</v>
      </c>
      <c r="AS210" s="449">
        <f>IFERROR(Table_NFI[[#This Row],[Kitchen Set]]/VLOOKUP(Table_NFI[[#This Row],[Camp Name]],CL,4,0),"")</f>
        <v>0</v>
      </c>
      <c r="AT210" s="789"/>
      <c r="AU210" s="773"/>
    </row>
    <row r="211" spans="1:47" s="774" customFormat="1" x14ac:dyDescent="0.25">
      <c r="A211" s="451">
        <f t="shared" si="3"/>
        <v>18.866666666666667</v>
      </c>
      <c r="B211" s="768">
        <v>41804</v>
      </c>
      <c r="C211" s="769" t="s">
        <v>1111</v>
      </c>
      <c r="D211" s="769" t="s">
        <v>907</v>
      </c>
      <c r="E211" s="769" t="s">
        <v>380</v>
      </c>
      <c r="F211" s="769" t="s">
        <v>237</v>
      </c>
      <c r="G211" s="769" t="s">
        <v>255</v>
      </c>
      <c r="H211" s="436"/>
      <c r="I211" s="436"/>
      <c r="J211" s="436"/>
      <c r="K211" s="436"/>
      <c r="L211" s="437"/>
      <c r="M211" s="437"/>
      <c r="N211" s="437"/>
      <c r="O211" s="437"/>
      <c r="P211" s="439"/>
      <c r="Q211" s="439"/>
      <c r="R211" s="436"/>
      <c r="S211" s="436"/>
      <c r="T211" s="436"/>
      <c r="U211" s="436">
        <v>216</v>
      </c>
      <c r="V211" s="436"/>
      <c r="W211" s="436"/>
      <c r="X211" s="436"/>
      <c r="Y211" s="448">
        <f>IF(NFI_Expiration=1,IF($A211&lt;VLOOKUP(H$5,NFI,5,0),1,0)*Table_NFI[[#This Row],[Hygiene Kit]],Table_NFI[Hygiene Kit])</f>
        <v>0</v>
      </c>
      <c r="Z211" s="448">
        <f>IF(NFI_Expiration=1,IF($A211&lt;VLOOKUP(I$5,NFI,5,0),1,0)*Table_NFI[[#This Row],[NFI Core Kit]],Table_NFI[NFI Core Kit])</f>
        <v>0</v>
      </c>
      <c r="AA211" s="448">
        <f>IF(NFI_Expiration=1,IF($A211&lt;VLOOKUP(J$5,NFI,5,0),1,0)*Table_NFI[[#This Row],[Sanitary Kit]],Table_NFI[Sanitary Kit])</f>
        <v>0</v>
      </c>
      <c r="AB211" s="448">
        <f>IF(NFI_Expiration=1,IF($A211&lt;VLOOKUP(K$5,NFI,5,0),1,0)*Table_NFI[[#This Row],[Mosquito net]],Table_NFI[Mosquito net])</f>
        <v>0</v>
      </c>
      <c r="AC211" s="448">
        <f>IF(NFI_Expiration=1,IF($A211&lt;VLOOKUP(L$5,NFI,5,0),1,0)*Table_NFI[[#This Row],[Tarpaulin]],Table_NFI[[#This Row],[Tarpaulin]])</f>
        <v>0</v>
      </c>
      <c r="AD211" s="448">
        <f>IF(NFI_Expiration=1,IF($A211&lt;VLOOKUP(M$5,NFI,5,0),1,0)*Table_NFI[[#This Row],[Blanket]],Table_NFI[[#This Row],[Blanket]])</f>
        <v>0</v>
      </c>
      <c r="AE211" s="448">
        <f>IF(NFI_Expiration=1,IF($A211&lt;VLOOKUP(N$5,NFI,5,0),1,0)*Table_NFI[[#This Row],[Kitchen Set]],Table_NFI[Kitchen Set])</f>
        <v>0</v>
      </c>
      <c r="AF211" s="448">
        <f>IF(NFI_Expiration=1,IF($A211&lt;VLOOKUP(O$5,NFI,5,0),1,0)*Table_NFI[[#This Row],[Clothes Kit]],Table_NFI[Clothes Kit])</f>
        <v>0</v>
      </c>
      <c r="AG211" s="448">
        <f>IF(NFI_Expiration=1,IF($A211&lt;VLOOKUP(P$5,NFI,5,0),1,0)*Table_NFI[[#This Row],[Plastic Bucket]],Table_NFI[Plastic Bucket])</f>
        <v>0</v>
      </c>
      <c r="AH211" s="448">
        <f>IF(NFI_Expiration=1,IF($A211&lt;VLOOKUP(Q$5,NFI,5,0),1,0)*Table_NFI[[#This Row],[Plastic Mat]],Table_NFI[Plastic Mat])*IF(Table_NFI[[#This Row],[Distribution Date]]&gt;"2014-04-01",1,2.5)</f>
        <v>0</v>
      </c>
      <c r="AI211" s="448">
        <f>IF(NFI_Expiration=1,IF($A211&lt;VLOOKUP(R$5,NFI,5,0),1,0)*Table_NFI[[#This Row],[Winter Clothes Adult]],Table_NFI[Winter Clothes Adult])</f>
        <v>0</v>
      </c>
      <c r="AJ211" s="448">
        <f>IF(NFI_Expiration=1,IF($A211&lt;VLOOKUP(S$5,NFI,5,0),1,0)*Table_NFI[[#This Row],[Winter Clothes Children]],Table_NFI[Winter Clothes Children])</f>
        <v>0</v>
      </c>
      <c r="AK211" s="448">
        <f>IF(NFI_Expiration=1,IF($A211&lt;VLOOKUP(T$5,NFI,5,0),1,0)*Table_NFI[[#This Row],[Winter Items Other]],Table_NFI[Winter Items Other])</f>
        <v>0</v>
      </c>
      <c r="AL211" s="448">
        <f>IF(NFI_Expiration=1,IF($A211&lt;VLOOKUP(M$5,NFI,5,0),1,0)*Table_NFI[[#This Row],[Winter Blanket]],Table_NFI[[#This Row],[Winter Blanket]])</f>
        <v>0</v>
      </c>
      <c r="AM211" s="448">
        <f>IF(Table_NFI[[#This Row],[Winter Clothes Adult]]+Table_NFI[[#This Row],[Winter Clothes Children]]+Table_NFI[[#This Row],[Winter Items Other]]+Table_NFI[[#This Row],[Winter Blanket]]&gt;0,1,0)</f>
        <v>1</v>
      </c>
      <c r="AN211" s="439">
        <f>IF(NFI_Expiration=1,IF($A211&lt;VLOOKUP(V$5,NFI,5,0),1,0)*Table_NFI[[#This Row],[Jerry Can]],Table_NFI[Jerry Can])</f>
        <v>0</v>
      </c>
      <c r="AO211" s="787" t="str">
        <f>IFERROR(VLOOKUP(Table_NFI[[#This Row],[Camp Name]],CL,2,0),"")</f>
        <v>MMR001CMP019</v>
      </c>
      <c r="AP211" s="788">
        <f ca="1">IF(Table_NFI[[#This Row],[Pcode]]="","",IF(OFFSET(CampList[Opening Date],MATCH(Table_NFI[[#This Row],[Pcode]],CampList[CP_Pcode],0)-1,0,1,1)&gt;=NFI_Monitor_Date,1,0))</f>
        <v>0</v>
      </c>
      <c r="AQ211" s="787" t="str">
        <f>IFERROR(VLOOKUP(Table_NFI[[#This Row],[Camp Name]],CL,3,0),"")</f>
        <v>Open</v>
      </c>
      <c r="AR211" s="448" t="str">
        <f ca="1">IF(Table_NFI[[#This Row],[Pcode]]="","",OFFSET(CampList[Priority],MATCH(Table_NFI[[#This Row],[Pcode]],CampList[CP_Pcode],0)-1,0,1,1))</f>
        <v>P4</v>
      </c>
      <c r="AS211" s="449">
        <f>IFERROR(Table_NFI[[#This Row],[Kitchen Set]]/VLOOKUP(Table_NFI[[#This Row],[Camp Name]],CL,4,0),"")</f>
        <v>0</v>
      </c>
      <c r="AT211" s="789"/>
      <c r="AU211" s="773"/>
    </row>
    <row r="212" spans="1:47" s="774" customFormat="1" x14ac:dyDescent="0.25">
      <c r="A212" s="451">
        <f t="shared" si="3"/>
        <v>18.899999999999999</v>
      </c>
      <c r="B212" s="768">
        <v>41803</v>
      </c>
      <c r="C212" s="769" t="s">
        <v>454</v>
      </c>
      <c r="D212" s="769"/>
      <c r="E212" s="769" t="s">
        <v>380</v>
      </c>
      <c r="F212" s="769" t="s">
        <v>151</v>
      </c>
      <c r="G212" s="769" t="s">
        <v>891</v>
      </c>
      <c r="H212" s="436"/>
      <c r="I212" s="436"/>
      <c r="J212" s="436"/>
      <c r="K212" s="436">
        <v>54</v>
      </c>
      <c r="L212" s="437">
        <v>18</v>
      </c>
      <c r="M212" s="437">
        <v>45</v>
      </c>
      <c r="N212" s="437">
        <v>18</v>
      </c>
      <c r="O212" s="437"/>
      <c r="P212" s="439">
        <v>18</v>
      </c>
      <c r="Q212" s="439">
        <v>50</v>
      </c>
      <c r="R212" s="436"/>
      <c r="S212" s="436"/>
      <c r="T212" s="436"/>
      <c r="U212" s="436"/>
      <c r="V212" s="436"/>
      <c r="W212" s="436"/>
      <c r="X212" s="436"/>
      <c r="Y212" s="436">
        <f>IF(NFI_Expiration=1,IF($A212&lt;VLOOKUP(H$5,NFI,5,0),1,0)*Table_NFI[[#This Row],[Hygiene Kit]],Table_NFI[Hygiene Kit])</f>
        <v>0</v>
      </c>
      <c r="Z212" s="436">
        <f>IF(NFI_Expiration=1,IF($A212&lt;VLOOKUP(I$5,NFI,5,0),1,0)*Table_NFI[[#This Row],[NFI Core Kit]],Table_NFI[NFI Core Kit])</f>
        <v>0</v>
      </c>
      <c r="AA212" s="436">
        <f>IF(NFI_Expiration=1,IF($A212&lt;VLOOKUP(J$5,NFI,5,0),1,0)*Table_NFI[[#This Row],[Sanitary Kit]],Table_NFI[Sanitary Kit])</f>
        <v>0</v>
      </c>
      <c r="AB212" s="436">
        <f>IF(NFI_Expiration=1,IF($A212&lt;VLOOKUP(K$5,NFI,5,0),1,0)*Table_NFI[[#This Row],[Mosquito net]],Table_NFI[Mosquito net])</f>
        <v>0</v>
      </c>
      <c r="AC212" s="436">
        <f>IF(NFI_Expiration=1,IF($A212&lt;VLOOKUP(L$5,NFI,5,0),1,0)*Table_NFI[[#This Row],[Tarpaulin]],Table_NFI[[#This Row],[Tarpaulin]])</f>
        <v>0</v>
      </c>
      <c r="AD212" s="436">
        <f>IF(NFI_Expiration=1,IF($A212&lt;VLOOKUP(M$5,NFI,5,0),1,0)*Table_NFI[[#This Row],[Blanket]],Table_NFI[[#This Row],[Blanket]])</f>
        <v>0</v>
      </c>
      <c r="AE212" s="436">
        <f>IF(NFI_Expiration=1,IF($A212&lt;VLOOKUP(N$5,NFI,5,0),1,0)*Table_NFI[[#This Row],[Kitchen Set]],Table_NFI[Kitchen Set])</f>
        <v>0</v>
      </c>
      <c r="AF212" s="436">
        <f>IF(NFI_Expiration=1,IF($A212&lt;VLOOKUP(O$5,NFI,5,0),1,0)*Table_NFI[[#This Row],[Clothes Kit]],Table_NFI[Clothes Kit])</f>
        <v>0</v>
      </c>
      <c r="AG212" s="436">
        <f>IF(NFI_Expiration=1,IF($A212&lt;VLOOKUP(P$5,NFI,5,0),1,0)*Table_NFI[[#This Row],[Plastic Bucket]],Table_NFI[Plastic Bucket])</f>
        <v>0</v>
      </c>
      <c r="AH212" s="436">
        <f>IF(NFI_Expiration=1,IF($A212&lt;VLOOKUP(Q$5,NFI,5,0),1,0)*Table_NFI[[#This Row],[Plastic Mat]],Table_NFI[Plastic Mat])*IF(Table_NFI[[#This Row],[Distribution Date]]&gt;"2014-04-01",1,2.5)</f>
        <v>0</v>
      </c>
      <c r="AI212" s="436">
        <f>IF(NFI_Expiration=1,IF($A212&lt;VLOOKUP(R$5,NFI,5,0),1,0)*Table_NFI[[#This Row],[Winter Clothes Adult]],Table_NFI[Winter Clothes Adult])</f>
        <v>0</v>
      </c>
      <c r="AJ212" s="436">
        <f>IF(NFI_Expiration=1,IF($A212&lt;VLOOKUP(S$5,NFI,5,0),1,0)*Table_NFI[[#This Row],[Winter Clothes Children]],Table_NFI[Winter Clothes Children])</f>
        <v>0</v>
      </c>
      <c r="AK212" s="436">
        <f>IF(NFI_Expiration=1,IF($A212&lt;VLOOKUP(T$5,NFI,5,0),1,0)*Table_NFI[[#This Row],[Winter Items Other]],Table_NFI[Winter Items Other])</f>
        <v>0</v>
      </c>
      <c r="AL212" s="436">
        <f>IF(NFI_Expiration=1,IF($A212&lt;VLOOKUP(M$5,NFI,5,0),1,0)*Table_NFI[[#This Row],[Winter Blanket]],Table_NFI[[#This Row],[Winter Blanket]])</f>
        <v>0</v>
      </c>
      <c r="AM212" s="436">
        <f>IF(Table_NFI[[#This Row],[Winter Clothes Adult]]+Table_NFI[[#This Row],[Winter Clothes Children]]+Table_NFI[[#This Row],[Winter Items Other]]+Table_NFI[[#This Row],[Winter Blanket]]&gt;0,1,0)</f>
        <v>0</v>
      </c>
      <c r="AN212" s="439">
        <f>IF(NFI_Expiration=1,IF($A212&lt;VLOOKUP(V$5,NFI,5,0),1,0)*Table_NFI[[#This Row],[Jerry Can]],Table_NFI[Jerry Can])</f>
        <v>0</v>
      </c>
      <c r="AO212" s="771" t="str">
        <f>IFERROR(VLOOKUP(Table_NFI[[#This Row],[Camp Name]],CL,2,0),"")</f>
        <v>MMR001CMP218</v>
      </c>
      <c r="AP212" s="772">
        <f ca="1">IF(Table_NFI[[#This Row],[Pcode]]="","",IF(OFFSET(CampList[Opening Date],MATCH(Table_NFI[[#This Row],[Pcode]],CampList[CP_Pcode],0)-1,0,1,1)&gt;=NFI_Monitor_Date,1,0))</f>
        <v>0</v>
      </c>
      <c r="AQ212" s="781" t="str">
        <f>IFERROR(VLOOKUP(Table_NFI[[#This Row],[Camp Name]],CL,3,0),"")</f>
        <v>Open</v>
      </c>
      <c r="AR212" s="439" t="str">
        <f ca="1">IF(Table_NFI[[#This Row],[Pcode]]="","",OFFSET(CampList[Priority],MATCH(Table_NFI[[#This Row],[Pcode]],CampList[CP_Pcode],0)-1,0,1,1))</f>
        <v>P4</v>
      </c>
      <c r="AS212" s="438">
        <f>IFERROR(Table_NFI[[#This Row],[Kitchen Set]]/VLOOKUP(Table_NFI[[#This Row],[Camp Name]],CL,4,0),"")</f>
        <v>4.8387096774193547E-2</v>
      </c>
      <c r="AT212" s="769"/>
      <c r="AU212" s="773"/>
    </row>
    <row r="213" spans="1:47" s="774" customFormat="1" x14ac:dyDescent="0.25">
      <c r="A213" s="451">
        <f t="shared" si="3"/>
        <v>19.100000000000001</v>
      </c>
      <c r="B213" s="768">
        <v>41797</v>
      </c>
      <c r="C213" s="769" t="s">
        <v>1111</v>
      </c>
      <c r="D213" s="769" t="s">
        <v>907</v>
      </c>
      <c r="E213" s="769" t="s">
        <v>380</v>
      </c>
      <c r="F213" s="769" t="s">
        <v>180</v>
      </c>
      <c r="G213" s="769" t="s">
        <v>287</v>
      </c>
      <c r="H213" s="436"/>
      <c r="I213" s="436"/>
      <c r="J213" s="436"/>
      <c r="K213" s="436"/>
      <c r="L213" s="437"/>
      <c r="M213" s="437"/>
      <c r="N213" s="437"/>
      <c r="O213" s="437"/>
      <c r="P213" s="439"/>
      <c r="Q213" s="439"/>
      <c r="R213" s="436"/>
      <c r="S213" s="436"/>
      <c r="T213" s="436"/>
      <c r="U213" s="436">
        <v>40</v>
      </c>
      <c r="V213" s="436"/>
      <c r="W213" s="436"/>
      <c r="X213" s="436"/>
      <c r="Y213" s="448">
        <f>IF(NFI_Expiration=1,IF($A213&lt;VLOOKUP(H$5,NFI,5,0),1,0)*Table_NFI[[#This Row],[Hygiene Kit]],Table_NFI[Hygiene Kit])</f>
        <v>0</v>
      </c>
      <c r="Z213" s="448">
        <f>IF(NFI_Expiration=1,IF($A213&lt;VLOOKUP(I$5,NFI,5,0),1,0)*Table_NFI[[#This Row],[NFI Core Kit]],Table_NFI[NFI Core Kit])</f>
        <v>0</v>
      </c>
      <c r="AA213" s="448">
        <f>IF(NFI_Expiration=1,IF($A213&lt;VLOOKUP(J$5,NFI,5,0),1,0)*Table_NFI[[#This Row],[Sanitary Kit]],Table_NFI[Sanitary Kit])</f>
        <v>0</v>
      </c>
      <c r="AB213" s="448">
        <f>IF(NFI_Expiration=1,IF($A213&lt;VLOOKUP(K$5,NFI,5,0),1,0)*Table_NFI[[#This Row],[Mosquito net]],Table_NFI[Mosquito net])</f>
        <v>0</v>
      </c>
      <c r="AC213" s="448">
        <f>IF(NFI_Expiration=1,IF($A213&lt;VLOOKUP(L$5,NFI,5,0),1,0)*Table_NFI[[#This Row],[Tarpaulin]],Table_NFI[[#This Row],[Tarpaulin]])</f>
        <v>0</v>
      </c>
      <c r="AD213" s="448">
        <f>IF(NFI_Expiration=1,IF($A213&lt;VLOOKUP(M$5,NFI,5,0),1,0)*Table_NFI[[#This Row],[Blanket]],Table_NFI[[#This Row],[Blanket]])</f>
        <v>0</v>
      </c>
      <c r="AE213" s="448">
        <f>IF(NFI_Expiration=1,IF($A213&lt;VLOOKUP(N$5,NFI,5,0),1,0)*Table_NFI[[#This Row],[Kitchen Set]],Table_NFI[Kitchen Set])</f>
        <v>0</v>
      </c>
      <c r="AF213" s="448">
        <f>IF(NFI_Expiration=1,IF($A213&lt;VLOOKUP(O$5,NFI,5,0),1,0)*Table_NFI[[#This Row],[Clothes Kit]],Table_NFI[Clothes Kit])</f>
        <v>0</v>
      </c>
      <c r="AG213" s="448">
        <f>IF(NFI_Expiration=1,IF($A213&lt;VLOOKUP(P$5,NFI,5,0),1,0)*Table_NFI[[#This Row],[Plastic Bucket]],Table_NFI[Plastic Bucket])</f>
        <v>0</v>
      </c>
      <c r="AH213" s="448">
        <f>IF(NFI_Expiration=1,IF($A213&lt;VLOOKUP(Q$5,NFI,5,0),1,0)*Table_NFI[[#This Row],[Plastic Mat]],Table_NFI[Plastic Mat])*IF(Table_NFI[[#This Row],[Distribution Date]]&gt;"2014-04-01",1,2.5)</f>
        <v>0</v>
      </c>
      <c r="AI213" s="448">
        <f>IF(NFI_Expiration=1,IF($A213&lt;VLOOKUP(R$5,NFI,5,0),1,0)*Table_NFI[[#This Row],[Winter Clothes Adult]],Table_NFI[Winter Clothes Adult])</f>
        <v>0</v>
      </c>
      <c r="AJ213" s="448">
        <f>IF(NFI_Expiration=1,IF($A213&lt;VLOOKUP(S$5,NFI,5,0),1,0)*Table_NFI[[#This Row],[Winter Clothes Children]],Table_NFI[Winter Clothes Children])</f>
        <v>0</v>
      </c>
      <c r="AK213" s="448">
        <f>IF(NFI_Expiration=1,IF($A213&lt;VLOOKUP(T$5,NFI,5,0),1,0)*Table_NFI[[#This Row],[Winter Items Other]],Table_NFI[Winter Items Other])</f>
        <v>0</v>
      </c>
      <c r="AL213" s="448">
        <f>IF(NFI_Expiration=1,IF($A213&lt;VLOOKUP(M$5,NFI,5,0),1,0)*Table_NFI[[#This Row],[Winter Blanket]],Table_NFI[[#This Row],[Winter Blanket]])</f>
        <v>0</v>
      </c>
      <c r="AM213" s="448">
        <f>IF(Table_NFI[[#This Row],[Winter Clothes Adult]]+Table_NFI[[#This Row],[Winter Clothes Children]]+Table_NFI[[#This Row],[Winter Items Other]]+Table_NFI[[#This Row],[Winter Blanket]]&gt;0,1,0)</f>
        <v>1</v>
      </c>
      <c r="AN213" s="439">
        <f>IF(NFI_Expiration=1,IF($A213&lt;VLOOKUP(V$5,NFI,5,0),1,0)*Table_NFI[[#This Row],[Jerry Can]],Table_NFI[Jerry Can])</f>
        <v>0</v>
      </c>
      <c r="AO213" s="787" t="str">
        <f>IFERROR(VLOOKUP(Table_NFI[[#This Row],[Camp Name]],CL,2,0),"")</f>
        <v>MMR001CMP152</v>
      </c>
      <c r="AP213" s="788">
        <f ca="1">IF(Table_NFI[[#This Row],[Pcode]]="","",IF(OFFSET(CampList[Opening Date],MATCH(Table_NFI[[#This Row],[Pcode]],CampList[CP_Pcode],0)-1,0,1,1)&gt;=NFI_Monitor_Date,1,0))</f>
        <v>0</v>
      </c>
      <c r="AQ213" s="787" t="str">
        <f>IFERROR(VLOOKUP(Table_NFI[[#This Row],[Camp Name]],CL,3,0),"")</f>
        <v>Open</v>
      </c>
      <c r="AR213" s="448" t="str">
        <f ca="1">IF(Table_NFI[[#This Row],[Pcode]]="","",OFFSET(CampList[Priority],MATCH(Table_NFI[[#This Row],[Pcode]],CampList[CP_Pcode],0)-1,0,1,1))</f>
        <v>P4</v>
      </c>
      <c r="AS213" s="449">
        <f>IFERROR(Table_NFI[[#This Row],[Kitchen Set]]/VLOOKUP(Table_NFI[[#This Row],[Camp Name]],CL,4,0),"")</f>
        <v>0</v>
      </c>
      <c r="AT213" s="789"/>
      <c r="AU213" s="773"/>
    </row>
    <row r="214" spans="1:47" s="774" customFormat="1" x14ac:dyDescent="0.25">
      <c r="A214" s="451">
        <f t="shared" si="3"/>
        <v>19.133333333333333</v>
      </c>
      <c r="B214" s="768">
        <v>41796</v>
      </c>
      <c r="C214" s="769" t="s">
        <v>1111</v>
      </c>
      <c r="D214" s="769" t="s">
        <v>907</v>
      </c>
      <c r="E214" s="769" t="s">
        <v>380</v>
      </c>
      <c r="F214" s="769" t="s">
        <v>180</v>
      </c>
      <c r="G214" s="769" t="s">
        <v>181</v>
      </c>
      <c r="H214" s="436"/>
      <c r="I214" s="436"/>
      <c r="J214" s="436"/>
      <c r="K214" s="436"/>
      <c r="L214" s="437"/>
      <c r="M214" s="437"/>
      <c r="N214" s="437"/>
      <c r="O214" s="437"/>
      <c r="P214" s="439"/>
      <c r="Q214" s="439"/>
      <c r="R214" s="436"/>
      <c r="S214" s="436"/>
      <c r="T214" s="436"/>
      <c r="U214" s="436">
        <v>24</v>
      </c>
      <c r="V214" s="436"/>
      <c r="W214" s="436"/>
      <c r="X214" s="436"/>
      <c r="Y214" s="448">
        <f>IF(NFI_Expiration=1,IF($A214&lt;VLOOKUP(H$5,NFI,5,0),1,0)*Table_NFI[[#This Row],[Hygiene Kit]],Table_NFI[Hygiene Kit])</f>
        <v>0</v>
      </c>
      <c r="Z214" s="448">
        <f>IF(NFI_Expiration=1,IF($A214&lt;VLOOKUP(I$5,NFI,5,0),1,0)*Table_NFI[[#This Row],[NFI Core Kit]],Table_NFI[NFI Core Kit])</f>
        <v>0</v>
      </c>
      <c r="AA214" s="448">
        <f>IF(NFI_Expiration=1,IF($A214&lt;VLOOKUP(J$5,NFI,5,0),1,0)*Table_NFI[[#This Row],[Sanitary Kit]],Table_NFI[Sanitary Kit])</f>
        <v>0</v>
      </c>
      <c r="AB214" s="448">
        <f>IF(NFI_Expiration=1,IF($A214&lt;VLOOKUP(K$5,NFI,5,0),1,0)*Table_NFI[[#This Row],[Mosquito net]],Table_NFI[Mosquito net])</f>
        <v>0</v>
      </c>
      <c r="AC214" s="448">
        <f>IF(NFI_Expiration=1,IF($A214&lt;VLOOKUP(L$5,NFI,5,0),1,0)*Table_NFI[[#This Row],[Tarpaulin]],Table_NFI[[#This Row],[Tarpaulin]])</f>
        <v>0</v>
      </c>
      <c r="AD214" s="448">
        <f>IF(NFI_Expiration=1,IF($A214&lt;VLOOKUP(M$5,NFI,5,0),1,0)*Table_NFI[[#This Row],[Blanket]],Table_NFI[[#This Row],[Blanket]])</f>
        <v>0</v>
      </c>
      <c r="AE214" s="448">
        <f>IF(NFI_Expiration=1,IF($A214&lt;VLOOKUP(N$5,NFI,5,0),1,0)*Table_NFI[[#This Row],[Kitchen Set]],Table_NFI[Kitchen Set])</f>
        <v>0</v>
      </c>
      <c r="AF214" s="448">
        <f>IF(NFI_Expiration=1,IF($A214&lt;VLOOKUP(O$5,NFI,5,0),1,0)*Table_NFI[[#This Row],[Clothes Kit]],Table_NFI[Clothes Kit])</f>
        <v>0</v>
      </c>
      <c r="AG214" s="448">
        <f>IF(NFI_Expiration=1,IF($A214&lt;VLOOKUP(P$5,NFI,5,0),1,0)*Table_NFI[[#This Row],[Plastic Bucket]],Table_NFI[Plastic Bucket])</f>
        <v>0</v>
      </c>
      <c r="AH214" s="448">
        <f>IF(NFI_Expiration=1,IF($A214&lt;VLOOKUP(Q$5,NFI,5,0),1,0)*Table_NFI[[#This Row],[Plastic Mat]],Table_NFI[Plastic Mat])*IF(Table_NFI[[#This Row],[Distribution Date]]&gt;"2014-04-01",1,2.5)</f>
        <v>0</v>
      </c>
      <c r="AI214" s="448">
        <f>IF(NFI_Expiration=1,IF($A214&lt;VLOOKUP(R$5,NFI,5,0),1,0)*Table_NFI[[#This Row],[Winter Clothes Adult]],Table_NFI[Winter Clothes Adult])</f>
        <v>0</v>
      </c>
      <c r="AJ214" s="448">
        <f>IF(NFI_Expiration=1,IF($A214&lt;VLOOKUP(S$5,NFI,5,0),1,0)*Table_NFI[[#This Row],[Winter Clothes Children]],Table_NFI[Winter Clothes Children])</f>
        <v>0</v>
      </c>
      <c r="AK214" s="448">
        <f>IF(NFI_Expiration=1,IF($A214&lt;VLOOKUP(T$5,NFI,5,0),1,0)*Table_NFI[[#This Row],[Winter Items Other]],Table_NFI[Winter Items Other])</f>
        <v>0</v>
      </c>
      <c r="AL214" s="448">
        <f>IF(NFI_Expiration=1,IF($A214&lt;VLOOKUP(M$5,NFI,5,0),1,0)*Table_NFI[[#This Row],[Winter Blanket]],Table_NFI[[#This Row],[Winter Blanket]])</f>
        <v>0</v>
      </c>
      <c r="AM214" s="448">
        <f>IF(Table_NFI[[#This Row],[Winter Clothes Adult]]+Table_NFI[[#This Row],[Winter Clothes Children]]+Table_NFI[[#This Row],[Winter Items Other]]+Table_NFI[[#This Row],[Winter Blanket]]&gt;0,1,0)</f>
        <v>1</v>
      </c>
      <c r="AN214" s="439">
        <f>IF(NFI_Expiration=1,IF($A214&lt;VLOOKUP(V$5,NFI,5,0),1,0)*Table_NFI[[#This Row],[Jerry Can]],Table_NFI[Jerry Can])</f>
        <v>0</v>
      </c>
      <c r="AO214" s="787" t="str">
        <f>IFERROR(VLOOKUP(Table_NFI[[#This Row],[Camp Name]],CL,2,0),"")</f>
        <v>MMR001CMP080</v>
      </c>
      <c r="AP214" s="788">
        <f ca="1">IF(Table_NFI[[#This Row],[Pcode]]="","",IF(OFFSET(CampList[Opening Date],MATCH(Table_NFI[[#This Row],[Pcode]],CampList[CP_Pcode],0)-1,0,1,1)&gt;=NFI_Monitor_Date,1,0))</f>
        <v>0</v>
      </c>
      <c r="AQ214" s="787" t="str">
        <f>IFERROR(VLOOKUP(Table_NFI[[#This Row],[Camp Name]],CL,3,0),"")</f>
        <v>Open</v>
      </c>
      <c r="AR214" s="448" t="str">
        <f ca="1">IF(Table_NFI[[#This Row],[Pcode]]="","",OFFSET(CampList[Priority],MATCH(Table_NFI[[#This Row],[Pcode]],CampList[CP_Pcode],0)-1,0,1,1))</f>
        <v>P4</v>
      </c>
      <c r="AS214" s="449">
        <f>IFERROR(Table_NFI[[#This Row],[Kitchen Set]]/VLOOKUP(Table_NFI[[#This Row],[Camp Name]],CL,4,0),"")</f>
        <v>0</v>
      </c>
      <c r="AT214" s="789"/>
      <c r="AU214" s="773"/>
    </row>
    <row r="215" spans="1:47" s="774" customFormat="1" x14ac:dyDescent="0.25">
      <c r="A215" s="451">
        <f t="shared" si="3"/>
        <v>19.2</v>
      </c>
      <c r="B215" s="768">
        <v>41794</v>
      </c>
      <c r="C215" s="769" t="s">
        <v>454</v>
      </c>
      <c r="D215" s="769" t="s">
        <v>462</v>
      </c>
      <c r="E215" s="769" t="s">
        <v>380</v>
      </c>
      <c r="F215" s="769" t="s">
        <v>185</v>
      </c>
      <c r="G215" s="769" t="s">
        <v>209</v>
      </c>
      <c r="H215" s="436"/>
      <c r="I215" s="436"/>
      <c r="J215" s="436"/>
      <c r="K215" s="436"/>
      <c r="L215" s="437">
        <v>80</v>
      </c>
      <c r="M215" s="437"/>
      <c r="N215" s="437"/>
      <c r="O215" s="437"/>
      <c r="P215" s="439"/>
      <c r="Q215" s="439"/>
      <c r="R215" s="436"/>
      <c r="S215" s="436"/>
      <c r="T215" s="436"/>
      <c r="U215" s="436"/>
      <c r="V215" s="436"/>
      <c r="W215" s="436"/>
      <c r="X215" s="436"/>
      <c r="Y215" s="436">
        <f>IF(NFI_Expiration=1,IF($A215&lt;VLOOKUP(H$5,NFI,5,0),1,0)*Table_NFI[[#This Row],[Hygiene Kit]],Table_NFI[Hygiene Kit])</f>
        <v>0</v>
      </c>
      <c r="Z215" s="436">
        <f>IF(NFI_Expiration=1,IF($A215&lt;VLOOKUP(I$5,NFI,5,0),1,0)*Table_NFI[[#This Row],[NFI Core Kit]],Table_NFI[NFI Core Kit])</f>
        <v>0</v>
      </c>
      <c r="AA215" s="436">
        <f>IF(NFI_Expiration=1,IF($A215&lt;VLOOKUP(J$5,NFI,5,0),1,0)*Table_NFI[[#This Row],[Sanitary Kit]],Table_NFI[Sanitary Kit])</f>
        <v>0</v>
      </c>
      <c r="AB215" s="436">
        <f>IF(NFI_Expiration=1,IF($A215&lt;VLOOKUP(K$5,NFI,5,0),1,0)*Table_NFI[[#This Row],[Mosquito net]],Table_NFI[Mosquito net])</f>
        <v>0</v>
      </c>
      <c r="AC215" s="436">
        <f>IF(NFI_Expiration=1,IF($A215&lt;VLOOKUP(L$5,NFI,5,0),1,0)*Table_NFI[[#This Row],[Tarpaulin]],Table_NFI[[#This Row],[Tarpaulin]])</f>
        <v>0</v>
      </c>
      <c r="AD215" s="436">
        <f>IF(NFI_Expiration=1,IF($A215&lt;VLOOKUP(M$5,NFI,5,0),1,0)*Table_NFI[[#This Row],[Blanket]],Table_NFI[[#This Row],[Blanket]])</f>
        <v>0</v>
      </c>
      <c r="AE215" s="436">
        <f>IF(NFI_Expiration=1,IF($A215&lt;VLOOKUP(N$5,NFI,5,0),1,0)*Table_NFI[[#This Row],[Kitchen Set]],Table_NFI[Kitchen Set])</f>
        <v>0</v>
      </c>
      <c r="AF215" s="436">
        <f>IF(NFI_Expiration=1,IF($A215&lt;VLOOKUP(O$5,NFI,5,0),1,0)*Table_NFI[[#This Row],[Clothes Kit]],Table_NFI[Clothes Kit])</f>
        <v>0</v>
      </c>
      <c r="AG215" s="436">
        <f>IF(NFI_Expiration=1,IF($A215&lt;VLOOKUP(P$5,NFI,5,0),1,0)*Table_NFI[[#This Row],[Plastic Bucket]],Table_NFI[Plastic Bucket])</f>
        <v>0</v>
      </c>
      <c r="AH215" s="436">
        <f>IF(NFI_Expiration=1,IF($A215&lt;VLOOKUP(Q$5,NFI,5,0),1,0)*Table_NFI[[#This Row],[Plastic Mat]],Table_NFI[Plastic Mat])*IF(Table_NFI[[#This Row],[Distribution Date]]&gt;"2014-04-01",1,2.5)</f>
        <v>0</v>
      </c>
      <c r="AI215" s="436">
        <f>IF(NFI_Expiration=1,IF($A215&lt;VLOOKUP(R$5,NFI,5,0),1,0)*Table_NFI[[#This Row],[Winter Clothes Adult]],Table_NFI[Winter Clothes Adult])</f>
        <v>0</v>
      </c>
      <c r="AJ215" s="436">
        <f>IF(NFI_Expiration=1,IF($A215&lt;VLOOKUP(S$5,NFI,5,0),1,0)*Table_NFI[[#This Row],[Winter Clothes Children]],Table_NFI[Winter Clothes Children])</f>
        <v>0</v>
      </c>
      <c r="AK215" s="436">
        <f>IF(NFI_Expiration=1,IF($A215&lt;VLOOKUP(T$5,NFI,5,0),1,0)*Table_NFI[[#This Row],[Winter Items Other]],Table_NFI[Winter Items Other])</f>
        <v>0</v>
      </c>
      <c r="AL215" s="436">
        <f>IF(NFI_Expiration=1,IF($A215&lt;VLOOKUP(M$5,NFI,5,0),1,0)*Table_NFI[[#This Row],[Winter Blanket]],Table_NFI[[#This Row],[Winter Blanket]])</f>
        <v>0</v>
      </c>
      <c r="AM215" s="436">
        <f>IF(Table_NFI[[#This Row],[Winter Clothes Adult]]+Table_NFI[[#This Row],[Winter Clothes Children]]+Table_NFI[[#This Row],[Winter Items Other]]+Table_NFI[[#This Row],[Winter Blanket]]&gt;0,1,0)</f>
        <v>0</v>
      </c>
      <c r="AN215" s="439">
        <f>IF(NFI_Expiration=1,IF($A215&lt;VLOOKUP(V$5,NFI,5,0),1,0)*Table_NFI[[#This Row],[Jerry Can]],Table_NFI[Jerry Can])</f>
        <v>0</v>
      </c>
      <c r="AO215" s="771" t="str">
        <f>IFERROR(VLOOKUP(Table_NFI[[#This Row],[Camp Name]],CL,2,0),"")</f>
        <v>MMR001CMP056</v>
      </c>
      <c r="AP215" s="772">
        <f ca="1">IF(Table_NFI[[#This Row],[Pcode]]="","",IF(OFFSET(CampList[Opening Date],MATCH(Table_NFI[[#This Row],[Pcode]],CampList[CP_Pcode],0)-1,0,1,1)&gt;=NFI_Monitor_Date,1,0))</f>
        <v>0</v>
      </c>
      <c r="AQ215" s="781" t="str">
        <f>IFERROR(VLOOKUP(Table_NFI[[#This Row],[Camp Name]],CL,3,0),"")</f>
        <v>Open</v>
      </c>
      <c r="AR215" s="439" t="str">
        <f ca="1">IF(Table_NFI[[#This Row],[Pcode]]="","",OFFSET(CampList[Priority],MATCH(Table_NFI[[#This Row],[Pcode]],CampList[CP_Pcode],0)-1,0,1,1))</f>
        <v>P4</v>
      </c>
      <c r="AS215" s="438">
        <f>IFERROR(Table_NFI[[#This Row],[Kitchen Set]]/VLOOKUP(Table_NFI[[#This Row],[Camp Name]],CL,4,0),"")</f>
        <v>0</v>
      </c>
      <c r="AT215" s="769" t="s">
        <v>1099</v>
      </c>
      <c r="AU215" s="773"/>
    </row>
    <row r="216" spans="1:47" s="774" customFormat="1" x14ac:dyDescent="0.25">
      <c r="A216" s="451">
        <f t="shared" si="3"/>
        <v>19.366666666666667</v>
      </c>
      <c r="B216" s="768">
        <v>41789</v>
      </c>
      <c r="C216" s="769" t="s">
        <v>1111</v>
      </c>
      <c r="D216" s="769" t="s">
        <v>907</v>
      </c>
      <c r="E216" s="769" t="s">
        <v>380</v>
      </c>
      <c r="F216" s="769" t="s">
        <v>237</v>
      </c>
      <c r="G216" s="769" t="s">
        <v>283</v>
      </c>
      <c r="H216" s="436"/>
      <c r="I216" s="436"/>
      <c r="J216" s="436"/>
      <c r="K216" s="436"/>
      <c r="L216" s="437"/>
      <c r="M216" s="437"/>
      <c r="N216" s="437"/>
      <c r="O216" s="437"/>
      <c r="P216" s="439"/>
      <c r="Q216" s="439"/>
      <c r="R216" s="436"/>
      <c r="S216" s="436"/>
      <c r="T216" s="436"/>
      <c r="U216" s="436">
        <v>12</v>
      </c>
      <c r="V216" s="436"/>
      <c r="W216" s="436"/>
      <c r="X216" s="436"/>
      <c r="Y216" s="448">
        <f>IF(NFI_Expiration=1,IF($A216&lt;VLOOKUP(H$5,NFI,5,0),1,0)*Table_NFI[[#This Row],[Hygiene Kit]],Table_NFI[Hygiene Kit])</f>
        <v>0</v>
      </c>
      <c r="Z216" s="448">
        <f>IF(NFI_Expiration=1,IF($A216&lt;VLOOKUP(I$5,NFI,5,0),1,0)*Table_NFI[[#This Row],[NFI Core Kit]],Table_NFI[NFI Core Kit])</f>
        <v>0</v>
      </c>
      <c r="AA216" s="448">
        <f>IF(NFI_Expiration=1,IF($A216&lt;VLOOKUP(J$5,NFI,5,0),1,0)*Table_NFI[[#This Row],[Sanitary Kit]],Table_NFI[Sanitary Kit])</f>
        <v>0</v>
      </c>
      <c r="AB216" s="448">
        <f>IF(NFI_Expiration=1,IF($A216&lt;VLOOKUP(K$5,NFI,5,0),1,0)*Table_NFI[[#This Row],[Mosquito net]],Table_NFI[Mosquito net])</f>
        <v>0</v>
      </c>
      <c r="AC216" s="448">
        <f>IF(NFI_Expiration=1,IF($A216&lt;VLOOKUP(L$5,NFI,5,0),1,0)*Table_NFI[[#This Row],[Tarpaulin]],Table_NFI[[#This Row],[Tarpaulin]])</f>
        <v>0</v>
      </c>
      <c r="AD216" s="448">
        <f>IF(NFI_Expiration=1,IF($A216&lt;VLOOKUP(M$5,NFI,5,0),1,0)*Table_NFI[[#This Row],[Blanket]],Table_NFI[[#This Row],[Blanket]])</f>
        <v>0</v>
      </c>
      <c r="AE216" s="448">
        <f>IF(NFI_Expiration=1,IF($A216&lt;VLOOKUP(N$5,NFI,5,0),1,0)*Table_NFI[[#This Row],[Kitchen Set]],Table_NFI[Kitchen Set])</f>
        <v>0</v>
      </c>
      <c r="AF216" s="448">
        <f>IF(NFI_Expiration=1,IF($A216&lt;VLOOKUP(O$5,NFI,5,0),1,0)*Table_NFI[[#This Row],[Clothes Kit]],Table_NFI[Clothes Kit])</f>
        <v>0</v>
      </c>
      <c r="AG216" s="448">
        <f>IF(NFI_Expiration=1,IF($A216&lt;VLOOKUP(P$5,NFI,5,0),1,0)*Table_NFI[[#This Row],[Plastic Bucket]],Table_NFI[Plastic Bucket])</f>
        <v>0</v>
      </c>
      <c r="AH216" s="448">
        <f>IF(NFI_Expiration=1,IF($A216&lt;VLOOKUP(Q$5,NFI,5,0),1,0)*Table_NFI[[#This Row],[Plastic Mat]],Table_NFI[Plastic Mat])*IF(Table_NFI[[#This Row],[Distribution Date]]&gt;"2014-04-01",1,2.5)</f>
        <v>0</v>
      </c>
      <c r="AI216" s="448">
        <f>IF(NFI_Expiration=1,IF($A216&lt;VLOOKUP(R$5,NFI,5,0),1,0)*Table_NFI[[#This Row],[Winter Clothes Adult]],Table_NFI[Winter Clothes Adult])</f>
        <v>0</v>
      </c>
      <c r="AJ216" s="448">
        <f>IF(NFI_Expiration=1,IF($A216&lt;VLOOKUP(S$5,NFI,5,0),1,0)*Table_NFI[[#This Row],[Winter Clothes Children]],Table_NFI[Winter Clothes Children])</f>
        <v>0</v>
      </c>
      <c r="AK216" s="448">
        <f>IF(NFI_Expiration=1,IF($A216&lt;VLOOKUP(T$5,NFI,5,0),1,0)*Table_NFI[[#This Row],[Winter Items Other]],Table_NFI[Winter Items Other])</f>
        <v>0</v>
      </c>
      <c r="AL216" s="448">
        <f>IF(NFI_Expiration=1,IF($A216&lt;VLOOKUP(M$5,NFI,5,0),1,0)*Table_NFI[[#This Row],[Winter Blanket]],Table_NFI[[#This Row],[Winter Blanket]])</f>
        <v>0</v>
      </c>
      <c r="AM216" s="448">
        <f>IF(Table_NFI[[#This Row],[Winter Clothes Adult]]+Table_NFI[[#This Row],[Winter Clothes Children]]+Table_NFI[[#This Row],[Winter Items Other]]+Table_NFI[[#This Row],[Winter Blanket]]&gt;0,1,0)</f>
        <v>1</v>
      </c>
      <c r="AN216" s="439">
        <f>IF(NFI_Expiration=1,IF($A216&lt;VLOOKUP(V$5,NFI,5,0),1,0)*Table_NFI[[#This Row],[Jerry Can]],Table_NFI[Jerry Can])</f>
        <v>0</v>
      </c>
      <c r="AO216" s="787" t="str">
        <f>IFERROR(VLOOKUP(Table_NFI[[#This Row],[Camp Name]],CL,2,0),"")</f>
        <v>MMR001CMP022</v>
      </c>
      <c r="AP216" s="788">
        <f ca="1">IF(Table_NFI[[#This Row],[Pcode]]="","",IF(OFFSET(CampList[Opening Date],MATCH(Table_NFI[[#This Row],[Pcode]],CampList[CP_Pcode],0)-1,0,1,1)&gt;=NFI_Monitor_Date,1,0))</f>
        <v>0</v>
      </c>
      <c r="AQ216" s="787" t="str">
        <f>IFERROR(VLOOKUP(Table_NFI[[#This Row],[Camp Name]],CL,3,0),"")</f>
        <v>Open</v>
      </c>
      <c r="AR216" s="448" t="str">
        <f ca="1">IF(Table_NFI[[#This Row],[Pcode]]="","",OFFSET(CampList[Priority],MATCH(Table_NFI[[#This Row],[Pcode]],CampList[CP_Pcode],0)-1,0,1,1))</f>
        <v>P4</v>
      </c>
      <c r="AS216" s="449">
        <f>IFERROR(Table_NFI[[#This Row],[Kitchen Set]]/VLOOKUP(Table_NFI[[#This Row],[Camp Name]],CL,4,0),"")</f>
        <v>0</v>
      </c>
      <c r="AT216" s="789"/>
      <c r="AU216" s="773"/>
    </row>
    <row r="217" spans="1:47" s="774" customFormat="1" x14ac:dyDescent="0.25">
      <c r="A217" s="451">
        <f t="shared" si="3"/>
        <v>19.433333333333334</v>
      </c>
      <c r="B217" s="768">
        <v>41787</v>
      </c>
      <c r="C217" s="769" t="s">
        <v>1111</v>
      </c>
      <c r="D217" s="769" t="s">
        <v>907</v>
      </c>
      <c r="E217" s="769" t="s">
        <v>380</v>
      </c>
      <c r="F217" s="769" t="s">
        <v>237</v>
      </c>
      <c r="G217" s="769" t="s">
        <v>238</v>
      </c>
      <c r="H217" s="436"/>
      <c r="I217" s="436"/>
      <c r="J217" s="436"/>
      <c r="K217" s="436"/>
      <c r="L217" s="437"/>
      <c r="M217" s="437"/>
      <c r="N217" s="437"/>
      <c r="O217" s="437"/>
      <c r="P217" s="439"/>
      <c r="Q217" s="439"/>
      <c r="R217" s="436"/>
      <c r="S217" s="436"/>
      <c r="T217" s="436"/>
      <c r="U217" s="436">
        <v>120</v>
      </c>
      <c r="V217" s="436"/>
      <c r="W217" s="436"/>
      <c r="X217" s="436"/>
      <c r="Y217" s="448">
        <f>IF(NFI_Expiration=1,IF($A217&lt;VLOOKUP(H$5,NFI,5,0),1,0)*Table_NFI[[#This Row],[Hygiene Kit]],Table_NFI[Hygiene Kit])</f>
        <v>0</v>
      </c>
      <c r="Z217" s="448">
        <f>IF(NFI_Expiration=1,IF($A217&lt;VLOOKUP(I$5,NFI,5,0),1,0)*Table_NFI[[#This Row],[NFI Core Kit]],Table_NFI[NFI Core Kit])</f>
        <v>0</v>
      </c>
      <c r="AA217" s="448">
        <f>IF(NFI_Expiration=1,IF($A217&lt;VLOOKUP(J$5,NFI,5,0),1,0)*Table_NFI[[#This Row],[Sanitary Kit]],Table_NFI[Sanitary Kit])</f>
        <v>0</v>
      </c>
      <c r="AB217" s="448">
        <f>IF(NFI_Expiration=1,IF($A217&lt;VLOOKUP(K$5,NFI,5,0),1,0)*Table_NFI[[#This Row],[Mosquito net]],Table_NFI[Mosquito net])</f>
        <v>0</v>
      </c>
      <c r="AC217" s="448">
        <f>IF(NFI_Expiration=1,IF($A217&lt;VLOOKUP(L$5,NFI,5,0),1,0)*Table_NFI[[#This Row],[Tarpaulin]],Table_NFI[[#This Row],[Tarpaulin]])</f>
        <v>0</v>
      </c>
      <c r="AD217" s="448">
        <f>IF(NFI_Expiration=1,IF($A217&lt;VLOOKUP(M$5,NFI,5,0),1,0)*Table_NFI[[#This Row],[Blanket]],Table_NFI[[#This Row],[Blanket]])</f>
        <v>0</v>
      </c>
      <c r="AE217" s="448">
        <f>IF(NFI_Expiration=1,IF($A217&lt;VLOOKUP(N$5,NFI,5,0),1,0)*Table_NFI[[#This Row],[Kitchen Set]],Table_NFI[Kitchen Set])</f>
        <v>0</v>
      </c>
      <c r="AF217" s="448">
        <f>IF(NFI_Expiration=1,IF($A217&lt;VLOOKUP(O$5,NFI,5,0),1,0)*Table_NFI[[#This Row],[Clothes Kit]],Table_NFI[Clothes Kit])</f>
        <v>0</v>
      </c>
      <c r="AG217" s="448">
        <f>IF(NFI_Expiration=1,IF($A217&lt;VLOOKUP(P$5,NFI,5,0),1,0)*Table_NFI[[#This Row],[Plastic Bucket]],Table_NFI[Plastic Bucket])</f>
        <v>0</v>
      </c>
      <c r="AH217" s="448">
        <f>IF(NFI_Expiration=1,IF($A217&lt;VLOOKUP(Q$5,NFI,5,0),1,0)*Table_NFI[[#This Row],[Plastic Mat]],Table_NFI[Plastic Mat])*IF(Table_NFI[[#This Row],[Distribution Date]]&gt;"2014-04-01",1,2.5)</f>
        <v>0</v>
      </c>
      <c r="AI217" s="448">
        <f>IF(NFI_Expiration=1,IF($A217&lt;VLOOKUP(R$5,NFI,5,0),1,0)*Table_NFI[[#This Row],[Winter Clothes Adult]],Table_NFI[Winter Clothes Adult])</f>
        <v>0</v>
      </c>
      <c r="AJ217" s="448">
        <f>IF(NFI_Expiration=1,IF($A217&lt;VLOOKUP(S$5,NFI,5,0),1,0)*Table_NFI[[#This Row],[Winter Clothes Children]],Table_NFI[Winter Clothes Children])</f>
        <v>0</v>
      </c>
      <c r="AK217" s="448">
        <f>IF(NFI_Expiration=1,IF($A217&lt;VLOOKUP(T$5,NFI,5,0),1,0)*Table_NFI[[#This Row],[Winter Items Other]],Table_NFI[Winter Items Other])</f>
        <v>0</v>
      </c>
      <c r="AL217" s="448">
        <f>IF(NFI_Expiration=1,IF($A217&lt;VLOOKUP(M$5,NFI,5,0),1,0)*Table_NFI[[#This Row],[Winter Blanket]],Table_NFI[[#This Row],[Winter Blanket]])</f>
        <v>0</v>
      </c>
      <c r="AM217" s="448">
        <f>IF(Table_NFI[[#This Row],[Winter Clothes Adult]]+Table_NFI[[#This Row],[Winter Clothes Children]]+Table_NFI[[#This Row],[Winter Items Other]]+Table_NFI[[#This Row],[Winter Blanket]]&gt;0,1,0)</f>
        <v>1</v>
      </c>
      <c r="AN217" s="439">
        <f>IF(NFI_Expiration=1,IF($A217&lt;VLOOKUP(V$5,NFI,5,0),1,0)*Table_NFI[[#This Row],[Jerry Can]],Table_NFI[Jerry Can])</f>
        <v>0</v>
      </c>
      <c r="AO217" s="787" t="str">
        <f>IFERROR(VLOOKUP(Table_NFI[[#This Row],[Camp Name]],CL,2,0),"")</f>
        <v>MMR001CMP001</v>
      </c>
      <c r="AP217" s="788">
        <f ca="1">IF(Table_NFI[[#This Row],[Pcode]]="","",IF(OFFSET(CampList[Opening Date],MATCH(Table_NFI[[#This Row],[Pcode]],CampList[CP_Pcode],0)-1,0,1,1)&gt;=NFI_Monitor_Date,1,0))</f>
        <v>0</v>
      </c>
      <c r="AQ217" s="787" t="str">
        <f>IFERROR(VLOOKUP(Table_NFI[[#This Row],[Camp Name]],CL,3,0),"")</f>
        <v>Open</v>
      </c>
      <c r="AR217" s="448" t="str">
        <f ca="1">IF(Table_NFI[[#This Row],[Pcode]]="","",OFFSET(CampList[Priority],MATCH(Table_NFI[[#This Row],[Pcode]],CampList[CP_Pcode],0)-1,0,1,1))</f>
        <v>P4</v>
      </c>
      <c r="AS217" s="449">
        <f>IFERROR(Table_NFI[[#This Row],[Kitchen Set]]/VLOOKUP(Table_NFI[[#This Row],[Camp Name]],CL,4,0),"")</f>
        <v>0</v>
      </c>
      <c r="AT217" s="789"/>
      <c r="AU217" s="773"/>
    </row>
    <row r="218" spans="1:47" s="774" customFormat="1" x14ac:dyDescent="0.25">
      <c r="A218" s="451">
        <f t="shared" si="3"/>
        <v>19.433333333333334</v>
      </c>
      <c r="B218" s="768">
        <v>41787</v>
      </c>
      <c r="C218" s="769" t="s">
        <v>1111</v>
      </c>
      <c r="D218" s="769" t="s">
        <v>907</v>
      </c>
      <c r="E218" s="769" t="s">
        <v>380</v>
      </c>
      <c r="F218" s="769" t="s">
        <v>237</v>
      </c>
      <c r="G218" s="769" t="s">
        <v>1258</v>
      </c>
      <c r="H218" s="436"/>
      <c r="I218" s="436"/>
      <c r="J218" s="436"/>
      <c r="K218" s="436"/>
      <c r="L218" s="437"/>
      <c r="M218" s="437"/>
      <c r="N218" s="437"/>
      <c r="O218" s="437"/>
      <c r="P218" s="439"/>
      <c r="Q218" s="439"/>
      <c r="R218" s="436"/>
      <c r="S218" s="436"/>
      <c r="T218" s="436"/>
      <c r="U218" s="436">
        <v>138</v>
      </c>
      <c r="V218" s="436"/>
      <c r="W218" s="436"/>
      <c r="X218" s="436"/>
      <c r="Y218" s="448">
        <f>IF(NFI_Expiration=1,IF($A218&lt;VLOOKUP(H$5,NFI,5,0),1,0)*Table_NFI[[#This Row],[Hygiene Kit]],Table_NFI[Hygiene Kit])</f>
        <v>0</v>
      </c>
      <c r="Z218" s="448">
        <f>IF(NFI_Expiration=1,IF($A218&lt;VLOOKUP(I$5,NFI,5,0),1,0)*Table_NFI[[#This Row],[NFI Core Kit]],Table_NFI[NFI Core Kit])</f>
        <v>0</v>
      </c>
      <c r="AA218" s="448">
        <f>IF(NFI_Expiration=1,IF($A218&lt;VLOOKUP(J$5,NFI,5,0),1,0)*Table_NFI[[#This Row],[Sanitary Kit]],Table_NFI[Sanitary Kit])</f>
        <v>0</v>
      </c>
      <c r="AB218" s="448">
        <f>IF(NFI_Expiration=1,IF($A218&lt;VLOOKUP(K$5,NFI,5,0),1,0)*Table_NFI[[#This Row],[Mosquito net]],Table_NFI[Mosquito net])</f>
        <v>0</v>
      </c>
      <c r="AC218" s="448">
        <f>IF(NFI_Expiration=1,IF($A218&lt;VLOOKUP(L$5,NFI,5,0),1,0)*Table_NFI[[#This Row],[Tarpaulin]],Table_NFI[[#This Row],[Tarpaulin]])</f>
        <v>0</v>
      </c>
      <c r="AD218" s="448">
        <f>IF(NFI_Expiration=1,IF($A218&lt;VLOOKUP(M$5,NFI,5,0),1,0)*Table_NFI[[#This Row],[Blanket]],Table_NFI[[#This Row],[Blanket]])</f>
        <v>0</v>
      </c>
      <c r="AE218" s="448">
        <f>IF(NFI_Expiration=1,IF($A218&lt;VLOOKUP(N$5,NFI,5,0),1,0)*Table_NFI[[#This Row],[Kitchen Set]],Table_NFI[Kitchen Set])</f>
        <v>0</v>
      </c>
      <c r="AF218" s="448">
        <f>IF(NFI_Expiration=1,IF($A218&lt;VLOOKUP(O$5,NFI,5,0),1,0)*Table_NFI[[#This Row],[Clothes Kit]],Table_NFI[Clothes Kit])</f>
        <v>0</v>
      </c>
      <c r="AG218" s="448">
        <f>IF(NFI_Expiration=1,IF($A218&lt;VLOOKUP(P$5,NFI,5,0),1,0)*Table_NFI[[#This Row],[Plastic Bucket]],Table_NFI[Plastic Bucket])</f>
        <v>0</v>
      </c>
      <c r="AH218" s="448">
        <f>IF(NFI_Expiration=1,IF($A218&lt;VLOOKUP(Q$5,NFI,5,0),1,0)*Table_NFI[[#This Row],[Plastic Mat]],Table_NFI[Plastic Mat])*IF(Table_NFI[[#This Row],[Distribution Date]]&gt;"2014-04-01",1,2.5)</f>
        <v>0</v>
      </c>
      <c r="AI218" s="448">
        <f>IF(NFI_Expiration=1,IF($A218&lt;VLOOKUP(R$5,NFI,5,0),1,0)*Table_NFI[[#This Row],[Winter Clothes Adult]],Table_NFI[Winter Clothes Adult])</f>
        <v>0</v>
      </c>
      <c r="AJ218" s="448">
        <f>IF(NFI_Expiration=1,IF($A218&lt;VLOOKUP(S$5,NFI,5,0),1,0)*Table_NFI[[#This Row],[Winter Clothes Children]],Table_NFI[Winter Clothes Children])</f>
        <v>0</v>
      </c>
      <c r="AK218" s="448">
        <f>IF(NFI_Expiration=1,IF($A218&lt;VLOOKUP(T$5,NFI,5,0),1,0)*Table_NFI[[#This Row],[Winter Items Other]],Table_NFI[Winter Items Other])</f>
        <v>0</v>
      </c>
      <c r="AL218" s="448">
        <f>IF(NFI_Expiration=1,IF($A218&lt;VLOOKUP(M$5,NFI,5,0),1,0)*Table_NFI[[#This Row],[Winter Blanket]],Table_NFI[[#This Row],[Winter Blanket]])</f>
        <v>0</v>
      </c>
      <c r="AM218" s="448">
        <f>IF(Table_NFI[[#This Row],[Winter Clothes Adult]]+Table_NFI[[#This Row],[Winter Clothes Children]]+Table_NFI[[#This Row],[Winter Items Other]]+Table_NFI[[#This Row],[Winter Blanket]]&gt;0,1,0)</f>
        <v>1</v>
      </c>
      <c r="AN218" s="439">
        <f>IF(NFI_Expiration=1,IF($A218&lt;VLOOKUP(V$5,NFI,5,0),1,0)*Table_NFI[[#This Row],[Jerry Can]],Table_NFI[Jerry Can])</f>
        <v>0</v>
      </c>
      <c r="AO218" s="787" t="str">
        <f>IFERROR(VLOOKUP(Table_NFI[[#This Row],[Camp Name]],CL,2,0),"")</f>
        <v>MMR001CMP023</v>
      </c>
      <c r="AP218" s="788">
        <f ca="1">IF(Table_NFI[[#This Row],[Pcode]]="","",IF(OFFSET(CampList[Opening Date],MATCH(Table_NFI[[#This Row],[Pcode]],CampList[CP_Pcode],0)-1,0,1,1)&gt;=NFI_Monitor_Date,1,0))</f>
        <v>0</v>
      </c>
      <c r="AQ218" s="787" t="str">
        <f>IFERROR(VLOOKUP(Table_NFI[[#This Row],[Camp Name]],CL,3,0),"")</f>
        <v>Open</v>
      </c>
      <c r="AR218" s="448" t="str">
        <f ca="1">IF(Table_NFI[[#This Row],[Pcode]]="","",OFFSET(CampList[Priority],MATCH(Table_NFI[[#This Row],[Pcode]],CampList[CP_Pcode],0)-1,0,1,1))</f>
        <v>P4</v>
      </c>
      <c r="AS218" s="449">
        <f>IFERROR(Table_NFI[[#This Row],[Kitchen Set]]/VLOOKUP(Table_NFI[[#This Row],[Camp Name]],CL,4,0),"")</f>
        <v>0</v>
      </c>
      <c r="AT218" s="789"/>
      <c r="AU218" s="773"/>
    </row>
    <row r="219" spans="1:47" s="774" customFormat="1" x14ac:dyDescent="0.25">
      <c r="A219" s="451">
        <f t="shared" si="3"/>
        <v>19.433333333333334</v>
      </c>
      <c r="B219" s="768">
        <v>41787</v>
      </c>
      <c r="C219" s="769" t="s">
        <v>1111</v>
      </c>
      <c r="D219" s="769" t="s">
        <v>907</v>
      </c>
      <c r="E219" s="769" t="s">
        <v>380</v>
      </c>
      <c r="F219" s="769" t="s">
        <v>237</v>
      </c>
      <c r="G219" s="769" t="s">
        <v>251</v>
      </c>
      <c r="H219" s="436"/>
      <c r="I219" s="436"/>
      <c r="J219" s="436"/>
      <c r="K219" s="436"/>
      <c r="L219" s="437"/>
      <c r="M219" s="437"/>
      <c r="N219" s="437"/>
      <c r="O219" s="437"/>
      <c r="P219" s="439"/>
      <c r="Q219" s="439"/>
      <c r="R219" s="436"/>
      <c r="S219" s="436"/>
      <c r="T219" s="436"/>
      <c r="U219" s="436">
        <v>58</v>
      </c>
      <c r="V219" s="436"/>
      <c r="W219" s="436"/>
      <c r="X219" s="436"/>
      <c r="Y219" s="448">
        <f>IF(NFI_Expiration=1,IF($A219&lt;VLOOKUP(H$5,NFI,5,0),1,0)*Table_NFI[[#This Row],[Hygiene Kit]],Table_NFI[Hygiene Kit])</f>
        <v>0</v>
      </c>
      <c r="Z219" s="448">
        <f>IF(NFI_Expiration=1,IF($A219&lt;VLOOKUP(I$5,NFI,5,0),1,0)*Table_NFI[[#This Row],[NFI Core Kit]],Table_NFI[NFI Core Kit])</f>
        <v>0</v>
      </c>
      <c r="AA219" s="448">
        <f>IF(NFI_Expiration=1,IF($A219&lt;VLOOKUP(J$5,NFI,5,0),1,0)*Table_NFI[[#This Row],[Sanitary Kit]],Table_NFI[Sanitary Kit])</f>
        <v>0</v>
      </c>
      <c r="AB219" s="448">
        <f>IF(NFI_Expiration=1,IF($A219&lt;VLOOKUP(K$5,NFI,5,0),1,0)*Table_NFI[[#This Row],[Mosquito net]],Table_NFI[Mosquito net])</f>
        <v>0</v>
      </c>
      <c r="AC219" s="448">
        <f>IF(NFI_Expiration=1,IF($A219&lt;VLOOKUP(L$5,NFI,5,0),1,0)*Table_NFI[[#This Row],[Tarpaulin]],Table_NFI[[#This Row],[Tarpaulin]])</f>
        <v>0</v>
      </c>
      <c r="AD219" s="448">
        <f>IF(NFI_Expiration=1,IF($A219&lt;VLOOKUP(M$5,NFI,5,0),1,0)*Table_NFI[[#This Row],[Blanket]],Table_NFI[[#This Row],[Blanket]])</f>
        <v>0</v>
      </c>
      <c r="AE219" s="448">
        <f>IF(NFI_Expiration=1,IF($A219&lt;VLOOKUP(N$5,NFI,5,0),1,0)*Table_NFI[[#This Row],[Kitchen Set]],Table_NFI[Kitchen Set])</f>
        <v>0</v>
      </c>
      <c r="AF219" s="448">
        <f>IF(NFI_Expiration=1,IF($A219&lt;VLOOKUP(O$5,NFI,5,0),1,0)*Table_NFI[[#This Row],[Clothes Kit]],Table_NFI[Clothes Kit])</f>
        <v>0</v>
      </c>
      <c r="AG219" s="448">
        <f>IF(NFI_Expiration=1,IF($A219&lt;VLOOKUP(P$5,NFI,5,0),1,0)*Table_NFI[[#This Row],[Plastic Bucket]],Table_NFI[Plastic Bucket])</f>
        <v>0</v>
      </c>
      <c r="AH219" s="448">
        <f>IF(NFI_Expiration=1,IF($A219&lt;VLOOKUP(Q$5,NFI,5,0),1,0)*Table_NFI[[#This Row],[Plastic Mat]],Table_NFI[Plastic Mat])*IF(Table_NFI[[#This Row],[Distribution Date]]&gt;"2014-04-01",1,2.5)</f>
        <v>0</v>
      </c>
      <c r="AI219" s="448">
        <f>IF(NFI_Expiration=1,IF($A219&lt;VLOOKUP(R$5,NFI,5,0),1,0)*Table_NFI[[#This Row],[Winter Clothes Adult]],Table_NFI[Winter Clothes Adult])</f>
        <v>0</v>
      </c>
      <c r="AJ219" s="448">
        <f>IF(NFI_Expiration=1,IF($A219&lt;VLOOKUP(S$5,NFI,5,0),1,0)*Table_NFI[[#This Row],[Winter Clothes Children]],Table_NFI[Winter Clothes Children])</f>
        <v>0</v>
      </c>
      <c r="AK219" s="448">
        <f>IF(NFI_Expiration=1,IF($A219&lt;VLOOKUP(T$5,NFI,5,0),1,0)*Table_NFI[[#This Row],[Winter Items Other]],Table_NFI[Winter Items Other])</f>
        <v>0</v>
      </c>
      <c r="AL219" s="448">
        <f>IF(NFI_Expiration=1,IF($A219&lt;VLOOKUP(M$5,NFI,5,0),1,0)*Table_NFI[[#This Row],[Winter Blanket]],Table_NFI[[#This Row],[Winter Blanket]])</f>
        <v>0</v>
      </c>
      <c r="AM219" s="448">
        <f>IF(Table_NFI[[#This Row],[Winter Clothes Adult]]+Table_NFI[[#This Row],[Winter Clothes Children]]+Table_NFI[[#This Row],[Winter Items Other]]+Table_NFI[[#This Row],[Winter Blanket]]&gt;0,1,0)</f>
        <v>1</v>
      </c>
      <c r="AN219" s="439">
        <f>IF(NFI_Expiration=1,IF($A219&lt;VLOOKUP(V$5,NFI,5,0),1,0)*Table_NFI[[#This Row],[Jerry Can]],Table_NFI[Jerry Can])</f>
        <v>0</v>
      </c>
      <c r="AO219" s="787" t="str">
        <f>IFERROR(VLOOKUP(Table_NFI[[#This Row],[Camp Name]],CL,2,0),"")</f>
        <v>MMR001CMP003</v>
      </c>
      <c r="AP219" s="788">
        <f ca="1">IF(Table_NFI[[#This Row],[Pcode]]="","",IF(OFFSET(CampList[Opening Date],MATCH(Table_NFI[[#This Row],[Pcode]],CampList[CP_Pcode],0)-1,0,1,1)&gt;=NFI_Monitor_Date,1,0))</f>
        <v>0</v>
      </c>
      <c r="AQ219" s="787" t="str">
        <f>IFERROR(VLOOKUP(Table_NFI[[#This Row],[Camp Name]],CL,3,0),"")</f>
        <v>Open</v>
      </c>
      <c r="AR219" s="448" t="str">
        <f ca="1">IF(Table_NFI[[#This Row],[Pcode]]="","",OFFSET(CampList[Priority],MATCH(Table_NFI[[#This Row],[Pcode]],CampList[CP_Pcode],0)-1,0,1,1))</f>
        <v>P4</v>
      </c>
      <c r="AS219" s="449">
        <f>IFERROR(Table_NFI[[#This Row],[Kitchen Set]]/VLOOKUP(Table_NFI[[#This Row],[Camp Name]],CL,4,0),"")</f>
        <v>0</v>
      </c>
      <c r="AT219" s="789"/>
      <c r="AU219" s="773"/>
    </row>
    <row r="220" spans="1:47" s="774" customFormat="1" x14ac:dyDescent="0.25">
      <c r="A220" s="451">
        <f t="shared" si="3"/>
        <v>19.466666666666665</v>
      </c>
      <c r="B220" s="768">
        <v>41786</v>
      </c>
      <c r="C220" s="769" t="s">
        <v>454</v>
      </c>
      <c r="D220" s="769" t="s">
        <v>507</v>
      </c>
      <c r="E220" s="769" t="s">
        <v>380</v>
      </c>
      <c r="F220" s="769" t="s">
        <v>27</v>
      </c>
      <c r="G220" s="769" t="s">
        <v>28</v>
      </c>
      <c r="H220" s="436"/>
      <c r="I220" s="436"/>
      <c r="J220" s="436">
        <v>36</v>
      </c>
      <c r="K220" s="436">
        <v>18</v>
      </c>
      <c r="L220" s="437">
        <v>36</v>
      </c>
      <c r="M220" s="437">
        <v>18</v>
      </c>
      <c r="N220" s="437"/>
      <c r="O220" s="437">
        <v>18</v>
      </c>
      <c r="P220" s="439">
        <v>90</v>
      </c>
      <c r="Q220" s="439"/>
      <c r="R220" s="436"/>
      <c r="S220" s="436"/>
      <c r="T220" s="436"/>
      <c r="U220" s="436"/>
      <c r="V220" s="436"/>
      <c r="W220" s="436"/>
      <c r="X220" s="436"/>
      <c r="Y220" s="436">
        <f>IF(NFI_Expiration=1,IF($A220&lt;VLOOKUP(H$5,NFI,5,0),1,0)*Table_NFI[[#This Row],[Hygiene Kit]],Table_NFI[Hygiene Kit])</f>
        <v>0</v>
      </c>
      <c r="Z220" s="436">
        <f>IF(NFI_Expiration=1,IF($A220&lt;VLOOKUP(I$5,NFI,5,0),1,0)*Table_NFI[[#This Row],[NFI Core Kit]],Table_NFI[NFI Core Kit])</f>
        <v>0</v>
      </c>
      <c r="AA220" s="436">
        <f>IF(NFI_Expiration=1,IF($A220&lt;VLOOKUP(J$5,NFI,5,0),1,0)*Table_NFI[[#This Row],[Sanitary Kit]],Table_NFI[Sanitary Kit])</f>
        <v>0</v>
      </c>
      <c r="AB220" s="436">
        <f>IF(NFI_Expiration=1,IF($A220&lt;VLOOKUP(K$5,NFI,5,0),1,0)*Table_NFI[[#This Row],[Mosquito net]],Table_NFI[Mosquito net])</f>
        <v>0</v>
      </c>
      <c r="AC220" s="436">
        <f>IF(NFI_Expiration=1,IF($A220&lt;VLOOKUP(L$5,NFI,5,0),1,0)*Table_NFI[[#This Row],[Tarpaulin]],Table_NFI[[#This Row],[Tarpaulin]])</f>
        <v>0</v>
      </c>
      <c r="AD220" s="436">
        <f>IF(NFI_Expiration=1,IF($A220&lt;VLOOKUP(M$5,NFI,5,0),1,0)*Table_NFI[[#This Row],[Blanket]],Table_NFI[[#This Row],[Blanket]])</f>
        <v>0</v>
      </c>
      <c r="AE220" s="436">
        <f>IF(NFI_Expiration=1,IF($A220&lt;VLOOKUP(N$5,NFI,5,0),1,0)*Table_NFI[[#This Row],[Kitchen Set]],Table_NFI[Kitchen Set])</f>
        <v>0</v>
      </c>
      <c r="AF220" s="436">
        <f>IF(NFI_Expiration=1,IF($A220&lt;VLOOKUP(O$5,NFI,5,0),1,0)*Table_NFI[[#This Row],[Clothes Kit]],Table_NFI[Clothes Kit])</f>
        <v>0</v>
      </c>
      <c r="AG220" s="436">
        <f>IF(NFI_Expiration=1,IF($A220&lt;VLOOKUP(P$5,NFI,5,0),1,0)*Table_NFI[[#This Row],[Plastic Bucket]],Table_NFI[Plastic Bucket])</f>
        <v>0</v>
      </c>
      <c r="AH220" s="436">
        <f>IF(NFI_Expiration=1,IF($A220&lt;VLOOKUP(Q$5,NFI,5,0),1,0)*Table_NFI[[#This Row],[Plastic Mat]],Table_NFI[Plastic Mat])*IF(Table_NFI[[#This Row],[Distribution Date]]&gt;"2014-04-01",1,2.5)</f>
        <v>0</v>
      </c>
      <c r="AI220" s="436">
        <f>IF(NFI_Expiration=1,IF($A220&lt;VLOOKUP(R$5,NFI,5,0),1,0)*Table_NFI[[#This Row],[Winter Clothes Adult]],Table_NFI[Winter Clothes Adult])</f>
        <v>0</v>
      </c>
      <c r="AJ220" s="436">
        <f>IF(NFI_Expiration=1,IF($A220&lt;VLOOKUP(S$5,NFI,5,0),1,0)*Table_NFI[[#This Row],[Winter Clothes Children]],Table_NFI[Winter Clothes Children])</f>
        <v>0</v>
      </c>
      <c r="AK220" s="436">
        <f>IF(NFI_Expiration=1,IF($A220&lt;VLOOKUP(T$5,NFI,5,0),1,0)*Table_NFI[[#This Row],[Winter Items Other]],Table_NFI[Winter Items Other])</f>
        <v>0</v>
      </c>
      <c r="AL220" s="436">
        <f>IF(NFI_Expiration=1,IF($A220&lt;VLOOKUP(M$5,NFI,5,0),1,0)*Table_NFI[[#This Row],[Winter Blanket]],Table_NFI[[#This Row],[Winter Blanket]])</f>
        <v>0</v>
      </c>
      <c r="AM220" s="436">
        <f>IF(Table_NFI[[#This Row],[Winter Clothes Adult]]+Table_NFI[[#This Row],[Winter Clothes Children]]+Table_NFI[[#This Row],[Winter Items Other]]+Table_NFI[[#This Row],[Winter Blanket]]&gt;0,1,0)</f>
        <v>0</v>
      </c>
      <c r="AN220" s="439">
        <f>IF(NFI_Expiration=1,IF($A220&lt;VLOOKUP(V$5,NFI,5,0),1,0)*Table_NFI[[#This Row],[Jerry Can]],Table_NFI[Jerry Can])</f>
        <v>0</v>
      </c>
      <c r="AO220" s="771" t="str">
        <f>IFERROR(VLOOKUP(Table_NFI[[#This Row],[Camp Name]],CL,2,0),"")</f>
        <v>MMR001CMP042</v>
      </c>
      <c r="AP220" s="772">
        <f ca="1">IF(Table_NFI[[#This Row],[Pcode]]="","",IF(OFFSET(CampList[Opening Date],MATCH(Table_NFI[[#This Row],[Pcode]],CampList[CP_Pcode],0)-1,0,1,1)&gt;=NFI_Monitor_Date,1,0))</f>
        <v>0</v>
      </c>
      <c r="AQ220" s="781" t="str">
        <f>IFERROR(VLOOKUP(Table_NFI[[#This Row],[Camp Name]],CL,3,0),"")</f>
        <v>Open</v>
      </c>
      <c r="AR220" s="439" t="str">
        <f ca="1">IF(Table_NFI[[#This Row],[Pcode]]="","",OFFSET(CampList[Priority],MATCH(Table_NFI[[#This Row],[Pcode]],CampList[CP_Pcode],0)-1,0,1,1))</f>
        <v>P1</v>
      </c>
      <c r="AS220" s="438">
        <f>IFERROR(Table_NFI[[#This Row],[Kitchen Set]]/VLOOKUP(Table_NFI[[#This Row],[Camp Name]],CL,4,0),"")</f>
        <v>0</v>
      </c>
      <c r="AT220" s="769"/>
      <c r="AU220" s="773"/>
    </row>
    <row r="221" spans="1:47" s="774" customFormat="1" x14ac:dyDescent="0.25">
      <c r="A221" s="451">
        <f t="shared" si="3"/>
        <v>19.466666666666665</v>
      </c>
      <c r="B221" s="768">
        <v>41786</v>
      </c>
      <c r="C221" s="769" t="s">
        <v>454</v>
      </c>
      <c r="D221" s="769" t="s">
        <v>507</v>
      </c>
      <c r="E221" s="769" t="s">
        <v>380</v>
      </c>
      <c r="F221" s="769" t="s">
        <v>310</v>
      </c>
      <c r="G221" s="769" t="s">
        <v>313</v>
      </c>
      <c r="H221" s="436"/>
      <c r="I221" s="436"/>
      <c r="J221" s="436">
        <v>2</v>
      </c>
      <c r="K221" s="436">
        <v>1</v>
      </c>
      <c r="L221" s="437">
        <v>2</v>
      </c>
      <c r="M221" s="437">
        <v>1</v>
      </c>
      <c r="N221" s="437"/>
      <c r="O221" s="437">
        <v>1</v>
      </c>
      <c r="P221" s="439">
        <v>5</v>
      </c>
      <c r="Q221" s="439"/>
      <c r="R221" s="436"/>
      <c r="S221" s="436"/>
      <c r="T221" s="436"/>
      <c r="U221" s="436"/>
      <c r="V221" s="436"/>
      <c r="W221" s="436"/>
      <c r="X221" s="436"/>
      <c r="Y221" s="436">
        <f>IF(NFI_Expiration=1,IF($A221&lt;VLOOKUP(H$5,NFI,5,0),1,0)*Table_NFI[[#This Row],[Hygiene Kit]],Table_NFI[Hygiene Kit])</f>
        <v>0</v>
      </c>
      <c r="Z221" s="436">
        <f>IF(NFI_Expiration=1,IF($A221&lt;VLOOKUP(I$5,NFI,5,0),1,0)*Table_NFI[[#This Row],[NFI Core Kit]],Table_NFI[NFI Core Kit])</f>
        <v>0</v>
      </c>
      <c r="AA221" s="436">
        <f>IF(NFI_Expiration=1,IF($A221&lt;VLOOKUP(J$5,NFI,5,0),1,0)*Table_NFI[[#This Row],[Sanitary Kit]],Table_NFI[Sanitary Kit])</f>
        <v>0</v>
      </c>
      <c r="AB221" s="436">
        <f>IF(NFI_Expiration=1,IF($A221&lt;VLOOKUP(K$5,NFI,5,0),1,0)*Table_NFI[[#This Row],[Mosquito net]],Table_NFI[Mosquito net])</f>
        <v>0</v>
      </c>
      <c r="AC221" s="436">
        <f>IF(NFI_Expiration=1,IF($A221&lt;VLOOKUP(L$5,NFI,5,0),1,0)*Table_NFI[[#This Row],[Tarpaulin]],Table_NFI[[#This Row],[Tarpaulin]])</f>
        <v>0</v>
      </c>
      <c r="AD221" s="436">
        <f>IF(NFI_Expiration=1,IF($A221&lt;VLOOKUP(M$5,NFI,5,0),1,0)*Table_NFI[[#This Row],[Blanket]],Table_NFI[[#This Row],[Blanket]])</f>
        <v>0</v>
      </c>
      <c r="AE221" s="436">
        <f>IF(NFI_Expiration=1,IF($A221&lt;VLOOKUP(N$5,NFI,5,0),1,0)*Table_NFI[[#This Row],[Kitchen Set]],Table_NFI[Kitchen Set])</f>
        <v>0</v>
      </c>
      <c r="AF221" s="436">
        <f>IF(NFI_Expiration=1,IF($A221&lt;VLOOKUP(O$5,NFI,5,0),1,0)*Table_NFI[[#This Row],[Clothes Kit]],Table_NFI[Clothes Kit])</f>
        <v>0</v>
      </c>
      <c r="AG221" s="436">
        <f>IF(NFI_Expiration=1,IF($A221&lt;VLOOKUP(P$5,NFI,5,0),1,0)*Table_NFI[[#This Row],[Plastic Bucket]],Table_NFI[Plastic Bucket])</f>
        <v>0</v>
      </c>
      <c r="AH221" s="436">
        <f>IF(NFI_Expiration=1,IF($A221&lt;VLOOKUP(Q$5,NFI,5,0),1,0)*Table_NFI[[#This Row],[Plastic Mat]],Table_NFI[Plastic Mat])*IF(Table_NFI[[#This Row],[Distribution Date]]&gt;"2014-04-01",1,2.5)</f>
        <v>0</v>
      </c>
      <c r="AI221" s="436">
        <f>IF(NFI_Expiration=1,IF($A221&lt;VLOOKUP(R$5,NFI,5,0),1,0)*Table_NFI[[#This Row],[Winter Clothes Adult]],Table_NFI[Winter Clothes Adult])</f>
        <v>0</v>
      </c>
      <c r="AJ221" s="436">
        <f>IF(NFI_Expiration=1,IF($A221&lt;VLOOKUP(S$5,NFI,5,0),1,0)*Table_NFI[[#This Row],[Winter Clothes Children]],Table_NFI[Winter Clothes Children])</f>
        <v>0</v>
      </c>
      <c r="AK221" s="436">
        <f>IF(NFI_Expiration=1,IF($A221&lt;VLOOKUP(T$5,NFI,5,0),1,0)*Table_NFI[[#This Row],[Winter Items Other]],Table_NFI[Winter Items Other])</f>
        <v>0</v>
      </c>
      <c r="AL221" s="436">
        <f>IF(NFI_Expiration=1,IF($A221&lt;VLOOKUP(M$5,NFI,5,0),1,0)*Table_NFI[[#This Row],[Winter Blanket]],Table_NFI[[#This Row],[Winter Blanket]])</f>
        <v>0</v>
      </c>
      <c r="AM221" s="436">
        <f>IF(Table_NFI[[#This Row],[Winter Clothes Adult]]+Table_NFI[[#This Row],[Winter Clothes Children]]+Table_NFI[[#This Row],[Winter Items Other]]+Table_NFI[[#This Row],[Winter Blanket]]&gt;0,1,0)</f>
        <v>0</v>
      </c>
      <c r="AN221" s="439">
        <f>IF(NFI_Expiration=1,IF($A221&lt;VLOOKUP(V$5,NFI,5,0),1,0)*Table_NFI[[#This Row],[Jerry Can]],Table_NFI[Jerry Can])</f>
        <v>0</v>
      </c>
      <c r="AO221" s="771" t="str">
        <f>IFERROR(VLOOKUP(Table_NFI[[#This Row],[Camp Name]],CL,2,0),"")</f>
        <v>MMR001CMP028</v>
      </c>
      <c r="AP221" s="772">
        <f ca="1">IF(Table_NFI[[#This Row],[Pcode]]="","",IF(OFFSET(CampList[Opening Date],MATCH(Table_NFI[[#This Row],[Pcode]],CampList[CP_Pcode],0)-1,0,1,1)&gt;=NFI_Monitor_Date,1,0))</f>
        <v>0</v>
      </c>
      <c r="AQ221" s="781" t="str">
        <f>IFERROR(VLOOKUP(Table_NFI[[#This Row],[Camp Name]],CL,3,0),"")</f>
        <v>Open</v>
      </c>
      <c r="AR221" s="439" t="str">
        <f ca="1">IF(Table_NFI[[#This Row],[Pcode]]="","",OFFSET(CampList[Priority],MATCH(Table_NFI[[#This Row],[Pcode]],CampList[CP_Pcode],0)-1,0,1,1))</f>
        <v>P4</v>
      </c>
      <c r="AS221" s="438">
        <f>IFERROR(Table_NFI[[#This Row],[Kitchen Set]]/VLOOKUP(Table_NFI[[#This Row],[Camp Name]],CL,4,0),"")</f>
        <v>0</v>
      </c>
      <c r="AT221" s="769"/>
      <c r="AU221" s="773"/>
    </row>
    <row r="222" spans="1:47" s="774" customFormat="1" x14ac:dyDescent="0.25">
      <c r="A222" s="451">
        <f t="shared" si="3"/>
        <v>19.466666666666665</v>
      </c>
      <c r="B222" s="768">
        <v>41786</v>
      </c>
      <c r="C222" s="769" t="s">
        <v>454</v>
      </c>
      <c r="D222" s="769" t="s">
        <v>507</v>
      </c>
      <c r="E222" s="769" t="s">
        <v>380</v>
      </c>
      <c r="F222" s="769" t="s">
        <v>310</v>
      </c>
      <c r="G222" s="769" t="s">
        <v>328</v>
      </c>
      <c r="H222" s="436"/>
      <c r="I222" s="436"/>
      <c r="J222" s="436">
        <v>50</v>
      </c>
      <c r="K222" s="436">
        <v>25</v>
      </c>
      <c r="L222" s="437">
        <v>50</v>
      </c>
      <c r="M222" s="437">
        <v>25</v>
      </c>
      <c r="N222" s="437"/>
      <c r="O222" s="437">
        <v>25</v>
      </c>
      <c r="P222" s="439">
        <v>125</v>
      </c>
      <c r="Q222" s="439"/>
      <c r="R222" s="436"/>
      <c r="S222" s="436"/>
      <c r="T222" s="436"/>
      <c r="U222" s="436"/>
      <c r="V222" s="436"/>
      <c r="W222" s="436"/>
      <c r="X222" s="436"/>
      <c r="Y222" s="436">
        <f>IF(NFI_Expiration=1,IF($A222&lt;VLOOKUP(H$5,NFI,5,0),1,0)*Table_NFI[[#This Row],[Hygiene Kit]],Table_NFI[Hygiene Kit])</f>
        <v>0</v>
      </c>
      <c r="Z222" s="436">
        <f>IF(NFI_Expiration=1,IF($A222&lt;VLOOKUP(I$5,NFI,5,0),1,0)*Table_NFI[[#This Row],[NFI Core Kit]],Table_NFI[NFI Core Kit])</f>
        <v>0</v>
      </c>
      <c r="AA222" s="436">
        <f>IF(NFI_Expiration=1,IF($A222&lt;VLOOKUP(J$5,NFI,5,0),1,0)*Table_NFI[[#This Row],[Sanitary Kit]],Table_NFI[Sanitary Kit])</f>
        <v>0</v>
      </c>
      <c r="AB222" s="436">
        <f>IF(NFI_Expiration=1,IF($A222&lt;VLOOKUP(K$5,NFI,5,0),1,0)*Table_NFI[[#This Row],[Mosquito net]],Table_NFI[Mosquito net])</f>
        <v>0</v>
      </c>
      <c r="AC222" s="436">
        <f>IF(NFI_Expiration=1,IF($A222&lt;VLOOKUP(L$5,NFI,5,0),1,0)*Table_NFI[[#This Row],[Tarpaulin]],Table_NFI[[#This Row],[Tarpaulin]])</f>
        <v>0</v>
      </c>
      <c r="AD222" s="436">
        <f>IF(NFI_Expiration=1,IF($A222&lt;VLOOKUP(M$5,NFI,5,0),1,0)*Table_NFI[[#This Row],[Blanket]],Table_NFI[[#This Row],[Blanket]])</f>
        <v>0</v>
      </c>
      <c r="AE222" s="436">
        <f>IF(NFI_Expiration=1,IF($A222&lt;VLOOKUP(N$5,NFI,5,0),1,0)*Table_NFI[[#This Row],[Kitchen Set]],Table_NFI[Kitchen Set])</f>
        <v>0</v>
      </c>
      <c r="AF222" s="436">
        <f>IF(NFI_Expiration=1,IF($A222&lt;VLOOKUP(O$5,NFI,5,0),1,0)*Table_NFI[[#This Row],[Clothes Kit]],Table_NFI[Clothes Kit])</f>
        <v>0</v>
      </c>
      <c r="AG222" s="436">
        <f>IF(NFI_Expiration=1,IF($A222&lt;VLOOKUP(P$5,NFI,5,0),1,0)*Table_NFI[[#This Row],[Plastic Bucket]],Table_NFI[Plastic Bucket])</f>
        <v>0</v>
      </c>
      <c r="AH222" s="436">
        <f>IF(NFI_Expiration=1,IF($A222&lt;VLOOKUP(Q$5,NFI,5,0),1,0)*Table_NFI[[#This Row],[Plastic Mat]],Table_NFI[Plastic Mat])*IF(Table_NFI[[#This Row],[Distribution Date]]&gt;"2014-04-01",1,2.5)</f>
        <v>0</v>
      </c>
      <c r="AI222" s="436">
        <f>IF(NFI_Expiration=1,IF($A222&lt;VLOOKUP(R$5,NFI,5,0),1,0)*Table_NFI[[#This Row],[Winter Clothes Adult]],Table_NFI[Winter Clothes Adult])</f>
        <v>0</v>
      </c>
      <c r="AJ222" s="436">
        <f>IF(NFI_Expiration=1,IF($A222&lt;VLOOKUP(S$5,NFI,5,0),1,0)*Table_NFI[[#This Row],[Winter Clothes Children]],Table_NFI[Winter Clothes Children])</f>
        <v>0</v>
      </c>
      <c r="AK222" s="436">
        <f>IF(NFI_Expiration=1,IF($A222&lt;VLOOKUP(T$5,NFI,5,0),1,0)*Table_NFI[[#This Row],[Winter Items Other]],Table_NFI[Winter Items Other])</f>
        <v>0</v>
      </c>
      <c r="AL222" s="436">
        <f>IF(NFI_Expiration=1,IF($A222&lt;VLOOKUP(M$5,NFI,5,0),1,0)*Table_NFI[[#This Row],[Winter Blanket]],Table_NFI[[#This Row],[Winter Blanket]])</f>
        <v>0</v>
      </c>
      <c r="AM222" s="436">
        <f>IF(Table_NFI[[#This Row],[Winter Clothes Adult]]+Table_NFI[[#This Row],[Winter Clothes Children]]+Table_NFI[[#This Row],[Winter Items Other]]+Table_NFI[[#This Row],[Winter Blanket]]&gt;0,1,0)</f>
        <v>0</v>
      </c>
      <c r="AN222" s="439">
        <f>IF(NFI_Expiration=1,IF($A222&lt;VLOOKUP(V$5,NFI,5,0),1,0)*Table_NFI[[#This Row],[Jerry Can]],Table_NFI[Jerry Can])</f>
        <v>0</v>
      </c>
      <c r="AO222" s="771" t="str">
        <f>IFERROR(VLOOKUP(Table_NFI[[#This Row],[Camp Name]],CL,2,0),"")</f>
        <v>MMR001CMP031</v>
      </c>
      <c r="AP222" s="772">
        <f ca="1">IF(Table_NFI[[#This Row],[Pcode]]="","",IF(OFFSET(CampList[Opening Date],MATCH(Table_NFI[[#This Row],[Pcode]],CampList[CP_Pcode],0)-1,0,1,1)&gt;=NFI_Monitor_Date,1,0))</f>
        <v>0</v>
      </c>
      <c r="AQ222" s="781" t="str">
        <f>IFERROR(VLOOKUP(Table_NFI[[#This Row],[Camp Name]],CL,3,0),"")</f>
        <v>Open</v>
      </c>
      <c r="AR222" s="439" t="str">
        <f ca="1">IF(Table_NFI[[#This Row],[Pcode]]="","",OFFSET(CampList[Priority],MATCH(Table_NFI[[#This Row],[Pcode]],CampList[CP_Pcode],0)-1,0,1,1))</f>
        <v>P4</v>
      </c>
      <c r="AS222" s="438">
        <f>IFERROR(Table_NFI[[#This Row],[Kitchen Set]]/VLOOKUP(Table_NFI[[#This Row],[Camp Name]],CL,4,0),"")</f>
        <v>0</v>
      </c>
      <c r="AT222" s="769"/>
      <c r="AU222" s="773"/>
    </row>
    <row r="223" spans="1:47" s="774" customFormat="1" x14ac:dyDescent="0.25">
      <c r="A223" s="451">
        <f t="shared" si="3"/>
        <v>19.466666666666665</v>
      </c>
      <c r="B223" s="768">
        <v>41786</v>
      </c>
      <c r="C223" s="769" t="s">
        <v>454</v>
      </c>
      <c r="D223" s="769" t="s">
        <v>507</v>
      </c>
      <c r="E223" s="769" t="s">
        <v>380</v>
      </c>
      <c r="F223" s="769" t="s">
        <v>237</v>
      </c>
      <c r="G223" s="769" t="s">
        <v>263</v>
      </c>
      <c r="H223" s="436"/>
      <c r="I223" s="436"/>
      <c r="J223" s="436">
        <v>12</v>
      </c>
      <c r="K223" s="436">
        <v>6</v>
      </c>
      <c r="L223" s="437">
        <v>12</v>
      </c>
      <c r="M223" s="437">
        <v>6</v>
      </c>
      <c r="N223" s="437"/>
      <c r="O223" s="437">
        <v>6</v>
      </c>
      <c r="P223" s="439">
        <v>30</v>
      </c>
      <c r="Q223" s="439"/>
      <c r="R223" s="436"/>
      <c r="S223" s="436"/>
      <c r="T223" s="436"/>
      <c r="U223" s="436"/>
      <c r="V223" s="436"/>
      <c r="W223" s="436"/>
      <c r="X223" s="436"/>
      <c r="Y223" s="436">
        <f>IF(NFI_Expiration=1,IF($A223&lt;VLOOKUP(H$5,NFI,5,0),1,0)*Table_NFI[[#This Row],[Hygiene Kit]],Table_NFI[Hygiene Kit])</f>
        <v>0</v>
      </c>
      <c r="Z223" s="436">
        <f>IF(NFI_Expiration=1,IF($A223&lt;VLOOKUP(I$5,NFI,5,0),1,0)*Table_NFI[[#This Row],[NFI Core Kit]],Table_NFI[NFI Core Kit])</f>
        <v>0</v>
      </c>
      <c r="AA223" s="436">
        <f>IF(NFI_Expiration=1,IF($A223&lt;VLOOKUP(J$5,NFI,5,0),1,0)*Table_NFI[[#This Row],[Sanitary Kit]],Table_NFI[Sanitary Kit])</f>
        <v>0</v>
      </c>
      <c r="AB223" s="436">
        <f>IF(NFI_Expiration=1,IF($A223&lt;VLOOKUP(K$5,NFI,5,0),1,0)*Table_NFI[[#This Row],[Mosquito net]],Table_NFI[Mosquito net])</f>
        <v>0</v>
      </c>
      <c r="AC223" s="436">
        <f>IF(NFI_Expiration=1,IF($A223&lt;VLOOKUP(L$5,NFI,5,0),1,0)*Table_NFI[[#This Row],[Tarpaulin]],Table_NFI[[#This Row],[Tarpaulin]])</f>
        <v>0</v>
      </c>
      <c r="AD223" s="436">
        <f>IF(NFI_Expiration=1,IF($A223&lt;VLOOKUP(M$5,NFI,5,0),1,0)*Table_NFI[[#This Row],[Blanket]],Table_NFI[[#This Row],[Blanket]])</f>
        <v>0</v>
      </c>
      <c r="AE223" s="436">
        <f>IF(NFI_Expiration=1,IF($A223&lt;VLOOKUP(N$5,NFI,5,0),1,0)*Table_NFI[[#This Row],[Kitchen Set]],Table_NFI[Kitchen Set])</f>
        <v>0</v>
      </c>
      <c r="AF223" s="436">
        <f>IF(NFI_Expiration=1,IF($A223&lt;VLOOKUP(O$5,NFI,5,0),1,0)*Table_NFI[[#This Row],[Clothes Kit]],Table_NFI[Clothes Kit])</f>
        <v>0</v>
      </c>
      <c r="AG223" s="436">
        <f>IF(NFI_Expiration=1,IF($A223&lt;VLOOKUP(P$5,NFI,5,0),1,0)*Table_NFI[[#This Row],[Plastic Bucket]],Table_NFI[Plastic Bucket])</f>
        <v>0</v>
      </c>
      <c r="AH223" s="436">
        <f>IF(NFI_Expiration=1,IF($A223&lt;VLOOKUP(Q$5,NFI,5,0),1,0)*Table_NFI[[#This Row],[Plastic Mat]],Table_NFI[Plastic Mat])*IF(Table_NFI[[#This Row],[Distribution Date]]&gt;"2014-04-01",1,2.5)</f>
        <v>0</v>
      </c>
      <c r="AI223" s="436">
        <f>IF(NFI_Expiration=1,IF($A223&lt;VLOOKUP(R$5,NFI,5,0),1,0)*Table_NFI[[#This Row],[Winter Clothes Adult]],Table_NFI[Winter Clothes Adult])</f>
        <v>0</v>
      </c>
      <c r="AJ223" s="436">
        <f>IF(NFI_Expiration=1,IF($A223&lt;VLOOKUP(S$5,NFI,5,0),1,0)*Table_NFI[[#This Row],[Winter Clothes Children]],Table_NFI[Winter Clothes Children])</f>
        <v>0</v>
      </c>
      <c r="AK223" s="436">
        <f>IF(NFI_Expiration=1,IF($A223&lt;VLOOKUP(T$5,NFI,5,0),1,0)*Table_NFI[[#This Row],[Winter Items Other]],Table_NFI[Winter Items Other])</f>
        <v>0</v>
      </c>
      <c r="AL223" s="436">
        <f>IF(NFI_Expiration=1,IF($A223&lt;VLOOKUP(M$5,NFI,5,0),1,0)*Table_NFI[[#This Row],[Winter Blanket]],Table_NFI[[#This Row],[Winter Blanket]])</f>
        <v>0</v>
      </c>
      <c r="AM223" s="436">
        <f>IF(Table_NFI[[#This Row],[Winter Clothes Adult]]+Table_NFI[[#This Row],[Winter Clothes Children]]+Table_NFI[[#This Row],[Winter Items Other]]+Table_NFI[[#This Row],[Winter Blanket]]&gt;0,1,0)</f>
        <v>0</v>
      </c>
      <c r="AN223" s="439">
        <f>IF(NFI_Expiration=1,IF($A223&lt;VLOOKUP(V$5,NFI,5,0),1,0)*Table_NFI[[#This Row],[Jerry Can]],Table_NFI[Jerry Can])</f>
        <v>0</v>
      </c>
      <c r="AO223" s="771" t="str">
        <f>IFERROR(VLOOKUP(Table_NFI[[#This Row],[Camp Name]],CL,2,0),"")</f>
        <v>MMR001CMP020</v>
      </c>
      <c r="AP223" s="772">
        <f ca="1">IF(Table_NFI[[#This Row],[Pcode]]="","",IF(OFFSET(CampList[Opening Date],MATCH(Table_NFI[[#This Row],[Pcode]],CampList[CP_Pcode],0)-1,0,1,1)&gt;=NFI_Monitor_Date,1,0))</f>
        <v>0</v>
      </c>
      <c r="AQ223" s="781" t="str">
        <f>IFERROR(VLOOKUP(Table_NFI[[#This Row],[Camp Name]],CL,3,0),"")</f>
        <v>Open</v>
      </c>
      <c r="AR223" s="439" t="str">
        <f ca="1">IF(Table_NFI[[#This Row],[Pcode]]="","",OFFSET(CampList[Priority],MATCH(Table_NFI[[#This Row],[Pcode]],CampList[CP_Pcode],0)-1,0,1,1))</f>
        <v>P4</v>
      </c>
      <c r="AS223" s="438">
        <f>IFERROR(Table_NFI[[#This Row],[Kitchen Set]]/VLOOKUP(Table_NFI[[#This Row],[Camp Name]],CL,4,0),"")</f>
        <v>0</v>
      </c>
      <c r="AT223" s="769"/>
      <c r="AU223" s="773"/>
    </row>
    <row r="224" spans="1:47" s="774" customFormat="1" x14ac:dyDescent="0.25">
      <c r="A224" s="451">
        <f t="shared" si="3"/>
        <v>19.466666666666665</v>
      </c>
      <c r="B224" s="768">
        <v>41786</v>
      </c>
      <c r="C224" s="769" t="s">
        <v>454</v>
      </c>
      <c r="D224" s="769" t="s">
        <v>507</v>
      </c>
      <c r="E224" s="769" t="s">
        <v>380</v>
      </c>
      <c r="F224" s="769" t="s">
        <v>310</v>
      </c>
      <c r="G224" s="769" t="s">
        <v>351</v>
      </c>
      <c r="H224" s="436"/>
      <c r="I224" s="436"/>
      <c r="J224" s="436">
        <v>3</v>
      </c>
      <c r="K224" s="436">
        <v>3</v>
      </c>
      <c r="L224" s="437">
        <v>6</v>
      </c>
      <c r="M224" s="437">
        <v>3</v>
      </c>
      <c r="N224" s="437"/>
      <c r="O224" s="437">
        <v>3</v>
      </c>
      <c r="P224" s="439">
        <v>15</v>
      </c>
      <c r="Q224" s="439"/>
      <c r="R224" s="436"/>
      <c r="S224" s="436"/>
      <c r="T224" s="436"/>
      <c r="U224" s="436"/>
      <c r="V224" s="436"/>
      <c r="W224" s="436"/>
      <c r="X224" s="436"/>
      <c r="Y224" s="436">
        <f>IF(NFI_Expiration=1,IF($A224&lt;VLOOKUP(H$5,NFI,5,0),1,0)*Table_NFI[[#This Row],[Hygiene Kit]],Table_NFI[Hygiene Kit])</f>
        <v>0</v>
      </c>
      <c r="Z224" s="436">
        <f>IF(NFI_Expiration=1,IF($A224&lt;VLOOKUP(I$5,NFI,5,0),1,0)*Table_NFI[[#This Row],[NFI Core Kit]],Table_NFI[NFI Core Kit])</f>
        <v>0</v>
      </c>
      <c r="AA224" s="436">
        <f>IF(NFI_Expiration=1,IF($A224&lt;VLOOKUP(J$5,NFI,5,0),1,0)*Table_NFI[[#This Row],[Sanitary Kit]],Table_NFI[Sanitary Kit])</f>
        <v>0</v>
      </c>
      <c r="AB224" s="436">
        <f>IF(NFI_Expiration=1,IF($A224&lt;VLOOKUP(K$5,NFI,5,0),1,0)*Table_NFI[[#This Row],[Mosquito net]],Table_NFI[Mosquito net])</f>
        <v>0</v>
      </c>
      <c r="AC224" s="436">
        <f>IF(NFI_Expiration=1,IF($A224&lt;VLOOKUP(L$5,NFI,5,0),1,0)*Table_NFI[[#This Row],[Tarpaulin]],Table_NFI[[#This Row],[Tarpaulin]])</f>
        <v>0</v>
      </c>
      <c r="AD224" s="436">
        <f>IF(NFI_Expiration=1,IF($A224&lt;VLOOKUP(M$5,NFI,5,0),1,0)*Table_NFI[[#This Row],[Blanket]],Table_NFI[[#This Row],[Blanket]])</f>
        <v>0</v>
      </c>
      <c r="AE224" s="436">
        <f>IF(NFI_Expiration=1,IF($A224&lt;VLOOKUP(N$5,NFI,5,0),1,0)*Table_NFI[[#This Row],[Kitchen Set]],Table_NFI[Kitchen Set])</f>
        <v>0</v>
      </c>
      <c r="AF224" s="436">
        <f>IF(NFI_Expiration=1,IF($A224&lt;VLOOKUP(O$5,NFI,5,0),1,0)*Table_NFI[[#This Row],[Clothes Kit]],Table_NFI[Clothes Kit])</f>
        <v>0</v>
      </c>
      <c r="AG224" s="436">
        <f>IF(NFI_Expiration=1,IF($A224&lt;VLOOKUP(P$5,NFI,5,0),1,0)*Table_NFI[[#This Row],[Plastic Bucket]],Table_NFI[Plastic Bucket])</f>
        <v>0</v>
      </c>
      <c r="AH224" s="436">
        <f>IF(NFI_Expiration=1,IF($A224&lt;VLOOKUP(Q$5,NFI,5,0),1,0)*Table_NFI[[#This Row],[Plastic Mat]],Table_NFI[Plastic Mat])*IF(Table_NFI[[#This Row],[Distribution Date]]&gt;"2014-04-01",1,2.5)</f>
        <v>0</v>
      </c>
      <c r="AI224" s="436">
        <f>IF(NFI_Expiration=1,IF($A224&lt;VLOOKUP(R$5,NFI,5,0),1,0)*Table_NFI[[#This Row],[Winter Clothes Adult]],Table_NFI[Winter Clothes Adult])</f>
        <v>0</v>
      </c>
      <c r="AJ224" s="436">
        <f>IF(NFI_Expiration=1,IF($A224&lt;VLOOKUP(S$5,NFI,5,0),1,0)*Table_NFI[[#This Row],[Winter Clothes Children]],Table_NFI[Winter Clothes Children])</f>
        <v>0</v>
      </c>
      <c r="AK224" s="436">
        <f>IF(NFI_Expiration=1,IF($A224&lt;VLOOKUP(T$5,NFI,5,0),1,0)*Table_NFI[[#This Row],[Winter Items Other]],Table_NFI[Winter Items Other])</f>
        <v>0</v>
      </c>
      <c r="AL224" s="436">
        <f>IF(NFI_Expiration=1,IF($A224&lt;VLOOKUP(M$5,NFI,5,0),1,0)*Table_NFI[[#This Row],[Winter Blanket]],Table_NFI[[#This Row],[Winter Blanket]])</f>
        <v>0</v>
      </c>
      <c r="AM224" s="436">
        <f>IF(Table_NFI[[#This Row],[Winter Clothes Adult]]+Table_NFI[[#This Row],[Winter Clothes Children]]+Table_NFI[[#This Row],[Winter Items Other]]+Table_NFI[[#This Row],[Winter Blanket]]&gt;0,1,0)</f>
        <v>0</v>
      </c>
      <c r="AN224" s="439">
        <f>IF(NFI_Expiration=1,IF($A224&lt;VLOOKUP(V$5,NFI,5,0),1,0)*Table_NFI[[#This Row],[Jerry Can]],Table_NFI[Jerry Can])</f>
        <v>0</v>
      </c>
      <c r="AO224" s="771" t="str">
        <f>IFERROR(VLOOKUP(Table_NFI[[#This Row],[Camp Name]],CL,2,0),"")</f>
        <v>MMR001CMP026</v>
      </c>
      <c r="AP224" s="772">
        <f ca="1">IF(Table_NFI[[#This Row],[Pcode]]="","",IF(OFFSET(CampList[Opening Date],MATCH(Table_NFI[[#This Row],[Pcode]],CampList[CP_Pcode],0)-1,0,1,1)&gt;=NFI_Monitor_Date,1,0))</f>
        <v>0</v>
      </c>
      <c r="AQ224" s="781" t="str">
        <f>IFERROR(VLOOKUP(Table_NFI[[#This Row],[Camp Name]],CL,3,0),"")</f>
        <v>Open</v>
      </c>
      <c r="AR224" s="439" t="str">
        <f ca="1">IF(Table_NFI[[#This Row],[Pcode]]="","",OFFSET(CampList[Priority],MATCH(Table_NFI[[#This Row],[Pcode]],CampList[CP_Pcode],0)-1,0,1,1))</f>
        <v>P4</v>
      </c>
      <c r="AS224" s="438">
        <f>IFERROR(Table_NFI[[#This Row],[Kitchen Set]]/VLOOKUP(Table_NFI[[#This Row],[Camp Name]],CL,4,0),"")</f>
        <v>0</v>
      </c>
      <c r="AT224" s="769"/>
      <c r="AU224" s="773"/>
    </row>
    <row r="225" spans="1:47" s="774" customFormat="1" x14ac:dyDescent="0.25">
      <c r="A225" s="451">
        <f t="shared" si="3"/>
        <v>19.466666666666665</v>
      </c>
      <c r="B225" s="768">
        <v>41786</v>
      </c>
      <c r="C225" s="769" t="s">
        <v>454</v>
      </c>
      <c r="D225" s="769" t="s">
        <v>507</v>
      </c>
      <c r="E225" s="769" t="s">
        <v>380</v>
      </c>
      <c r="F225" s="769" t="s">
        <v>310</v>
      </c>
      <c r="G225" s="769" t="s">
        <v>349</v>
      </c>
      <c r="H225" s="436"/>
      <c r="I225" s="436"/>
      <c r="J225" s="436">
        <v>18</v>
      </c>
      <c r="K225" s="436">
        <v>9</v>
      </c>
      <c r="L225" s="437">
        <v>18</v>
      </c>
      <c r="M225" s="437">
        <v>9</v>
      </c>
      <c r="N225" s="437"/>
      <c r="O225" s="437">
        <v>9</v>
      </c>
      <c r="P225" s="439">
        <v>45</v>
      </c>
      <c r="Q225" s="439"/>
      <c r="R225" s="436"/>
      <c r="S225" s="436"/>
      <c r="T225" s="436"/>
      <c r="U225" s="436"/>
      <c r="V225" s="436"/>
      <c r="W225" s="436"/>
      <c r="X225" s="436"/>
      <c r="Y225" s="436">
        <f>IF(NFI_Expiration=1,IF($A225&lt;VLOOKUP(H$5,NFI,5,0),1,0)*Table_NFI[[#This Row],[Hygiene Kit]],Table_NFI[Hygiene Kit])</f>
        <v>0</v>
      </c>
      <c r="Z225" s="436">
        <f>IF(NFI_Expiration=1,IF($A225&lt;VLOOKUP(I$5,NFI,5,0),1,0)*Table_NFI[[#This Row],[NFI Core Kit]],Table_NFI[NFI Core Kit])</f>
        <v>0</v>
      </c>
      <c r="AA225" s="436">
        <f>IF(NFI_Expiration=1,IF($A225&lt;VLOOKUP(J$5,NFI,5,0),1,0)*Table_NFI[[#This Row],[Sanitary Kit]],Table_NFI[Sanitary Kit])</f>
        <v>0</v>
      </c>
      <c r="AB225" s="436">
        <f>IF(NFI_Expiration=1,IF($A225&lt;VLOOKUP(K$5,NFI,5,0),1,0)*Table_NFI[[#This Row],[Mosquito net]],Table_NFI[Mosquito net])</f>
        <v>0</v>
      </c>
      <c r="AC225" s="436">
        <f>IF(NFI_Expiration=1,IF($A225&lt;VLOOKUP(L$5,NFI,5,0),1,0)*Table_NFI[[#This Row],[Tarpaulin]],Table_NFI[[#This Row],[Tarpaulin]])</f>
        <v>0</v>
      </c>
      <c r="AD225" s="436">
        <f>IF(NFI_Expiration=1,IF($A225&lt;VLOOKUP(M$5,NFI,5,0),1,0)*Table_NFI[[#This Row],[Blanket]],Table_NFI[[#This Row],[Blanket]])</f>
        <v>0</v>
      </c>
      <c r="AE225" s="436">
        <f>IF(NFI_Expiration=1,IF($A225&lt;VLOOKUP(N$5,NFI,5,0),1,0)*Table_NFI[[#This Row],[Kitchen Set]],Table_NFI[Kitchen Set])</f>
        <v>0</v>
      </c>
      <c r="AF225" s="436">
        <f>IF(NFI_Expiration=1,IF($A225&lt;VLOOKUP(O$5,NFI,5,0),1,0)*Table_NFI[[#This Row],[Clothes Kit]],Table_NFI[Clothes Kit])</f>
        <v>0</v>
      </c>
      <c r="AG225" s="436">
        <f>IF(NFI_Expiration=1,IF($A225&lt;VLOOKUP(P$5,NFI,5,0),1,0)*Table_NFI[[#This Row],[Plastic Bucket]],Table_NFI[Plastic Bucket])</f>
        <v>0</v>
      </c>
      <c r="AH225" s="436">
        <f>IF(NFI_Expiration=1,IF($A225&lt;VLOOKUP(Q$5,NFI,5,0),1,0)*Table_NFI[[#This Row],[Plastic Mat]],Table_NFI[Plastic Mat])*IF(Table_NFI[[#This Row],[Distribution Date]]&gt;"2014-04-01",1,2.5)</f>
        <v>0</v>
      </c>
      <c r="AI225" s="436">
        <f>IF(NFI_Expiration=1,IF($A225&lt;VLOOKUP(R$5,NFI,5,0),1,0)*Table_NFI[[#This Row],[Winter Clothes Adult]],Table_NFI[Winter Clothes Adult])</f>
        <v>0</v>
      </c>
      <c r="AJ225" s="436">
        <f>IF(NFI_Expiration=1,IF($A225&lt;VLOOKUP(S$5,NFI,5,0),1,0)*Table_NFI[[#This Row],[Winter Clothes Children]],Table_NFI[Winter Clothes Children])</f>
        <v>0</v>
      </c>
      <c r="AK225" s="436">
        <f>IF(NFI_Expiration=1,IF($A225&lt;VLOOKUP(T$5,NFI,5,0),1,0)*Table_NFI[[#This Row],[Winter Items Other]],Table_NFI[Winter Items Other])</f>
        <v>0</v>
      </c>
      <c r="AL225" s="436">
        <f>IF(NFI_Expiration=1,IF($A225&lt;VLOOKUP(M$5,NFI,5,0),1,0)*Table_NFI[[#This Row],[Winter Blanket]],Table_NFI[[#This Row],[Winter Blanket]])</f>
        <v>0</v>
      </c>
      <c r="AM225" s="436">
        <f>IF(Table_NFI[[#This Row],[Winter Clothes Adult]]+Table_NFI[[#This Row],[Winter Clothes Children]]+Table_NFI[[#This Row],[Winter Items Other]]+Table_NFI[[#This Row],[Winter Blanket]]&gt;0,1,0)</f>
        <v>0</v>
      </c>
      <c r="AN225" s="439">
        <f>IF(NFI_Expiration=1,IF($A225&lt;VLOOKUP(V$5,NFI,5,0),1,0)*Table_NFI[[#This Row],[Jerry Can]],Table_NFI[Jerry Can])</f>
        <v>0</v>
      </c>
      <c r="AO225" s="771" t="str">
        <f>IFERROR(VLOOKUP(Table_NFI[[#This Row],[Camp Name]],CL,2,0),"")</f>
        <v>MMR001CMP037</v>
      </c>
      <c r="AP225" s="772">
        <f ca="1">IF(Table_NFI[[#This Row],[Pcode]]="","",IF(OFFSET(CampList[Opening Date],MATCH(Table_NFI[[#This Row],[Pcode]],CampList[CP_Pcode],0)-1,0,1,1)&gt;=NFI_Monitor_Date,1,0))</f>
        <v>0</v>
      </c>
      <c r="AQ225" s="781" t="str">
        <f>IFERROR(VLOOKUP(Table_NFI[[#This Row],[Camp Name]],CL,3,0),"")</f>
        <v>Open</v>
      </c>
      <c r="AR225" s="439" t="str">
        <f ca="1">IF(Table_NFI[[#This Row],[Pcode]]="","",OFFSET(CampList[Priority],MATCH(Table_NFI[[#This Row],[Pcode]],CampList[CP_Pcode],0)-1,0,1,1))</f>
        <v>P4</v>
      </c>
      <c r="AS225" s="438">
        <f>IFERROR(Table_NFI[[#This Row],[Kitchen Set]]/VLOOKUP(Table_NFI[[#This Row],[Camp Name]],CL,4,0),"")</f>
        <v>0</v>
      </c>
      <c r="AT225" s="769"/>
      <c r="AU225" s="773"/>
    </row>
    <row r="226" spans="1:47" s="774" customFormat="1" x14ac:dyDescent="0.25">
      <c r="A226" s="451">
        <f t="shared" si="3"/>
        <v>19.5</v>
      </c>
      <c r="B226" s="768">
        <v>41785</v>
      </c>
      <c r="C226" s="769" t="s">
        <v>1111</v>
      </c>
      <c r="D226" s="769" t="s">
        <v>907</v>
      </c>
      <c r="E226" s="769" t="s">
        <v>380</v>
      </c>
      <c r="F226" s="769" t="s">
        <v>310</v>
      </c>
      <c r="G226" s="769" t="s">
        <v>344</v>
      </c>
      <c r="H226" s="436"/>
      <c r="I226" s="436"/>
      <c r="J226" s="436"/>
      <c r="K226" s="436"/>
      <c r="L226" s="437"/>
      <c r="M226" s="437"/>
      <c r="N226" s="437"/>
      <c r="O226" s="437"/>
      <c r="P226" s="439"/>
      <c r="Q226" s="439"/>
      <c r="R226" s="436"/>
      <c r="S226" s="436"/>
      <c r="T226" s="436"/>
      <c r="U226" s="436">
        <v>36</v>
      </c>
      <c r="V226" s="436"/>
      <c r="W226" s="436"/>
      <c r="X226" s="436"/>
      <c r="Y226" s="448">
        <f>IF(NFI_Expiration=1,IF($A226&lt;VLOOKUP(H$5,NFI,5,0),1,0)*Table_NFI[[#This Row],[Hygiene Kit]],Table_NFI[Hygiene Kit])</f>
        <v>0</v>
      </c>
      <c r="Z226" s="448">
        <f>IF(NFI_Expiration=1,IF($A226&lt;VLOOKUP(I$5,NFI,5,0),1,0)*Table_NFI[[#This Row],[NFI Core Kit]],Table_NFI[NFI Core Kit])</f>
        <v>0</v>
      </c>
      <c r="AA226" s="448">
        <f>IF(NFI_Expiration=1,IF($A226&lt;VLOOKUP(J$5,NFI,5,0),1,0)*Table_NFI[[#This Row],[Sanitary Kit]],Table_NFI[Sanitary Kit])</f>
        <v>0</v>
      </c>
      <c r="AB226" s="448">
        <f>IF(NFI_Expiration=1,IF($A226&lt;VLOOKUP(K$5,NFI,5,0),1,0)*Table_NFI[[#This Row],[Mosquito net]],Table_NFI[Mosquito net])</f>
        <v>0</v>
      </c>
      <c r="AC226" s="448">
        <f>IF(NFI_Expiration=1,IF($A226&lt;VLOOKUP(L$5,NFI,5,0),1,0)*Table_NFI[[#This Row],[Tarpaulin]],Table_NFI[[#This Row],[Tarpaulin]])</f>
        <v>0</v>
      </c>
      <c r="AD226" s="448">
        <f>IF(NFI_Expiration=1,IF($A226&lt;VLOOKUP(M$5,NFI,5,0),1,0)*Table_NFI[[#This Row],[Blanket]],Table_NFI[[#This Row],[Blanket]])</f>
        <v>0</v>
      </c>
      <c r="AE226" s="448">
        <f>IF(NFI_Expiration=1,IF($A226&lt;VLOOKUP(N$5,NFI,5,0),1,0)*Table_NFI[[#This Row],[Kitchen Set]],Table_NFI[Kitchen Set])</f>
        <v>0</v>
      </c>
      <c r="AF226" s="448">
        <f>IF(NFI_Expiration=1,IF($A226&lt;VLOOKUP(O$5,NFI,5,0),1,0)*Table_NFI[[#This Row],[Clothes Kit]],Table_NFI[Clothes Kit])</f>
        <v>0</v>
      </c>
      <c r="AG226" s="448">
        <f>IF(NFI_Expiration=1,IF($A226&lt;VLOOKUP(P$5,NFI,5,0),1,0)*Table_NFI[[#This Row],[Plastic Bucket]],Table_NFI[Plastic Bucket])</f>
        <v>0</v>
      </c>
      <c r="AH226" s="448">
        <f>IF(NFI_Expiration=1,IF($A226&lt;VLOOKUP(Q$5,NFI,5,0),1,0)*Table_NFI[[#This Row],[Plastic Mat]],Table_NFI[Plastic Mat])*IF(Table_NFI[[#This Row],[Distribution Date]]&gt;"2014-04-01",1,2.5)</f>
        <v>0</v>
      </c>
      <c r="AI226" s="448">
        <f>IF(NFI_Expiration=1,IF($A226&lt;VLOOKUP(R$5,NFI,5,0),1,0)*Table_NFI[[#This Row],[Winter Clothes Adult]],Table_NFI[Winter Clothes Adult])</f>
        <v>0</v>
      </c>
      <c r="AJ226" s="448">
        <f>IF(NFI_Expiration=1,IF($A226&lt;VLOOKUP(S$5,NFI,5,0),1,0)*Table_NFI[[#This Row],[Winter Clothes Children]],Table_NFI[Winter Clothes Children])</f>
        <v>0</v>
      </c>
      <c r="AK226" s="448">
        <f>IF(NFI_Expiration=1,IF($A226&lt;VLOOKUP(T$5,NFI,5,0),1,0)*Table_NFI[[#This Row],[Winter Items Other]],Table_NFI[Winter Items Other])</f>
        <v>0</v>
      </c>
      <c r="AL226" s="448">
        <f>IF(NFI_Expiration=1,IF($A226&lt;VLOOKUP(M$5,NFI,5,0),1,0)*Table_NFI[[#This Row],[Winter Blanket]],Table_NFI[[#This Row],[Winter Blanket]])</f>
        <v>0</v>
      </c>
      <c r="AM226" s="448">
        <f>IF(Table_NFI[[#This Row],[Winter Clothes Adult]]+Table_NFI[[#This Row],[Winter Clothes Children]]+Table_NFI[[#This Row],[Winter Items Other]]+Table_NFI[[#This Row],[Winter Blanket]]&gt;0,1,0)</f>
        <v>1</v>
      </c>
      <c r="AN226" s="439">
        <f>IF(NFI_Expiration=1,IF($A226&lt;VLOOKUP(V$5,NFI,5,0),1,0)*Table_NFI[[#This Row],[Jerry Can]],Table_NFI[Jerry Can])</f>
        <v>0</v>
      </c>
      <c r="AO226" s="787" t="str">
        <f>IFERROR(VLOOKUP(Table_NFI[[#This Row],[Camp Name]],CL,2,0),"")</f>
        <v>MMR001CMP033</v>
      </c>
      <c r="AP226" s="788">
        <f ca="1">IF(Table_NFI[[#This Row],[Pcode]]="","",IF(OFFSET(CampList[Opening Date],MATCH(Table_NFI[[#This Row],[Pcode]],CampList[CP_Pcode],0)-1,0,1,1)&gt;=NFI_Monitor_Date,1,0))</f>
        <v>0</v>
      </c>
      <c r="AQ226" s="787" t="str">
        <f>IFERROR(VLOOKUP(Table_NFI[[#This Row],[Camp Name]],CL,3,0),"")</f>
        <v>Open</v>
      </c>
      <c r="AR226" s="448" t="str">
        <f ca="1">IF(Table_NFI[[#This Row],[Pcode]]="","",OFFSET(CampList[Priority],MATCH(Table_NFI[[#This Row],[Pcode]],CampList[CP_Pcode],0)-1,0,1,1))</f>
        <v>P4</v>
      </c>
      <c r="AS226" s="449">
        <f>IFERROR(Table_NFI[[#This Row],[Kitchen Set]]/VLOOKUP(Table_NFI[[#This Row],[Camp Name]],CL,4,0),"")</f>
        <v>0</v>
      </c>
      <c r="AT226" s="789"/>
      <c r="AU226" s="773"/>
    </row>
    <row r="227" spans="1:47" s="774" customFormat="1" x14ac:dyDescent="0.25">
      <c r="A227" s="451">
        <f t="shared" si="3"/>
        <v>19.533333333333335</v>
      </c>
      <c r="B227" s="768">
        <v>41784</v>
      </c>
      <c r="C227" s="769" t="s">
        <v>1111</v>
      </c>
      <c r="D227" s="769" t="s">
        <v>907</v>
      </c>
      <c r="E227" s="769" t="s">
        <v>380</v>
      </c>
      <c r="F227" s="769" t="s">
        <v>310</v>
      </c>
      <c r="G227" s="769" t="s">
        <v>313</v>
      </c>
      <c r="H227" s="436"/>
      <c r="I227" s="436"/>
      <c r="J227" s="436"/>
      <c r="K227" s="436"/>
      <c r="L227" s="437"/>
      <c r="M227" s="437"/>
      <c r="N227" s="437"/>
      <c r="O227" s="437"/>
      <c r="P227" s="439"/>
      <c r="Q227" s="439"/>
      <c r="R227" s="436"/>
      <c r="S227" s="436"/>
      <c r="T227" s="436"/>
      <c r="U227" s="436">
        <v>224</v>
      </c>
      <c r="V227" s="436"/>
      <c r="W227" s="436"/>
      <c r="X227" s="436"/>
      <c r="Y227" s="448">
        <f>IF(NFI_Expiration=1,IF($A227&lt;VLOOKUP(H$5,NFI,5,0),1,0)*Table_NFI[[#This Row],[Hygiene Kit]],Table_NFI[Hygiene Kit])</f>
        <v>0</v>
      </c>
      <c r="Z227" s="448">
        <f>IF(NFI_Expiration=1,IF($A227&lt;VLOOKUP(I$5,NFI,5,0),1,0)*Table_NFI[[#This Row],[NFI Core Kit]],Table_NFI[NFI Core Kit])</f>
        <v>0</v>
      </c>
      <c r="AA227" s="448">
        <f>IF(NFI_Expiration=1,IF($A227&lt;VLOOKUP(J$5,NFI,5,0),1,0)*Table_NFI[[#This Row],[Sanitary Kit]],Table_NFI[Sanitary Kit])</f>
        <v>0</v>
      </c>
      <c r="AB227" s="448">
        <f>IF(NFI_Expiration=1,IF($A227&lt;VLOOKUP(K$5,NFI,5,0),1,0)*Table_NFI[[#This Row],[Mosquito net]],Table_NFI[Mosquito net])</f>
        <v>0</v>
      </c>
      <c r="AC227" s="448">
        <f>IF(NFI_Expiration=1,IF($A227&lt;VLOOKUP(L$5,NFI,5,0),1,0)*Table_NFI[[#This Row],[Tarpaulin]],Table_NFI[[#This Row],[Tarpaulin]])</f>
        <v>0</v>
      </c>
      <c r="AD227" s="448">
        <f>IF(NFI_Expiration=1,IF($A227&lt;VLOOKUP(M$5,NFI,5,0),1,0)*Table_NFI[[#This Row],[Blanket]],Table_NFI[[#This Row],[Blanket]])</f>
        <v>0</v>
      </c>
      <c r="AE227" s="448">
        <f>IF(NFI_Expiration=1,IF($A227&lt;VLOOKUP(N$5,NFI,5,0),1,0)*Table_NFI[[#This Row],[Kitchen Set]],Table_NFI[Kitchen Set])</f>
        <v>0</v>
      </c>
      <c r="AF227" s="448">
        <f>IF(NFI_Expiration=1,IF($A227&lt;VLOOKUP(O$5,NFI,5,0),1,0)*Table_NFI[[#This Row],[Clothes Kit]],Table_NFI[Clothes Kit])</f>
        <v>0</v>
      </c>
      <c r="AG227" s="448">
        <f>IF(NFI_Expiration=1,IF($A227&lt;VLOOKUP(P$5,NFI,5,0),1,0)*Table_NFI[[#This Row],[Plastic Bucket]],Table_NFI[Plastic Bucket])</f>
        <v>0</v>
      </c>
      <c r="AH227" s="448">
        <f>IF(NFI_Expiration=1,IF($A227&lt;VLOOKUP(Q$5,NFI,5,0),1,0)*Table_NFI[[#This Row],[Plastic Mat]],Table_NFI[Plastic Mat])*IF(Table_NFI[[#This Row],[Distribution Date]]&gt;"2014-04-01",1,2.5)</f>
        <v>0</v>
      </c>
      <c r="AI227" s="448">
        <f>IF(NFI_Expiration=1,IF($A227&lt;VLOOKUP(R$5,NFI,5,0),1,0)*Table_NFI[[#This Row],[Winter Clothes Adult]],Table_NFI[Winter Clothes Adult])</f>
        <v>0</v>
      </c>
      <c r="AJ227" s="448">
        <f>IF(NFI_Expiration=1,IF($A227&lt;VLOOKUP(S$5,NFI,5,0),1,0)*Table_NFI[[#This Row],[Winter Clothes Children]],Table_NFI[Winter Clothes Children])</f>
        <v>0</v>
      </c>
      <c r="AK227" s="448">
        <f>IF(NFI_Expiration=1,IF($A227&lt;VLOOKUP(T$5,NFI,5,0),1,0)*Table_NFI[[#This Row],[Winter Items Other]],Table_NFI[Winter Items Other])</f>
        <v>0</v>
      </c>
      <c r="AL227" s="448">
        <f>IF(NFI_Expiration=1,IF($A227&lt;VLOOKUP(M$5,NFI,5,0),1,0)*Table_NFI[[#This Row],[Winter Blanket]],Table_NFI[[#This Row],[Winter Blanket]])</f>
        <v>0</v>
      </c>
      <c r="AM227" s="448">
        <f>IF(Table_NFI[[#This Row],[Winter Clothes Adult]]+Table_NFI[[#This Row],[Winter Clothes Children]]+Table_NFI[[#This Row],[Winter Items Other]]+Table_NFI[[#This Row],[Winter Blanket]]&gt;0,1,0)</f>
        <v>1</v>
      </c>
      <c r="AN227" s="439">
        <f>IF(NFI_Expiration=1,IF($A227&lt;VLOOKUP(V$5,NFI,5,0),1,0)*Table_NFI[[#This Row],[Jerry Can]],Table_NFI[Jerry Can])</f>
        <v>0</v>
      </c>
      <c r="AO227" s="787" t="str">
        <f>IFERROR(VLOOKUP(Table_NFI[[#This Row],[Camp Name]],CL,2,0),"")</f>
        <v>MMR001CMP028</v>
      </c>
      <c r="AP227" s="788">
        <f ca="1">IF(Table_NFI[[#This Row],[Pcode]]="","",IF(OFFSET(CampList[Opening Date],MATCH(Table_NFI[[#This Row],[Pcode]],CampList[CP_Pcode],0)-1,0,1,1)&gt;=NFI_Monitor_Date,1,0))</f>
        <v>0</v>
      </c>
      <c r="AQ227" s="787" t="str">
        <f>IFERROR(VLOOKUP(Table_NFI[[#This Row],[Camp Name]],CL,3,0),"")</f>
        <v>Open</v>
      </c>
      <c r="AR227" s="448" t="str">
        <f ca="1">IF(Table_NFI[[#This Row],[Pcode]]="","",OFFSET(CampList[Priority],MATCH(Table_NFI[[#This Row],[Pcode]],CampList[CP_Pcode],0)-1,0,1,1))</f>
        <v>P4</v>
      </c>
      <c r="AS227" s="449">
        <f>IFERROR(Table_NFI[[#This Row],[Kitchen Set]]/VLOOKUP(Table_NFI[[#This Row],[Camp Name]],CL,4,0),"")</f>
        <v>0</v>
      </c>
      <c r="AT227" s="789"/>
      <c r="AU227" s="773"/>
    </row>
    <row r="228" spans="1:47" s="774" customFormat="1" x14ac:dyDescent="0.25">
      <c r="A228" s="451">
        <f t="shared" si="3"/>
        <v>19.533333333333335</v>
      </c>
      <c r="B228" s="768">
        <v>41784</v>
      </c>
      <c r="C228" s="769" t="s">
        <v>1111</v>
      </c>
      <c r="D228" s="769" t="s">
        <v>907</v>
      </c>
      <c r="E228" s="769" t="s">
        <v>380</v>
      </c>
      <c r="F228" s="769" t="s">
        <v>310</v>
      </c>
      <c r="G228" s="769" t="s">
        <v>351</v>
      </c>
      <c r="H228" s="436"/>
      <c r="I228" s="436"/>
      <c r="J228" s="436"/>
      <c r="K228" s="436"/>
      <c r="L228" s="437"/>
      <c r="M228" s="437"/>
      <c r="N228" s="437"/>
      <c r="O228" s="437"/>
      <c r="P228" s="439"/>
      <c r="Q228" s="439"/>
      <c r="R228" s="436"/>
      <c r="S228" s="436"/>
      <c r="T228" s="436"/>
      <c r="U228" s="436">
        <v>182</v>
      </c>
      <c r="V228" s="436"/>
      <c r="W228" s="436"/>
      <c r="X228" s="436"/>
      <c r="Y228" s="448">
        <f>IF(NFI_Expiration=1,IF($A228&lt;VLOOKUP(H$5,NFI,5,0),1,0)*Table_NFI[[#This Row],[Hygiene Kit]],Table_NFI[Hygiene Kit])</f>
        <v>0</v>
      </c>
      <c r="Z228" s="448">
        <f>IF(NFI_Expiration=1,IF($A228&lt;VLOOKUP(I$5,NFI,5,0),1,0)*Table_NFI[[#This Row],[NFI Core Kit]],Table_NFI[NFI Core Kit])</f>
        <v>0</v>
      </c>
      <c r="AA228" s="448">
        <f>IF(NFI_Expiration=1,IF($A228&lt;VLOOKUP(J$5,NFI,5,0),1,0)*Table_NFI[[#This Row],[Sanitary Kit]],Table_NFI[Sanitary Kit])</f>
        <v>0</v>
      </c>
      <c r="AB228" s="448">
        <f>IF(NFI_Expiration=1,IF($A228&lt;VLOOKUP(K$5,NFI,5,0),1,0)*Table_NFI[[#This Row],[Mosquito net]],Table_NFI[Mosquito net])</f>
        <v>0</v>
      </c>
      <c r="AC228" s="448">
        <f>IF(NFI_Expiration=1,IF($A228&lt;VLOOKUP(L$5,NFI,5,0),1,0)*Table_NFI[[#This Row],[Tarpaulin]],Table_NFI[[#This Row],[Tarpaulin]])</f>
        <v>0</v>
      </c>
      <c r="AD228" s="448">
        <f>IF(NFI_Expiration=1,IF($A228&lt;VLOOKUP(M$5,NFI,5,0),1,0)*Table_NFI[[#This Row],[Blanket]],Table_NFI[[#This Row],[Blanket]])</f>
        <v>0</v>
      </c>
      <c r="AE228" s="448">
        <f>IF(NFI_Expiration=1,IF($A228&lt;VLOOKUP(N$5,NFI,5,0),1,0)*Table_NFI[[#This Row],[Kitchen Set]],Table_NFI[Kitchen Set])</f>
        <v>0</v>
      </c>
      <c r="AF228" s="448">
        <f>IF(NFI_Expiration=1,IF($A228&lt;VLOOKUP(O$5,NFI,5,0),1,0)*Table_NFI[[#This Row],[Clothes Kit]],Table_NFI[Clothes Kit])</f>
        <v>0</v>
      </c>
      <c r="AG228" s="448">
        <f>IF(NFI_Expiration=1,IF($A228&lt;VLOOKUP(P$5,NFI,5,0),1,0)*Table_NFI[[#This Row],[Plastic Bucket]],Table_NFI[Plastic Bucket])</f>
        <v>0</v>
      </c>
      <c r="AH228" s="448">
        <f>IF(NFI_Expiration=1,IF($A228&lt;VLOOKUP(Q$5,NFI,5,0),1,0)*Table_NFI[[#This Row],[Plastic Mat]],Table_NFI[Plastic Mat])*IF(Table_NFI[[#This Row],[Distribution Date]]&gt;"2014-04-01",1,2.5)</f>
        <v>0</v>
      </c>
      <c r="AI228" s="448">
        <f>IF(NFI_Expiration=1,IF($A228&lt;VLOOKUP(R$5,NFI,5,0),1,0)*Table_NFI[[#This Row],[Winter Clothes Adult]],Table_NFI[Winter Clothes Adult])</f>
        <v>0</v>
      </c>
      <c r="AJ228" s="448">
        <f>IF(NFI_Expiration=1,IF($A228&lt;VLOOKUP(S$5,NFI,5,0),1,0)*Table_NFI[[#This Row],[Winter Clothes Children]],Table_NFI[Winter Clothes Children])</f>
        <v>0</v>
      </c>
      <c r="AK228" s="448">
        <f>IF(NFI_Expiration=1,IF($A228&lt;VLOOKUP(T$5,NFI,5,0),1,0)*Table_NFI[[#This Row],[Winter Items Other]],Table_NFI[Winter Items Other])</f>
        <v>0</v>
      </c>
      <c r="AL228" s="448">
        <f>IF(NFI_Expiration=1,IF($A228&lt;VLOOKUP(M$5,NFI,5,0),1,0)*Table_NFI[[#This Row],[Winter Blanket]],Table_NFI[[#This Row],[Winter Blanket]])</f>
        <v>0</v>
      </c>
      <c r="AM228" s="448">
        <f>IF(Table_NFI[[#This Row],[Winter Clothes Adult]]+Table_NFI[[#This Row],[Winter Clothes Children]]+Table_NFI[[#This Row],[Winter Items Other]]+Table_NFI[[#This Row],[Winter Blanket]]&gt;0,1,0)</f>
        <v>1</v>
      </c>
      <c r="AN228" s="439">
        <f>IF(NFI_Expiration=1,IF($A228&lt;VLOOKUP(V$5,NFI,5,0),1,0)*Table_NFI[[#This Row],[Jerry Can]],Table_NFI[Jerry Can])</f>
        <v>0</v>
      </c>
      <c r="AO228" s="787" t="str">
        <f>IFERROR(VLOOKUP(Table_NFI[[#This Row],[Camp Name]],CL,2,0),"")</f>
        <v>MMR001CMP026</v>
      </c>
      <c r="AP228" s="788">
        <f ca="1">IF(Table_NFI[[#This Row],[Pcode]]="","",IF(OFFSET(CampList[Opening Date],MATCH(Table_NFI[[#This Row],[Pcode]],CampList[CP_Pcode],0)-1,0,1,1)&gt;=NFI_Monitor_Date,1,0))</f>
        <v>0</v>
      </c>
      <c r="AQ228" s="787" t="str">
        <f>IFERROR(VLOOKUP(Table_NFI[[#This Row],[Camp Name]],CL,3,0),"")</f>
        <v>Open</v>
      </c>
      <c r="AR228" s="448" t="str">
        <f ca="1">IF(Table_NFI[[#This Row],[Pcode]]="","",OFFSET(CampList[Priority],MATCH(Table_NFI[[#This Row],[Pcode]],CampList[CP_Pcode],0)-1,0,1,1))</f>
        <v>P4</v>
      </c>
      <c r="AS228" s="449">
        <f>IFERROR(Table_NFI[[#This Row],[Kitchen Set]]/VLOOKUP(Table_NFI[[#This Row],[Camp Name]],CL,4,0),"")</f>
        <v>0</v>
      </c>
      <c r="AT228" s="789"/>
      <c r="AU228" s="773"/>
    </row>
    <row r="229" spans="1:47" s="774" customFormat="1" x14ac:dyDescent="0.25">
      <c r="A229" s="451">
        <f t="shared" si="3"/>
        <v>19.633333333333333</v>
      </c>
      <c r="B229" s="768">
        <v>41781</v>
      </c>
      <c r="C229" s="769" t="s">
        <v>1111</v>
      </c>
      <c r="D229" s="769" t="s">
        <v>907</v>
      </c>
      <c r="E229" s="769" t="s">
        <v>380</v>
      </c>
      <c r="F229" s="435" t="s">
        <v>310</v>
      </c>
      <c r="G229" s="769" t="s">
        <v>320</v>
      </c>
      <c r="H229" s="436"/>
      <c r="I229" s="436"/>
      <c r="J229" s="436"/>
      <c r="K229" s="436"/>
      <c r="L229" s="437"/>
      <c r="M229" s="437"/>
      <c r="N229" s="437"/>
      <c r="O229" s="437"/>
      <c r="P229" s="439"/>
      <c r="Q229" s="439"/>
      <c r="R229" s="436"/>
      <c r="S229" s="436"/>
      <c r="T229" s="436"/>
      <c r="U229" s="436">
        <v>46</v>
      </c>
      <c r="V229" s="436"/>
      <c r="W229" s="436"/>
      <c r="X229" s="436"/>
      <c r="Y229" s="448">
        <f>IF(NFI_Expiration=1,IF($A229&lt;VLOOKUP(H$5,NFI,5,0),1,0)*Table_NFI[[#This Row],[Hygiene Kit]],Table_NFI[Hygiene Kit])</f>
        <v>0</v>
      </c>
      <c r="Z229" s="448">
        <f>IF(NFI_Expiration=1,IF($A229&lt;VLOOKUP(I$5,NFI,5,0),1,0)*Table_NFI[[#This Row],[NFI Core Kit]],Table_NFI[NFI Core Kit])</f>
        <v>0</v>
      </c>
      <c r="AA229" s="448">
        <f>IF(NFI_Expiration=1,IF($A229&lt;VLOOKUP(J$5,NFI,5,0),1,0)*Table_NFI[[#This Row],[Sanitary Kit]],Table_NFI[Sanitary Kit])</f>
        <v>0</v>
      </c>
      <c r="AB229" s="448">
        <f>IF(NFI_Expiration=1,IF($A229&lt;VLOOKUP(K$5,NFI,5,0),1,0)*Table_NFI[[#This Row],[Mosquito net]],Table_NFI[Mosquito net])</f>
        <v>0</v>
      </c>
      <c r="AC229" s="448">
        <f>IF(NFI_Expiration=1,IF($A229&lt;VLOOKUP(L$5,NFI,5,0),1,0)*Table_NFI[[#This Row],[Tarpaulin]],Table_NFI[[#This Row],[Tarpaulin]])</f>
        <v>0</v>
      </c>
      <c r="AD229" s="448">
        <f>IF(NFI_Expiration=1,IF($A229&lt;VLOOKUP(M$5,NFI,5,0),1,0)*Table_NFI[[#This Row],[Blanket]],Table_NFI[[#This Row],[Blanket]])</f>
        <v>0</v>
      </c>
      <c r="AE229" s="448">
        <f>IF(NFI_Expiration=1,IF($A229&lt;VLOOKUP(N$5,NFI,5,0),1,0)*Table_NFI[[#This Row],[Kitchen Set]],Table_NFI[Kitchen Set])</f>
        <v>0</v>
      </c>
      <c r="AF229" s="448">
        <f>IF(NFI_Expiration=1,IF($A229&lt;VLOOKUP(O$5,NFI,5,0),1,0)*Table_NFI[[#This Row],[Clothes Kit]],Table_NFI[Clothes Kit])</f>
        <v>0</v>
      </c>
      <c r="AG229" s="448">
        <f>IF(NFI_Expiration=1,IF($A229&lt;VLOOKUP(P$5,NFI,5,0),1,0)*Table_NFI[[#This Row],[Plastic Bucket]],Table_NFI[Plastic Bucket])</f>
        <v>0</v>
      </c>
      <c r="AH229" s="448">
        <f>IF(NFI_Expiration=1,IF($A229&lt;VLOOKUP(Q$5,NFI,5,0),1,0)*Table_NFI[[#This Row],[Plastic Mat]],Table_NFI[Plastic Mat])*IF(Table_NFI[[#This Row],[Distribution Date]]&gt;"2014-04-01",1,2.5)</f>
        <v>0</v>
      </c>
      <c r="AI229" s="448">
        <f>IF(NFI_Expiration=1,IF($A229&lt;VLOOKUP(R$5,NFI,5,0),1,0)*Table_NFI[[#This Row],[Winter Clothes Adult]],Table_NFI[Winter Clothes Adult])</f>
        <v>0</v>
      </c>
      <c r="AJ229" s="448">
        <f>IF(NFI_Expiration=1,IF($A229&lt;VLOOKUP(S$5,NFI,5,0),1,0)*Table_NFI[[#This Row],[Winter Clothes Children]],Table_NFI[Winter Clothes Children])</f>
        <v>0</v>
      </c>
      <c r="AK229" s="448">
        <f>IF(NFI_Expiration=1,IF($A229&lt;VLOOKUP(T$5,NFI,5,0),1,0)*Table_NFI[[#This Row],[Winter Items Other]],Table_NFI[Winter Items Other])</f>
        <v>0</v>
      </c>
      <c r="AL229" s="448">
        <f>IF(NFI_Expiration=1,IF($A229&lt;VLOOKUP(M$5,NFI,5,0),1,0)*Table_NFI[[#This Row],[Winter Blanket]],Table_NFI[[#This Row],[Winter Blanket]])</f>
        <v>0</v>
      </c>
      <c r="AM229" s="448">
        <f>IF(Table_NFI[[#This Row],[Winter Clothes Adult]]+Table_NFI[[#This Row],[Winter Clothes Children]]+Table_NFI[[#This Row],[Winter Items Other]]+Table_NFI[[#This Row],[Winter Blanket]]&gt;0,1,0)</f>
        <v>1</v>
      </c>
      <c r="AN229" s="439">
        <f>IF(NFI_Expiration=1,IF($A229&lt;VLOOKUP(V$5,NFI,5,0),1,0)*Table_NFI[[#This Row],[Jerry Can]],Table_NFI[Jerry Can])</f>
        <v>0</v>
      </c>
      <c r="AO229" s="787" t="str">
        <f>IFERROR(VLOOKUP(Table_NFI[[#This Row],[Camp Name]],CL,2,0),"")</f>
        <v>MMR001CMP027</v>
      </c>
      <c r="AP229" s="788">
        <f ca="1">IF(Table_NFI[[#This Row],[Pcode]]="","",IF(OFFSET(CampList[Opening Date],MATCH(Table_NFI[[#This Row],[Pcode]],CampList[CP_Pcode],0)-1,0,1,1)&gt;=NFI_Monitor_Date,1,0))</f>
        <v>0</v>
      </c>
      <c r="AQ229" s="787" t="str">
        <f>IFERROR(VLOOKUP(Table_NFI[[#This Row],[Camp Name]],CL,3,0),"")</f>
        <v>Open</v>
      </c>
      <c r="AR229" s="448" t="str">
        <f ca="1">IF(Table_NFI[[#This Row],[Pcode]]="","",OFFSET(CampList[Priority],MATCH(Table_NFI[[#This Row],[Pcode]],CampList[CP_Pcode],0)-1,0,1,1))</f>
        <v>P4</v>
      </c>
      <c r="AS229" s="449">
        <f>IFERROR(Table_NFI[[#This Row],[Kitchen Set]]/VLOOKUP(Table_NFI[[#This Row],[Camp Name]],CL,4,0),"")</f>
        <v>0</v>
      </c>
      <c r="AT229" s="789"/>
      <c r="AU229" s="773"/>
    </row>
    <row r="230" spans="1:47" s="774" customFormat="1" x14ac:dyDescent="0.25">
      <c r="A230" s="451">
        <f t="shared" si="3"/>
        <v>19.633333333333333</v>
      </c>
      <c r="B230" s="768">
        <v>41781</v>
      </c>
      <c r="C230" s="769" t="s">
        <v>1111</v>
      </c>
      <c r="D230" s="769" t="s">
        <v>907</v>
      </c>
      <c r="E230" s="769" t="s">
        <v>380</v>
      </c>
      <c r="F230" s="769" t="s">
        <v>310</v>
      </c>
      <c r="G230" s="769" t="s">
        <v>318</v>
      </c>
      <c r="H230" s="436"/>
      <c r="I230" s="436"/>
      <c r="J230" s="436"/>
      <c r="K230" s="436"/>
      <c r="L230" s="437"/>
      <c r="M230" s="437"/>
      <c r="N230" s="437"/>
      <c r="O230" s="437"/>
      <c r="P230" s="439"/>
      <c r="Q230" s="439"/>
      <c r="R230" s="436"/>
      <c r="S230" s="436"/>
      <c r="T230" s="436"/>
      <c r="U230" s="436">
        <v>88</v>
      </c>
      <c r="V230" s="436"/>
      <c r="W230" s="436"/>
      <c r="X230" s="436"/>
      <c r="Y230" s="448">
        <f>IF(NFI_Expiration=1,IF($A230&lt;VLOOKUP(H$5,NFI,5,0),1,0)*Table_NFI[[#This Row],[Hygiene Kit]],Table_NFI[Hygiene Kit])</f>
        <v>0</v>
      </c>
      <c r="Z230" s="448">
        <f>IF(NFI_Expiration=1,IF($A230&lt;VLOOKUP(I$5,NFI,5,0),1,0)*Table_NFI[[#This Row],[NFI Core Kit]],Table_NFI[NFI Core Kit])</f>
        <v>0</v>
      </c>
      <c r="AA230" s="448">
        <f>IF(NFI_Expiration=1,IF($A230&lt;VLOOKUP(J$5,NFI,5,0),1,0)*Table_NFI[[#This Row],[Sanitary Kit]],Table_NFI[Sanitary Kit])</f>
        <v>0</v>
      </c>
      <c r="AB230" s="448">
        <f>IF(NFI_Expiration=1,IF($A230&lt;VLOOKUP(K$5,NFI,5,0),1,0)*Table_NFI[[#This Row],[Mosquito net]],Table_NFI[Mosquito net])</f>
        <v>0</v>
      </c>
      <c r="AC230" s="448">
        <f>IF(NFI_Expiration=1,IF($A230&lt;VLOOKUP(L$5,NFI,5,0),1,0)*Table_NFI[[#This Row],[Tarpaulin]],Table_NFI[[#This Row],[Tarpaulin]])</f>
        <v>0</v>
      </c>
      <c r="AD230" s="448">
        <f>IF(NFI_Expiration=1,IF($A230&lt;VLOOKUP(M$5,NFI,5,0),1,0)*Table_NFI[[#This Row],[Blanket]],Table_NFI[[#This Row],[Blanket]])</f>
        <v>0</v>
      </c>
      <c r="AE230" s="448">
        <f>IF(NFI_Expiration=1,IF($A230&lt;VLOOKUP(N$5,NFI,5,0),1,0)*Table_NFI[[#This Row],[Kitchen Set]],Table_NFI[Kitchen Set])</f>
        <v>0</v>
      </c>
      <c r="AF230" s="448">
        <f>IF(NFI_Expiration=1,IF($A230&lt;VLOOKUP(O$5,NFI,5,0),1,0)*Table_NFI[[#This Row],[Clothes Kit]],Table_NFI[Clothes Kit])</f>
        <v>0</v>
      </c>
      <c r="AG230" s="448">
        <f>IF(NFI_Expiration=1,IF($A230&lt;VLOOKUP(P$5,NFI,5,0),1,0)*Table_NFI[[#This Row],[Plastic Bucket]],Table_NFI[Plastic Bucket])</f>
        <v>0</v>
      </c>
      <c r="AH230" s="448">
        <f>IF(NFI_Expiration=1,IF($A230&lt;VLOOKUP(Q$5,NFI,5,0),1,0)*Table_NFI[[#This Row],[Plastic Mat]],Table_NFI[Plastic Mat])*IF(Table_NFI[[#This Row],[Distribution Date]]&gt;"2014-04-01",1,2.5)</f>
        <v>0</v>
      </c>
      <c r="AI230" s="448">
        <f>IF(NFI_Expiration=1,IF($A230&lt;VLOOKUP(R$5,NFI,5,0),1,0)*Table_NFI[[#This Row],[Winter Clothes Adult]],Table_NFI[Winter Clothes Adult])</f>
        <v>0</v>
      </c>
      <c r="AJ230" s="448">
        <f>IF(NFI_Expiration=1,IF($A230&lt;VLOOKUP(S$5,NFI,5,0),1,0)*Table_NFI[[#This Row],[Winter Clothes Children]],Table_NFI[Winter Clothes Children])</f>
        <v>0</v>
      </c>
      <c r="AK230" s="448">
        <f>IF(NFI_Expiration=1,IF($A230&lt;VLOOKUP(T$5,NFI,5,0),1,0)*Table_NFI[[#This Row],[Winter Items Other]],Table_NFI[Winter Items Other])</f>
        <v>0</v>
      </c>
      <c r="AL230" s="448">
        <f>IF(NFI_Expiration=1,IF($A230&lt;VLOOKUP(M$5,NFI,5,0),1,0)*Table_NFI[[#This Row],[Winter Blanket]],Table_NFI[[#This Row],[Winter Blanket]])</f>
        <v>0</v>
      </c>
      <c r="AM230" s="448">
        <f>IF(Table_NFI[[#This Row],[Winter Clothes Adult]]+Table_NFI[[#This Row],[Winter Clothes Children]]+Table_NFI[[#This Row],[Winter Items Other]]+Table_NFI[[#This Row],[Winter Blanket]]&gt;0,1,0)</f>
        <v>1</v>
      </c>
      <c r="AN230" s="439">
        <f>IF(NFI_Expiration=1,IF($A230&lt;VLOOKUP(V$5,NFI,5,0),1,0)*Table_NFI[[#This Row],[Jerry Can]],Table_NFI[Jerry Can])</f>
        <v>0</v>
      </c>
      <c r="AO230" s="787" t="str">
        <f>IFERROR(VLOOKUP(Table_NFI[[#This Row],[Camp Name]],CL,2,0),"")</f>
        <v>MMR001CMP032</v>
      </c>
      <c r="AP230" s="788">
        <f ca="1">IF(Table_NFI[[#This Row],[Pcode]]="","",IF(OFFSET(CampList[Opening Date],MATCH(Table_NFI[[#This Row],[Pcode]],CampList[CP_Pcode],0)-1,0,1,1)&gt;=NFI_Monitor_Date,1,0))</f>
        <v>0</v>
      </c>
      <c r="AQ230" s="787" t="str">
        <f>IFERROR(VLOOKUP(Table_NFI[[#This Row],[Camp Name]],CL,3,0),"")</f>
        <v>Open</v>
      </c>
      <c r="AR230" s="448" t="str">
        <f ca="1">IF(Table_NFI[[#This Row],[Pcode]]="","",OFFSET(CampList[Priority],MATCH(Table_NFI[[#This Row],[Pcode]],CampList[CP_Pcode],0)-1,0,1,1))</f>
        <v>P4</v>
      </c>
      <c r="AS230" s="449">
        <f>IFERROR(Table_NFI[[#This Row],[Kitchen Set]]/VLOOKUP(Table_NFI[[#This Row],[Camp Name]],CL,4,0),"")</f>
        <v>0</v>
      </c>
      <c r="AT230" s="789"/>
      <c r="AU230" s="773"/>
    </row>
    <row r="231" spans="1:47" s="774" customFormat="1" x14ac:dyDescent="0.25">
      <c r="A231" s="451">
        <f t="shared" si="3"/>
        <v>19.633333333333333</v>
      </c>
      <c r="B231" s="768">
        <v>41781</v>
      </c>
      <c r="C231" s="769" t="s">
        <v>1111</v>
      </c>
      <c r="D231" s="769" t="s">
        <v>907</v>
      </c>
      <c r="E231" s="769" t="s">
        <v>380</v>
      </c>
      <c r="F231" s="435" t="s">
        <v>310</v>
      </c>
      <c r="G231" s="769" t="s">
        <v>342</v>
      </c>
      <c r="H231" s="436"/>
      <c r="I231" s="436"/>
      <c r="J231" s="436"/>
      <c r="K231" s="436"/>
      <c r="L231" s="437"/>
      <c r="M231" s="437"/>
      <c r="N231" s="437"/>
      <c r="O231" s="437"/>
      <c r="P231" s="439"/>
      <c r="Q231" s="439"/>
      <c r="R231" s="436"/>
      <c r="S231" s="436"/>
      <c r="T231" s="436"/>
      <c r="U231" s="436">
        <v>140</v>
      </c>
      <c r="V231" s="436"/>
      <c r="W231" s="436"/>
      <c r="X231" s="436"/>
      <c r="Y231" s="448">
        <f>IF(NFI_Expiration=1,IF($A231&lt;VLOOKUP(H$5,NFI,5,0),1,0)*Table_NFI[[#This Row],[Hygiene Kit]],Table_NFI[Hygiene Kit])</f>
        <v>0</v>
      </c>
      <c r="Z231" s="448">
        <f>IF(NFI_Expiration=1,IF($A231&lt;VLOOKUP(I$5,NFI,5,0),1,0)*Table_NFI[[#This Row],[NFI Core Kit]],Table_NFI[NFI Core Kit])</f>
        <v>0</v>
      </c>
      <c r="AA231" s="448">
        <f>IF(NFI_Expiration=1,IF($A231&lt;VLOOKUP(J$5,NFI,5,0),1,0)*Table_NFI[[#This Row],[Sanitary Kit]],Table_NFI[Sanitary Kit])</f>
        <v>0</v>
      </c>
      <c r="AB231" s="448">
        <f>IF(NFI_Expiration=1,IF($A231&lt;VLOOKUP(K$5,NFI,5,0),1,0)*Table_NFI[[#This Row],[Mosquito net]],Table_NFI[Mosquito net])</f>
        <v>0</v>
      </c>
      <c r="AC231" s="448">
        <f>IF(NFI_Expiration=1,IF($A231&lt;VLOOKUP(L$5,NFI,5,0),1,0)*Table_NFI[[#This Row],[Tarpaulin]],Table_NFI[[#This Row],[Tarpaulin]])</f>
        <v>0</v>
      </c>
      <c r="AD231" s="448">
        <f>IF(NFI_Expiration=1,IF($A231&lt;VLOOKUP(M$5,NFI,5,0),1,0)*Table_NFI[[#This Row],[Blanket]],Table_NFI[[#This Row],[Blanket]])</f>
        <v>0</v>
      </c>
      <c r="AE231" s="448">
        <f>IF(NFI_Expiration=1,IF($A231&lt;VLOOKUP(N$5,NFI,5,0),1,0)*Table_NFI[[#This Row],[Kitchen Set]],Table_NFI[Kitchen Set])</f>
        <v>0</v>
      </c>
      <c r="AF231" s="448">
        <f>IF(NFI_Expiration=1,IF($A231&lt;VLOOKUP(O$5,NFI,5,0),1,0)*Table_NFI[[#This Row],[Clothes Kit]],Table_NFI[Clothes Kit])</f>
        <v>0</v>
      </c>
      <c r="AG231" s="448">
        <f>IF(NFI_Expiration=1,IF($A231&lt;VLOOKUP(P$5,NFI,5,0),1,0)*Table_NFI[[#This Row],[Plastic Bucket]],Table_NFI[Plastic Bucket])</f>
        <v>0</v>
      </c>
      <c r="AH231" s="448">
        <f>IF(NFI_Expiration=1,IF($A231&lt;VLOOKUP(Q$5,NFI,5,0),1,0)*Table_NFI[[#This Row],[Plastic Mat]],Table_NFI[Plastic Mat])*IF(Table_NFI[[#This Row],[Distribution Date]]&gt;"2014-04-01",1,2.5)</f>
        <v>0</v>
      </c>
      <c r="AI231" s="448">
        <f>IF(NFI_Expiration=1,IF($A231&lt;VLOOKUP(R$5,NFI,5,0),1,0)*Table_NFI[[#This Row],[Winter Clothes Adult]],Table_NFI[Winter Clothes Adult])</f>
        <v>0</v>
      </c>
      <c r="AJ231" s="448">
        <f>IF(NFI_Expiration=1,IF($A231&lt;VLOOKUP(S$5,NFI,5,0),1,0)*Table_NFI[[#This Row],[Winter Clothes Children]],Table_NFI[Winter Clothes Children])</f>
        <v>0</v>
      </c>
      <c r="AK231" s="448">
        <f>IF(NFI_Expiration=1,IF($A231&lt;VLOOKUP(T$5,NFI,5,0),1,0)*Table_NFI[[#This Row],[Winter Items Other]],Table_NFI[Winter Items Other])</f>
        <v>0</v>
      </c>
      <c r="AL231" s="448">
        <f>IF(NFI_Expiration=1,IF($A231&lt;VLOOKUP(M$5,NFI,5,0),1,0)*Table_NFI[[#This Row],[Winter Blanket]],Table_NFI[[#This Row],[Winter Blanket]])</f>
        <v>0</v>
      </c>
      <c r="AM231" s="448">
        <f>IF(Table_NFI[[#This Row],[Winter Clothes Adult]]+Table_NFI[[#This Row],[Winter Clothes Children]]+Table_NFI[[#This Row],[Winter Items Other]]+Table_NFI[[#This Row],[Winter Blanket]]&gt;0,1,0)</f>
        <v>1</v>
      </c>
      <c r="AN231" s="439">
        <f>IF(NFI_Expiration=1,IF($A231&lt;VLOOKUP(V$5,NFI,5,0),1,0)*Table_NFI[[#This Row],[Jerry Can]],Table_NFI[Jerry Can])</f>
        <v>0</v>
      </c>
      <c r="AO231" s="787" t="str">
        <f>IFERROR(VLOOKUP(Table_NFI[[#This Row],[Camp Name]],CL,2,0),"")</f>
        <v>MMR001CMP025</v>
      </c>
      <c r="AP231" s="788">
        <f ca="1">IF(Table_NFI[[#This Row],[Pcode]]="","",IF(OFFSET(CampList[Opening Date],MATCH(Table_NFI[[#This Row],[Pcode]],CampList[CP_Pcode],0)-1,0,1,1)&gt;=NFI_Monitor_Date,1,0))</f>
        <v>0</v>
      </c>
      <c r="AQ231" s="787" t="str">
        <f>IFERROR(VLOOKUP(Table_NFI[[#This Row],[Camp Name]],CL,3,0),"")</f>
        <v>Open</v>
      </c>
      <c r="AR231" s="448" t="str">
        <f ca="1">IF(Table_NFI[[#This Row],[Pcode]]="","",OFFSET(CampList[Priority],MATCH(Table_NFI[[#This Row],[Pcode]],CampList[CP_Pcode],0)-1,0,1,1))</f>
        <v>P4</v>
      </c>
      <c r="AS231" s="449">
        <f>IFERROR(Table_NFI[[#This Row],[Kitchen Set]]/VLOOKUP(Table_NFI[[#This Row],[Camp Name]],CL,4,0),"")</f>
        <v>0</v>
      </c>
      <c r="AT231" s="789"/>
      <c r="AU231" s="773"/>
    </row>
    <row r="232" spans="1:47" s="774" customFormat="1" x14ac:dyDescent="0.25">
      <c r="A232" s="451">
        <f t="shared" si="3"/>
        <v>19.666666666666668</v>
      </c>
      <c r="B232" s="768">
        <v>41780</v>
      </c>
      <c r="C232" s="769" t="s">
        <v>1111</v>
      </c>
      <c r="D232" s="769" t="s">
        <v>907</v>
      </c>
      <c r="E232" s="769" t="s">
        <v>380</v>
      </c>
      <c r="F232" s="769" t="s">
        <v>237</v>
      </c>
      <c r="G232" s="769" t="s">
        <v>267</v>
      </c>
      <c r="H232" s="436"/>
      <c r="I232" s="436"/>
      <c r="J232" s="436"/>
      <c r="K232" s="436"/>
      <c r="L232" s="437"/>
      <c r="M232" s="437"/>
      <c r="N232" s="437"/>
      <c r="O232" s="437"/>
      <c r="P232" s="439"/>
      <c r="Q232" s="439"/>
      <c r="R232" s="436"/>
      <c r="S232" s="436"/>
      <c r="T232" s="436"/>
      <c r="U232" s="436">
        <v>24</v>
      </c>
      <c r="V232" s="436"/>
      <c r="W232" s="436"/>
      <c r="X232" s="436"/>
      <c r="Y232" s="448">
        <f>IF(NFI_Expiration=1,IF($A232&lt;VLOOKUP(H$5,NFI,5,0),1,0)*Table_NFI[[#This Row],[Hygiene Kit]],Table_NFI[Hygiene Kit])</f>
        <v>0</v>
      </c>
      <c r="Z232" s="448">
        <f>IF(NFI_Expiration=1,IF($A232&lt;VLOOKUP(I$5,NFI,5,0),1,0)*Table_NFI[[#This Row],[NFI Core Kit]],Table_NFI[NFI Core Kit])</f>
        <v>0</v>
      </c>
      <c r="AA232" s="448">
        <f>IF(NFI_Expiration=1,IF($A232&lt;VLOOKUP(J$5,NFI,5,0),1,0)*Table_NFI[[#This Row],[Sanitary Kit]],Table_NFI[Sanitary Kit])</f>
        <v>0</v>
      </c>
      <c r="AB232" s="448">
        <f>IF(NFI_Expiration=1,IF($A232&lt;VLOOKUP(K$5,NFI,5,0),1,0)*Table_NFI[[#This Row],[Mosquito net]],Table_NFI[Mosquito net])</f>
        <v>0</v>
      </c>
      <c r="AC232" s="448">
        <f>IF(NFI_Expiration=1,IF($A232&lt;VLOOKUP(L$5,NFI,5,0),1,0)*Table_NFI[[#This Row],[Tarpaulin]],Table_NFI[[#This Row],[Tarpaulin]])</f>
        <v>0</v>
      </c>
      <c r="AD232" s="448">
        <f>IF(NFI_Expiration=1,IF($A232&lt;VLOOKUP(M$5,NFI,5,0),1,0)*Table_NFI[[#This Row],[Blanket]],Table_NFI[[#This Row],[Blanket]])</f>
        <v>0</v>
      </c>
      <c r="AE232" s="448">
        <f>IF(NFI_Expiration=1,IF($A232&lt;VLOOKUP(N$5,NFI,5,0),1,0)*Table_NFI[[#This Row],[Kitchen Set]],Table_NFI[Kitchen Set])</f>
        <v>0</v>
      </c>
      <c r="AF232" s="448">
        <f>IF(NFI_Expiration=1,IF($A232&lt;VLOOKUP(O$5,NFI,5,0),1,0)*Table_NFI[[#This Row],[Clothes Kit]],Table_NFI[Clothes Kit])</f>
        <v>0</v>
      </c>
      <c r="AG232" s="448">
        <f>IF(NFI_Expiration=1,IF($A232&lt;VLOOKUP(P$5,NFI,5,0),1,0)*Table_NFI[[#This Row],[Plastic Bucket]],Table_NFI[Plastic Bucket])</f>
        <v>0</v>
      </c>
      <c r="AH232" s="448">
        <f>IF(NFI_Expiration=1,IF($A232&lt;VLOOKUP(Q$5,NFI,5,0),1,0)*Table_NFI[[#This Row],[Plastic Mat]],Table_NFI[Plastic Mat])*IF(Table_NFI[[#This Row],[Distribution Date]]&gt;"2014-04-01",1,2.5)</f>
        <v>0</v>
      </c>
      <c r="AI232" s="448">
        <f>IF(NFI_Expiration=1,IF($A232&lt;VLOOKUP(R$5,NFI,5,0),1,0)*Table_NFI[[#This Row],[Winter Clothes Adult]],Table_NFI[Winter Clothes Adult])</f>
        <v>0</v>
      </c>
      <c r="AJ232" s="448">
        <f>IF(NFI_Expiration=1,IF($A232&lt;VLOOKUP(S$5,NFI,5,0),1,0)*Table_NFI[[#This Row],[Winter Clothes Children]],Table_NFI[Winter Clothes Children])</f>
        <v>0</v>
      </c>
      <c r="AK232" s="448">
        <f>IF(NFI_Expiration=1,IF($A232&lt;VLOOKUP(T$5,NFI,5,0),1,0)*Table_NFI[[#This Row],[Winter Items Other]],Table_NFI[Winter Items Other])</f>
        <v>0</v>
      </c>
      <c r="AL232" s="448">
        <f>IF(NFI_Expiration=1,IF($A232&lt;VLOOKUP(M$5,NFI,5,0),1,0)*Table_NFI[[#This Row],[Winter Blanket]],Table_NFI[[#This Row],[Winter Blanket]])</f>
        <v>0</v>
      </c>
      <c r="AM232" s="448">
        <f>IF(Table_NFI[[#This Row],[Winter Clothes Adult]]+Table_NFI[[#This Row],[Winter Clothes Children]]+Table_NFI[[#This Row],[Winter Items Other]]+Table_NFI[[#This Row],[Winter Blanket]]&gt;0,1,0)</f>
        <v>1</v>
      </c>
      <c r="AN232" s="439">
        <f>IF(NFI_Expiration=1,IF($A232&lt;VLOOKUP(V$5,NFI,5,0),1,0)*Table_NFI[[#This Row],[Jerry Can]],Table_NFI[Jerry Can])</f>
        <v>0</v>
      </c>
      <c r="AO232" s="787" t="str">
        <f>IFERROR(VLOOKUP(Table_NFI[[#This Row],[Camp Name]],CL,2,0),"")</f>
        <v>MMR001CMP017</v>
      </c>
      <c r="AP232" s="788">
        <f ca="1">IF(Table_NFI[[#This Row],[Pcode]]="","",IF(OFFSET(CampList[Opening Date],MATCH(Table_NFI[[#This Row],[Pcode]],CampList[CP_Pcode],0)-1,0,1,1)&gt;=NFI_Monitor_Date,1,0))</f>
        <v>0</v>
      </c>
      <c r="AQ232" s="787" t="str">
        <f>IFERROR(VLOOKUP(Table_NFI[[#This Row],[Camp Name]],CL,3,0),"")</f>
        <v>Closed</v>
      </c>
      <c r="AR232" s="448" t="str">
        <f ca="1">IF(Table_NFI[[#This Row],[Pcode]]="","",OFFSET(CampList[Priority],MATCH(Table_NFI[[#This Row],[Pcode]],CampList[CP_Pcode],0)-1,0,1,1))</f>
        <v>P4</v>
      </c>
      <c r="AS232" s="449" t="str">
        <f>IFERROR(Table_NFI[[#This Row],[Kitchen Set]]/VLOOKUP(Table_NFI[[#This Row],[Camp Name]],CL,4,0),"")</f>
        <v/>
      </c>
      <c r="AT232" s="789"/>
      <c r="AU232" s="773"/>
    </row>
    <row r="233" spans="1:47" s="774" customFormat="1" x14ac:dyDescent="0.25">
      <c r="A233" s="451">
        <f t="shared" si="3"/>
        <v>19.666666666666668</v>
      </c>
      <c r="B233" s="768">
        <v>41780</v>
      </c>
      <c r="C233" s="769" t="s">
        <v>1111</v>
      </c>
      <c r="D233" s="769" t="s">
        <v>907</v>
      </c>
      <c r="E233" s="769" t="s">
        <v>380</v>
      </c>
      <c r="F233" s="769" t="s">
        <v>237</v>
      </c>
      <c r="G233" s="769" t="s">
        <v>279</v>
      </c>
      <c r="H233" s="436"/>
      <c r="I233" s="436"/>
      <c r="J233" s="436"/>
      <c r="K233" s="436"/>
      <c r="L233" s="437"/>
      <c r="M233" s="437"/>
      <c r="N233" s="437"/>
      <c r="O233" s="437"/>
      <c r="P233" s="439"/>
      <c r="Q233" s="439"/>
      <c r="R233" s="436"/>
      <c r="S233" s="436"/>
      <c r="T233" s="436"/>
      <c r="U233" s="436">
        <v>30</v>
      </c>
      <c r="V233" s="436"/>
      <c r="W233" s="436"/>
      <c r="X233" s="436"/>
      <c r="Y233" s="448">
        <f>IF(NFI_Expiration=1,IF($A233&lt;VLOOKUP(H$5,NFI,5,0),1,0)*Table_NFI[[#This Row],[Hygiene Kit]],Table_NFI[Hygiene Kit])</f>
        <v>0</v>
      </c>
      <c r="Z233" s="448">
        <f>IF(NFI_Expiration=1,IF($A233&lt;VLOOKUP(I$5,NFI,5,0),1,0)*Table_NFI[[#This Row],[NFI Core Kit]],Table_NFI[NFI Core Kit])</f>
        <v>0</v>
      </c>
      <c r="AA233" s="448">
        <f>IF(NFI_Expiration=1,IF($A233&lt;VLOOKUP(J$5,NFI,5,0),1,0)*Table_NFI[[#This Row],[Sanitary Kit]],Table_NFI[Sanitary Kit])</f>
        <v>0</v>
      </c>
      <c r="AB233" s="448">
        <f>IF(NFI_Expiration=1,IF($A233&lt;VLOOKUP(K$5,NFI,5,0),1,0)*Table_NFI[[#This Row],[Mosquito net]],Table_NFI[Mosquito net])</f>
        <v>0</v>
      </c>
      <c r="AC233" s="448">
        <f>IF(NFI_Expiration=1,IF($A233&lt;VLOOKUP(L$5,NFI,5,0),1,0)*Table_NFI[[#This Row],[Tarpaulin]],Table_NFI[[#This Row],[Tarpaulin]])</f>
        <v>0</v>
      </c>
      <c r="AD233" s="448">
        <f>IF(NFI_Expiration=1,IF($A233&lt;VLOOKUP(M$5,NFI,5,0),1,0)*Table_NFI[[#This Row],[Blanket]],Table_NFI[[#This Row],[Blanket]])</f>
        <v>0</v>
      </c>
      <c r="AE233" s="448">
        <f>IF(NFI_Expiration=1,IF($A233&lt;VLOOKUP(N$5,NFI,5,0),1,0)*Table_NFI[[#This Row],[Kitchen Set]],Table_NFI[Kitchen Set])</f>
        <v>0</v>
      </c>
      <c r="AF233" s="448">
        <f>IF(NFI_Expiration=1,IF($A233&lt;VLOOKUP(O$5,NFI,5,0),1,0)*Table_NFI[[#This Row],[Clothes Kit]],Table_NFI[Clothes Kit])</f>
        <v>0</v>
      </c>
      <c r="AG233" s="448">
        <f>IF(NFI_Expiration=1,IF($A233&lt;VLOOKUP(P$5,NFI,5,0),1,0)*Table_NFI[[#This Row],[Plastic Bucket]],Table_NFI[Plastic Bucket])</f>
        <v>0</v>
      </c>
      <c r="AH233" s="448">
        <f>IF(NFI_Expiration=1,IF($A233&lt;VLOOKUP(Q$5,NFI,5,0),1,0)*Table_NFI[[#This Row],[Plastic Mat]],Table_NFI[Plastic Mat])*IF(Table_NFI[[#This Row],[Distribution Date]]&gt;"2014-04-01",1,2.5)</f>
        <v>0</v>
      </c>
      <c r="AI233" s="448">
        <f>IF(NFI_Expiration=1,IF($A233&lt;VLOOKUP(R$5,NFI,5,0),1,0)*Table_NFI[[#This Row],[Winter Clothes Adult]],Table_NFI[Winter Clothes Adult])</f>
        <v>0</v>
      </c>
      <c r="AJ233" s="448">
        <f>IF(NFI_Expiration=1,IF($A233&lt;VLOOKUP(S$5,NFI,5,0),1,0)*Table_NFI[[#This Row],[Winter Clothes Children]],Table_NFI[Winter Clothes Children])</f>
        <v>0</v>
      </c>
      <c r="AK233" s="448">
        <f>IF(NFI_Expiration=1,IF($A233&lt;VLOOKUP(T$5,NFI,5,0),1,0)*Table_NFI[[#This Row],[Winter Items Other]],Table_NFI[Winter Items Other])</f>
        <v>0</v>
      </c>
      <c r="AL233" s="448">
        <f>IF(NFI_Expiration=1,IF($A233&lt;VLOOKUP(M$5,NFI,5,0),1,0)*Table_NFI[[#This Row],[Winter Blanket]],Table_NFI[[#This Row],[Winter Blanket]])</f>
        <v>0</v>
      </c>
      <c r="AM233" s="448">
        <f>IF(Table_NFI[[#This Row],[Winter Clothes Adult]]+Table_NFI[[#This Row],[Winter Clothes Children]]+Table_NFI[[#This Row],[Winter Items Other]]+Table_NFI[[#This Row],[Winter Blanket]]&gt;0,1,0)</f>
        <v>1</v>
      </c>
      <c r="AN233" s="439">
        <f>IF(NFI_Expiration=1,IF($A233&lt;VLOOKUP(V$5,NFI,5,0),1,0)*Table_NFI[[#This Row],[Jerry Can]],Table_NFI[Jerry Can])</f>
        <v>0</v>
      </c>
      <c r="AO233" s="787" t="str">
        <f>IFERROR(VLOOKUP(Table_NFI[[#This Row],[Camp Name]],CL,2,0),"")</f>
        <v>MMR001CMP007</v>
      </c>
      <c r="AP233" s="788">
        <f ca="1">IF(Table_NFI[[#This Row],[Pcode]]="","",IF(OFFSET(CampList[Opening Date],MATCH(Table_NFI[[#This Row],[Pcode]],CampList[CP_Pcode],0)-1,0,1,1)&gt;=NFI_Monitor_Date,1,0))</f>
        <v>0</v>
      </c>
      <c r="AQ233" s="787" t="str">
        <f>IFERROR(VLOOKUP(Table_NFI[[#This Row],[Camp Name]],CL,3,0),"")</f>
        <v>Open</v>
      </c>
      <c r="AR233" s="448" t="str">
        <f ca="1">IF(Table_NFI[[#This Row],[Pcode]]="","",OFFSET(CampList[Priority],MATCH(Table_NFI[[#This Row],[Pcode]],CampList[CP_Pcode],0)-1,0,1,1))</f>
        <v>P4</v>
      </c>
      <c r="AS233" s="449">
        <f>IFERROR(Table_NFI[[#This Row],[Kitchen Set]]/VLOOKUP(Table_NFI[[#This Row],[Camp Name]],CL,4,0),"")</f>
        <v>0</v>
      </c>
      <c r="AT233" s="789"/>
      <c r="AU233" s="773"/>
    </row>
    <row r="234" spans="1:47" s="774" customFormat="1" x14ac:dyDescent="0.25">
      <c r="A234" s="451">
        <f t="shared" si="3"/>
        <v>19.666666666666668</v>
      </c>
      <c r="B234" s="768">
        <v>41780</v>
      </c>
      <c r="C234" s="769" t="s">
        <v>1111</v>
      </c>
      <c r="D234" s="769" t="s">
        <v>907</v>
      </c>
      <c r="E234" s="769" t="s">
        <v>380</v>
      </c>
      <c r="F234" s="769" t="s">
        <v>310</v>
      </c>
      <c r="G234" s="769" t="s">
        <v>349</v>
      </c>
      <c r="H234" s="436"/>
      <c r="I234" s="436"/>
      <c r="J234" s="436"/>
      <c r="K234" s="436"/>
      <c r="L234" s="437"/>
      <c r="M234" s="437"/>
      <c r="N234" s="437"/>
      <c r="O234" s="437"/>
      <c r="P234" s="439"/>
      <c r="Q234" s="439"/>
      <c r="R234" s="436"/>
      <c r="S234" s="436"/>
      <c r="T234" s="436"/>
      <c r="U234" s="436">
        <v>136</v>
      </c>
      <c r="V234" s="436"/>
      <c r="W234" s="436"/>
      <c r="X234" s="436"/>
      <c r="Y234" s="448">
        <f>IF(NFI_Expiration=1,IF($A234&lt;VLOOKUP(H$5,NFI,5,0),1,0)*Table_NFI[[#This Row],[Hygiene Kit]],Table_NFI[Hygiene Kit])</f>
        <v>0</v>
      </c>
      <c r="Z234" s="448">
        <f>IF(NFI_Expiration=1,IF($A234&lt;VLOOKUP(I$5,NFI,5,0),1,0)*Table_NFI[[#This Row],[NFI Core Kit]],Table_NFI[NFI Core Kit])</f>
        <v>0</v>
      </c>
      <c r="AA234" s="448">
        <f>IF(NFI_Expiration=1,IF($A234&lt;VLOOKUP(J$5,NFI,5,0),1,0)*Table_NFI[[#This Row],[Sanitary Kit]],Table_NFI[Sanitary Kit])</f>
        <v>0</v>
      </c>
      <c r="AB234" s="448">
        <f>IF(NFI_Expiration=1,IF($A234&lt;VLOOKUP(K$5,NFI,5,0),1,0)*Table_NFI[[#This Row],[Mosquito net]],Table_NFI[Mosquito net])</f>
        <v>0</v>
      </c>
      <c r="AC234" s="448">
        <f>IF(NFI_Expiration=1,IF($A234&lt;VLOOKUP(L$5,NFI,5,0),1,0)*Table_NFI[[#This Row],[Tarpaulin]],Table_NFI[[#This Row],[Tarpaulin]])</f>
        <v>0</v>
      </c>
      <c r="AD234" s="448">
        <f>IF(NFI_Expiration=1,IF($A234&lt;VLOOKUP(M$5,NFI,5,0),1,0)*Table_NFI[[#This Row],[Blanket]],Table_NFI[[#This Row],[Blanket]])</f>
        <v>0</v>
      </c>
      <c r="AE234" s="448">
        <f>IF(NFI_Expiration=1,IF($A234&lt;VLOOKUP(N$5,NFI,5,0),1,0)*Table_NFI[[#This Row],[Kitchen Set]],Table_NFI[Kitchen Set])</f>
        <v>0</v>
      </c>
      <c r="AF234" s="448">
        <f>IF(NFI_Expiration=1,IF($A234&lt;VLOOKUP(O$5,NFI,5,0),1,0)*Table_NFI[[#This Row],[Clothes Kit]],Table_NFI[Clothes Kit])</f>
        <v>0</v>
      </c>
      <c r="AG234" s="448">
        <f>IF(NFI_Expiration=1,IF($A234&lt;VLOOKUP(P$5,NFI,5,0),1,0)*Table_NFI[[#This Row],[Plastic Bucket]],Table_NFI[Plastic Bucket])</f>
        <v>0</v>
      </c>
      <c r="AH234" s="448">
        <f>IF(NFI_Expiration=1,IF($A234&lt;VLOOKUP(Q$5,NFI,5,0),1,0)*Table_NFI[[#This Row],[Plastic Mat]],Table_NFI[Plastic Mat])*IF(Table_NFI[[#This Row],[Distribution Date]]&gt;"2014-04-01",1,2.5)</f>
        <v>0</v>
      </c>
      <c r="AI234" s="448">
        <f>IF(NFI_Expiration=1,IF($A234&lt;VLOOKUP(R$5,NFI,5,0),1,0)*Table_NFI[[#This Row],[Winter Clothes Adult]],Table_NFI[Winter Clothes Adult])</f>
        <v>0</v>
      </c>
      <c r="AJ234" s="448">
        <f>IF(NFI_Expiration=1,IF($A234&lt;VLOOKUP(S$5,NFI,5,0),1,0)*Table_NFI[[#This Row],[Winter Clothes Children]],Table_NFI[Winter Clothes Children])</f>
        <v>0</v>
      </c>
      <c r="AK234" s="448">
        <f>IF(NFI_Expiration=1,IF($A234&lt;VLOOKUP(T$5,NFI,5,0),1,0)*Table_NFI[[#This Row],[Winter Items Other]],Table_NFI[Winter Items Other])</f>
        <v>0</v>
      </c>
      <c r="AL234" s="448">
        <f>IF(NFI_Expiration=1,IF($A234&lt;VLOOKUP(M$5,NFI,5,0),1,0)*Table_NFI[[#This Row],[Winter Blanket]],Table_NFI[[#This Row],[Winter Blanket]])</f>
        <v>0</v>
      </c>
      <c r="AM234" s="448">
        <f>IF(Table_NFI[[#This Row],[Winter Clothes Adult]]+Table_NFI[[#This Row],[Winter Clothes Children]]+Table_NFI[[#This Row],[Winter Items Other]]+Table_NFI[[#This Row],[Winter Blanket]]&gt;0,1,0)</f>
        <v>1</v>
      </c>
      <c r="AN234" s="439">
        <f>IF(NFI_Expiration=1,IF($A234&lt;VLOOKUP(V$5,NFI,5,0),1,0)*Table_NFI[[#This Row],[Jerry Can]],Table_NFI[Jerry Can])</f>
        <v>0</v>
      </c>
      <c r="AO234" s="787" t="str">
        <f>IFERROR(VLOOKUP(Table_NFI[[#This Row],[Camp Name]],CL,2,0),"")</f>
        <v>MMR001CMP037</v>
      </c>
      <c r="AP234" s="788">
        <f ca="1">IF(Table_NFI[[#This Row],[Pcode]]="","",IF(OFFSET(CampList[Opening Date],MATCH(Table_NFI[[#This Row],[Pcode]],CampList[CP_Pcode],0)-1,0,1,1)&gt;=NFI_Monitor_Date,1,0))</f>
        <v>0</v>
      </c>
      <c r="AQ234" s="787" t="str">
        <f>IFERROR(VLOOKUP(Table_NFI[[#This Row],[Camp Name]],CL,3,0),"")</f>
        <v>Open</v>
      </c>
      <c r="AR234" s="448" t="str">
        <f ca="1">IF(Table_NFI[[#This Row],[Pcode]]="","",OFFSET(CampList[Priority],MATCH(Table_NFI[[#This Row],[Pcode]],CampList[CP_Pcode],0)-1,0,1,1))</f>
        <v>P4</v>
      </c>
      <c r="AS234" s="449">
        <f>IFERROR(Table_NFI[[#This Row],[Kitchen Set]]/VLOOKUP(Table_NFI[[#This Row],[Camp Name]],CL,4,0),"")</f>
        <v>0</v>
      </c>
      <c r="AT234" s="789"/>
      <c r="AU234" s="773"/>
    </row>
    <row r="235" spans="1:47" s="774" customFormat="1" x14ac:dyDescent="0.25">
      <c r="A235" s="451">
        <f t="shared" si="3"/>
        <v>19.7</v>
      </c>
      <c r="B235" s="768">
        <v>41779</v>
      </c>
      <c r="C235" s="769" t="s">
        <v>1111</v>
      </c>
      <c r="D235" s="769" t="s">
        <v>907</v>
      </c>
      <c r="E235" s="769" t="s">
        <v>380</v>
      </c>
      <c r="F235" s="769" t="s">
        <v>237</v>
      </c>
      <c r="G235" s="769" t="s">
        <v>257</v>
      </c>
      <c r="H235" s="436"/>
      <c r="I235" s="436"/>
      <c r="J235" s="436"/>
      <c r="K235" s="436"/>
      <c r="L235" s="437"/>
      <c r="M235" s="437"/>
      <c r="N235" s="437"/>
      <c r="O235" s="437"/>
      <c r="P235" s="439"/>
      <c r="Q235" s="439"/>
      <c r="R235" s="436"/>
      <c r="S235" s="436"/>
      <c r="T235" s="436"/>
      <c r="U235" s="436">
        <v>88</v>
      </c>
      <c r="V235" s="436"/>
      <c r="W235" s="436"/>
      <c r="X235" s="436"/>
      <c r="Y235" s="448">
        <f>IF(NFI_Expiration=1,IF($A235&lt;VLOOKUP(H$5,NFI,5,0),1,0)*Table_NFI[[#This Row],[Hygiene Kit]],Table_NFI[Hygiene Kit])</f>
        <v>0</v>
      </c>
      <c r="Z235" s="448">
        <f>IF(NFI_Expiration=1,IF($A235&lt;VLOOKUP(I$5,NFI,5,0),1,0)*Table_NFI[[#This Row],[NFI Core Kit]],Table_NFI[NFI Core Kit])</f>
        <v>0</v>
      </c>
      <c r="AA235" s="448">
        <f>IF(NFI_Expiration=1,IF($A235&lt;VLOOKUP(J$5,NFI,5,0),1,0)*Table_NFI[[#This Row],[Sanitary Kit]],Table_NFI[Sanitary Kit])</f>
        <v>0</v>
      </c>
      <c r="AB235" s="448">
        <f>IF(NFI_Expiration=1,IF($A235&lt;VLOOKUP(K$5,NFI,5,0),1,0)*Table_NFI[[#This Row],[Mosquito net]],Table_NFI[Mosquito net])</f>
        <v>0</v>
      </c>
      <c r="AC235" s="448">
        <f>IF(NFI_Expiration=1,IF($A235&lt;VLOOKUP(L$5,NFI,5,0),1,0)*Table_NFI[[#This Row],[Tarpaulin]],Table_NFI[[#This Row],[Tarpaulin]])</f>
        <v>0</v>
      </c>
      <c r="AD235" s="448">
        <f>IF(NFI_Expiration=1,IF($A235&lt;VLOOKUP(M$5,NFI,5,0),1,0)*Table_NFI[[#This Row],[Blanket]],Table_NFI[[#This Row],[Blanket]])</f>
        <v>0</v>
      </c>
      <c r="AE235" s="448">
        <f>IF(NFI_Expiration=1,IF($A235&lt;VLOOKUP(N$5,NFI,5,0),1,0)*Table_NFI[[#This Row],[Kitchen Set]],Table_NFI[Kitchen Set])</f>
        <v>0</v>
      </c>
      <c r="AF235" s="448">
        <f>IF(NFI_Expiration=1,IF($A235&lt;VLOOKUP(O$5,NFI,5,0),1,0)*Table_NFI[[#This Row],[Clothes Kit]],Table_NFI[Clothes Kit])</f>
        <v>0</v>
      </c>
      <c r="AG235" s="448">
        <f>IF(NFI_Expiration=1,IF($A235&lt;VLOOKUP(P$5,NFI,5,0),1,0)*Table_NFI[[#This Row],[Plastic Bucket]],Table_NFI[Plastic Bucket])</f>
        <v>0</v>
      </c>
      <c r="AH235" s="448">
        <f>IF(NFI_Expiration=1,IF($A235&lt;VLOOKUP(Q$5,NFI,5,0),1,0)*Table_NFI[[#This Row],[Plastic Mat]],Table_NFI[Plastic Mat])*IF(Table_NFI[[#This Row],[Distribution Date]]&gt;"2014-04-01",1,2.5)</f>
        <v>0</v>
      </c>
      <c r="AI235" s="448">
        <f>IF(NFI_Expiration=1,IF($A235&lt;VLOOKUP(R$5,NFI,5,0),1,0)*Table_NFI[[#This Row],[Winter Clothes Adult]],Table_NFI[Winter Clothes Adult])</f>
        <v>0</v>
      </c>
      <c r="AJ235" s="448">
        <f>IF(NFI_Expiration=1,IF($A235&lt;VLOOKUP(S$5,NFI,5,0),1,0)*Table_NFI[[#This Row],[Winter Clothes Children]],Table_NFI[Winter Clothes Children])</f>
        <v>0</v>
      </c>
      <c r="AK235" s="448">
        <f>IF(NFI_Expiration=1,IF($A235&lt;VLOOKUP(T$5,NFI,5,0),1,0)*Table_NFI[[#This Row],[Winter Items Other]],Table_NFI[Winter Items Other])</f>
        <v>0</v>
      </c>
      <c r="AL235" s="448">
        <f>IF(NFI_Expiration=1,IF($A235&lt;VLOOKUP(M$5,NFI,5,0),1,0)*Table_NFI[[#This Row],[Winter Blanket]],Table_NFI[[#This Row],[Winter Blanket]])</f>
        <v>0</v>
      </c>
      <c r="AM235" s="448">
        <f>IF(Table_NFI[[#This Row],[Winter Clothes Adult]]+Table_NFI[[#This Row],[Winter Clothes Children]]+Table_NFI[[#This Row],[Winter Items Other]]+Table_NFI[[#This Row],[Winter Blanket]]&gt;0,1,0)</f>
        <v>1</v>
      </c>
      <c r="AN235" s="439">
        <f>IF(NFI_Expiration=1,IF($A235&lt;VLOOKUP(V$5,NFI,5,0),1,0)*Table_NFI[[#This Row],[Jerry Can]],Table_NFI[Jerry Can])</f>
        <v>0</v>
      </c>
      <c r="AO235" s="787" t="str">
        <f>IFERROR(VLOOKUP(Table_NFI[[#This Row],[Camp Name]],CL,2,0),"")</f>
        <v>MMR001CMP013</v>
      </c>
      <c r="AP235" s="788">
        <f ca="1">IF(Table_NFI[[#This Row],[Pcode]]="","",IF(OFFSET(CampList[Opening Date],MATCH(Table_NFI[[#This Row],[Pcode]],CampList[CP_Pcode],0)-1,0,1,1)&gt;=NFI_Monitor_Date,1,0))</f>
        <v>0</v>
      </c>
      <c r="AQ235" s="787" t="str">
        <f>IFERROR(VLOOKUP(Table_NFI[[#This Row],[Camp Name]],CL,3,0),"")</f>
        <v>Open</v>
      </c>
      <c r="AR235" s="448" t="str">
        <f ca="1">IF(Table_NFI[[#This Row],[Pcode]]="","",OFFSET(CampList[Priority],MATCH(Table_NFI[[#This Row],[Pcode]],CampList[CP_Pcode],0)-1,0,1,1))</f>
        <v>P4</v>
      </c>
      <c r="AS235" s="449">
        <f>IFERROR(Table_NFI[[#This Row],[Kitchen Set]]/VLOOKUP(Table_NFI[[#This Row],[Camp Name]],CL,4,0),"")</f>
        <v>0</v>
      </c>
      <c r="AT235" s="789"/>
      <c r="AU235" s="773"/>
    </row>
    <row r="236" spans="1:47" s="774" customFormat="1" x14ac:dyDescent="0.25">
      <c r="A236" s="451">
        <f t="shared" si="3"/>
        <v>19.7</v>
      </c>
      <c r="B236" s="768">
        <v>41779</v>
      </c>
      <c r="C236" s="769" t="s">
        <v>1111</v>
      </c>
      <c r="D236" s="769" t="s">
        <v>907</v>
      </c>
      <c r="E236" s="769" t="s">
        <v>380</v>
      </c>
      <c r="F236" s="769" t="s">
        <v>237</v>
      </c>
      <c r="G236" s="769" t="s">
        <v>240</v>
      </c>
      <c r="H236" s="436"/>
      <c r="I236" s="436"/>
      <c r="J236" s="436"/>
      <c r="K236" s="436"/>
      <c r="L236" s="437"/>
      <c r="M236" s="437"/>
      <c r="N236" s="437"/>
      <c r="O236" s="437"/>
      <c r="P236" s="439"/>
      <c r="Q236" s="439"/>
      <c r="R236" s="436"/>
      <c r="S236" s="436"/>
      <c r="T236" s="436"/>
      <c r="U236" s="436">
        <v>188</v>
      </c>
      <c r="V236" s="436"/>
      <c r="W236" s="436"/>
      <c r="X236" s="436"/>
      <c r="Y236" s="448">
        <f>IF(NFI_Expiration=1,IF($A236&lt;VLOOKUP(H$5,NFI,5,0),1,0)*Table_NFI[[#This Row],[Hygiene Kit]],Table_NFI[Hygiene Kit])</f>
        <v>0</v>
      </c>
      <c r="Z236" s="448">
        <f>IF(NFI_Expiration=1,IF($A236&lt;VLOOKUP(I$5,NFI,5,0),1,0)*Table_NFI[[#This Row],[NFI Core Kit]],Table_NFI[NFI Core Kit])</f>
        <v>0</v>
      </c>
      <c r="AA236" s="448">
        <f>IF(NFI_Expiration=1,IF($A236&lt;VLOOKUP(J$5,NFI,5,0),1,0)*Table_NFI[[#This Row],[Sanitary Kit]],Table_NFI[Sanitary Kit])</f>
        <v>0</v>
      </c>
      <c r="AB236" s="448">
        <f>IF(NFI_Expiration=1,IF($A236&lt;VLOOKUP(K$5,NFI,5,0),1,0)*Table_NFI[[#This Row],[Mosquito net]],Table_NFI[Mosquito net])</f>
        <v>0</v>
      </c>
      <c r="AC236" s="448">
        <f>IF(NFI_Expiration=1,IF($A236&lt;VLOOKUP(L$5,NFI,5,0),1,0)*Table_NFI[[#This Row],[Tarpaulin]],Table_NFI[[#This Row],[Tarpaulin]])</f>
        <v>0</v>
      </c>
      <c r="AD236" s="448">
        <f>IF(NFI_Expiration=1,IF($A236&lt;VLOOKUP(M$5,NFI,5,0),1,0)*Table_NFI[[#This Row],[Blanket]],Table_NFI[[#This Row],[Blanket]])</f>
        <v>0</v>
      </c>
      <c r="AE236" s="448">
        <f>IF(NFI_Expiration=1,IF($A236&lt;VLOOKUP(N$5,NFI,5,0),1,0)*Table_NFI[[#This Row],[Kitchen Set]],Table_NFI[Kitchen Set])</f>
        <v>0</v>
      </c>
      <c r="AF236" s="448">
        <f>IF(NFI_Expiration=1,IF($A236&lt;VLOOKUP(O$5,NFI,5,0),1,0)*Table_NFI[[#This Row],[Clothes Kit]],Table_NFI[Clothes Kit])</f>
        <v>0</v>
      </c>
      <c r="AG236" s="448">
        <f>IF(NFI_Expiration=1,IF($A236&lt;VLOOKUP(P$5,NFI,5,0),1,0)*Table_NFI[[#This Row],[Plastic Bucket]],Table_NFI[Plastic Bucket])</f>
        <v>0</v>
      </c>
      <c r="AH236" s="448">
        <f>IF(NFI_Expiration=1,IF($A236&lt;VLOOKUP(Q$5,NFI,5,0),1,0)*Table_NFI[[#This Row],[Plastic Mat]],Table_NFI[Plastic Mat])*IF(Table_NFI[[#This Row],[Distribution Date]]&gt;"2014-04-01",1,2.5)</f>
        <v>0</v>
      </c>
      <c r="AI236" s="448">
        <f>IF(NFI_Expiration=1,IF($A236&lt;VLOOKUP(R$5,NFI,5,0),1,0)*Table_NFI[[#This Row],[Winter Clothes Adult]],Table_NFI[Winter Clothes Adult])</f>
        <v>0</v>
      </c>
      <c r="AJ236" s="448">
        <f>IF(NFI_Expiration=1,IF($A236&lt;VLOOKUP(S$5,NFI,5,0),1,0)*Table_NFI[[#This Row],[Winter Clothes Children]],Table_NFI[Winter Clothes Children])</f>
        <v>0</v>
      </c>
      <c r="AK236" s="448">
        <f>IF(NFI_Expiration=1,IF($A236&lt;VLOOKUP(T$5,NFI,5,0),1,0)*Table_NFI[[#This Row],[Winter Items Other]],Table_NFI[Winter Items Other])</f>
        <v>0</v>
      </c>
      <c r="AL236" s="448">
        <f>IF(NFI_Expiration=1,IF($A236&lt;VLOOKUP(M$5,NFI,5,0),1,0)*Table_NFI[[#This Row],[Winter Blanket]],Table_NFI[[#This Row],[Winter Blanket]])</f>
        <v>0</v>
      </c>
      <c r="AM236" s="448">
        <f>IF(Table_NFI[[#This Row],[Winter Clothes Adult]]+Table_NFI[[#This Row],[Winter Clothes Children]]+Table_NFI[[#This Row],[Winter Items Other]]+Table_NFI[[#This Row],[Winter Blanket]]&gt;0,1,0)</f>
        <v>1</v>
      </c>
      <c r="AN236" s="439">
        <f>IF(NFI_Expiration=1,IF($A236&lt;VLOOKUP(V$5,NFI,5,0),1,0)*Table_NFI[[#This Row],[Jerry Can]],Table_NFI[Jerry Can])</f>
        <v>0</v>
      </c>
      <c r="AO236" s="787" t="str">
        <f>IFERROR(VLOOKUP(Table_NFI[[#This Row],[Camp Name]],CL,2,0),"")</f>
        <v>MMR001CMP015</v>
      </c>
      <c r="AP236" s="788">
        <f ca="1">IF(Table_NFI[[#This Row],[Pcode]]="","",IF(OFFSET(CampList[Opening Date],MATCH(Table_NFI[[#This Row],[Pcode]],CampList[CP_Pcode],0)-1,0,1,1)&gt;=NFI_Monitor_Date,1,0))</f>
        <v>0</v>
      </c>
      <c r="AQ236" s="787" t="str">
        <f>IFERROR(VLOOKUP(Table_NFI[[#This Row],[Camp Name]],CL,3,0),"")</f>
        <v>Open</v>
      </c>
      <c r="AR236" s="448" t="str">
        <f ca="1">IF(Table_NFI[[#This Row],[Pcode]]="","",OFFSET(CampList[Priority],MATCH(Table_NFI[[#This Row],[Pcode]],CampList[CP_Pcode],0)-1,0,1,1))</f>
        <v>P4</v>
      </c>
      <c r="AS236" s="449">
        <f>IFERROR(Table_NFI[[#This Row],[Kitchen Set]]/VLOOKUP(Table_NFI[[#This Row],[Camp Name]],CL,4,0),"")</f>
        <v>0</v>
      </c>
      <c r="AT236" s="789"/>
      <c r="AU236" s="773"/>
    </row>
    <row r="237" spans="1:47" s="774" customFormat="1" x14ac:dyDescent="0.25">
      <c r="A237" s="451">
        <f t="shared" si="3"/>
        <v>19.7</v>
      </c>
      <c r="B237" s="768">
        <v>41779</v>
      </c>
      <c r="C237" s="769" t="s">
        <v>1111</v>
      </c>
      <c r="D237" s="769" t="s">
        <v>907</v>
      </c>
      <c r="E237" s="769" t="s">
        <v>380</v>
      </c>
      <c r="F237" s="769" t="s">
        <v>237</v>
      </c>
      <c r="G237" s="769" t="s">
        <v>285</v>
      </c>
      <c r="H237" s="436"/>
      <c r="I237" s="436"/>
      <c r="J237" s="436"/>
      <c r="K237" s="436"/>
      <c r="L237" s="437"/>
      <c r="M237" s="437"/>
      <c r="N237" s="437"/>
      <c r="O237" s="437"/>
      <c r="P237" s="439"/>
      <c r="Q237" s="439"/>
      <c r="R237" s="436"/>
      <c r="S237" s="436"/>
      <c r="T237" s="436"/>
      <c r="U237" s="436">
        <v>278</v>
      </c>
      <c r="V237" s="436"/>
      <c r="W237" s="436"/>
      <c r="X237" s="436"/>
      <c r="Y237" s="448">
        <f>IF(NFI_Expiration=1,IF($A237&lt;VLOOKUP(H$5,NFI,5,0),1,0)*Table_NFI[[#This Row],[Hygiene Kit]],Table_NFI[Hygiene Kit])</f>
        <v>0</v>
      </c>
      <c r="Z237" s="448">
        <f>IF(NFI_Expiration=1,IF($A237&lt;VLOOKUP(I$5,NFI,5,0),1,0)*Table_NFI[[#This Row],[NFI Core Kit]],Table_NFI[NFI Core Kit])</f>
        <v>0</v>
      </c>
      <c r="AA237" s="448">
        <f>IF(NFI_Expiration=1,IF($A237&lt;VLOOKUP(J$5,NFI,5,0),1,0)*Table_NFI[[#This Row],[Sanitary Kit]],Table_NFI[Sanitary Kit])</f>
        <v>0</v>
      </c>
      <c r="AB237" s="448">
        <f>IF(NFI_Expiration=1,IF($A237&lt;VLOOKUP(K$5,NFI,5,0),1,0)*Table_NFI[[#This Row],[Mosquito net]],Table_NFI[Mosquito net])</f>
        <v>0</v>
      </c>
      <c r="AC237" s="448">
        <f>IF(NFI_Expiration=1,IF($A237&lt;VLOOKUP(L$5,NFI,5,0),1,0)*Table_NFI[[#This Row],[Tarpaulin]],Table_NFI[[#This Row],[Tarpaulin]])</f>
        <v>0</v>
      </c>
      <c r="AD237" s="448">
        <f>IF(NFI_Expiration=1,IF($A237&lt;VLOOKUP(M$5,NFI,5,0),1,0)*Table_NFI[[#This Row],[Blanket]],Table_NFI[[#This Row],[Blanket]])</f>
        <v>0</v>
      </c>
      <c r="AE237" s="448">
        <f>IF(NFI_Expiration=1,IF($A237&lt;VLOOKUP(N$5,NFI,5,0),1,0)*Table_NFI[[#This Row],[Kitchen Set]],Table_NFI[Kitchen Set])</f>
        <v>0</v>
      </c>
      <c r="AF237" s="448">
        <f>IF(NFI_Expiration=1,IF($A237&lt;VLOOKUP(O$5,NFI,5,0),1,0)*Table_NFI[[#This Row],[Clothes Kit]],Table_NFI[Clothes Kit])</f>
        <v>0</v>
      </c>
      <c r="AG237" s="448">
        <f>IF(NFI_Expiration=1,IF($A237&lt;VLOOKUP(P$5,NFI,5,0),1,0)*Table_NFI[[#This Row],[Plastic Bucket]],Table_NFI[Plastic Bucket])</f>
        <v>0</v>
      </c>
      <c r="AH237" s="448">
        <f>IF(NFI_Expiration=1,IF($A237&lt;VLOOKUP(Q$5,NFI,5,0),1,0)*Table_NFI[[#This Row],[Plastic Mat]],Table_NFI[Plastic Mat])*IF(Table_NFI[[#This Row],[Distribution Date]]&gt;"2014-04-01",1,2.5)</f>
        <v>0</v>
      </c>
      <c r="AI237" s="448">
        <f>IF(NFI_Expiration=1,IF($A237&lt;VLOOKUP(R$5,NFI,5,0),1,0)*Table_NFI[[#This Row],[Winter Clothes Adult]],Table_NFI[Winter Clothes Adult])</f>
        <v>0</v>
      </c>
      <c r="AJ237" s="448">
        <f>IF(NFI_Expiration=1,IF($A237&lt;VLOOKUP(S$5,NFI,5,0),1,0)*Table_NFI[[#This Row],[Winter Clothes Children]],Table_NFI[Winter Clothes Children])</f>
        <v>0</v>
      </c>
      <c r="AK237" s="448">
        <f>IF(NFI_Expiration=1,IF($A237&lt;VLOOKUP(T$5,NFI,5,0),1,0)*Table_NFI[[#This Row],[Winter Items Other]],Table_NFI[Winter Items Other])</f>
        <v>0</v>
      </c>
      <c r="AL237" s="448">
        <f>IF(NFI_Expiration=1,IF($A237&lt;VLOOKUP(M$5,NFI,5,0),1,0)*Table_NFI[[#This Row],[Winter Blanket]],Table_NFI[[#This Row],[Winter Blanket]])</f>
        <v>0</v>
      </c>
      <c r="AM237" s="448">
        <f>IF(Table_NFI[[#This Row],[Winter Clothes Adult]]+Table_NFI[[#This Row],[Winter Clothes Children]]+Table_NFI[[#This Row],[Winter Items Other]]+Table_NFI[[#This Row],[Winter Blanket]]&gt;0,1,0)</f>
        <v>1</v>
      </c>
      <c r="AN237" s="439">
        <f>IF(NFI_Expiration=1,IF($A237&lt;VLOOKUP(V$5,NFI,5,0),1,0)*Table_NFI[[#This Row],[Jerry Can]],Table_NFI[Jerry Can])</f>
        <v>0</v>
      </c>
      <c r="AO237" s="787" t="str">
        <f>IFERROR(VLOOKUP(Table_NFI[[#This Row],[Camp Name]],CL,2,0),"")</f>
        <v>MMR001CMP014</v>
      </c>
      <c r="AP237" s="788">
        <f ca="1">IF(Table_NFI[[#This Row],[Pcode]]="","",IF(OFFSET(CampList[Opening Date],MATCH(Table_NFI[[#This Row],[Pcode]],CampList[CP_Pcode],0)-1,0,1,1)&gt;=NFI_Monitor_Date,1,0))</f>
        <v>0</v>
      </c>
      <c r="AQ237" s="787" t="str">
        <f>IFERROR(VLOOKUP(Table_NFI[[#This Row],[Camp Name]],CL,3,0),"")</f>
        <v>Open</v>
      </c>
      <c r="AR237" s="448" t="str">
        <f ca="1">IF(Table_NFI[[#This Row],[Pcode]]="","",OFFSET(CampList[Priority],MATCH(Table_NFI[[#This Row],[Pcode]],CampList[CP_Pcode],0)-1,0,1,1))</f>
        <v>P4</v>
      </c>
      <c r="AS237" s="449">
        <f>IFERROR(Table_NFI[[#This Row],[Kitchen Set]]/VLOOKUP(Table_NFI[[#This Row],[Camp Name]],CL,4,0),"")</f>
        <v>0</v>
      </c>
      <c r="AT237" s="789"/>
      <c r="AU237" s="773"/>
    </row>
    <row r="238" spans="1:47" s="774" customFormat="1" x14ac:dyDescent="0.25">
      <c r="A238" s="451">
        <f t="shared" si="3"/>
        <v>19.7</v>
      </c>
      <c r="B238" s="768">
        <v>41779</v>
      </c>
      <c r="C238" s="769" t="s">
        <v>1111</v>
      </c>
      <c r="D238" s="769" t="s">
        <v>907</v>
      </c>
      <c r="E238" s="769" t="s">
        <v>380</v>
      </c>
      <c r="F238" s="769" t="s">
        <v>310</v>
      </c>
      <c r="G238" s="769" t="s">
        <v>324</v>
      </c>
      <c r="H238" s="436"/>
      <c r="I238" s="436"/>
      <c r="J238" s="436"/>
      <c r="K238" s="436"/>
      <c r="L238" s="437"/>
      <c r="M238" s="437"/>
      <c r="N238" s="437"/>
      <c r="O238" s="437"/>
      <c r="P238" s="439"/>
      <c r="Q238" s="439"/>
      <c r="R238" s="436"/>
      <c r="S238" s="436"/>
      <c r="T238" s="436"/>
      <c r="U238" s="436">
        <v>824</v>
      </c>
      <c r="V238" s="436"/>
      <c r="W238" s="436"/>
      <c r="X238" s="436"/>
      <c r="Y238" s="448">
        <f>IF(NFI_Expiration=1,IF($A238&lt;VLOOKUP(H$5,NFI,5,0),1,0)*Table_NFI[[#This Row],[Hygiene Kit]],Table_NFI[Hygiene Kit])</f>
        <v>0</v>
      </c>
      <c r="Z238" s="448">
        <f>IF(NFI_Expiration=1,IF($A238&lt;VLOOKUP(I$5,NFI,5,0),1,0)*Table_NFI[[#This Row],[NFI Core Kit]],Table_NFI[NFI Core Kit])</f>
        <v>0</v>
      </c>
      <c r="AA238" s="448">
        <f>IF(NFI_Expiration=1,IF($A238&lt;VLOOKUP(J$5,NFI,5,0),1,0)*Table_NFI[[#This Row],[Sanitary Kit]],Table_NFI[Sanitary Kit])</f>
        <v>0</v>
      </c>
      <c r="AB238" s="448">
        <f>IF(NFI_Expiration=1,IF($A238&lt;VLOOKUP(K$5,NFI,5,0),1,0)*Table_NFI[[#This Row],[Mosquito net]],Table_NFI[Mosquito net])</f>
        <v>0</v>
      </c>
      <c r="AC238" s="448">
        <f>IF(NFI_Expiration=1,IF($A238&lt;VLOOKUP(L$5,NFI,5,0),1,0)*Table_NFI[[#This Row],[Tarpaulin]],Table_NFI[[#This Row],[Tarpaulin]])</f>
        <v>0</v>
      </c>
      <c r="AD238" s="448">
        <f>IF(NFI_Expiration=1,IF($A238&lt;VLOOKUP(M$5,NFI,5,0),1,0)*Table_NFI[[#This Row],[Blanket]],Table_NFI[[#This Row],[Blanket]])</f>
        <v>0</v>
      </c>
      <c r="AE238" s="448">
        <f>IF(NFI_Expiration=1,IF($A238&lt;VLOOKUP(N$5,NFI,5,0),1,0)*Table_NFI[[#This Row],[Kitchen Set]],Table_NFI[Kitchen Set])</f>
        <v>0</v>
      </c>
      <c r="AF238" s="448">
        <f>IF(NFI_Expiration=1,IF($A238&lt;VLOOKUP(O$5,NFI,5,0),1,0)*Table_NFI[[#This Row],[Clothes Kit]],Table_NFI[Clothes Kit])</f>
        <v>0</v>
      </c>
      <c r="AG238" s="448">
        <f>IF(NFI_Expiration=1,IF($A238&lt;VLOOKUP(P$5,NFI,5,0),1,0)*Table_NFI[[#This Row],[Plastic Bucket]],Table_NFI[Plastic Bucket])</f>
        <v>0</v>
      </c>
      <c r="AH238" s="448">
        <f>IF(NFI_Expiration=1,IF($A238&lt;VLOOKUP(Q$5,NFI,5,0),1,0)*Table_NFI[[#This Row],[Plastic Mat]],Table_NFI[Plastic Mat])*IF(Table_NFI[[#This Row],[Distribution Date]]&gt;"2014-04-01",1,2.5)</f>
        <v>0</v>
      </c>
      <c r="AI238" s="448">
        <f>IF(NFI_Expiration=1,IF($A238&lt;VLOOKUP(R$5,NFI,5,0),1,0)*Table_NFI[[#This Row],[Winter Clothes Adult]],Table_NFI[Winter Clothes Adult])</f>
        <v>0</v>
      </c>
      <c r="AJ238" s="448">
        <f>IF(NFI_Expiration=1,IF($A238&lt;VLOOKUP(S$5,NFI,5,0),1,0)*Table_NFI[[#This Row],[Winter Clothes Children]],Table_NFI[Winter Clothes Children])</f>
        <v>0</v>
      </c>
      <c r="AK238" s="448">
        <f>IF(NFI_Expiration=1,IF($A238&lt;VLOOKUP(T$5,NFI,5,0),1,0)*Table_NFI[[#This Row],[Winter Items Other]],Table_NFI[Winter Items Other])</f>
        <v>0</v>
      </c>
      <c r="AL238" s="448">
        <f>IF(NFI_Expiration=1,IF($A238&lt;VLOOKUP(M$5,NFI,5,0),1,0)*Table_NFI[[#This Row],[Winter Blanket]],Table_NFI[[#This Row],[Winter Blanket]])</f>
        <v>0</v>
      </c>
      <c r="AM238" s="448">
        <f>IF(Table_NFI[[#This Row],[Winter Clothes Adult]]+Table_NFI[[#This Row],[Winter Clothes Children]]+Table_NFI[[#This Row],[Winter Items Other]]+Table_NFI[[#This Row],[Winter Blanket]]&gt;0,1,0)</f>
        <v>1</v>
      </c>
      <c r="AN238" s="439">
        <f>IF(NFI_Expiration=1,IF($A238&lt;VLOOKUP(V$5,NFI,5,0),1,0)*Table_NFI[[#This Row],[Jerry Can]],Table_NFI[Jerry Can])</f>
        <v>0</v>
      </c>
      <c r="AO238" s="787" t="str">
        <f>IFERROR(VLOOKUP(Table_NFI[[#This Row],[Camp Name]],CL,2,0),"")</f>
        <v>MMR001CMP040</v>
      </c>
      <c r="AP238" s="788">
        <f ca="1">IF(Table_NFI[[#This Row],[Pcode]]="","",IF(OFFSET(CampList[Opening Date],MATCH(Table_NFI[[#This Row],[Pcode]],CampList[CP_Pcode],0)-1,0,1,1)&gt;=NFI_Monitor_Date,1,0))</f>
        <v>0</v>
      </c>
      <c r="AQ238" s="787" t="str">
        <f>IFERROR(VLOOKUP(Table_NFI[[#This Row],[Camp Name]],CL,3,0),"")</f>
        <v>Open</v>
      </c>
      <c r="AR238" s="448" t="str">
        <f ca="1">IF(Table_NFI[[#This Row],[Pcode]]="","",OFFSET(CampList[Priority],MATCH(Table_NFI[[#This Row],[Pcode]],CampList[CP_Pcode],0)-1,0,1,1))</f>
        <v>P4</v>
      </c>
      <c r="AS238" s="449">
        <f>IFERROR(Table_NFI[[#This Row],[Kitchen Set]]/VLOOKUP(Table_NFI[[#This Row],[Camp Name]],CL,4,0),"")</f>
        <v>0</v>
      </c>
      <c r="AT238" s="789"/>
      <c r="AU238" s="773"/>
    </row>
    <row r="239" spans="1:47" s="774" customFormat="1" x14ac:dyDescent="0.25">
      <c r="A239" s="451">
        <f t="shared" si="3"/>
        <v>19.7</v>
      </c>
      <c r="B239" s="768">
        <v>41779</v>
      </c>
      <c r="C239" s="769" t="s">
        <v>1111</v>
      </c>
      <c r="D239" s="769" t="s">
        <v>907</v>
      </c>
      <c r="E239" s="769" t="s">
        <v>380</v>
      </c>
      <c r="F239" s="769" t="s">
        <v>237</v>
      </c>
      <c r="G239" s="769" t="s">
        <v>259</v>
      </c>
      <c r="H239" s="436"/>
      <c r="I239" s="436"/>
      <c r="J239" s="436"/>
      <c r="K239" s="436"/>
      <c r="L239" s="437"/>
      <c r="M239" s="437"/>
      <c r="N239" s="437"/>
      <c r="O239" s="437"/>
      <c r="P239" s="439"/>
      <c r="Q239" s="439"/>
      <c r="R239" s="436"/>
      <c r="S239" s="436"/>
      <c r="T239" s="436"/>
      <c r="U239" s="436">
        <v>142</v>
      </c>
      <c r="V239" s="436"/>
      <c r="W239" s="436"/>
      <c r="X239" s="436"/>
      <c r="Y239" s="448">
        <f>IF(NFI_Expiration=1,IF($A239&lt;VLOOKUP(H$5,NFI,5,0),1,0)*Table_NFI[[#This Row],[Hygiene Kit]],Table_NFI[Hygiene Kit])</f>
        <v>0</v>
      </c>
      <c r="Z239" s="448">
        <f>IF(NFI_Expiration=1,IF($A239&lt;VLOOKUP(I$5,NFI,5,0),1,0)*Table_NFI[[#This Row],[NFI Core Kit]],Table_NFI[NFI Core Kit])</f>
        <v>0</v>
      </c>
      <c r="AA239" s="448">
        <f>IF(NFI_Expiration=1,IF($A239&lt;VLOOKUP(J$5,NFI,5,0),1,0)*Table_NFI[[#This Row],[Sanitary Kit]],Table_NFI[Sanitary Kit])</f>
        <v>0</v>
      </c>
      <c r="AB239" s="448">
        <f>IF(NFI_Expiration=1,IF($A239&lt;VLOOKUP(K$5,NFI,5,0),1,0)*Table_NFI[[#This Row],[Mosquito net]],Table_NFI[Mosquito net])</f>
        <v>0</v>
      </c>
      <c r="AC239" s="448">
        <f>IF(NFI_Expiration=1,IF($A239&lt;VLOOKUP(L$5,NFI,5,0),1,0)*Table_NFI[[#This Row],[Tarpaulin]],Table_NFI[[#This Row],[Tarpaulin]])</f>
        <v>0</v>
      </c>
      <c r="AD239" s="448">
        <f>IF(NFI_Expiration=1,IF($A239&lt;VLOOKUP(M$5,NFI,5,0),1,0)*Table_NFI[[#This Row],[Blanket]],Table_NFI[[#This Row],[Blanket]])</f>
        <v>0</v>
      </c>
      <c r="AE239" s="448">
        <f>IF(NFI_Expiration=1,IF($A239&lt;VLOOKUP(N$5,NFI,5,0),1,0)*Table_NFI[[#This Row],[Kitchen Set]],Table_NFI[Kitchen Set])</f>
        <v>0</v>
      </c>
      <c r="AF239" s="448">
        <f>IF(NFI_Expiration=1,IF($A239&lt;VLOOKUP(O$5,NFI,5,0),1,0)*Table_NFI[[#This Row],[Clothes Kit]],Table_NFI[Clothes Kit])</f>
        <v>0</v>
      </c>
      <c r="AG239" s="448">
        <f>IF(NFI_Expiration=1,IF($A239&lt;VLOOKUP(P$5,NFI,5,0),1,0)*Table_NFI[[#This Row],[Plastic Bucket]],Table_NFI[Plastic Bucket])</f>
        <v>0</v>
      </c>
      <c r="AH239" s="448">
        <f>IF(NFI_Expiration=1,IF($A239&lt;VLOOKUP(Q$5,NFI,5,0),1,0)*Table_NFI[[#This Row],[Plastic Mat]],Table_NFI[Plastic Mat])*IF(Table_NFI[[#This Row],[Distribution Date]]&gt;"2014-04-01",1,2.5)</f>
        <v>0</v>
      </c>
      <c r="AI239" s="448">
        <f>IF(NFI_Expiration=1,IF($A239&lt;VLOOKUP(R$5,NFI,5,0),1,0)*Table_NFI[[#This Row],[Winter Clothes Adult]],Table_NFI[Winter Clothes Adult])</f>
        <v>0</v>
      </c>
      <c r="AJ239" s="448">
        <f>IF(NFI_Expiration=1,IF($A239&lt;VLOOKUP(S$5,NFI,5,0),1,0)*Table_NFI[[#This Row],[Winter Clothes Children]],Table_NFI[Winter Clothes Children])</f>
        <v>0</v>
      </c>
      <c r="AK239" s="448">
        <f>IF(NFI_Expiration=1,IF($A239&lt;VLOOKUP(T$5,NFI,5,0),1,0)*Table_NFI[[#This Row],[Winter Items Other]],Table_NFI[Winter Items Other])</f>
        <v>0</v>
      </c>
      <c r="AL239" s="448">
        <f>IF(NFI_Expiration=1,IF($A239&lt;VLOOKUP(M$5,NFI,5,0),1,0)*Table_NFI[[#This Row],[Winter Blanket]],Table_NFI[[#This Row],[Winter Blanket]])</f>
        <v>0</v>
      </c>
      <c r="AM239" s="448">
        <f>IF(Table_NFI[[#This Row],[Winter Clothes Adult]]+Table_NFI[[#This Row],[Winter Clothes Children]]+Table_NFI[[#This Row],[Winter Items Other]]+Table_NFI[[#This Row],[Winter Blanket]]&gt;0,1,0)</f>
        <v>1</v>
      </c>
      <c r="AN239" s="439">
        <f>IF(NFI_Expiration=1,IF($A239&lt;VLOOKUP(V$5,NFI,5,0),1,0)*Table_NFI[[#This Row],[Jerry Can]],Table_NFI[Jerry Can])</f>
        <v>0</v>
      </c>
      <c r="AO239" s="787" t="str">
        <f>IFERROR(VLOOKUP(Table_NFI[[#This Row],[Camp Name]],CL,2,0),"")</f>
        <v>MMR001CMP016</v>
      </c>
      <c r="AP239" s="788">
        <f ca="1">IF(Table_NFI[[#This Row],[Pcode]]="","",IF(OFFSET(CampList[Opening Date],MATCH(Table_NFI[[#This Row],[Pcode]],CampList[CP_Pcode],0)-1,0,1,1)&gt;=NFI_Monitor_Date,1,0))</f>
        <v>0</v>
      </c>
      <c r="AQ239" s="787" t="str">
        <f>IFERROR(VLOOKUP(Table_NFI[[#This Row],[Camp Name]],CL,3,0),"")</f>
        <v>Open</v>
      </c>
      <c r="AR239" s="448" t="str">
        <f ca="1">IF(Table_NFI[[#This Row],[Pcode]]="","",OFFSET(CampList[Priority],MATCH(Table_NFI[[#This Row],[Pcode]],CampList[CP_Pcode],0)-1,0,1,1))</f>
        <v>P4</v>
      </c>
      <c r="AS239" s="449">
        <f>IFERROR(Table_NFI[[#This Row],[Kitchen Set]]/VLOOKUP(Table_NFI[[#This Row],[Camp Name]],CL,4,0),"")</f>
        <v>0</v>
      </c>
      <c r="AT239" s="789"/>
      <c r="AU239" s="773"/>
    </row>
    <row r="240" spans="1:47" s="774" customFormat="1" x14ac:dyDescent="0.25">
      <c r="A240" s="451">
        <f t="shared" si="3"/>
        <v>19.733333333333334</v>
      </c>
      <c r="B240" s="768">
        <v>41778</v>
      </c>
      <c r="C240" s="769" t="s">
        <v>1111</v>
      </c>
      <c r="D240" s="769" t="s">
        <v>907</v>
      </c>
      <c r="E240" s="769" t="s">
        <v>380</v>
      </c>
      <c r="F240" s="769" t="s">
        <v>310</v>
      </c>
      <c r="G240" s="769" t="s">
        <v>328</v>
      </c>
      <c r="H240" s="436"/>
      <c r="I240" s="436"/>
      <c r="J240" s="436"/>
      <c r="K240" s="436"/>
      <c r="L240" s="437"/>
      <c r="M240" s="437"/>
      <c r="N240" s="437"/>
      <c r="O240" s="437"/>
      <c r="P240" s="439"/>
      <c r="Q240" s="439"/>
      <c r="R240" s="436"/>
      <c r="S240" s="436"/>
      <c r="T240" s="436"/>
      <c r="U240" s="436">
        <v>224</v>
      </c>
      <c r="V240" s="436"/>
      <c r="W240" s="436"/>
      <c r="X240" s="436"/>
      <c r="Y240" s="448">
        <f>IF(NFI_Expiration=1,IF($A240&lt;VLOOKUP(H$5,NFI,5,0),1,0)*Table_NFI[[#This Row],[Hygiene Kit]],Table_NFI[Hygiene Kit])</f>
        <v>0</v>
      </c>
      <c r="Z240" s="448">
        <f>IF(NFI_Expiration=1,IF($A240&lt;VLOOKUP(I$5,NFI,5,0),1,0)*Table_NFI[[#This Row],[NFI Core Kit]],Table_NFI[NFI Core Kit])</f>
        <v>0</v>
      </c>
      <c r="AA240" s="448">
        <f>IF(NFI_Expiration=1,IF($A240&lt;VLOOKUP(J$5,NFI,5,0),1,0)*Table_NFI[[#This Row],[Sanitary Kit]],Table_NFI[Sanitary Kit])</f>
        <v>0</v>
      </c>
      <c r="AB240" s="448">
        <f>IF(NFI_Expiration=1,IF($A240&lt;VLOOKUP(K$5,NFI,5,0),1,0)*Table_NFI[[#This Row],[Mosquito net]],Table_NFI[Mosquito net])</f>
        <v>0</v>
      </c>
      <c r="AC240" s="448">
        <f>IF(NFI_Expiration=1,IF($A240&lt;VLOOKUP(L$5,NFI,5,0),1,0)*Table_NFI[[#This Row],[Tarpaulin]],Table_NFI[[#This Row],[Tarpaulin]])</f>
        <v>0</v>
      </c>
      <c r="AD240" s="448">
        <f>IF(NFI_Expiration=1,IF($A240&lt;VLOOKUP(M$5,NFI,5,0),1,0)*Table_NFI[[#This Row],[Blanket]],Table_NFI[[#This Row],[Blanket]])</f>
        <v>0</v>
      </c>
      <c r="AE240" s="448">
        <f>IF(NFI_Expiration=1,IF($A240&lt;VLOOKUP(N$5,NFI,5,0),1,0)*Table_NFI[[#This Row],[Kitchen Set]],Table_NFI[Kitchen Set])</f>
        <v>0</v>
      </c>
      <c r="AF240" s="448">
        <f>IF(NFI_Expiration=1,IF($A240&lt;VLOOKUP(O$5,NFI,5,0),1,0)*Table_NFI[[#This Row],[Clothes Kit]],Table_NFI[Clothes Kit])</f>
        <v>0</v>
      </c>
      <c r="AG240" s="448">
        <f>IF(NFI_Expiration=1,IF($A240&lt;VLOOKUP(P$5,NFI,5,0),1,0)*Table_NFI[[#This Row],[Plastic Bucket]],Table_NFI[Plastic Bucket])</f>
        <v>0</v>
      </c>
      <c r="AH240" s="448">
        <f>IF(NFI_Expiration=1,IF($A240&lt;VLOOKUP(Q$5,NFI,5,0),1,0)*Table_NFI[[#This Row],[Plastic Mat]],Table_NFI[Plastic Mat])*IF(Table_NFI[[#This Row],[Distribution Date]]&gt;"2014-04-01",1,2.5)</f>
        <v>0</v>
      </c>
      <c r="AI240" s="448">
        <f>IF(NFI_Expiration=1,IF($A240&lt;VLOOKUP(R$5,NFI,5,0),1,0)*Table_NFI[[#This Row],[Winter Clothes Adult]],Table_NFI[Winter Clothes Adult])</f>
        <v>0</v>
      </c>
      <c r="AJ240" s="448">
        <f>IF(NFI_Expiration=1,IF($A240&lt;VLOOKUP(S$5,NFI,5,0),1,0)*Table_NFI[[#This Row],[Winter Clothes Children]],Table_NFI[Winter Clothes Children])</f>
        <v>0</v>
      </c>
      <c r="AK240" s="448">
        <f>IF(NFI_Expiration=1,IF($A240&lt;VLOOKUP(T$5,NFI,5,0),1,0)*Table_NFI[[#This Row],[Winter Items Other]],Table_NFI[Winter Items Other])</f>
        <v>0</v>
      </c>
      <c r="AL240" s="448">
        <f>IF(NFI_Expiration=1,IF($A240&lt;VLOOKUP(M$5,NFI,5,0),1,0)*Table_NFI[[#This Row],[Winter Blanket]],Table_NFI[[#This Row],[Winter Blanket]])</f>
        <v>0</v>
      </c>
      <c r="AM240" s="448">
        <f>IF(Table_NFI[[#This Row],[Winter Clothes Adult]]+Table_NFI[[#This Row],[Winter Clothes Children]]+Table_NFI[[#This Row],[Winter Items Other]]+Table_NFI[[#This Row],[Winter Blanket]]&gt;0,1,0)</f>
        <v>1</v>
      </c>
      <c r="AN240" s="439">
        <f>IF(NFI_Expiration=1,IF($A240&lt;VLOOKUP(V$5,NFI,5,0),1,0)*Table_NFI[[#This Row],[Jerry Can]],Table_NFI[Jerry Can])</f>
        <v>0</v>
      </c>
      <c r="AO240" s="787" t="str">
        <f>IFERROR(VLOOKUP(Table_NFI[[#This Row],[Camp Name]],CL,2,0),"")</f>
        <v>MMR001CMP031</v>
      </c>
      <c r="AP240" s="788">
        <f ca="1">IF(Table_NFI[[#This Row],[Pcode]]="","",IF(OFFSET(CampList[Opening Date],MATCH(Table_NFI[[#This Row],[Pcode]],CampList[CP_Pcode],0)-1,0,1,1)&gt;=NFI_Monitor_Date,1,0))</f>
        <v>0</v>
      </c>
      <c r="AQ240" s="787" t="str">
        <f>IFERROR(VLOOKUP(Table_NFI[[#This Row],[Camp Name]],CL,3,0),"")</f>
        <v>Open</v>
      </c>
      <c r="AR240" s="448" t="str">
        <f ca="1">IF(Table_NFI[[#This Row],[Pcode]]="","",OFFSET(CampList[Priority],MATCH(Table_NFI[[#This Row],[Pcode]],CampList[CP_Pcode],0)-1,0,1,1))</f>
        <v>P4</v>
      </c>
      <c r="AS240" s="449">
        <f>IFERROR(Table_NFI[[#This Row],[Kitchen Set]]/VLOOKUP(Table_NFI[[#This Row],[Camp Name]],CL,4,0),"")</f>
        <v>0</v>
      </c>
      <c r="AT240" s="789"/>
      <c r="AU240" s="773"/>
    </row>
    <row r="241" spans="1:47" s="774" customFormat="1" x14ac:dyDescent="0.25">
      <c r="A241" s="451">
        <f t="shared" si="3"/>
        <v>19.733333333333334</v>
      </c>
      <c r="B241" s="768">
        <v>41778</v>
      </c>
      <c r="C241" s="769" t="s">
        <v>1111</v>
      </c>
      <c r="D241" s="769" t="s">
        <v>907</v>
      </c>
      <c r="E241" s="769" t="s">
        <v>380</v>
      </c>
      <c r="F241" s="769" t="s">
        <v>310</v>
      </c>
      <c r="G241" s="769" t="s">
        <v>326</v>
      </c>
      <c r="H241" s="436"/>
      <c r="I241" s="436"/>
      <c r="J241" s="436"/>
      <c r="K241" s="436"/>
      <c r="L241" s="437"/>
      <c r="M241" s="437"/>
      <c r="N241" s="437"/>
      <c r="O241" s="437"/>
      <c r="P241" s="439"/>
      <c r="Q241" s="439"/>
      <c r="R241" s="436"/>
      <c r="S241" s="436"/>
      <c r="T241" s="436"/>
      <c r="U241" s="436">
        <v>230</v>
      </c>
      <c r="V241" s="436"/>
      <c r="W241" s="436"/>
      <c r="X241" s="436"/>
      <c r="Y241" s="448">
        <f>IF(NFI_Expiration=1,IF($A241&lt;VLOOKUP(H$5,NFI,5,0),1,0)*Table_NFI[[#This Row],[Hygiene Kit]],Table_NFI[Hygiene Kit])</f>
        <v>0</v>
      </c>
      <c r="Z241" s="448">
        <f>IF(NFI_Expiration=1,IF($A241&lt;VLOOKUP(I$5,NFI,5,0),1,0)*Table_NFI[[#This Row],[NFI Core Kit]],Table_NFI[NFI Core Kit])</f>
        <v>0</v>
      </c>
      <c r="AA241" s="448">
        <f>IF(NFI_Expiration=1,IF($A241&lt;VLOOKUP(J$5,NFI,5,0),1,0)*Table_NFI[[#This Row],[Sanitary Kit]],Table_NFI[Sanitary Kit])</f>
        <v>0</v>
      </c>
      <c r="AB241" s="448">
        <f>IF(NFI_Expiration=1,IF($A241&lt;VLOOKUP(K$5,NFI,5,0),1,0)*Table_NFI[[#This Row],[Mosquito net]],Table_NFI[Mosquito net])</f>
        <v>0</v>
      </c>
      <c r="AC241" s="448">
        <f>IF(NFI_Expiration=1,IF($A241&lt;VLOOKUP(L$5,NFI,5,0),1,0)*Table_NFI[[#This Row],[Tarpaulin]],Table_NFI[[#This Row],[Tarpaulin]])</f>
        <v>0</v>
      </c>
      <c r="AD241" s="448">
        <f>IF(NFI_Expiration=1,IF($A241&lt;VLOOKUP(M$5,NFI,5,0),1,0)*Table_NFI[[#This Row],[Blanket]],Table_NFI[[#This Row],[Blanket]])</f>
        <v>0</v>
      </c>
      <c r="AE241" s="448">
        <f>IF(NFI_Expiration=1,IF($A241&lt;VLOOKUP(N$5,NFI,5,0),1,0)*Table_NFI[[#This Row],[Kitchen Set]],Table_NFI[Kitchen Set])</f>
        <v>0</v>
      </c>
      <c r="AF241" s="448">
        <f>IF(NFI_Expiration=1,IF($A241&lt;VLOOKUP(O$5,NFI,5,0),1,0)*Table_NFI[[#This Row],[Clothes Kit]],Table_NFI[Clothes Kit])</f>
        <v>0</v>
      </c>
      <c r="AG241" s="448">
        <f>IF(NFI_Expiration=1,IF($A241&lt;VLOOKUP(P$5,NFI,5,0),1,0)*Table_NFI[[#This Row],[Plastic Bucket]],Table_NFI[Plastic Bucket])</f>
        <v>0</v>
      </c>
      <c r="AH241" s="448">
        <f>IF(NFI_Expiration=1,IF($A241&lt;VLOOKUP(Q$5,NFI,5,0),1,0)*Table_NFI[[#This Row],[Plastic Mat]],Table_NFI[Plastic Mat])*IF(Table_NFI[[#This Row],[Distribution Date]]&gt;"2014-04-01",1,2.5)</f>
        <v>0</v>
      </c>
      <c r="AI241" s="448">
        <f>IF(NFI_Expiration=1,IF($A241&lt;VLOOKUP(R$5,NFI,5,0),1,0)*Table_NFI[[#This Row],[Winter Clothes Adult]],Table_NFI[Winter Clothes Adult])</f>
        <v>0</v>
      </c>
      <c r="AJ241" s="448">
        <f>IF(NFI_Expiration=1,IF($A241&lt;VLOOKUP(S$5,NFI,5,0),1,0)*Table_NFI[[#This Row],[Winter Clothes Children]],Table_NFI[Winter Clothes Children])</f>
        <v>0</v>
      </c>
      <c r="AK241" s="448">
        <f>IF(NFI_Expiration=1,IF($A241&lt;VLOOKUP(T$5,NFI,5,0),1,0)*Table_NFI[[#This Row],[Winter Items Other]],Table_NFI[Winter Items Other])</f>
        <v>0</v>
      </c>
      <c r="AL241" s="448">
        <f>IF(NFI_Expiration=1,IF($A241&lt;VLOOKUP(M$5,NFI,5,0),1,0)*Table_NFI[[#This Row],[Winter Blanket]],Table_NFI[[#This Row],[Winter Blanket]])</f>
        <v>0</v>
      </c>
      <c r="AM241" s="448">
        <f>IF(Table_NFI[[#This Row],[Winter Clothes Adult]]+Table_NFI[[#This Row],[Winter Clothes Children]]+Table_NFI[[#This Row],[Winter Items Other]]+Table_NFI[[#This Row],[Winter Blanket]]&gt;0,1,0)</f>
        <v>1</v>
      </c>
      <c r="AN241" s="439">
        <f>IF(NFI_Expiration=1,IF($A241&lt;VLOOKUP(V$5,NFI,5,0),1,0)*Table_NFI[[#This Row],[Jerry Can]],Table_NFI[Jerry Can])</f>
        <v>0</v>
      </c>
      <c r="AO241" s="787" t="str">
        <f>IFERROR(VLOOKUP(Table_NFI[[#This Row],[Camp Name]],CL,2,0),"")</f>
        <v>MMR001CMP039</v>
      </c>
      <c r="AP241" s="788">
        <f ca="1">IF(Table_NFI[[#This Row],[Pcode]]="","",IF(OFFSET(CampList[Opening Date],MATCH(Table_NFI[[#This Row],[Pcode]],CampList[CP_Pcode],0)-1,0,1,1)&gt;=NFI_Monitor_Date,1,0))</f>
        <v>0</v>
      </c>
      <c r="AQ241" s="787" t="str">
        <f>IFERROR(VLOOKUP(Table_NFI[[#This Row],[Camp Name]],CL,3,0),"")</f>
        <v>Open</v>
      </c>
      <c r="AR241" s="448" t="str">
        <f ca="1">IF(Table_NFI[[#This Row],[Pcode]]="","",OFFSET(CampList[Priority],MATCH(Table_NFI[[#This Row],[Pcode]],CampList[CP_Pcode],0)-1,0,1,1))</f>
        <v>P4</v>
      </c>
      <c r="AS241" s="449">
        <f>IFERROR(Table_NFI[[#This Row],[Kitchen Set]]/VLOOKUP(Table_NFI[[#This Row],[Camp Name]],CL,4,0),"")</f>
        <v>0</v>
      </c>
      <c r="AT241" s="789"/>
      <c r="AU241" s="773"/>
    </row>
    <row r="242" spans="1:47" s="774" customFormat="1" x14ac:dyDescent="0.25">
      <c r="A242" s="451">
        <f t="shared" si="3"/>
        <v>19.733333333333334</v>
      </c>
      <c r="B242" s="768">
        <v>41778</v>
      </c>
      <c r="C242" s="769" t="s">
        <v>1111</v>
      </c>
      <c r="D242" s="769" t="s">
        <v>907</v>
      </c>
      <c r="E242" s="769" t="s">
        <v>380</v>
      </c>
      <c r="F242" s="769" t="s">
        <v>310</v>
      </c>
      <c r="G242" s="769" t="s">
        <v>338</v>
      </c>
      <c r="H242" s="436"/>
      <c r="I242" s="436"/>
      <c r="J242" s="436"/>
      <c r="K242" s="436"/>
      <c r="L242" s="437"/>
      <c r="M242" s="437"/>
      <c r="N242" s="437"/>
      <c r="O242" s="437"/>
      <c r="P242" s="439"/>
      <c r="Q242" s="439"/>
      <c r="R242" s="436"/>
      <c r="S242" s="436"/>
      <c r="T242" s="436"/>
      <c r="U242" s="436">
        <v>60</v>
      </c>
      <c r="V242" s="436"/>
      <c r="W242" s="436"/>
      <c r="X242" s="436"/>
      <c r="Y242" s="448">
        <f>IF(NFI_Expiration=1,IF($A242&lt;VLOOKUP(H$5,NFI,5,0),1,0)*Table_NFI[[#This Row],[Hygiene Kit]],Table_NFI[Hygiene Kit])</f>
        <v>0</v>
      </c>
      <c r="Z242" s="448">
        <f>IF(NFI_Expiration=1,IF($A242&lt;VLOOKUP(I$5,NFI,5,0),1,0)*Table_NFI[[#This Row],[NFI Core Kit]],Table_NFI[NFI Core Kit])</f>
        <v>0</v>
      </c>
      <c r="AA242" s="448">
        <f>IF(NFI_Expiration=1,IF($A242&lt;VLOOKUP(J$5,NFI,5,0),1,0)*Table_NFI[[#This Row],[Sanitary Kit]],Table_NFI[Sanitary Kit])</f>
        <v>0</v>
      </c>
      <c r="AB242" s="448">
        <f>IF(NFI_Expiration=1,IF($A242&lt;VLOOKUP(K$5,NFI,5,0),1,0)*Table_NFI[[#This Row],[Mosquito net]],Table_NFI[Mosquito net])</f>
        <v>0</v>
      </c>
      <c r="AC242" s="448">
        <f>IF(NFI_Expiration=1,IF($A242&lt;VLOOKUP(L$5,NFI,5,0),1,0)*Table_NFI[[#This Row],[Tarpaulin]],Table_NFI[[#This Row],[Tarpaulin]])</f>
        <v>0</v>
      </c>
      <c r="AD242" s="448">
        <f>IF(NFI_Expiration=1,IF($A242&lt;VLOOKUP(M$5,NFI,5,0),1,0)*Table_NFI[[#This Row],[Blanket]],Table_NFI[[#This Row],[Blanket]])</f>
        <v>0</v>
      </c>
      <c r="AE242" s="448">
        <f>IF(NFI_Expiration=1,IF($A242&lt;VLOOKUP(N$5,NFI,5,0),1,0)*Table_NFI[[#This Row],[Kitchen Set]],Table_NFI[Kitchen Set])</f>
        <v>0</v>
      </c>
      <c r="AF242" s="448">
        <f>IF(NFI_Expiration=1,IF($A242&lt;VLOOKUP(O$5,NFI,5,0),1,0)*Table_NFI[[#This Row],[Clothes Kit]],Table_NFI[Clothes Kit])</f>
        <v>0</v>
      </c>
      <c r="AG242" s="448">
        <f>IF(NFI_Expiration=1,IF($A242&lt;VLOOKUP(P$5,NFI,5,0),1,0)*Table_NFI[[#This Row],[Plastic Bucket]],Table_NFI[Plastic Bucket])</f>
        <v>0</v>
      </c>
      <c r="AH242" s="448">
        <f>IF(NFI_Expiration=1,IF($A242&lt;VLOOKUP(Q$5,NFI,5,0),1,0)*Table_NFI[[#This Row],[Plastic Mat]],Table_NFI[Plastic Mat])*IF(Table_NFI[[#This Row],[Distribution Date]]&gt;"2014-04-01",1,2.5)</f>
        <v>0</v>
      </c>
      <c r="AI242" s="448">
        <f>IF(NFI_Expiration=1,IF($A242&lt;VLOOKUP(R$5,NFI,5,0),1,0)*Table_NFI[[#This Row],[Winter Clothes Adult]],Table_NFI[Winter Clothes Adult])</f>
        <v>0</v>
      </c>
      <c r="AJ242" s="448">
        <f>IF(NFI_Expiration=1,IF($A242&lt;VLOOKUP(S$5,NFI,5,0),1,0)*Table_NFI[[#This Row],[Winter Clothes Children]],Table_NFI[Winter Clothes Children])</f>
        <v>0</v>
      </c>
      <c r="AK242" s="448">
        <f>IF(NFI_Expiration=1,IF($A242&lt;VLOOKUP(T$5,NFI,5,0),1,0)*Table_NFI[[#This Row],[Winter Items Other]],Table_NFI[Winter Items Other])</f>
        <v>0</v>
      </c>
      <c r="AL242" s="448">
        <f>IF(NFI_Expiration=1,IF($A242&lt;VLOOKUP(M$5,NFI,5,0),1,0)*Table_NFI[[#This Row],[Winter Blanket]],Table_NFI[[#This Row],[Winter Blanket]])</f>
        <v>0</v>
      </c>
      <c r="AM242" s="448">
        <f>IF(Table_NFI[[#This Row],[Winter Clothes Adult]]+Table_NFI[[#This Row],[Winter Clothes Children]]+Table_NFI[[#This Row],[Winter Items Other]]+Table_NFI[[#This Row],[Winter Blanket]]&gt;0,1,0)</f>
        <v>1</v>
      </c>
      <c r="AN242" s="439">
        <f>IF(NFI_Expiration=1,IF($A242&lt;VLOOKUP(V$5,NFI,5,0),1,0)*Table_NFI[[#This Row],[Jerry Can]],Table_NFI[Jerry Can])</f>
        <v>0</v>
      </c>
      <c r="AO242" s="787" t="str">
        <f>IFERROR(VLOOKUP(Table_NFI[[#This Row],[Camp Name]],CL,2,0),"")</f>
        <v>MMR001CMP030</v>
      </c>
      <c r="AP242" s="788">
        <f ca="1">IF(Table_NFI[[#This Row],[Pcode]]="","",IF(OFFSET(CampList[Opening Date],MATCH(Table_NFI[[#This Row],[Pcode]],CampList[CP_Pcode],0)-1,0,1,1)&gt;=NFI_Monitor_Date,1,0))</f>
        <v>0</v>
      </c>
      <c r="AQ242" s="787" t="str">
        <f>IFERROR(VLOOKUP(Table_NFI[[#This Row],[Camp Name]],CL,3,0),"")</f>
        <v>Open</v>
      </c>
      <c r="AR242" s="448" t="str">
        <f ca="1">IF(Table_NFI[[#This Row],[Pcode]]="","",OFFSET(CampList[Priority],MATCH(Table_NFI[[#This Row],[Pcode]],CampList[CP_Pcode],0)-1,0,1,1))</f>
        <v>P4</v>
      </c>
      <c r="AS242" s="449">
        <f>IFERROR(Table_NFI[[#This Row],[Kitchen Set]]/VLOOKUP(Table_NFI[[#This Row],[Camp Name]],CL,4,0),"")</f>
        <v>0</v>
      </c>
      <c r="AT242" s="789"/>
      <c r="AU242" s="773"/>
    </row>
    <row r="243" spans="1:47" s="774" customFormat="1" x14ac:dyDescent="0.25">
      <c r="A243" s="451">
        <f t="shared" si="3"/>
        <v>19.833333333333332</v>
      </c>
      <c r="B243" s="768">
        <v>41775</v>
      </c>
      <c r="C243" s="769" t="s">
        <v>1111</v>
      </c>
      <c r="D243" s="769" t="s">
        <v>907</v>
      </c>
      <c r="E243" s="769" t="s">
        <v>380</v>
      </c>
      <c r="F243" s="769" t="s">
        <v>310</v>
      </c>
      <c r="G243" s="769" t="s">
        <v>330</v>
      </c>
      <c r="H243" s="436"/>
      <c r="I243" s="436"/>
      <c r="J243" s="436"/>
      <c r="K243" s="436"/>
      <c r="L243" s="437"/>
      <c r="M243" s="437"/>
      <c r="N243" s="437"/>
      <c r="O243" s="437"/>
      <c r="P243" s="439"/>
      <c r="Q243" s="439"/>
      <c r="R243" s="436"/>
      <c r="S243" s="436"/>
      <c r="T243" s="436"/>
      <c r="U243" s="436">
        <v>470</v>
      </c>
      <c r="V243" s="436"/>
      <c r="W243" s="436"/>
      <c r="X243" s="436"/>
      <c r="Y243" s="448">
        <f>IF(NFI_Expiration=1,IF($A243&lt;VLOOKUP(H$5,NFI,5,0),1,0)*Table_NFI[[#This Row],[Hygiene Kit]],Table_NFI[Hygiene Kit])</f>
        <v>0</v>
      </c>
      <c r="Z243" s="448">
        <f>IF(NFI_Expiration=1,IF($A243&lt;VLOOKUP(I$5,NFI,5,0),1,0)*Table_NFI[[#This Row],[NFI Core Kit]],Table_NFI[NFI Core Kit])</f>
        <v>0</v>
      </c>
      <c r="AA243" s="448">
        <f>IF(NFI_Expiration=1,IF($A243&lt;VLOOKUP(J$5,NFI,5,0),1,0)*Table_NFI[[#This Row],[Sanitary Kit]],Table_NFI[Sanitary Kit])</f>
        <v>0</v>
      </c>
      <c r="AB243" s="448">
        <f>IF(NFI_Expiration=1,IF($A243&lt;VLOOKUP(K$5,NFI,5,0),1,0)*Table_NFI[[#This Row],[Mosquito net]],Table_NFI[Mosquito net])</f>
        <v>0</v>
      </c>
      <c r="AC243" s="448">
        <f>IF(NFI_Expiration=1,IF($A243&lt;VLOOKUP(L$5,NFI,5,0),1,0)*Table_NFI[[#This Row],[Tarpaulin]],Table_NFI[[#This Row],[Tarpaulin]])</f>
        <v>0</v>
      </c>
      <c r="AD243" s="448">
        <f>IF(NFI_Expiration=1,IF($A243&lt;VLOOKUP(M$5,NFI,5,0),1,0)*Table_NFI[[#This Row],[Blanket]],Table_NFI[[#This Row],[Blanket]])</f>
        <v>0</v>
      </c>
      <c r="AE243" s="448">
        <f>IF(NFI_Expiration=1,IF($A243&lt;VLOOKUP(N$5,NFI,5,0),1,0)*Table_NFI[[#This Row],[Kitchen Set]],Table_NFI[Kitchen Set])</f>
        <v>0</v>
      </c>
      <c r="AF243" s="448">
        <f>IF(NFI_Expiration=1,IF($A243&lt;VLOOKUP(O$5,NFI,5,0),1,0)*Table_NFI[[#This Row],[Clothes Kit]],Table_NFI[Clothes Kit])</f>
        <v>0</v>
      </c>
      <c r="AG243" s="448">
        <f>IF(NFI_Expiration=1,IF($A243&lt;VLOOKUP(P$5,NFI,5,0),1,0)*Table_NFI[[#This Row],[Plastic Bucket]],Table_NFI[Plastic Bucket])</f>
        <v>0</v>
      </c>
      <c r="AH243" s="448">
        <f>IF(NFI_Expiration=1,IF($A243&lt;VLOOKUP(Q$5,NFI,5,0),1,0)*Table_NFI[[#This Row],[Plastic Mat]],Table_NFI[Plastic Mat])*IF(Table_NFI[[#This Row],[Distribution Date]]&gt;"2014-04-01",1,2.5)</f>
        <v>0</v>
      </c>
      <c r="AI243" s="448">
        <f>IF(NFI_Expiration=1,IF($A243&lt;VLOOKUP(R$5,NFI,5,0),1,0)*Table_NFI[[#This Row],[Winter Clothes Adult]],Table_NFI[Winter Clothes Adult])</f>
        <v>0</v>
      </c>
      <c r="AJ243" s="448">
        <f>IF(NFI_Expiration=1,IF($A243&lt;VLOOKUP(S$5,NFI,5,0),1,0)*Table_NFI[[#This Row],[Winter Clothes Children]],Table_NFI[Winter Clothes Children])</f>
        <v>0</v>
      </c>
      <c r="AK243" s="448">
        <f>IF(NFI_Expiration=1,IF($A243&lt;VLOOKUP(T$5,NFI,5,0),1,0)*Table_NFI[[#This Row],[Winter Items Other]],Table_NFI[Winter Items Other])</f>
        <v>0</v>
      </c>
      <c r="AL243" s="448">
        <f>IF(NFI_Expiration=1,IF($A243&lt;VLOOKUP(M$5,NFI,5,0),1,0)*Table_NFI[[#This Row],[Winter Blanket]],Table_NFI[[#This Row],[Winter Blanket]])</f>
        <v>0</v>
      </c>
      <c r="AM243" s="448">
        <f>IF(Table_NFI[[#This Row],[Winter Clothes Adult]]+Table_NFI[[#This Row],[Winter Clothes Children]]+Table_NFI[[#This Row],[Winter Items Other]]+Table_NFI[[#This Row],[Winter Blanket]]&gt;0,1,0)</f>
        <v>1</v>
      </c>
      <c r="AN243" s="439">
        <f>IF(NFI_Expiration=1,IF($A243&lt;VLOOKUP(V$5,NFI,5,0),1,0)*Table_NFI[[#This Row],[Jerry Can]],Table_NFI[Jerry Can])</f>
        <v>0</v>
      </c>
      <c r="AO243" s="787" t="str">
        <f>IFERROR(VLOOKUP(Table_NFI[[#This Row],[Camp Name]],CL,2,0),"")</f>
        <v>MMR001CMP029</v>
      </c>
      <c r="AP243" s="788">
        <f ca="1">IF(Table_NFI[[#This Row],[Pcode]]="","",IF(OFFSET(CampList[Opening Date],MATCH(Table_NFI[[#This Row],[Pcode]],CampList[CP_Pcode],0)-1,0,1,1)&gt;=NFI_Monitor_Date,1,0))</f>
        <v>0</v>
      </c>
      <c r="AQ243" s="787" t="str">
        <f>IFERROR(VLOOKUP(Table_NFI[[#This Row],[Camp Name]],CL,3,0),"")</f>
        <v>Open</v>
      </c>
      <c r="AR243" s="448" t="str">
        <f ca="1">IF(Table_NFI[[#This Row],[Pcode]]="","",OFFSET(CampList[Priority],MATCH(Table_NFI[[#This Row],[Pcode]],CampList[CP_Pcode],0)-1,0,1,1))</f>
        <v>P4</v>
      </c>
      <c r="AS243" s="449">
        <f>IFERROR(Table_NFI[[#This Row],[Kitchen Set]]/VLOOKUP(Table_NFI[[#This Row],[Camp Name]],CL,4,0),"")</f>
        <v>0</v>
      </c>
      <c r="AT243" s="789"/>
      <c r="AU243" s="773"/>
    </row>
    <row r="244" spans="1:47" s="774" customFormat="1" x14ac:dyDescent="0.25">
      <c r="A244" s="451">
        <f t="shared" si="3"/>
        <v>19.833333333333332</v>
      </c>
      <c r="B244" s="768">
        <v>41775</v>
      </c>
      <c r="C244" s="769" t="s">
        <v>454</v>
      </c>
      <c r="D244" s="769" t="s">
        <v>454</v>
      </c>
      <c r="E244" s="769" t="s">
        <v>380</v>
      </c>
      <c r="F244" s="769" t="s">
        <v>5</v>
      </c>
      <c r="G244" s="769" t="s">
        <v>8</v>
      </c>
      <c r="H244" s="436"/>
      <c r="I244" s="436"/>
      <c r="J244" s="436"/>
      <c r="K244" s="436">
        <v>10</v>
      </c>
      <c r="L244" s="437">
        <v>4</v>
      </c>
      <c r="M244" s="437">
        <v>10</v>
      </c>
      <c r="N244" s="437">
        <v>4</v>
      </c>
      <c r="O244" s="437">
        <v>4</v>
      </c>
      <c r="P244" s="439">
        <v>4</v>
      </c>
      <c r="Q244" s="439">
        <v>18</v>
      </c>
      <c r="R244" s="436"/>
      <c r="S244" s="436"/>
      <c r="T244" s="436"/>
      <c r="U244" s="436"/>
      <c r="V244" s="436"/>
      <c r="W244" s="436"/>
      <c r="X244" s="436"/>
      <c r="Y244" s="436">
        <f>IF(NFI_Expiration=1,IF($A244&lt;VLOOKUP(H$5,NFI,5,0),1,0)*Table_NFI[[#This Row],[Hygiene Kit]],Table_NFI[Hygiene Kit])</f>
        <v>0</v>
      </c>
      <c r="Z244" s="436">
        <f>IF(NFI_Expiration=1,IF($A244&lt;VLOOKUP(I$5,NFI,5,0),1,0)*Table_NFI[[#This Row],[NFI Core Kit]],Table_NFI[NFI Core Kit])</f>
        <v>0</v>
      </c>
      <c r="AA244" s="436">
        <f>IF(NFI_Expiration=1,IF($A244&lt;VLOOKUP(J$5,NFI,5,0),1,0)*Table_NFI[[#This Row],[Sanitary Kit]],Table_NFI[Sanitary Kit])</f>
        <v>0</v>
      </c>
      <c r="AB244" s="436">
        <f>IF(NFI_Expiration=1,IF($A244&lt;VLOOKUP(K$5,NFI,5,0),1,0)*Table_NFI[[#This Row],[Mosquito net]],Table_NFI[Mosquito net])</f>
        <v>0</v>
      </c>
      <c r="AC244" s="436">
        <f>IF(NFI_Expiration=1,IF($A244&lt;VLOOKUP(L$5,NFI,5,0),1,0)*Table_NFI[[#This Row],[Tarpaulin]],Table_NFI[[#This Row],[Tarpaulin]])</f>
        <v>0</v>
      </c>
      <c r="AD244" s="436">
        <f>IF(NFI_Expiration=1,IF($A244&lt;VLOOKUP(M$5,NFI,5,0),1,0)*Table_NFI[[#This Row],[Blanket]],Table_NFI[[#This Row],[Blanket]])</f>
        <v>0</v>
      </c>
      <c r="AE244" s="436">
        <f>IF(NFI_Expiration=1,IF($A244&lt;VLOOKUP(N$5,NFI,5,0),1,0)*Table_NFI[[#This Row],[Kitchen Set]],Table_NFI[Kitchen Set])</f>
        <v>0</v>
      </c>
      <c r="AF244" s="436">
        <f>IF(NFI_Expiration=1,IF($A244&lt;VLOOKUP(O$5,NFI,5,0),1,0)*Table_NFI[[#This Row],[Clothes Kit]],Table_NFI[Clothes Kit])</f>
        <v>0</v>
      </c>
      <c r="AG244" s="436">
        <f>IF(NFI_Expiration=1,IF($A244&lt;VLOOKUP(P$5,NFI,5,0),1,0)*Table_NFI[[#This Row],[Plastic Bucket]],Table_NFI[Plastic Bucket])</f>
        <v>0</v>
      </c>
      <c r="AH244" s="436">
        <f>IF(NFI_Expiration=1,IF($A244&lt;VLOOKUP(Q$5,NFI,5,0),1,0)*Table_NFI[[#This Row],[Plastic Mat]],Table_NFI[Plastic Mat])*IF(Table_NFI[[#This Row],[Distribution Date]]&gt;"2014-04-01",1,2.5)</f>
        <v>0</v>
      </c>
      <c r="AI244" s="436">
        <f>IF(NFI_Expiration=1,IF($A244&lt;VLOOKUP(R$5,NFI,5,0),1,0)*Table_NFI[[#This Row],[Winter Clothes Adult]],Table_NFI[Winter Clothes Adult])</f>
        <v>0</v>
      </c>
      <c r="AJ244" s="436">
        <f>IF(NFI_Expiration=1,IF($A244&lt;VLOOKUP(S$5,NFI,5,0),1,0)*Table_NFI[[#This Row],[Winter Clothes Children]],Table_NFI[Winter Clothes Children])</f>
        <v>0</v>
      </c>
      <c r="AK244" s="436">
        <f>IF(NFI_Expiration=1,IF($A244&lt;VLOOKUP(T$5,NFI,5,0),1,0)*Table_NFI[[#This Row],[Winter Items Other]],Table_NFI[Winter Items Other])</f>
        <v>0</v>
      </c>
      <c r="AL244" s="436">
        <f>IF(NFI_Expiration=1,IF($A244&lt;VLOOKUP(M$5,NFI,5,0),1,0)*Table_NFI[[#This Row],[Winter Blanket]],Table_NFI[[#This Row],[Winter Blanket]])</f>
        <v>0</v>
      </c>
      <c r="AM244" s="436">
        <f>IF(Table_NFI[[#This Row],[Winter Clothes Adult]]+Table_NFI[[#This Row],[Winter Clothes Children]]+Table_NFI[[#This Row],[Winter Items Other]]+Table_NFI[[#This Row],[Winter Blanket]]&gt;0,1,0)</f>
        <v>0</v>
      </c>
      <c r="AN244" s="439">
        <f>IF(NFI_Expiration=1,IF($A244&lt;VLOOKUP(V$5,NFI,5,0),1,0)*Table_NFI[[#This Row],[Jerry Can]],Table_NFI[Jerry Can])</f>
        <v>0</v>
      </c>
      <c r="AO244" s="771" t="str">
        <f>IFERROR(VLOOKUP(Table_NFI[[#This Row],[Camp Name]],CL,2,0),"")</f>
        <v>MMR001CMP051</v>
      </c>
      <c r="AP244" s="772">
        <f ca="1">IF(Table_NFI[[#This Row],[Pcode]]="","",IF(OFFSET(CampList[Opening Date],MATCH(Table_NFI[[#This Row],[Pcode]],CampList[CP_Pcode],0)-1,0,1,1)&gt;=NFI_Monitor_Date,1,0))</f>
        <v>0</v>
      </c>
      <c r="AQ244" s="781" t="str">
        <f>IFERROR(VLOOKUP(Table_NFI[[#This Row],[Camp Name]],CL,3,0),"")</f>
        <v>Open</v>
      </c>
      <c r="AR244" s="439" t="str">
        <f ca="1">IF(Table_NFI[[#This Row],[Pcode]]="","",OFFSET(CampList[Priority],MATCH(Table_NFI[[#This Row],[Pcode]],CampList[CP_Pcode],0)-1,0,1,1))</f>
        <v>P4</v>
      </c>
      <c r="AS244" s="438">
        <f>IFERROR(Table_NFI[[#This Row],[Kitchen Set]]/VLOOKUP(Table_NFI[[#This Row],[Camp Name]],CL,4,0),"")</f>
        <v>0.17391304347826086</v>
      </c>
      <c r="AT244" s="769" t="s">
        <v>1099</v>
      </c>
      <c r="AU244" s="773"/>
    </row>
    <row r="245" spans="1:47" s="774" customFormat="1" x14ac:dyDescent="0.25">
      <c r="A245" s="451">
        <f t="shared" si="3"/>
        <v>19.833333333333332</v>
      </c>
      <c r="B245" s="768">
        <v>41775</v>
      </c>
      <c r="C245" s="769" t="s">
        <v>1111</v>
      </c>
      <c r="D245" s="769" t="s">
        <v>907</v>
      </c>
      <c r="E245" s="769" t="s">
        <v>380</v>
      </c>
      <c r="F245" s="769" t="s">
        <v>237</v>
      </c>
      <c r="G245" s="769" t="s">
        <v>271</v>
      </c>
      <c r="H245" s="436"/>
      <c r="I245" s="436"/>
      <c r="J245" s="436"/>
      <c r="K245" s="436"/>
      <c r="L245" s="437"/>
      <c r="M245" s="437"/>
      <c r="N245" s="437"/>
      <c r="O245" s="437"/>
      <c r="P245" s="439"/>
      <c r="Q245" s="439"/>
      <c r="R245" s="436"/>
      <c r="S245" s="436"/>
      <c r="T245" s="436"/>
      <c r="U245" s="436">
        <v>142</v>
      </c>
      <c r="V245" s="436"/>
      <c r="W245" s="436"/>
      <c r="X245" s="436"/>
      <c r="Y245" s="448">
        <f>IF(NFI_Expiration=1,IF($A245&lt;VLOOKUP(H$5,NFI,5,0),1,0)*Table_NFI[[#This Row],[Hygiene Kit]],Table_NFI[Hygiene Kit])</f>
        <v>0</v>
      </c>
      <c r="Z245" s="448">
        <f>IF(NFI_Expiration=1,IF($A245&lt;VLOOKUP(I$5,NFI,5,0),1,0)*Table_NFI[[#This Row],[NFI Core Kit]],Table_NFI[NFI Core Kit])</f>
        <v>0</v>
      </c>
      <c r="AA245" s="448">
        <f>IF(NFI_Expiration=1,IF($A245&lt;VLOOKUP(J$5,NFI,5,0),1,0)*Table_NFI[[#This Row],[Sanitary Kit]],Table_NFI[Sanitary Kit])</f>
        <v>0</v>
      </c>
      <c r="AB245" s="448">
        <f>IF(NFI_Expiration=1,IF($A245&lt;VLOOKUP(K$5,NFI,5,0),1,0)*Table_NFI[[#This Row],[Mosquito net]],Table_NFI[Mosquito net])</f>
        <v>0</v>
      </c>
      <c r="AC245" s="448">
        <f>IF(NFI_Expiration=1,IF($A245&lt;VLOOKUP(L$5,NFI,5,0),1,0)*Table_NFI[[#This Row],[Tarpaulin]],Table_NFI[[#This Row],[Tarpaulin]])</f>
        <v>0</v>
      </c>
      <c r="AD245" s="448">
        <f>IF(NFI_Expiration=1,IF($A245&lt;VLOOKUP(M$5,NFI,5,0),1,0)*Table_NFI[[#This Row],[Blanket]],Table_NFI[[#This Row],[Blanket]])</f>
        <v>0</v>
      </c>
      <c r="AE245" s="448">
        <f>IF(NFI_Expiration=1,IF($A245&lt;VLOOKUP(N$5,NFI,5,0),1,0)*Table_NFI[[#This Row],[Kitchen Set]],Table_NFI[Kitchen Set])</f>
        <v>0</v>
      </c>
      <c r="AF245" s="448">
        <f>IF(NFI_Expiration=1,IF($A245&lt;VLOOKUP(O$5,NFI,5,0),1,0)*Table_NFI[[#This Row],[Clothes Kit]],Table_NFI[Clothes Kit])</f>
        <v>0</v>
      </c>
      <c r="AG245" s="448">
        <f>IF(NFI_Expiration=1,IF($A245&lt;VLOOKUP(P$5,NFI,5,0),1,0)*Table_NFI[[#This Row],[Plastic Bucket]],Table_NFI[Plastic Bucket])</f>
        <v>0</v>
      </c>
      <c r="AH245" s="448">
        <f>IF(NFI_Expiration=1,IF($A245&lt;VLOOKUP(Q$5,NFI,5,0),1,0)*Table_NFI[[#This Row],[Plastic Mat]],Table_NFI[Plastic Mat])*IF(Table_NFI[[#This Row],[Distribution Date]]&gt;"2014-04-01",1,2.5)</f>
        <v>0</v>
      </c>
      <c r="AI245" s="448">
        <f>IF(NFI_Expiration=1,IF($A245&lt;VLOOKUP(R$5,NFI,5,0),1,0)*Table_NFI[[#This Row],[Winter Clothes Adult]],Table_NFI[Winter Clothes Adult])</f>
        <v>0</v>
      </c>
      <c r="AJ245" s="448">
        <f>IF(NFI_Expiration=1,IF($A245&lt;VLOOKUP(S$5,NFI,5,0),1,0)*Table_NFI[[#This Row],[Winter Clothes Children]],Table_NFI[Winter Clothes Children])</f>
        <v>0</v>
      </c>
      <c r="AK245" s="448">
        <f>IF(NFI_Expiration=1,IF($A245&lt;VLOOKUP(T$5,NFI,5,0),1,0)*Table_NFI[[#This Row],[Winter Items Other]],Table_NFI[Winter Items Other])</f>
        <v>0</v>
      </c>
      <c r="AL245" s="448">
        <f>IF(NFI_Expiration=1,IF($A245&lt;VLOOKUP(M$5,NFI,5,0),1,0)*Table_NFI[[#This Row],[Winter Blanket]],Table_NFI[[#This Row],[Winter Blanket]])</f>
        <v>0</v>
      </c>
      <c r="AM245" s="448">
        <f>IF(Table_NFI[[#This Row],[Winter Clothes Adult]]+Table_NFI[[#This Row],[Winter Clothes Children]]+Table_NFI[[#This Row],[Winter Items Other]]+Table_NFI[[#This Row],[Winter Blanket]]&gt;0,1,0)</f>
        <v>1</v>
      </c>
      <c r="AN245" s="439">
        <f>IF(NFI_Expiration=1,IF($A245&lt;VLOOKUP(V$5,NFI,5,0),1,0)*Table_NFI[[#This Row],[Jerry Can]],Table_NFI[Jerry Can])</f>
        <v>0</v>
      </c>
      <c r="AO245" s="787" t="str">
        <f>IFERROR(VLOOKUP(Table_NFI[[#This Row],[Camp Name]],CL,2,0),"")</f>
        <v>MMR001CMP024</v>
      </c>
      <c r="AP245" s="788">
        <f ca="1">IF(Table_NFI[[#This Row],[Pcode]]="","",IF(OFFSET(CampList[Opening Date],MATCH(Table_NFI[[#This Row],[Pcode]],CampList[CP_Pcode],0)-1,0,1,1)&gt;=NFI_Monitor_Date,1,0))</f>
        <v>0</v>
      </c>
      <c r="AQ245" s="787" t="str">
        <f>IFERROR(VLOOKUP(Table_NFI[[#This Row],[Camp Name]],CL,3,0),"")</f>
        <v>Open</v>
      </c>
      <c r="AR245" s="448" t="str">
        <f ca="1">IF(Table_NFI[[#This Row],[Pcode]]="","",OFFSET(CampList[Priority],MATCH(Table_NFI[[#This Row],[Pcode]],CampList[CP_Pcode],0)-1,0,1,1))</f>
        <v>P4</v>
      </c>
      <c r="AS245" s="449">
        <f>IFERROR(Table_NFI[[#This Row],[Kitchen Set]]/VLOOKUP(Table_NFI[[#This Row],[Camp Name]],CL,4,0),"")</f>
        <v>0</v>
      </c>
      <c r="AT245" s="789"/>
      <c r="AU245" s="773"/>
    </row>
    <row r="246" spans="1:47" s="774" customFormat="1" x14ac:dyDescent="0.25">
      <c r="A246" s="451">
        <f t="shared" si="3"/>
        <v>19.833333333333332</v>
      </c>
      <c r="B246" s="768">
        <v>41775</v>
      </c>
      <c r="C246" s="769" t="s">
        <v>454</v>
      </c>
      <c r="D246" s="769" t="s">
        <v>454</v>
      </c>
      <c r="E246" s="769" t="s">
        <v>380</v>
      </c>
      <c r="F246" s="769" t="s">
        <v>5</v>
      </c>
      <c r="G246" s="769" t="s">
        <v>24</v>
      </c>
      <c r="H246" s="436"/>
      <c r="I246" s="436"/>
      <c r="J246" s="436"/>
      <c r="K246" s="436">
        <v>24</v>
      </c>
      <c r="L246" s="437">
        <v>13</v>
      </c>
      <c r="M246" s="437">
        <v>24</v>
      </c>
      <c r="N246" s="437">
        <v>13</v>
      </c>
      <c r="O246" s="437">
        <v>13</v>
      </c>
      <c r="P246" s="439">
        <v>13</v>
      </c>
      <c r="Q246" s="439">
        <v>33</v>
      </c>
      <c r="R246" s="436"/>
      <c r="S246" s="436"/>
      <c r="T246" s="436"/>
      <c r="U246" s="436"/>
      <c r="V246" s="436"/>
      <c r="W246" s="436"/>
      <c r="X246" s="436"/>
      <c r="Y246" s="436">
        <f>IF(NFI_Expiration=1,IF($A246&lt;VLOOKUP(H$5,NFI,5,0),1,0)*Table_NFI[[#This Row],[Hygiene Kit]],Table_NFI[Hygiene Kit])</f>
        <v>0</v>
      </c>
      <c r="Z246" s="436">
        <f>IF(NFI_Expiration=1,IF($A246&lt;VLOOKUP(I$5,NFI,5,0),1,0)*Table_NFI[[#This Row],[NFI Core Kit]],Table_NFI[NFI Core Kit])</f>
        <v>0</v>
      </c>
      <c r="AA246" s="436">
        <f>IF(NFI_Expiration=1,IF($A246&lt;VLOOKUP(J$5,NFI,5,0),1,0)*Table_NFI[[#This Row],[Sanitary Kit]],Table_NFI[Sanitary Kit])</f>
        <v>0</v>
      </c>
      <c r="AB246" s="436">
        <f>IF(NFI_Expiration=1,IF($A246&lt;VLOOKUP(K$5,NFI,5,0),1,0)*Table_NFI[[#This Row],[Mosquito net]],Table_NFI[Mosquito net])</f>
        <v>0</v>
      </c>
      <c r="AC246" s="436">
        <f>IF(NFI_Expiration=1,IF($A246&lt;VLOOKUP(L$5,NFI,5,0),1,0)*Table_NFI[[#This Row],[Tarpaulin]],Table_NFI[[#This Row],[Tarpaulin]])</f>
        <v>0</v>
      </c>
      <c r="AD246" s="436">
        <f>IF(NFI_Expiration=1,IF($A246&lt;VLOOKUP(M$5,NFI,5,0),1,0)*Table_NFI[[#This Row],[Blanket]],Table_NFI[[#This Row],[Blanket]])</f>
        <v>0</v>
      </c>
      <c r="AE246" s="436">
        <f>IF(NFI_Expiration=1,IF($A246&lt;VLOOKUP(N$5,NFI,5,0),1,0)*Table_NFI[[#This Row],[Kitchen Set]],Table_NFI[Kitchen Set])</f>
        <v>0</v>
      </c>
      <c r="AF246" s="436">
        <f>IF(NFI_Expiration=1,IF($A246&lt;VLOOKUP(O$5,NFI,5,0),1,0)*Table_NFI[[#This Row],[Clothes Kit]],Table_NFI[Clothes Kit])</f>
        <v>0</v>
      </c>
      <c r="AG246" s="436">
        <f>IF(NFI_Expiration=1,IF($A246&lt;VLOOKUP(P$5,NFI,5,0),1,0)*Table_NFI[[#This Row],[Plastic Bucket]],Table_NFI[Plastic Bucket])</f>
        <v>0</v>
      </c>
      <c r="AH246" s="436">
        <f>IF(NFI_Expiration=1,IF($A246&lt;VLOOKUP(Q$5,NFI,5,0),1,0)*Table_NFI[[#This Row],[Plastic Mat]],Table_NFI[Plastic Mat])*IF(Table_NFI[[#This Row],[Distribution Date]]&gt;"2014-04-01",1,2.5)</f>
        <v>0</v>
      </c>
      <c r="AI246" s="436">
        <f>IF(NFI_Expiration=1,IF($A246&lt;VLOOKUP(R$5,NFI,5,0),1,0)*Table_NFI[[#This Row],[Winter Clothes Adult]],Table_NFI[Winter Clothes Adult])</f>
        <v>0</v>
      </c>
      <c r="AJ246" s="436">
        <f>IF(NFI_Expiration=1,IF($A246&lt;VLOOKUP(S$5,NFI,5,0),1,0)*Table_NFI[[#This Row],[Winter Clothes Children]],Table_NFI[Winter Clothes Children])</f>
        <v>0</v>
      </c>
      <c r="AK246" s="436">
        <f>IF(NFI_Expiration=1,IF($A246&lt;VLOOKUP(T$5,NFI,5,0),1,0)*Table_NFI[[#This Row],[Winter Items Other]],Table_NFI[Winter Items Other])</f>
        <v>0</v>
      </c>
      <c r="AL246" s="436">
        <f>IF(NFI_Expiration=1,IF($A246&lt;VLOOKUP(M$5,NFI,5,0),1,0)*Table_NFI[[#This Row],[Winter Blanket]],Table_NFI[[#This Row],[Winter Blanket]])</f>
        <v>0</v>
      </c>
      <c r="AM246" s="436">
        <f>IF(Table_NFI[[#This Row],[Winter Clothes Adult]]+Table_NFI[[#This Row],[Winter Clothes Children]]+Table_NFI[[#This Row],[Winter Items Other]]+Table_NFI[[#This Row],[Winter Blanket]]&gt;0,1,0)</f>
        <v>0</v>
      </c>
      <c r="AN246" s="439">
        <f>IF(NFI_Expiration=1,IF($A246&lt;VLOOKUP(V$5,NFI,5,0),1,0)*Table_NFI[[#This Row],[Jerry Can]],Table_NFI[Jerry Can])</f>
        <v>0</v>
      </c>
      <c r="AO246" s="771" t="str">
        <f>IFERROR(VLOOKUP(Table_NFI[[#This Row],[Camp Name]],CL,2,0),"")</f>
        <v>MMR001CMP055</v>
      </c>
      <c r="AP246" s="772">
        <f ca="1">IF(Table_NFI[[#This Row],[Pcode]]="","",IF(OFFSET(CampList[Opening Date],MATCH(Table_NFI[[#This Row],[Pcode]],CampList[CP_Pcode],0)-1,0,1,1)&gt;=NFI_Monitor_Date,1,0))</f>
        <v>0</v>
      </c>
      <c r="AQ246" s="781" t="str">
        <f>IFERROR(VLOOKUP(Table_NFI[[#This Row],[Camp Name]],CL,3,0),"")</f>
        <v>Open</v>
      </c>
      <c r="AR246" s="439" t="str">
        <f ca="1">IF(Table_NFI[[#This Row],[Pcode]]="","",OFFSET(CampList[Priority],MATCH(Table_NFI[[#This Row],[Pcode]],CampList[CP_Pcode],0)-1,0,1,1))</f>
        <v>P4</v>
      </c>
      <c r="AS246" s="438">
        <f>IFERROR(Table_NFI[[#This Row],[Kitchen Set]]/VLOOKUP(Table_NFI[[#This Row],[Camp Name]],CL,4,0),"")</f>
        <v>0.52</v>
      </c>
      <c r="AT246" s="769" t="s">
        <v>1099</v>
      </c>
      <c r="AU246" s="773"/>
    </row>
    <row r="247" spans="1:47" s="774" customFormat="1" x14ac:dyDescent="0.25">
      <c r="A247" s="451">
        <f t="shared" si="3"/>
        <v>19.866666666666667</v>
      </c>
      <c r="B247" s="768">
        <v>41774</v>
      </c>
      <c r="C247" s="769" t="s">
        <v>454</v>
      </c>
      <c r="D247" s="769" t="s">
        <v>454</v>
      </c>
      <c r="E247" s="769" t="s">
        <v>380</v>
      </c>
      <c r="F247" s="769" t="s">
        <v>151</v>
      </c>
      <c r="G247" s="769" t="s">
        <v>891</v>
      </c>
      <c r="H247" s="436"/>
      <c r="I247" s="436"/>
      <c r="J247" s="436">
        <v>10</v>
      </c>
      <c r="K247" s="436">
        <v>10</v>
      </c>
      <c r="L247" s="437">
        <v>5</v>
      </c>
      <c r="M247" s="437">
        <v>15</v>
      </c>
      <c r="N247" s="437">
        <v>5</v>
      </c>
      <c r="O247" s="437">
        <v>5</v>
      </c>
      <c r="P247" s="439">
        <v>5</v>
      </c>
      <c r="Q247" s="439">
        <v>20</v>
      </c>
      <c r="R247" s="436"/>
      <c r="S247" s="436"/>
      <c r="T247" s="436"/>
      <c r="U247" s="436"/>
      <c r="V247" s="436"/>
      <c r="W247" s="436"/>
      <c r="X247" s="436"/>
      <c r="Y247" s="436">
        <f>IF(NFI_Expiration=1,IF($A247&lt;VLOOKUP(H$5,NFI,5,0),1,0)*Table_NFI[[#This Row],[Hygiene Kit]],Table_NFI[Hygiene Kit])</f>
        <v>0</v>
      </c>
      <c r="Z247" s="436">
        <f>IF(NFI_Expiration=1,IF($A247&lt;VLOOKUP(I$5,NFI,5,0),1,0)*Table_NFI[[#This Row],[NFI Core Kit]],Table_NFI[NFI Core Kit])</f>
        <v>0</v>
      </c>
      <c r="AA247" s="436">
        <f>IF(NFI_Expiration=1,IF($A247&lt;VLOOKUP(J$5,NFI,5,0),1,0)*Table_NFI[[#This Row],[Sanitary Kit]],Table_NFI[Sanitary Kit])</f>
        <v>0</v>
      </c>
      <c r="AB247" s="436">
        <f>IF(NFI_Expiration=1,IF($A247&lt;VLOOKUP(K$5,NFI,5,0),1,0)*Table_NFI[[#This Row],[Mosquito net]],Table_NFI[Mosquito net])</f>
        <v>0</v>
      </c>
      <c r="AC247" s="436">
        <f>IF(NFI_Expiration=1,IF($A247&lt;VLOOKUP(L$5,NFI,5,0),1,0)*Table_NFI[[#This Row],[Tarpaulin]],Table_NFI[[#This Row],[Tarpaulin]])</f>
        <v>0</v>
      </c>
      <c r="AD247" s="436">
        <f>IF(NFI_Expiration=1,IF($A247&lt;VLOOKUP(M$5,NFI,5,0),1,0)*Table_NFI[[#This Row],[Blanket]],Table_NFI[[#This Row],[Blanket]])</f>
        <v>0</v>
      </c>
      <c r="AE247" s="436">
        <f>IF(NFI_Expiration=1,IF($A247&lt;VLOOKUP(N$5,NFI,5,0),1,0)*Table_NFI[[#This Row],[Kitchen Set]],Table_NFI[Kitchen Set])</f>
        <v>0</v>
      </c>
      <c r="AF247" s="436">
        <f>IF(NFI_Expiration=1,IF($A247&lt;VLOOKUP(O$5,NFI,5,0),1,0)*Table_NFI[[#This Row],[Clothes Kit]],Table_NFI[Clothes Kit])</f>
        <v>0</v>
      </c>
      <c r="AG247" s="436">
        <f>IF(NFI_Expiration=1,IF($A247&lt;VLOOKUP(P$5,NFI,5,0),1,0)*Table_NFI[[#This Row],[Plastic Bucket]],Table_NFI[Plastic Bucket])</f>
        <v>0</v>
      </c>
      <c r="AH247" s="436">
        <f>IF(NFI_Expiration=1,IF($A247&lt;VLOOKUP(Q$5,NFI,5,0),1,0)*Table_NFI[[#This Row],[Plastic Mat]],Table_NFI[Plastic Mat])*IF(Table_NFI[[#This Row],[Distribution Date]]&gt;"2014-04-01",1,2.5)</f>
        <v>0</v>
      </c>
      <c r="AI247" s="436">
        <f>IF(NFI_Expiration=1,IF($A247&lt;VLOOKUP(R$5,NFI,5,0),1,0)*Table_NFI[[#This Row],[Winter Clothes Adult]],Table_NFI[Winter Clothes Adult])</f>
        <v>0</v>
      </c>
      <c r="AJ247" s="436">
        <f>IF(NFI_Expiration=1,IF($A247&lt;VLOOKUP(S$5,NFI,5,0),1,0)*Table_NFI[[#This Row],[Winter Clothes Children]],Table_NFI[Winter Clothes Children])</f>
        <v>0</v>
      </c>
      <c r="AK247" s="436">
        <f>IF(NFI_Expiration=1,IF($A247&lt;VLOOKUP(T$5,NFI,5,0),1,0)*Table_NFI[[#This Row],[Winter Items Other]],Table_NFI[Winter Items Other])</f>
        <v>0</v>
      </c>
      <c r="AL247" s="436">
        <f>IF(NFI_Expiration=1,IF($A247&lt;VLOOKUP(M$5,NFI,5,0),1,0)*Table_NFI[[#This Row],[Winter Blanket]],Table_NFI[[#This Row],[Winter Blanket]])</f>
        <v>0</v>
      </c>
      <c r="AM247" s="436">
        <f>IF(Table_NFI[[#This Row],[Winter Clothes Adult]]+Table_NFI[[#This Row],[Winter Clothes Children]]+Table_NFI[[#This Row],[Winter Items Other]]+Table_NFI[[#This Row],[Winter Blanket]]&gt;0,1,0)</f>
        <v>0</v>
      </c>
      <c r="AN247" s="439">
        <f>IF(NFI_Expiration=1,IF($A247&lt;VLOOKUP(V$5,NFI,5,0),1,0)*Table_NFI[[#This Row],[Jerry Can]],Table_NFI[Jerry Can])</f>
        <v>0</v>
      </c>
      <c r="AO247" s="771" t="str">
        <f>IFERROR(VLOOKUP(Table_NFI[[#This Row],[Camp Name]],CL,2,0),"")</f>
        <v>MMR001CMP218</v>
      </c>
      <c r="AP247" s="772">
        <f ca="1">IF(Table_NFI[[#This Row],[Pcode]]="","",IF(OFFSET(CampList[Opening Date],MATCH(Table_NFI[[#This Row],[Pcode]],CampList[CP_Pcode],0)-1,0,1,1)&gt;=NFI_Monitor_Date,1,0))</f>
        <v>0</v>
      </c>
      <c r="AQ247" s="781" t="str">
        <f>IFERROR(VLOOKUP(Table_NFI[[#This Row],[Camp Name]],CL,3,0),"")</f>
        <v>Open</v>
      </c>
      <c r="AR247" s="439" t="str">
        <f ca="1">IF(Table_NFI[[#This Row],[Pcode]]="","",OFFSET(CampList[Priority],MATCH(Table_NFI[[#This Row],[Pcode]],CampList[CP_Pcode],0)-1,0,1,1))</f>
        <v>P4</v>
      </c>
      <c r="AS247" s="438">
        <f>IFERROR(Table_NFI[[#This Row],[Kitchen Set]]/VLOOKUP(Table_NFI[[#This Row],[Camp Name]],CL,4,0),"")</f>
        <v>1.3440860215053764E-2</v>
      </c>
      <c r="AT247" s="769" t="s">
        <v>1099</v>
      </c>
      <c r="AU247" s="773"/>
    </row>
    <row r="248" spans="1:47" s="774" customFormat="1" x14ac:dyDescent="0.25">
      <c r="A248" s="451">
        <f t="shared" si="3"/>
        <v>19.866666666666667</v>
      </c>
      <c r="B248" s="768">
        <v>41774</v>
      </c>
      <c r="C248" s="769" t="s">
        <v>454</v>
      </c>
      <c r="D248" s="769" t="s">
        <v>454</v>
      </c>
      <c r="E248" s="769" t="s">
        <v>380</v>
      </c>
      <c r="F248" s="769" t="s">
        <v>5</v>
      </c>
      <c r="G248" s="769" t="s">
        <v>6</v>
      </c>
      <c r="H248" s="436"/>
      <c r="I248" s="436"/>
      <c r="J248" s="436"/>
      <c r="K248" s="436">
        <v>10</v>
      </c>
      <c r="L248" s="437">
        <v>4</v>
      </c>
      <c r="M248" s="437">
        <v>12</v>
      </c>
      <c r="N248" s="437">
        <v>4</v>
      </c>
      <c r="O248" s="437">
        <v>4</v>
      </c>
      <c r="P248" s="439">
        <v>4</v>
      </c>
      <c r="Q248" s="439">
        <v>12</v>
      </c>
      <c r="R248" s="436"/>
      <c r="S248" s="436"/>
      <c r="T248" s="436"/>
      <c r="U248" s="436"/>
      <c r="V248" s="436"/>
      <c r="W248" s="436"/>
      <c r="X248" s="436"/>
      <c r="Y248" s="436">
        <f>IF(NFI_Expiration=1,IF($A248&lt;VLOOKUP(H$5,NFI,5,0),1,0)*Table_NFI[[#This Row],[Hygiene Kit]],Table_NFI[Hygiene Kit])</f>
        <v>0</v>
      </c>
      <c r="Z248" s="436">
        <f>IF(NFI_Expiration=1,IF($A248&lt;VLOOKUP(I$5,NFI,5,0),1,0)*Table_NFI[[#This Row],[NFI Core Kit]],Table_NFI[NFI Core Kit])</f>
        <v>0</v>
      </c>
      <c r="AA248" s="436">
        <f>IF(NFI_Expiration=1,IF($A248&lt;VLOOKUP(J$5,NFI,5,0),1,0)*Table_NFI[[#This Row],[Sanitary Kit]],Table_NFI[Sanitary Kit])</f>
        <v>0</v>
      </c>
      <c r="AB248" s="436">
        <f>IF(NFI_Expiration=1,IF($A248&lt;VLOOKUP(K$5,NFI,5,0),1,0)*Table_NFI[[#This Row],[Mosquito net]],Table_NFI[Mosquito net])</f>
        <v>0</v>
      </c>
      <c r="AC248" s="436">
        <f>IF(NFI_Expiration=1,IF($A248&lt;VLOOKUP(L$5,NFI,5,0),1,0)*Table_NFI[[#This Row],[Tarpaulin]],Table_NFI[[#This Row],[Tarpaulin]])</f>
        <v>0</v>
      </c>
      <c r="AD248" s="436">
        <f>IF(NFI_Expiration=1,IF($A248&lt;VLOOKUP(M$5,NFI,5,0),1,0)*Table_NFI[[#This Row],[Blanket]],Table_NFI[[#This Row],[Blanket]])</f>
        <v>0</v>
      </c>
      <c r="AE248" s="436">
        <f>IF(NFI_Expiration=1,IF($A248&lt;VLOOKUP(N$5,NFI,5,0),1,0)*Table_NFI[[#This Row],[Kitchen Set]],Table_NFI[Kitchen Set])</f>
        <v>0</v>
      </c>
      <c r="AF248" s="436">
        <f>IF(NFI_Expiration=1,IF($A248&lt;VLOOKUP(O$5,NFI,5,0),1,0)*Table_NFI[[#This Row],[Clothes Kit]],Table_NFI[Clothes Kit])</f>
        <v>0</v>
      </c>
      <c r="AG248" s="436">
        <f>IF(NFI_Expiration=1,IF($A248&lt;VLOOKUP(P$5,NFI,5,0),1,0)*Table_NFI[[#This Row],[Plastic Bucket]],Table_NFI[Plastic Bucket])</f>
        <v>0</v>
      </c>
      <c r="AH248" s="436">
        <f>IF(NFI_Expiration=1,IF($A248&lt;VLOOKUP(Q$5,NFI,5,0),1,0)*Table_NFI[[#This Row],[Plastic Mat]],Table_NFI[Plastic Mat])*IF(Table_NFI[[#This Row],[Distribution Date]]&gt;"2014-04-01",1,2.5)</f>
        <v>0</v>
      </c>
      <c r="AI248" s="436">
        <f>IF(NFI_Expiration=1,IF($A248&lt;VLOOKUP(R$5,NFI,5,0),1,0)*Table_NFI[[#This Row],[Winter Clothes Adult]],Table_NFI[Winter Clothes Adult])</f>
        <v>0</v>
      </c>
      <c r="AJ248" s="436">
        <f>IF(NFI_Expiration=1,IF($A248&lt;VLOOKUP(S$5,NFI,5,0),1,0)*Table_NFI[[#This Row],[Winter Clothes Children]],Table_NFI[Winter Clothes Children])</f>
        <v>0</v>
      </c>
      <c r="AK248" s="436">
        <f>IF(NFI_Expiration=1,IF($A248&lt;VLOOKUP(T$5,NFI,5,0),1,0)*Table_NFI[[#This Row],[Winter Items Other]],Table_NFI[Winter Items Other])</f>
        <v>0</v>
      </c>
      <c r="AL248" s="436">
        <f>IF(NFI_Expiration=1,IF($A248&lt;VLOOKUP(M$5,NFI,5,0),1,0)*Table_NFI[[#This Row],[Winter Blanket]],Table_NFI[[#This Row],[Winter Blanket]])</f>
        <v>0</v>
      </c>
      <c r="AM248" s="436">
        <f>IF(Table_NFI[[#This Row],[Winter Clothes Adult]]+Table_NFI[[#This Row],[Winter Clothes Children]]+Table_NFI[[#This Row],[Winter Items Other]]+Table_NFI[[#This Row],[Winter Blanket]]&gt;0,1,0)</f>
        <v>0</v>
      </c>
      <c r="AN248" s="439">
        <f>IF(NFI_Expiration=1,IF($A248&lt;VLOOKUP(V$5,NFI,5,0),1,0)*Table_NFI[[#This Row],[Jerry Can]],Table_NFI[Jerry Can])</f>
        <v>0</v>
      </c>
      <c r="AO248" s="771" t="str">
        <f>IFERROR(VLOOKUP(Table_NFI[[#This Row],[Camp Name]],CL,2,0),"")</f>
        <v>MMR001CMP050</v>
      </c>
      <c r="AP248" s="772">
        <f ca="1">IF(Table_NFI[[#This Row],[Pcode]]="","",IF(OFFSET(CampList[Opening Date],MATCH(Table_NFI[[#This Row],[Pcode]],CampList[CP_Pcode],0)-1,0,1,1)&gt;=NFI_Monitor_Date,1,0))</f>
        <v>0</v>
      </c>
      <c r="AQ248" s="781" t="str">
        <f>IFERROR(VLOOKUP(Table_NFI[[#This Row],[Camp Name]],CL,3,0),"")</f>
        <v>Open</v>
      </c>
      <c r="AR248" s="439" t="str">
        <f ca="1">IF(Table_NFI[[#This Row],[Pcode]]="","",OFFSET(CampList[Priority],MATCH(Table_NFI[[#This Row],[Pcode]],CampList[CP_Pcode],0)-1,0,1,1))</f>
        <v>P4</v>
      </c>
      <c r="AS248" s="438">
        <f>IFERROR(Table_NFI[[#This Row],[Kitchen Set]]/VLOOKUP(Table_NFI[[#This Row],[Camp Name]],CL,4,0),"")</f>
        <v>1.4598540145985401E-2</v>
      </c>
      <c r="AT248" s="769" t="s">
        <v>1099</v>
      </c>
      <c r="AU248" s="773"/>
    </row>
    <row r="249" spans="1:47" s="774" customFormat="1" x14ac:dyDescent="0.25">
      <c r="A249" s="451">
        <f t="shared" si="3"/>
        <v>19.899999999999999</v>
      </c>
      <c r="B249" s="768">
        <v>41773</v>
      </c>
      <c r="C249" s="769" t="s">
        <v>454</v>
      </c>
      <c r="D249" s="769" t="s">
        <v>454</v>
      </c>
      <c r="E249" s="769" t="s">
        <v>380</v>
      </c>
      <c r="F249" s="769" t="s">
        <v>5</v>
      </c>
      <c r="G249" s="769" t="s">
        <v>6</v>
      </c>
      <c r="H249" s="436"/>
      <c r="I249" s="436"/>
      <c r="J249" s="436">
        <v>11</v>
      </c>
      <c r="K249" s="436">
        <v>12</v>
      </c>
      <c r="L249" s="437">
        <v>4</v>
      </c>
      <c r="M249" s="437">
        <v>12</v>
      </c>
      <c r="N249" s="437">
        <v>4</v>
      </c>
      <c r="O249" s="437">
        <v>4</v>
      </c>
      <c r="P249" s="439">
        <v>4</v>
      </c>
      <c r="Q249" s="439">
        <v>15</v>
      </c>
      <c r="R249" s="436"/>
      <c r="S249" s="436"/>
      <c r="T249" s="436"/>
      <c r="U249" s="436"/>
      <c r="V249" s="436"/>
      <c r="W249" s="436"/>
      <c r="X249" s="436"/>
      <c r="Y249" s="436">
        <f>IF(NFI_Expiration=1,IF($A249&lt;VLOOKUP(H$5,NFI,5,0),1,0)*Table_NFI[[#This Row],[Hygiene Kit]],Table_NFI[Hygiene Kit])</f>
        <v>0</v>
      </c>
      <c r="Z249" s="436">
        <f>IF(NFI_Expiration=1,IF($A249&lt;VLOOKUP(I$5,NFI,5,0),1,0)*Table_NFI[[#This Row],[NFI Core Kit]],Table_NFI[NFI Core Kit])</f>
        <v>0</v>
      </c>
      <c r="AA249" s="436">
        <f>IF(NFI_Expiration=1,IF($A249&lt;VLOOKUP(J$5,NFI,5,0),1,0)*Table_NFI[[#This Row],[Sanitary Kit]],Table_NFI[Sanitary Kit])</f>
        <v>0</v>
      </c>
      <c r="AB249" s="436">
        <f>IF(NFI_Expiration=1,IF($A249&lt;VLOOKUP(K$5,NFI,5,0),1,0)*Table_NFI[[#This Row],[Mosquito net]],Table_NFI[Mosquito net])</f>
        <v>0</v>
      </c>
      <c r="AC249" s="436">
        <f>IF(NFI_Expiration=1,IF($A249&lt;VLOOKUP(L$5,NFI,5,0),1,0)*Table_NFI[[#This Row],[Tarpaulin]],Table_NFI[[#This Row],[Tarpaulin]])</f>
        <v>0</v>
      </c>
      <c r="AD249" s="436">
        <f>IF(NFI_Expiration=1,IF($A249&lt;VLOOKUP(M$5,NFI,5,0),1,0)*Table_NFI[[#This Row],[Blanket]],Table_NFI[[#This Row],[Blanket]])</f>
        <v>0</v>
      </c>
      <c r="AE249" s="436">
        <f>IF(NFI_Expiration=1,IF($A249&lt;VLOOKUP(N$5,NFI,5,0),1,0)*Table_NFI[[#This Row],[Kitchen Set]],Table_NFI[Kitchen Set])</f>
        <v>0</v>
      </c>
      <c r="AF249" s="436">
        <f>IF(NFI_Expiration=1,IF($A249&lt;VLOOKUP(O$5,NFI,5,0),1,0)*Table_NFI[[#This Row],[Clothes Kit]],Table_NFI[Clothes Kit])</f>
        <v>0</v>
      </c>
      <c r="AG249" s="436">
        <f>IF(NFI_Expiration=1,IF($A249&lt;VLOOKUP(P$5,NFI,5,0),1,0)*Table_NFI[[#This Row],[Plastic Bucket]],Table_NFI[Plastic Bucket])</f>
        <v>0</v>
      </c>
      <c r="AH249" s="436">
        <f>IF(NFI_Expiration=1,IF($A249&lt;VLOOKUP(Q$5,NFI,5,0),1,0)*Table_NFI[[#This Row],[Plastic Mat]],Table_NFI[Plastic Mat])*IF(Table_NFI[[#This Row],[Distribution Date]]&gt;"2014-04-01",1,2.5)</f>
        <v>0</v>
      </c>
      <c r="AI249" s="436">
        <f>IF(NFI_Expiration=1,IF($A249&lt;VLOOKUP(R$5,NFI,5,0),1,0)*Table_NFI[[#This Row],[Winter Clothes Adult]],Table_NFI[Winter Clothes Adult])</f>
        <v>0</v>
      </c>
      <c r="AJ249" s="436">
        <f>IF(NFI_Expiration=1,IF($A249&lt;VLOOKUP(S$5,NFI,5,0),1,0)*Table_NFI[[#This Row],[Winter Clothes Children]],Table_NFI[Winter Clothes Children])</f>
        <v>0</v>
      </c>
      <c r="AK249" s="436">
        <f>IF(NFI_Expiration=1,IF($A249&lt;VLOOKUP(T$5,NFI,5,0),1,0)*Table_NFI[[#This Row],[Winter Items Other]],Table_NFI[Winter Items Other])</f>
        <v>0</v>
      </c>
      <c r="AL249" s="436">
        <f>IF(NFI_Expiration=1,IF($A249&lt;VLOOKUP(M$5,NFI,5,0),1,0)*Table_NFI[[#This Row],[Winter Blanket]],Table_NFI[[#This Row],[Winter Blanket]])</f>
        <v>0</v>
      </c>
      <c r="AM249" s="436">
        <f>IF(Table_NFI[[#This Row],[Winter Clothes Adult]]+Table_NFI[[#This Row],[Winter Clothes Children]]+Table_NFI[[#This Row],[Winter Items Other]]+Table_NFI[[#This Row],[Winter Blanket]]&gt;0,1,0)</f>
        <v>0</v>
      </c>
      <c r="AN249" s="439">
        <f>IF(NFI_Expiration=1,IF($A249&lt;VLOOKUP(V$5,NFI,5,0),1,0)*Table_NFI[[#This Row],[Jerry Can]],Table_NFI[Jerry Can])</f>
        <v>0</v>
      </c>
      <c r="AO249" s="771" t="str">
        <f>IFERROR(VLOOKUP(Table_NFI[[#This Row],[Camp Name]],CL,2,0),"")</f>
        <v>MMR001CMP050</v>
      </c>
      <c r="AP249" s="772">
        <f ca="1">IF(Table_NFI[[#This Row],[Pcode]]="","",IF(OFFSET(CampList[Opening Date],MATCH(Table_NFI[[#This Row],[Pcode]],CampList[CP_Pcode],0)-1,0,1,1)&gt;=NFI_Monitor_Date,1,0))</f>
        <v>0</v>
      </c>
      <c r="AQ249" s="781" t="str">
        <f>IFERROR(VLOOKUP(Table_NFI[[#This Row],[Camp Name]],CL,3,0),"")</f>
        <v>Open</v>
      </c>
      <c r="AR249" s="439" t="str">
        <f ca="1">IF(Table_NFI[[#This Row],[Pcode]]="","",OFFSET(CampList[Priority],MATCH(Table_NFI[[#This Row],[Pcode]],CampList[CP_Pcode],0)-1,0,1,1))</f>
        <v>P4</v>
      </c>
      <c r="AS249" s="438">
        <f>IFERROR(Table_NFI[[#This Row],[Kitchen Set]]/VLOOKUP(Table_NFI[[#This Row],[Camp Name]],CL,4,0),"")</f>
        <v>1.4598540145985401E-2</v>
      </c>
      <c r="AT249" s="769" t="s">
        <v>1099</v>
      </c>
      <c r="AU249" s="773"/>
    </row>
    <row r="250" spans="1:47" s="774" customFormat="1" x14ac:dyDescent="0.25">
      <c r="A250" s="451">
        <f t="shared" si="3"/>
        <v>19.899999999999999</v>
      </c>
      <c r="B250" s="768">
        <v>41773</v>
      </c>
      <c r="C250" s="769" t="s">
        <v>454</v>
      </c>
      <c r="D250" s="769" t="s">
        <v>454</v>
      </c>
      <c r="E250" s="769" t="s">
        <v>380</v>
      </c>
      <c r="F250" s="769" t="s">
        <v>185</v>
      </c>
      <c r="G250" s="769" t="s">
        <v>209</v>
      </c>
      <c r="H250" s="436"/>
      <c r="I250" s="436"/>
      <c r="J250" s="436">
        <v>5</v>
      </c>
      <c r="K250" s="436">
        <v>6</v>
      </c>
      <c r="L250" s="437">
        <v>32</v>
      </c>
      <c r="M250" s="437">
        <v>6</v>
      </c>
      <c r="N250" s="437">
        <v>2</v>
      </c>
      <c r="O250" s="437">
        <v>2</v>
      </c>
      <c r="P250" s="439">
        <v>2</v>
      </c>
      <c r="Q250" s="439">
        <v>10</v>
      </c>
      <c r="R250" s="436"/>
      <c r="S250" s="436"/>
      <c r="T250" s="436"/>
      <c r="U250" s="436"/>
      <c r="V250" s="436"/>
      <c r="W250" s="436"/>
      <c r="X250" s="436"/>
      <c r="Y250" s="436">
        <f>IF(NFI_Expiration=1,IF($A250&lt;VLOOKUP(H$5,NFI,5,0),1,0)*Table_NFI[[#This Row],[Hygiene Kit]],Table_NFI[Hygiene Kit])</f>
        <v>0</v>
      </c>
      <c r="Z250" s="436">
        <f>IF(NFI_Expiration=1,IF($A250&lt;VLOOKUP(I$5,NFI,5,0),1,0)*Table_NFI[[#This Row],[NFI Core Kit]],Table_NFI[NFI Core Kit])</f>
        <v>0</v>
      </c>
      <c r="AA250" s="436">
        <f>IF(NFI_Expiration=1,IF($A250&lt;VLOOKUP(J$5,NFI,5,0),1,0)*Table_NFI[[#This Row],[Sanitary Kit]],Table_NFI[Sanitary Kit])</f>
        <v>0</v>
      </c>
      <c r="AB250" s="436">
        <f>IF(NFI_Expiration=1,IF($A250&lt;VLOOKUP(K$5,NFI,5,0),1,0)*Table_NFI[[#This Row],[Mosquito net]],Table_NFI[Mosquito net])</f>
        <v>0</v>
      </c>
      <c r="AC250" s="436">
        <f>IF(NFI_Expiration=1,IF($A250&lt;VLOOKUP(L$5,NFI,5,0),1,0)*Table_NFI[[#This Row],[Tarpaulin]],Table_NFI[[#This Row],[Tarpaulin]])</f>
        <v>0</v>
      </c>
      <c r="AD250" s="436">
        <f>IF(NFI_Expiration=1,IF($A250&lt;VLOOKUP(M$5,NFI,5,0),1,0)*Table_NFI[[#This Row],[Blanket]],Table_NFI[[#This Row],[Blanket]])</f>
        <v>0</v>
      </c>
      <c r="AE250" s="436">
        <f>IF(NFI_Expiration=1,IF($A250&lt;VLOOKUP(N$5,NFI,5,0),1,0)*Table_NFI[[#This Row],[Kitchen Set]],Table_NFI[Kitchen Set])</f>
        <v>0</v>
      </c>
      <c r="AF250" s="436">
        <f>IF(NFI_Expiration=1,IF($A250&lt;VLOOKUP(O$5,NFI,5,0),1,0)*Table_NFI[[#This Row],[Clothes Kit]],Table_NFI[Clothes Kit])</f>
        <v>0</v>
      </c>
      <c r="AG250" s="436">
        <f>IF(NFI_Expiration=1,IF($A250&lt;VLOOKUP(P$5,NFI,5,0),1,0)*Table_NFI[[#This Row],[Plastic Bucket]],Table_NFI[Plastic Bucket])</f>
        <v>0</v>
      </c>
      <c r="AH250" s="436">
        <f>IF(NFI_Expiration=1,IF($A250&lt;VLOOKUP(Q$5,NFI,5,0),1,0)*Table_NFI[[#This Row],[Plastic Mat]],Table_NFI[Plastic Mat])*IF(Table_NFI[[#This Row],[Distribution Date]]&gt;"2014-04-01",1,2.5)</f>
        <v>0</v>
      </c>
      <c r="AI250" s="436">
        <f>IF(NFI_Expiration=1,IF($A250&lt;VLOOKUP(R$5,NFI,5,0),1,0)*Table_NFI[[#This Row],[Winter Clothes Adult]],Table_NFI[Winter Clothes Adult])</f>
        <v>0</v>
      </c>
      <c r="AJ250" s="436">
        <f>IF(NFI_Expiration=1,IF($A250&lt;VLOOKUP(S$5,NFI,5,0),1,0)*Table_NFI[[#This Row],[Winter Clothes Children]],Table_NFI[Winter Clothes Children])</f>
        <v>0</v>
      </c>
      <c r="AK250" s="436">
        <f>IF(NFI_Expiration=1,IF($A250&lt;VLOOKUP(T$5,NFI,5,0),1,0)*Table_NFI[[#This Row],[Winter Items Other]],Table_NFI[Winter Items Other])</f>
        <v>0</v>
      </c>
      <c r="AL250" s="436">
        <f>IF(NFI_Expiration=1,IF($A250&lt;VLOOKUP(M$5,NFI,5,0),1,0)*Table_NFI[[#This Row],[Winter Blanket]],Table_NFI[[#This Row],[Winter Blanket]])</f>
        <v>0</v>
      </c>
      <c r="AM250" s="436">
        <f>IF(Table_NFI[[#This Row],[Winter Clothes Adult]]+Table_NFI[[#This Row],[Winter Clothes Children]]+Table_NFI[[#This Row],[Winter Items Other]]+Table_NFI[[#This Row],[Winter Blanket]]&gt;0,1,0)</f>
        <v>0</v>
      </c>
      <c r="AN250" s="439">
        <f>IF(NFI_Expiration=1,IF($A250&lt;VLOOKUP(V$5,NFI,5,0),1,0)*Table_NFI[[#This Row],[Jerry Can]],Table_NFI[Jerry Can])</f>
        <v>0</v>
      </c>
      <c r="AO250" s="771" t="str">
        <f>IFERROR(VLOOKUP(Table_NFI[[#This Row],[Camp Name]],CL,2,0),"")</f>
        <v>MMR001CMP056</v>
      </c>
      <c r="AP250" s="772">
        <f ca="1">IF(Table_NFI[[#This Row],[Pcode]]="","",IF(OFFSET(CampList[Opening Date],MATCH(Table_NFI[[#This Row],[Pcode]],CampList[CP_Pcode],0)-1,0,1,1)&gt;=NFI_Monitor_Date,1,0))</f>
        <v>0</v>
      </c>
      <c r="AQ250" s="781" t="str">
        <f>IFERROR(VLOOKUP(Table_NFI[[#This Row],[Camp Name]],CL,3,0),"")</f>
        <v>Open</v>
      </c>
      <c r="AR250" s="439" t="str">
        <f ca="1">IF(Table_NFI[[#This Row],[Pcode]]="","",OFFSET(CampList[Priority],MATCH(Table_NFI[[#This Row],[Pcode]],CampList[CP_Pcode],0)-1,0,1,1))</f>
        <v>P4</v>
      </c>
      <c r="AS250" s="438">
        <f>IFERROR(Table_NFI[[#This Row],[Kitchen Set]]/VLOOKUP(Table_NFI[[#This Row],[Camp Name]],CL,4,0),"")</f>
        <v>9.6618357487922701E-3</v>
      </c>
      <c r="AT250" s="769" t="s">
        <v>1099</v>
      </c>
      <c r="AU250" s="773"/>
    </row>
    <row r="251" spans="1:47" s="774" customFormat="1" x14ac:dyDescent="0.25">
      <c r="A251" s="451">
        <f t="shared" si="3"/>
        <v>19.899999999999999</v>
      </c>
      <c r="B251" s="768">
        <v>41773</v>
      </c>
      <c r="C251" s="769" t="s">
        <v>454</v>
      </c>
      <c r="D251" s="769" t="s">
        <v>454</v>
      </c>
      <c r="E251" s="769" t="s">
        <v>380</v>
      </c>
      <c r="F251" s="769" t="s">
        <v>5</v>
      </c>
      <c r="G251" s="769" t="s">
        <v>24</v>
      </c>
      <c r="H251" s="436"/>
      <c r="I251" s="436"/>
      <c r="J251" s="436">
        <v>17</v>
      </c>
      <c r="K251" s="436">
        <v>108</v>
      </c>
      <c r="L251" s="437">
        <v>36</v>
      </c>
      <c r="M251" s="437">
        <v>108</v>
      </c>
      <c r="N251" s="437">
        <v>36</v>
      </c>
      <c r="O251" s="437">
        <v>36</v>
      </c>
      <c r="P251" s="439">
        <v>36</v>
      </c>
      <c r="Q251" s="439">
        <v>142</v>
      </c>
      <c r="R251" s="436"/>
      <c r="S251" s="436"/>
      <c r="T251" s="436"/>
      <c r="U251" s="436"/>
      <c r="V251" s="436"/>
      <c r="W251" s="436"/>
      <c r="X251" s="436"/>
      <c r="Y251" s="436">
        <f>IF(NFI_Expiration=1,IF($A251&lt;VLOOKUP(H$5,NFI,5,0),1,0)*Table_NFI[[#This Row],[Hygiene Kit]],Table_NFI[Hygiene Kit])</f>
        <v>0</v>
      </c>
      <c r="Z251" s="436">
        <f>IF(NFI_Expiration=1,IF($A251&lt;VLOOKUP(I$5,NFI,5,0),1,0)*Table_NFI[[#This Row],[NFI Core Kit]],Table_NFI[NFI Core Kit])</f>
        <v>0</v>
      </c>
      <c r="AA251" s="436">
        <f>IF(NFI_Expiration=1,IF($A251&lt;VLOOKUP(J$5,NFI,5,0),1,0)*Table_NFI[[#This Row],[Sanitary Kit]],Table_NFI[Sanitary Kit])</f>
        <v>0</v>
      </c>
      <c r="AB251" s="436">
        <f>IF(NFI_Expiration=1,IF($A251&lt;VLOOKUP(K$5,NFI,5,0),1,0)*Table_NFI[[#This Row],[Mosquito net]],Table_NFI[Mosquito net])</f>
        <v>0</v>
      </c>
      <c r="AC251" s="436">
        <f>IF(NFI_Expiration=1,IF($A251&lt;VLOOKUP(L$5,NFI,5,0),1,0)*Table_NFI[[#This Row],[Tarpaulin]],Table_NFI[[#This Row],[Tarpaulin]])</f>
        <v>0</v>
      </c>
      <c r="AD251" s="436">
        <f>IF(NFI_Expiration=1,IF($A251&lt;VLOOKUP(M$5,NFI,5,0),1,0)*Table_NFI[[#This Row],[Blanket]],Table_NFI[[#This Row],[Blanket]])</f>
        <v>0</v>
      </c>
      <c r="AE251" s="436">
        <f>IF(NFI_Expiration=1,IF($A251&lt;VLOOKUP(N$5,NFI,5,0),1,0)*Table_NFI[[#This Row],[Kitchen Set]],Table_NFI[Kitchen Set])</f>
        <v>0</v>
      </c>
      <c r="AF251" s="436">
        <f>IF(NFI_Expiration=1,IF($A251&lt;VLOOKUP(O$5,NFI,5,0),1,0)*Table_NFI[[#This Row],[Clothes Kit]],Table_NFI[Clothes Kit])</f>
        <v>0</v>
      </c>
      <c r="AG251" s="436">
        <f>IF(NFI_Expiration=1,IF($A251&lt;VLOOKUP(P$5,NFI,5,0),1,0)*Table_NFI[[#This Row],[Plastic Bucket]],Table_NFI[Plastic Bucket])</f>
        <v>0</v>
      </c>
      <c r="AH251" s="436">
        <f>IF(NFI_Expiration=1,IF($A251&lt;VLOOKUP(Q$5,NFI,5,0),1,0)*Table_NFI[[#This Row],[Plastic Mat]],Table_NFI[Plastic Mat])*IF(Table_NFI[[#This Row],[Distribution Date]]&gt;"2014-04-01",1,2.5)</f>
        <v>0</v>
      </c>
      <c r="AI251" s="436">
        <f>IF(NFI_Expiration=1,IF($A251&lt;VLOOKUP(R$5,NFI,5,0),1,0)*Table_NFI[[#This Row],[Winter Clothes Adult]],Table_NFI[Winter Clothes Adult])</f>
        <v>0</v>
      </c>
      <c r="AJ251" s="436">
        <f>IF(NFI_Expiration=1,IF($A251&lt;VLOOKUP(S$5,NFI,5,0),1,0)*Table_NFI[[#This Row],[Winter Clothes Children]],Table_NFI[Winter Clothes Children])</f>
        <v>0</v>
      </c>
      <c r="AK251" s="436">
        <f>IF(NFI_Expiration=1,IF($A251&lt;VLOOKUP(T$5,NFI,5,0),1,0)*Table_NFI[[#This Row],[Winter Items Other]],Table_NFI[Winter Items Other])</f>
        <v>0</v>
      </c>
      <c r="AL251" s="436">
        <f>IF(NFI_Expiration=1,IF($A251&lt;VLOOKUP(M$5,NFI,5,0),1,0)*Table_NFI[[#This Row],[Winter Blanket]],Table_NFI[[#This Row],[Winter Blanket]])</f>
        <v>0</v>
      </c>
      <c r="AM251" s="436">
        <f>IF(Table_NFI[[#This Row],[Winter Clothes Adult]]+Table_NFI[[#This Row],[Winter Clothes Children]]+Table_NFI[[#This Row],[Winter Items Other]]+Table_NFI[[#This Row],[Winter Blanket]]&gt;0,1,0)</f>
        <v>0</v>
      </c>
      <c r="AN251" s="439">
        <f>IF(NFI_Expiration=1,IF($A251&lt;VLOOKUP(V$5,NFI,5,0),1,0)*Table_NFI[[#This Row],[Jerry Can]],Table_NFI[Jerry Can])</f>
        <v>0</v>
      </c>
      <c r="AO251" s="771" t="str">
        <f>IFERROR(VLOOKUP(Table_NFI[[#This Row],[Camp Name]],CL,2,0),"")</f>
        <v>MMR001CMP055</v>
      </c>
      <c r="AP251" s="772">
        <f ca="1">IF(Table_NFI[[#This Row],[Pcode]]="","",IF(OFFSET(CampList[Opening Date],MATCH(Table_NFI[[#This Row],[Pcode]],CampList[CP_Pcode],0)-1,0,1,1)&gt;=NFI_Monitor_Date,1,0))</f>
        <v>0</v>
      </c>
      <c r="AQ251" s="781" t="str">
        <f>IFERROR(VLOOKUP(Table_NFI[[#This Row],[Camp Name]],CL,3,0),"")</f>
        <v>Open</v>
      </c>
      <c r="AR251" s="439" t="str">
        <f ca="1">IF(Table_NFI[[#This Row],[Pcode]]="","",OFFSET(CampList[Priority],MATCH(Table_NFI[[#This Row],[Pcode]],CampList[CP_Pcode],0)-1,0,1,1))</f>
        <v>P4</v>
      </c>
      <c r="AS251" s="438">
        <f>IFERROR(Table_NFI[[#This Row],[Kitchen Set]]/VLOOKUP(Table_NFI[[#This Row],[Camp Name]],CL,4,0),"")</f>
        <v>1.44</v>
      </c>
      <c r="AT251" s="769" t="s">
        <v>1099</v>
      </c>
      <c r="AU251" s="773"/>
    </row>
    <row r="252" spans="1:47" s="774" customFormat="1" x14ac:dyDescent="0.25">
      <c r="A252" s="451">
        <f t="shared" si="3"/>
        <v>19.933333333333334</v>
      </c>
      <c r="B252" s="768">
        <v>41772</v>
      </c>
      <c r="C252" s="769" t="s">
        <v>1111</v>
      </c>
      <c r="D252" s="769" t="s">
        <v>907</v>
      </c>
      <c r="E252" s="769" t="s">
        <v>380</v>
      </c>
      <c r="F252" s="769" t="s">
        <v>237</v>
      </c>
      <c r="G252" s="769" t="s">
        <v>269</v>
      </c>
      <c r="H252" s="436"/>
      <c r="I252" s="436"/>
      <c r="J252" s="436"/>
      <c r="K252" s="436"/>
      <c r="L252" s="437"/>
      <c r="M252" s="437"/>
      <c r="N252" s="437"/>
      <c r="O252" s="437"/>
      <c r="P252" s="439"/>
      <c r="Q252" s="439"/>
      <c r="R252" s="436"/>
      <c r="S252" s="436"/>
      <c r="T252" s="436"/>
      <c r="U252" s="436">
        <v>112</v>
      </c>
      <c r="V252" s="436"/>
      <c r="W252" s="436"/>
      <c r="X252" s="436"/>
      <c r="Y252" s="448">
        <f>IF(NFI_Expiration=1,IF($A252&lt;VLOOKUP(H$5,NFI,5,0),1,0)*Table_NFI[[#This Row],[Hygiene Kit]],Table_NFI[Hygiene Kit])</f>
        <v>0</v>
      </c>
      <c r="Z252" s="448">
        <f>IF(NFI_Expiration=1,IF($A252&lt;VLOOKUP(I$5,NFI,5,0),1,0)*Table_NFI[[#This Row],[NFI Core Kit]],Table_NFI[NFI Core Kit])</f>
        <v>0</v>
      </c>
      <c r="AA252" s="448">
        <f>IF(NFI_Expiration=1,IF($A252&lt;VLOOKUP(J$5,NFI,5,0),1,0)*Table_NFI[[#This Row],[Sanitary Kit]],Table_NFI[Sanitary Kit])</f>
        <v>0</v>
      </c>
      <c r="AB252" s="448">
        <f>IF(NFI_Expiration=1,IF($A252&lt;VLOOKUP(K$5,NFI,5,0),1,0)*Table_NFI[[#This Row],[Mosquito net]],Table_NFI[Mosquito net])</f>
        <v>0</v>
      </c>
      <c r="AC252" s="448">
        <f>IF(NFI_Expiration=1,IF($A252&lt;VLOOKUP(L$5,NFI,5,0),1,0)*Table_NFI[[#This Row],[Tarpaulin]],Table_NFI[[#This Row],[Tarpaulin]])</f>
        <v>0</v>
      </c>
      <c r="AD252" s="448">
        <f>IF(NFI_Expiration=1,IF($A252&lt;VLOOKUP(M$5,NFI,5,0),1,0)*Table_NFI[[#This Row],[Blanket]],Table_NFI[[#This Row],[Blanket]])</f>
        <v>0</v>
      </c>
      <c r="AE252" s="448">
        <f>IF(NFI_Expiration=1,IF($A252&lt;VLOOKUP(N$5,NFI,5,0),1,0)*Table_NFI[[#This Row],[Kitchen Set]],Table_NFI[Kitchen Set])</f>
        <v>0</v>
      </c>
      <c r="AF252" s="448">
        <f>IF(NFI_Expiration=1,IF($A252&lt;VLOOKUP(O$5,NFI,5,0),1,0)*Table_NFI[[#This Row],[Clothes Kit]],Table_NFI[Clothes Kit])</f>
        <v>0</v>
      </c>
      <c r="AG252" s="448">
        <f>IF(NFI_Expiration=1,IF($A252&lt;VLOOKUP(P$5,NFI,5,0),1,0)*Table_NFI[[#This Row],[Plastic Bucket]],Table_NFI[Plastic Bucket])</f>
        <v>0</v>
      </c>
      <c r="AH252" s="448">
        <f>IF(NFI_Expiration=1,IF($A252&lt;VLOOKUP(Q$5,NFI,5,0),1,0)*Table_NFI[[#This Row],[Plastic Mat]],Table_NFI[Plastic Mat])*IF(Table_NFI[[#This Row],[Distribution Date]]&gt;"2014-04-01",1,2.5)</f>
        <v>0</v>
      </c>
      <c r="AI252" s="448">
        <f>IF(NFI_Expiration=1,IF($A252&lt;VLOOKUP(R$5,NFI,5,0),1,0)*Table_NFI[[#This Row],[Winter Clothes Adult]],Table_NFI[Winter Clothes Adult])</f>
        <v>0</v>
      </c>
      <c r="AJ252" s="448">
        <f>IF(NFI_Expiration=1,IF($A252&lt;VLOOKUP(S$5,NFI,5,0),1,0)*Table_NFI[[#This Row],[Winter Clothes Children]],Table_NFI[Winter Clothes Children])</f>
        <v>0</v>
      </c>
      <c r="AK252" s="448">
        <f>IF(NFI_Expiration=1,IF($A252&lt;VLOOKUP(T$5,NFI,5,0),1,0)*Table_NFI[[#This Row],[Winter Items Other]],Table_NFI[Winter Items Other])</f>
        <v>0</v>
      </c>
      <c r="AL252" s="448">
        <f>IF(NFI_Expiration=1,IF($A252&lt;VLOOKUP(M$5,NFI,5,0),1,0)*Table_NFI[[#This Row],[Winter Blanket]],Table_NFI[[#This Row],[Winter Blanket]])</f>
        <v>0</v>
      </c>
      <c r="AM252" s="448">
        <f>IF(Table_NFI[[#This Row],[Winter Clothes Adult]]+Table_NFI[[#This Row],[Winter Clothes Children]]+Table_NFI[[#This Row],[Winter Items Other]]+Table_NFI[[#This Row],[Winter Blanket]]&gt;0,1,0)</f>
        <v>1</v>
      </c>
      <c r="AN252" s="439">
        <f>IF(NFI_Expiration=1,IF($A252&lt;VLOOKUP(V$5,NFI,5,0),1,0)*Table_NFI[[#This Row],[Jerry Can]],Table_NFI[Jerry Can])</f>
        <v>0</v>
      </c>
      <c r="AO252" s="787" t="str">
        <f>IFERROR(VLOOKUP(Table_NFI[[#This Row],[Camp Name]],CL,2,0),"")</f>
        <v>MMR001CMP002</v>
      </c>
      <c r="AP252" s="788">
        <f ca="1">IF(Table_NFI[[#This Row],[Pcode]]="","",IF(OFFSET(CampList[Opening Date],MATCH(Table_NFI[[#This Row],[Pcode]],CampList[CP_Pcode],0)-1,0,1,1)&gt;=NFI_Monitor_Date,1,0))</f>
        <v>0</v>
      </c>
      <c r="AQ252" s="787" t="str">
        <f>IFERROR(VLOOKUP(Table_NFI[[#This Row],[Camp Name]],CL,3,0),"")</f>
        <v>Open</v>
      </c>
      <c r="AR252" s="448" t="str">
        <f ca="1">IF(Table_NFI[[#This Row],[Pcode]]="","",OFFSET(CampList[Priority],MATCH(Table_NFI[[#This Row],[Pcode]],CampList[CP_Pcode],0)-1,0,1,1))</f>
        <v>P4</v>
      </c>
      <c r="AS252" s="449">
        <f>IFERROR(Table_NFI[[#This Row],[Kitchen Set]]/VLOOKUP(Table_NFI[[#This Row],[Camp Name]],CL,4,0),"")</f>
        <v>0</v>
      </c>
      <c r="AT252" s="789"/>
      <c r="AU252" s="773"/>
    </row>
    <row r="253" spans="1:47" s="774" customFormat="1" x14ac:dyDescent="0.25">
      <c r="A253" s="451">
        <f t="shared" si="3"/>
        <v>19.966666666666665</v>
      </c>
      <c r="B253" s="768">
        <v>41771</v>
      </c>
      <c r="C253" s="769" t="s">
        <v>1111</v>
      </c>
      <c r="D253" s="769" t="s">
        <v>907</v>
      </c>
      <c r="E253" s="769" t="s">
        <v>380</v>
      </c>
      <c r="F253" s="769" t="s">
        <v>237</v>
      </c>
      <c r="G253" s="769" t="s">
        <v>281</v>
      </c>
      <c r="H253" s="436"/>
      <c r="I253" s="436"/>
      <c r="J253" s="436"/>
      <c r="K253" s="436"/>
      <c r="L253" s="437"/>
      <c r="M253" s="437"/>
      <c r="N253" s="437"/>
      <c r="O253" s="437"/>
      <c r="P253" s="439"/>
      <c r="Q253" s="439"/>
      <c r="R253" s="436"/>
      <c r="S253" s="436"/>
      <c r="T253" s="436"/>
      <c r="U253" s="436">
        <v>168</v>
      </c>
      <c r="V253" s="436"/>
      <c r="W253" s="436"/>
      <c r="X253" s="436"/>
      <c r="Y253" s="448">
        <f>IF(NFI_Expiration=1,IF($A253&lt;VLOOKUP(H$5,NFI,5,0),1,0)*Table_NFI[[#This Row],[Hygiene Kit]],Table_NFI[Hygiene Kit])</f>
        <v>0</v>
      </c>
      <c r="Z253" s="448">
        <f>IF(NFI_Expiration=1,IF($A253&lt;VLOOKUP(I$5,NFI,5,0),1,0)*Table_NFI[[#This Row],[NFI Core Kit]],Table_NFI[NFI Core Kit])</f>
        <v>0</v>
      </c>
      <c r="AA253" s="448">
        <f>IF(NFI_Expiration=1,IF($A253&lt;VLOOKUP(J$5,NFI,5,0),1,0)*Table_NFI[[#This Row],[Sanitary Kit]],Table_NFI[Sanitary Kit])</f>
        <v>0</v>
      </c>
      <c r="AB253" s="448">
        <f>IF(NFI_Expiration=1,IF($A253&lt;VLOOKUP(K$5,NFI,5,0),1,0)*Table_NFI[[#This Row],[Mosquito net]],Table_NFI[Mosquito net])</f>
        <v>0</v>
      </c>
      <c r="AC253" s="448">
        <f>IF(NFI_Expiration=1,IF($A253&lt;VLOOKUP(L$5,NFI,5,0),1,0)*Table_NFI[[#This Row],[Tarpaulin]],Table_NFI[[#This Row],[Tarpaulin]])</f>
        <v>0</v>
      </c>
      <c r="AD253" s="448">
        <f>IF(NFI_Expiration=1,IF($A253&lt;VLOOKUP(M$5,NFI,5,0),1,0)*Table_NFI[[#This Row],[Blanket]],Table_NFI[[#This Row],[Blanket]])</f>
        <v>0</v>
      </c>
      <c r="AE253" s="448">
        <f>IF(NFI_Expiration=1,IF($A253&lt;VLOOKUP(N$5,NFI,5,0),1,0)*Table_NFI[[#This Row],[Kitchen Set]],Table_NFI[Kitchen Set])</f>
        <v>0</v>
      </c>
      <c r="AF253" s="448">
        <f>IF(NFI_Expiration=1,IF($A253&lt;VLOOKUP(O$5,NFI,5,0),1,0)*Table_NFI[[#This Row],[Clothes Kit]],Table_NFI[Clothes Kit])</f>
        <v>0</v>
      </c>
      <c r="AG253" s="448">
        <f>IF(NFI_Expiration=1,IF($A253&lt;VLOOKUP(P$5,NFI,5,0),1,0)*Table_NFI[[#This Row],[Plastic Bucket]],Table_NFI[Plastic Bucket])</f>
        <v>0</v>
      </c>
      <c r="AH253" s="448">
        <f>IF(NFI_Expiration=1,IF($A253&lt;VLOOKUP(Q$5,NFI,5,0),1,0)*Table_NFI[[#This Row],[Plastic Mat]],Table_NFI[Plastic Mat])*IF(Table_NFI[[#This Row],[Distribution Date]]&gt;"2014-04-01",1,2.5)</f>
        <v>0</v>
      </c>
      <c r="AI253" s="448">
        <f>IF(NFI_Expiration=1,IF($A253&lt;VLOOKUP(R$5,NFI,5,0),1,0)*Table_NFI[[#This Row],[Winter Clothes Adult]],Table_NFI[Winter Clothes Adult])</f>
        <v>0</v>
      </c>
      <c r="AJ253" s="448">
        <f>IF(NFI_Expiration=1,IF($A253&lt;VLOOKUP(S$5,NFI,5,0),1,0)*Table_NFI[[#This Row],[Winter Clothes Children]],Table_NFI[Winter Clothes Children])</f>
        <v>0</v>
      </c>
      <c r="AK253" s="448">
        <f>IF(NFI_Expiration=1,IF($A253&lt;VLOOKUP(T$5,NFI,5,0),1,0)*Table_NFI[[#This Row],[Winter Items Other]],Table_NFI[Winter Items Other])</f>
        <v>0</v>
      </c>
      <c r="AL253" s="448">
        <f>IF(NFI_Expiration=1,IF($A253&lt;VLOOKUP(M$5,NFI,5,0),1,0)*Table_NFI[[#This Row],[Winter Blanket]],Table_NFI[[#This Row],[Winter Blanket]])</f>
        <v>0</v>
      </c>
      <c r="AM253" s="448">
        <f>IF(Table_NFI[[#This Row],[Winter Clothes Adult]]+Table_NFI[[#This Row],[Winter Clothes Children]]+Table_NFI[[#This Row],[Winter Items Other]]+Table_NFI[[#This Row],[Winter Blanket]]&gt;0,1,0)</f>
        <v>1</v>
      </c>
      <c r="AN253" s="439">
        <f>IF(NFI_Expiration=1,IF($A253&lt;VLOOKUP(V$5,NFI,5,0),1,0)*Table_NFI[[#This Row],[Jerry Can]],Table_NFI[Jerry Can])</f>
        <v>0</v>
      </c>
      <c r="AO253" s="787" t="str">
        <f>IFERROR(VLOOKUP(Table_NFI[[#This Row],[Camp Name]],CL,2,0),"")</f>
        <v>MMR001CMP009</v>
      </c>
      <c r="AP253" s="788">
        <f ca="1">IF(Table_NFI[[#This Row],[Pcode]]="","",IF(OFFSET(CampList[Opening Date],MATCH(Table_NFI[[#This Row],[Pcode]],CampList[CP_Pcode],0)-1,0,1,1)&gt;=NFI_Monitor_Date,1,0))</f>
        <v>0</v>
      </c>
      <c r="AQ253" s="787" t="str">
        <f>IFERROR(VLOOKUP(Table_NFI[[#This Row],[Camp Name]],CL,3,0),"")</f>
        <v>Open</v>
      </c>
      <c r="AR253" s="448" t="str">
        <f ca="1">IF(Table_NFI[[#This Row],[Pcode]]="","",OFFSET(CampList[Priority],MATCH(Table_NFI[[#This Row],[Pcode]],CampList[CP_Pcode],0)-1,0,1,1))</f>
        <v>P4</v>
      </c>
      <c r="AS253" s="449">
        <f>IFERROR(Table_NFI[[#This Row],[Kitchen Set]]/VLOOKUP(Table_NFI[[#This Row],[Camp Name]],CL,4,0),"")</f>
        <v>0</v>
      </c>
      <c r="AT253" s="789"/>
      <c r="AU253" s="773"/>
    </row>
    <row r="254" spans="1:47" s="774" customFormat="1" x14ac:dyDescent="0.25">
      <c r="A254" s="451">
        <f t="shared" si="3"/>
        <v>19.966666666666665</v>
      </c>
      <c r="B254" s="768">
        <v>41771</v>
      </c>
      <c r="C254" s="769" t="s">
        <v>454</v>
      </c>
      <c r="D254" s="769"/>
      <c r="E254" s="769" t="s">
        <v>555</v>
      </c>
      <c r="F254" s="769" t="s">
        <v>230</v>
      </c>
      <c r="G254" s="769" t="s">
        <v>1070</v>
      </c>
      <c r="H254" s="436"/>
      <c r="I254" s="436"/>
      <c r="J254" s="436"/>
      <c r="K254" s="436">
        <v>68</v>
      </c>
      <c r="L254" s="437">
        <v>9</v>
      </c>
      <c r="M254" s="437">
        <v>118</v>
      </c>
      <c r="N254" s="437">
        <v>9</v>
      </c>
      <c r="O254" s="437">
        <v>0</v>
      </c>
      <c r="P254" s="437">
        <v>9</v>
      </c>
      <c r="Q254" s="437">
        <v>45</v>
      </c>
      <c r="R254" s="436"/>
      <c r="S254" s="436"/>
      <c r="T254" s="436"/>
      <c r="U254" s="436"/>
      <c r="V254" s="436"/>
      <c r="W254" s="436"/>
      <c r="X254" s="436"/>
      <c r="Y254" s="450">
        <f>IF(NFI_Expiration=1,IF($A254&lt;VLOOKUP(H$5,NFI,5,0),1,0)*Table_NFI[[#This Row],[Hygiene Kit]],Table_NFI[Hygiene Kit])</f>
        <v>0</v>
      </c>
      <c r="Z254" s="450">
        <f>IF(NFI_Expiration=1,IF($A254&lt;VLOOKUP(I$5,NFI,5,0),1,0)*Table_NFI[[#This Row],[NFI Core Kit]],Table_NFI[NFI Core Kit])</f>
        <v>0</v>
      </c>
      <c r="AA254" s="450">
        <f>IF(NFI_Expiration=1,IF($A254&lt;VLOOKUP(J$5,NFI,5,0),1,0)*Table_NFI[[#This Row],[Sanitary Kit]],Table_NFI[Sanitary Kit])</f>
        <v>0</v>
      </c>
      <c r="AB254" s="450">
        <f>IF(NFI_Expiration=1,IF($A254&lt;VLOOKUP(K$5,NFI,5,0),1,0)*Table_NFI[[#This Row],[Mosquito net]],Table_NFI[Mosquito net])</f>
        <v>0</v>
      </c>
      <c r="AC254" s="450">
        <f>IF(NFI_Expiration=1,IF($A254&lt;VLOOKUP(L$5,NFI,5,0),1,0)*Table_NFI[[#This Row],[Tarpaulin]],Table_NFI[[#This Row],[Tarpaulin]])</f>
        <v>0</v>
      </c>
      <c r="AD254" s="450">
        <f>IF(NFI_Expiration=1,IF($A254&lt;VLOOKUP(M$5,NFI,5,0),1,0)*Table_NFI[[#This Row],[Blanket]],Table_NFI[[#This Row],[Blanket]])</f>
        <v>0</v>
      </c>
      <c r="AE254" s="450">
        <f>IF(NFI_Expiration=1,IF($A254&lt;VLOOKUP(N$5,NFI,5,0),1,0)*Table_NFI[[#This Row],[Kitchen Set]],Table_NFI[Kitchen Set])</f>
        <v>0</v>
      </c>
      <c r="AF254" s="450">
        <f>IF(NFI_Expiration=1,IF($A254&lt;VLOOKUP(O$5,NFI,5,0),1,0)*Table_NFI[[#This Row],[Clothes Kit]],Table_NFI[Clothes Kit])</f>
        <v>0</v>
      </c>
      <c r="AG254" s="450">
        <f>IF(NFI_Expiration=1,IF($A254&lt;VLOOKUP(P$5,NFI,5,0),1,0)*Table_NFI[[#This Row],[Plastic Bucket]],Table_NFI[Plastic Bucket])</f>
        <v>0</v>
      </c>
      <c r="AH254" s="450">
        <f>IF(NFI_Expiration=1,IF($A254&lt;VLOOKUP(Q$5,NFI,5,0),1,0)*Table_NFI[[#This Row],[Plastic Mat]],Table_NFI[Plastic Mat])*IF(Table_NFI[[#This Row],[Distribution Date]]&gt;"2014-04-01",1,2.5)</f>
        <v>0</v>
      </c>
      <c r="AI254" s="450">
        <f>IF(NFI_Expiration=1,IF($A254&lt;VLOOKUP(R$5,NFI,5,0),1,0)*Table_NFI[[#This Row],[Winter Clothes Adult]],Table_NFI[Winter Clothes Adult])</f>
        <v>0</v>
      </c>
      <c r="AJ254" s="450">
        <f>IF(NFI_Expiration=1,IF($A254&lt;VLOOKUP(S$5,NFI,5,0),1,0)*Table_NFI[[#This Row],[Winter Clothes Children]],Table_NFI[Winter Clothes Children])</f>
        <v>0</v>
      </c>
      <c r="AK254" s="450">
        <f>IF(NFI_Expiration=1,IF($A254&lt;VLOOKUP(T$5,NFI,5,0),1,0)*Table_NFI[[#This Row],[Winter Items Other]],Table_NFI[Winter Items Other])</f>
        <v>0</v>
      </c>
      <c r="AL254" s="450">
        <f>IF(NFI_Expiration=1,IF($A254&lt;VLOOKUP(M$5,NFI,5,0),1,0)*Table_NFI[[#This Row],[Winter Blanket]],Table_NFI[[#This Row],[Winter Blanket]])</f>
        <v>0</v>
      </c>
      <c r="AM254" s="450">
        <f>IF(Table_NFI[[#This Row],[Winter Clothes Adult]]+Table_NFI[[#This Row],[Winter Clothes Children]]+Table_NFI[[#This Row],[Winter Items Other]]+Table_NFI[[#This Row],[Winter Blanket]]&gt;0,1,0)</f>
        <v>0</v>
      </c>
      <c r="AN254" s="439">
        <f>IF(NFI_Expiration=1,IF($A254&lt;VLOOKUP(V$5,NFI,5,0),1,0)*Table_NFI[[#This Row],[Jerry Can]],Table_NFI[Jerry Can])</f>
        <v>0</v>
      </c>
      <c r="AO254" s="790" t="str">
        <f>IFERROR(VLOOKUP(Table_NFI[[#This Row],[Camp Name]],CL,2,0),"")</f>
        <v>MMR015CMP216</v>
      </c>
      <c r="AP254" s="772">
        <f ca="1">IF(Table_NFI[[#This Row],[Pcode]]="","",IF(OFFSET(CampList[Opening Date],MATCH(Table_NFI[[#This Row],[Pcode]],CampList[CP_Pcode],0)-1,0,1,1)&gt;=NFI_Monitor_Date,1,0))</f>
        <v>1</v>
      </c>
      <c r="AQ254" s="781" t="str">
        <f>IFERROR(VLOOKUP(Table_NFI[[#This Row],[Camp Name]],CL,3,0),"")</f>
        <v>Open</v>
      </c>
      <c r="AR254" s="439" t="str">
        <f ca="1">IF(Table_NFI[[#This Row],[Pcode]]="","",OFFSET(CampList[Priority],MATCH(Table_NFI[[#This Row],[Pcode]],CampList[CP_Pcode],0)-1,0,1,1))</f>
        <v>P4</v>
      </c>
      <c r="AS254" s="438">
        <f>IFERROR(Table_NFI[[#This Row],[Kitchen Set]]/VLOOKUP(Table_NFI[[#This Row],[Camp Name]],CL,4,0),"")</f>
        <v>0.34615384615384615</v>
      </c>
      <c r="AT254" s="792"/>
      <c r="AU254" s="773" t="s">
        <v>1246</v>
      </c>
    </row>
    <row r="255" spans="1:47" s="774" customFormat="1" x14ac:dyDescent="0.25">
      <c r="A255" s="451">
        <f t="shared" si="3"/>
        <v>19.966666666666665</v>
      </c>
      <c r="B255" s="768">
        <v>41771</v>
      </c>
      <c r="C255" s="769" t="s">
        <v>454</v>
      </c>
      <c r="D255" s="769"/>
      <c r="E255" s="769" t="s">
        <v>555</v>
      </c>
      <c r="F255" s="769" t="s">
        <v>230</v>
      </c>
      <c r="G255" s="769" t="s">
        <v>1070</v>
      </c>
      <c r="H255" s="436"/>
      <c r="I255" s="436"/>
      <c r="J255" s="436"/>
      <c r="K255" s="436">
        <v>82</v>
      </c>
      <c r="L255" s="437">
        <v>41</v>
      </c>
      <c r="M255" s="437">
        <v>82</v>
      </c>
      <c r="N255" s="437">
        <v>41</v>
      </c>
      <c r="O255" s="437"/>
      <c r="P255" s="439">
        <v>41</v>
      </c>
      <c r="Q255" s="439">
        <v>205</v>
      </c>
      <c r="R255" s="436"/>
      <c r="S255" s="436"/>
      <c r="T255" s="436"/>
      <c r="U255" s="436"/>
      <c r="V255" s="436"/>
      <c r="W255" s="436"/>
      <c r="X255" s="436"/>
      <c r="Y255" s="450">
        <f>IF(NFI_Expiration=1,IF($A255&lt;VLOOKUP(H$5,NFI,5,0),1,0)*Table_NFI[[#This Row],[Hygiene Kit]],Table_NFI[Hygiene Kit])</f>
        <v>0</v>
      </c>
      <c r="Z255" s="450">
        <f>IF(NFI_Expiration=1,IF($A255&lt;VLOOKUP(I$5,NFI,5,0),1,0)*Table_NFI[[#This Row],[NFI Core Kit]],Table_NFI[NFI Core Kit])</f>
        <v>0</v>
      </c>
      <c r="AA255" s="450">
        <f>IF(NFI_Expiration=1,IF($A255&lt;VLOOKUP(J$5,NFI,5,0),1,0)*Table_NFI[[#This Row],[Sanitary Kit]],Table_NFI[Sanitary Kit])</f>
        <v>0</v>
      </c>
      <c r="AB255" s="450">
        <f>IF(NFI_Expiration=1,IF($A255&lt;VLOOKUP(K$5,NFI,5,0),1,0)*Table_NFI[[#This Row],[Mosquito net]],Table_NFI[Mosquito net])</f>
        <v>0</v>
      </c>
      <c r="AC255" s="450">
        <f>IF(NFI_Expiration=1,IF($A255&lt;VLOOKUP(L$5,NFI,5,0),1,0)*Table_NFI[[#This Row],[Tarpaulin]],Table_NFI[[#This Row],[Tarpaulin]])</f>
        <v>0</v>
      </c>
      <c r="AD255" s="450">
        <f>IF(NFI_Expiration=1,IF($A255&lt;VLOOKUP(M$5,NFI,5,0),1,0)*Table_NFI[[#This Row],[Blanket]],Table_NFI[[#This Row],[Blanket]])</f>
        <v>0</v>
      </c>
      <c r="AE255" s="450">
        <f>IF(NFI_Expiration=1,IF($A255&lt;VLOOKUP(N$5,NFI,5,0),1,0)*Table_NFI[[#This Row],[Kitchen Set]],Table_NFI[Kitchen Set])</f>
        <v>0</v>
      </c>
      <c r="AF255" s="450">
        <f>IF(NFI_Expiration=1,IF($A255&lt;VLOOKUP(O$5,NFI,5,0),1,0)*Table_NFI[[#This Row],[Clothes Kit]],Table_NFI[Clothes Kit])</f>
        <v>0</v>
      </c>
      <c r="AG255" s="450">
        <f>IF(NFI_Expiration=1,IF($A255&lt;VLOOKUP(P$5,NFI,5,0),1,0)*Table_NFI[[#This Row],[Plastic Bucket]],Table_NFI[Plastic Bucket])</f>
        <v>0</v>
      </c>
      <c r="AH255" s="450">
        <f>IF(NFI_Expiration=1,IF($A255&lt;VLOOKUP(Q$5,NFI,5,0),1,0)*Table_NFI[[#This Row],[Plastic Mat]],Table_NFI[Plastic Mat])*IF(Table_NFI[[#This Row],[Distribution Date]]&gt;"2014-04-01",1,2.5)</f>
        <v>0</v>
      </c>
      <c r="AI255" s="450">
        <f>IF(NFI_Expiration=1,IF($A255&lt;VLOOKUP(R$5,NFI,5,0),1,0)*Table_NFI[[#This Row],[Winter Clothes Adult]],Table_NFI[Winter Clothes Adult])</f>
        <v>0</v>
      </c>
      <c r="AJ255" s="450">
        <f>IF(NFI_Expiration=1,IF($A255&lt;VLOOKUP(S$5,NFI,5,0),1,0)*Table_NFI[[#This Row],[Winter Clothes Children]],Table_NFI[Winter Clothes Children])</f>
        <v>0</v>
      </c>
      <c r="AK255" s="450">
        <f>IF(NFI_Expiration=1,IF($A255&lt;VLOOKUP(T$5,NFI,5,0),1,0)*Table_NFI[[#This Row],[Winter Items Other]],Table_NFI[Winter Items Other])</f>
        <v>0</v>
      </c>
      <c r="AL255" s="450">
        <f>IF(NFI_Expiration=1,IF($A255&lt;VLOOKUP(M$5,NFI,5,0),1,0)*Table_NFI[[#This Row],[Winter Blanket]],Table_NFI[[#This Row],[Winter Blanket]])</f>
        <v>0</v>
      </c>
      <c r="AM255" s="450">
        <f>IF(Table_NFI[[#This Row],[Winter Clothes Adult]]+Table_NFI[[#This Row],[Winter Clothes Children]]+Table_NFI[[#This Row],[Winter Items Other]]+Table_NFI[[#This Row],[Winter Blanket]]&gt;0,1,0)</f>
        <v>0</v>
      </c>
      <c r="AN255" s="439">
        <f>IF(NFI_Expiration=1,IF($A255&lt;VLOOKUP(V$5,NFI,5,0),1,0)*Table_NFI[[#This Row],[Jerry Can]],Table_NFI[Jerry Can])</f>
        <v>0</v>
      </c>
      <c r="AO255" s="790" t="str">
        <f>IFERROR(VLOOKUP(Table_NFI[[#This Row],[Camp Name]],CL,2,0),"")</f>
        <v>MMR015CMP216</v>
      </c>
      <c r="AP255" s="772">
        <f ca="1">IF(Table_NFI[[#This Row],[Pcode]]="","",IF(OFFSET(CampList[Opening Date],MATCH(Table_NFI[[#This Row],[Pcode]],CampList[CP_Pcode],0)-1,0,1,1)&gt;=NFI_Monitor_Date,1,0))</f>
        <v>1</v>
      </c>
      <c r="AQ255" s="781" t="str">
        <f>IFERROR(VLOOKUP(Table_NFI[[#This Row],[Camp Name]],CL,3,0),"")</f>
        <v>Open</v>
      </c>
      <c r="AR255" s="439" t="str">
        <f ca="1">IF(Table_NFI[[#This Row],[Pcode]]="","",OFFSET(CampList[Priority],MATCH(Table_NFI[[#This Row],[Pcode]],CampList[CP_Pcode],0)-1,0,1,1))</f>
        <v>P4</v>
      </c>
      <c r="AS255" s="438">
        <f>IFERROR(Table_NFI[[#This Row],[Kitchen Set]]/VLOOKUP(Table_NFI[[#This Row],[Camp Name]],CL,4,0),"")</f>
        <v>1.5769230769230769</v>
      </c>
      <c r="AT255" s="792"/>
      <c r="AU255" s="773"/>
    </row>
    <row r="256" spans="1:47" s="774" customFormat="1" x14ac:dyDescent="0.25">
      <c r="A256" s="451">
        <f t="shared" si="3"/>
        <v>19.966666666666665</v>
      </c>
      <c r="B256" s="768">
        <v>41771</v>
      </c>
      <c r="C256" s="769" t="s">
        <v>1111</v>
      </c>
      <c r="D256" s="769" t="s">
        <v>907</v>
      </c>
      <c r="E256" s="769" t="s">
        <v>380</v>
      </c>
      <c r="F256" s="769" t="s">
        <v>237</v>
      </c>
      <c r="G256" s="769" t="s">
        <v>261</v>
      </c>
      <c r="H256" s="436"/>
      <c r="I256" s="436"/>
      <c r="J256" s="436"/>
      <c r="K256" s="436"/>
      <c r="L256" s="437"/>
      <c r="M256" s="437"/>
      <c r="N256" s="437"/>
      <c r="O256" s="437"/>
      <c r="P256" s="439"/>
      <c r="Q256" s="439"/>
      <c r="R256" s="436"/>
      <c r="S256" s="436"/>
      <c r="T256" s="436"/>
      <c r="U256" s="436">
        <v>184</v>
      </c>
      <c r="V256" s="436"/>
      <c r="W256" s="436"/>
      <c r="X256" s="436"/>
      <c r="Y256" s="448">
        <f>IF(NFI_Expiration=1,IF($A256&lt;VLOOKUP(H$5,NFI,5,0),1,0)*Table_NFI[[#This Row],[Hygiene Kit]],Table_NFI[Hygiene Kit])</f>
        <v>0</v>
      </c>
      <c r="Z256" s="448">
        <f>IF(NFI_Expiration=1,IF($A256&lt;VLOOKUP(I$5,NFI,5,0),1,0)*Table_NFI[[#This Row],[NFI Core Kit]],Table_NFI[NFI Core Kit])</f>
        <v>0</v>
      </c>
      <c r="AA256" s="448">
        <f>IF(NFI_Expiration=1,IF($A256&lt;VLOOKUP(J$5,NFI,5,0),1,0)*Table_NFI[[#This Row],[Sanitary Kit]],Table_NFI[Sanitary Kit])</f>
        <v>0</v>
      </c>
      <c r="AB256" s="448">
        <f>IF(NFI_Expiration=1,IF($A256&lt;VLOOKUP(K$5,NFI,5,0),1,0)*Table_NFI[[#This Row],[Mosquito net]],Table_NFI[Mosquito net])</f>
        <v>0</v>
      </c>
      <c r="AC256" s="448">
        <f>IF(NFI_Expiration=1,IF($A256&lt;VLOOKUP(L$5,NFI,5,0),1,0)*Table_NFI[[#This Row],[Tarpaulin]],Table_NFI[[#This Row],[Tarpaulin]])</f>
        <v>0</v>
      </c>
      <c r="AD256" s="448">
        <f>IF(NFI_Expiration=1,IF($A256&lt;VLOOKUP(M$5,NFI,5,0),1,0)*Table_NFI[[#This Row],[Blanket]],Table_NFI[[#This Row],[Blanket]])</f>
        <v>0</v>
      </c>
      <c r="AE256" s="448">
        <f>IF(NFI_Expiration=1,IF($A256&lt;VLOOKUP(N$5,NFI,5,0),1,0)*Table_NFI[[#This Row],[Kitchen Set]],Table_NFI[Kitchen Set])</f>
        <v>0</v>
      </c>
      <c r="AF256" s="448">
        <f>IF(NFI_Expiration=1,IF($A256&lt;VLOOKUP(O$5,NFI,5,0),1,0)*Table_NFI[[#This Row],[Clothes Kit]],Table_NFI[Clothes Kit])</f>
        <v>0</v>
      </c>
      <c r="AG256" s="448">
        <f>IF(NFI_Expiration=1,IF($A256&lt;VLOOKUP(P$5,NFI,5,0),1,0)*Table_NFI[[#This Row],[Plastic Bucket]],Table_NFI[Plastic Bucket])</f>
        <v>0</v>
      </c>
      <c r="AH256" s="448">
        <f>IF(NFI_Expiration=1,IF($A256&lt;VLOOKUP(Q$5,NFI,5,0),1,0)*Table_NFI[[#This Row],[Plastic Mat]],Table_NFI[Plastic Mat])*IF(Table_NFI[[#This Row],[Distribution Date]]&gt;"2014-04-01",1,2.5)</f>
        <v>0</v>
      </c>
      <c r="AI256" s="448">
        <f>IF(NFI_Expiration=1,IF($A256&lt;VLOOKUP(R$5,NFI,5,0),1,0)*Table_NFI[[#This Row],[Winter Clothes Adult]],Table_NFI[Winter Clothes Adult])</f>
        <v>0</v>
      </c>
      <c r="AJ256" s="448">
        <f>IF(NFI_Expiration=1,IF($A256&lt;VLOOKUP(S$5,NFI,5,0),1,0)*Table_NFI[[#This Row],[Winter Clothes Children]],Table_NFI[Winter Clothes Children])</f>
        <v>0</v>
      </c>
      <c r="AK256" s="448">
        <f>IF(NFI_Expiration=1,IF($A256&lt;VLOOKUP(T$5,NFI,5,0),1,0)*Table_NFI[[#This Row],[Winter Items Other]],Table_NFI[Winter Items Other])</f>
        <v>0</v>
      </c>
      <c r="AL256" s="448">
        <f>IF(NFI_Expiration=1,IF($A256&lt;VLOOKUP(M$5,NFI,5,0),1,0)*Table_NFI[[#This Row],[Winter Blanket]],Table_NFI[[#This Row],[Winter Blanket]])</f>
        <v>0</v>
      </c>
      <c r="AM256" s="448">
        <f>IF(Table_NFI[[#This Row],[Winter Clothes Adult]]+Table_NFI[[#This Row],[Winter Clothes Children]]+Table_NFI[[#This Row],[Winter Items Other]]+Table_NFI[[#This Row],[Winter Blanket]]&gt;0,1,0)</f>
        <v>1</v>
      </c>
      <c r="AN256" s="439">
        <f>IF(NFI_Expiration=1,IF($A256&lt;VLOOKUP(V$5,NFI,5,0),1,0)*Table_NFI[[#This Row],[Jerry Can]],Table_NFI[Jerry Can])</f>
        <v>0</v>
      </c>
      <c r="AO256" s="787" t="str">
        <f>IFERROR(VLOOKUP(Table_NFI[[#This Row],[Camp Name]],CL,2,0),"")</f>
        <v>MMR001CMP008</v>
      </c>
      <c r="AP256" s="788">
        <f ca="1">IF(Table_NFI[[#This Row],[Pcode]]="","",IF(OFFSET(CampList[Opening Date],MATCH(Table_NFI[[#This Row],[Pcode]],CampList[CP_Pcode],0)-1,0,1,1)&gt;=NFI_Monitor_Date,1,0))</f>
        <v>0</v>
      </c>
      <c r="AQ256" s="787" t="str">
        <f>IFERROR(VLOOKUP(Table_NFI[[#This Row],[Camp Name]],CL,3,0),"")</f>
        <v>Open</v>
      </c>
      <c r="AR256" s="448" t="str">
        <f ca="1">IF(Table_NFI[[#This Row],[Pcode]]="","",OFFSET(CampList[Priority],MATCH(Table_NFI[[#This Row],[Pcode]],CampList[CP_Pcode],0)-1,0,1,1))</f>
        <v>P4</v>
      </c>
      <c r="AS256" s="449">
        <f>IFERROR(Table_NFI[[#This Row],[Kitchen Set]]/VLOOKUP(Table_NFI[[#This Row],[Camp Name]],CL,4,0),"")</f>
        <v>0</v>
      </c>
      <c r="AT256" s="789"/>
      <c r="AU256" s="773"/>
    </row>
    <row r="257" spans="1:47" s="774" customFormat="1" x14ac:dyDescent="0.25">
      <c r="A257" s="451">
        <f t="shared" si="3"/>
        <v>20</v>
      </c>
      <c r="B257" s="768">
        <v>41770</v>
      </c>
      <c r="C257" s="769" t="s">
        <v>454</v>
      </c>
      <c r="D257" s="769"/>
      <c r="E257" s="769" t="s">
        <v>555</v>
      </c>
      <c r="F257" s="769" t="s">
        <v>230</v>
      </c>
      <c r="G257" s="769" t="s">
        <v>1060</v>
      </c>
      <c r="H257" s="436"/>
      <c r="I257" s="436"/>
      <c r="J257" s="436"/>
      <c r="K257" s="436">
        <v>138</v>
      </c>
      <c r="L257" s="437">
        <v>19</v>
      </c>
      <c r="M257" s="437">
        <v>238</v>
      </c>
      <c r="N257" s="437">
        <v>19</v>
      </c>
      <c r="O257" s="437">
        <v>0</v>
      </c>
      <c r="P257" s="437">
        <v>19</v>
      </c>
      <c r="Q257" s="437">
        <v>95</v>
      </c>
      <c r="R257" s="436"/>
      <c r="S257" s="436"/>
      <c r="T257" s="436"/>
      <c r="U257" s="436"/>
      <c r="V257" s="436"/>
      <c r="W257" s="436"/>
      <c r="X257" s="436"/>
      <c r="Y257" s="450">
        <f>IF(NFI_Expiration=1,IF($A257&lt;VLOOKUP(H$5,NFI,5,0),1,0)*Table_NFI[[#This Row],[Hygiene Kit]],Table_NFI[Hygiene Kit])</f>
        <v>0</v>
      </c>
      <c r="Z257" s="450">
        <f>IF(NFI_Expiration=1,IF($A257&lt;VLOOKUP(I$5,NFI,5,0),1,0)*Table_NFI[[#This Row],[NFI Core Kit]],Table_NFI[NFI Core Kit])</f>
        <v>0</v>
      </c>
      <c r="AA257" s="450">
        <f>IF(NFI_Expiration=1,IF($A257&lt;VLOOKUP(J$5,NFI,5,0),1,0)*Table_NFI[[#This Row],[Sanitary Kit]],Table_NFI[Sanitary Kit])</f>
        <v>0</v>
      </c>
      <c r="AB257" s="450">
        <f>IF(NFI_Expiration=1,IF($A257&lt;VLOOKUP(K$5,NFI,5,0),1,0)*Table_NFI[[#This Row],[Mosquito net]],Table_NFI[Mosquito net])</f>
        <v>0</v>
      </c>
      <c r="AC257" s="450">
        <f>IF(NFI_Expiration=1,IF($A257&lt;VLOOKUP(L$5,NFI,5,0),1,0)*Table_NFI[[#This Row],[Tarpaulin]],Table_NFI[[#This Row],[Tarpaulin]])</f>
        <v>0</v>
      </c>
      <c r="AD257" s="450">
        <f>IF(NFI_Expiration=1,IF($A257&lt;VLOOKUP(M$5,NFI,5,0),1,0)*Table_NFI[[#This Row],[Blanket]],Table_NFI[[#This Row],[Blanket]])</f>
        <v>0</v>
      </c>
      <c r="AE257" s="450">
        <f>IF(NFI_Expiration=1,IF($A257&lt;VLOOKUP(N$5,NFI,5,0),1,0)*Table_NFI[[#This Row],[Kitchen Set]],Table_NFI[Kitchen Set])</f>
        <v>0</v>
      </c>
      <c r="AF257" s="450">
        <f>IF(NFI_Expiration=1,IF($A257&lt;VLOOKUP(O$5,NFI,5,0),1,0)*Table_NFI[[#This Row],[Clothes Kit]],Table_NFI[Clothes Kit])</f>
        <v>0</v>
      </c>
      <c r="AG257" s="450">
        <f>IF(NFI_Expiration=1,IF($A257&lt;VLOOKUP(P$5,NFI,5,0),1,0)*Table_NFI[[#This Row],[Plastic Bucket]],Table_NFI[Plastic Bucket])</f>
        <v>0</v>
      </c>
      <c r="AH257" s="450">
        <f>IF(NFI_Expiration=1,IF($A257&lt;VLOOKUP(Q$5,NFI,5,0),1,0)*Table_NFI[[#This Row],[Plastic Mat]],Table_NFI[Plastic Mat])*IF(Table_NFI[[#This Row],[Distribution Date]]&gt;"2014-04-01",1,2.5)</f>
        <v>0</v>
      </c>
      <c r="AI257" s="450">
        <f>IF(NFI_Expiration=1,IF($A257&lt;VLOOKUP(R$5,NFI,5,0),1,0)*Table_NFI[[#This Row],[Winter Clothes Adult]],Table_NFI[Winter Clothes Adult])</f>
        <v>0</v>
      </c>
      <c r="AJ257" s="450">
        <f>IF(NFI_Expiration=1,IF($A257&lt;VLOOKUP(S$5,NFI,5,0),1,0)*Table_NFI[[#This Row],[Winter Clothes Children]],Table_NFI[Winter Clothes Children])</f>
        <v>0</v>
      </c>
      <c r="AK257" s="450">
        <f>IF(NFI_Expiration=1,IF($A257&lt;VLOOKUP(T$5,NFI,5,0),1,0)*Table_NFI[[#This Row],[Winter Items Other]],Table_NFI[Winter Items Other])</f>
        <v>0</v>
      </c>
      <c r="AL257" s="450">
        <f>IF(NFI_Expiration=1,IF($A257&lt;VLOOKUP(M$5,NFI,5,0),1,0)*Table_NFI[[#This Row],[Winter Blanket]],Table_NFI[[#This Row],[Winter Blanket]])</f>
        <v>0</v>
      </c>
      <c r="AM257" s="450">
        <f>IF(Table_NFI[[#This Row],[Winter Clothes Adult]]+Table_NFI[[#This Row],[Winter Clothes Children]]+Table_NFI[[#This Row],[Winter Items Other]]+Table_NFI[[#This Row],[Winter Blanket]]&gt;0,1,0)</f>
        <v>0</v>
      </c>
      <c r="AN257" s="439">
        <f>IF(NFI_Expiration=1,IF($A257&lt;VLOOKUP(V$5,NFI,5,0),1,0)*Table_NFI[[#This Row],[Jerry Can]],Table_NFI[Jerry Can])</f>
        <v>0</v>
      </c>
      <c r="AO257" s="790" t="str">
        <f>IFERROR(VLOOKUP(Table_NFI[[#This Row],[Camp Name]],CL,2,0),"")</f>
        <v>MMR015CMP213</v>
      </c>
      <c r="AP257" s="772">
        <f ca="1">IF(Table_NFI[[#This Row],[Pcode]]="","",IF(OFFSET(CampList[Opening Date],MATCH(Table_NFI[[#This Row],[Pcode]],CampList[CP_Pcode],0)-1,0,1,1)&gt;=NFI_Monitor_Date,1,0))</f>
        <v>1</v>
      </c>
      <c r="AQ257" s="781" t="str">
        <f>IFERROR(VLOOKUP(Table_NFI[[#This Row],[Camp Name]],CL,3,0),"")</f>
        <v>Open</v>
      </c>
      <c r="AR257" s="439" t="str">
        <f ca="1">IF(Table_NFI[[#This Row],[Pcode]]="","",OFFSET(CampList[Priority],MATCH(Table_NFI[[#This Row],[Pcode]],CampList[CP_Pcode],0)-1,0,1,1))</f>
        <v>P4</v>
      </c>
      <c r="AS257" s="438">
        <f>IFERROR(Table_NFI[[#This Row],[Kitchen Set]]/VLOOKUP(Table_NFI[[#This Row],[Camp Name]],CL,4,0),"")</f>
        <v>0.34545454545454546</v>
      </c>
      <c r="AT257" s="792"/>
      <c r="AU257" s="773" t="s">
        <v>1246</v>
      </c>
    </row>
    <row r="258" spans="1:47" s="774" customFormat="1" x14ac:dyDescent="0.25">
      <c r="A258" s="451">
        <f t="shared" si="3"/>
        <v>20</v>
      </c>
      <c r="B258" s="768">
        <v>41770</v>
      </c>
      <c r="C258" s="769" t="s">
        <v>454</v>
      </c>
      <c r="D258" s="769"/>
      <c r="E258" s="769" t="s">
        <v>555</v>
      </c>
      <c r="F258" s="769" t="s">
        <v>230</v>
      </c>
      <c r="G258" s="769" t="s">
        <v>1060</v>
      </c>
      <c r="H258" s="436"/>
      <c r="I258" s="436"/>
      <c r="J258" s="436"/>
      <c r="K258" s="436">
        <v>162</v>
      </c>
      <c r="L258" s="437">
        <v>81</v>
      </c>
      <c r="M258" s="437">
        <v>162</v>
      </c>
      <c r="N258" s="437">
        <v>81</v>
      </c>
      <c r="O258" s="437"/>
      <c r="P258" s="439">
        <v>81</v>
      </c>
      <c r="Q258" s="439">
        <v>405</v>
      </c>
      <c r="R258" s="436"/>
      <c r="S258" s="436"/>
      <c r="T258" s="436"/>
      <c r="U258" s="436"/>
      <c r="V258" s="436"/>
      <c r="W258" s="436"/>
      <c r="X258" s="436"/>
      <c r="Y258" s="450">
        <f>IF(NFI_Expiration=1,IF($A258&lt;VLOOKUP(H$5,NFI,5,0),1,0)*Table_NFI[[#This Row],[Hygiene Kit]],Table_NFI[Hygiene Kit])</f>
        <v>0</v>
      </c>
      <c r="Z258" s="450">
        <f>IF(NFI_Expiration=1,IF($A258&lt;VLOOKUP(I$5,NFI,5,0),1,0)*Table_NFI[[#This Row],[NFI Core Kit]],Table_NFI[NFI Core Kit])</f>
        <v>0</v>
      </c>
      <c r="AA258" s="450">
        <f>IF(NFI_Expiration=1,IF($A258&lt;VLOOKUP(J$5,NFI,5,0),1,0)*Table_NFI[[#This Row],[Sanitary Kit]],Table_NFI[Sanitary Kit])</f>
        <v>0</v>
      </c>
      <c r="AB258" s="450">
        <f>IF(NFI_Expiration=1,IF($A258&lt;VLOOKUP(K$5,NFI,5,0),1,0)*Table_NFI[[#This Row],[Mosquito net]],Table_NFI[Mosquito net])</f>
        <v>0</v>
      </c>
      <c r="AC258" s="450">
        <f>IF(NFI_Expiration=1,IF($A258&lt;VLOOKUP(L$5,NFI,5,0),1,0)*Table_NFI[[#This Row],[Tarpaulin]],Table_NFI[[#This Row],[Tarpaulin]])</f>
        <v>0</v>
      </c>
      <c r="AD258" s="450">
        <f>IF(NFI_Expiration=1,IF($A258&lt;VLOOKUP(M$5,NFI,5,0),1,0)*Table_NFI[[#This Row],[Blanket]],Table_NFI[[#This Row],[Blanket]])</f>
        <v>0</v>
      </c>
      <c r="AE258" s="450">
        <f>IF(NFI_Expiration=1,IF($A258&lt;VLOOKUP(N$5,NFI,5,0),1,0)*Table_NFI[[#This Row],[Kitchen Set]],Table_NFI[Kitchen Set])</f>
        <v>0</v>
      </c>
      <c r="AF258" s="450">
        <f>IF(NFI_Expiration=1,IF($A258&lt;VLOOKUP(O$5,NFI,5,0),1,0)*Table_NFI[[#This Row],[Clothes Kit]],Table_NFI[Clothes Kit])</f>
        <v>0</v>
      </c>
      <c r="AG258" s="450">
        <f>IF(NFI_Expiration=1,IF($A258&lt;VLOOKUP(P$5,NFI,5,0),1,0)*Table_NFI[[#This Row],[Plastic Bucket]],Table_NFI[Plastic Bucket])</f>
        <v>0</v>
      </c>
      <c r="AH258" s="450">
        <f>IF(NFI_Expiration=1,IF($A258&lt;VLOOKUP(Q$5,NFI,5,0),1,0)*Table_NFI[[#This Row],[Plastic Mat]],Table_NFI[Plastic Mat])*IF(Table_NFI[[#This Row],[Distribution Date]]&gt;"2014-04-01",1,2.5)</f>
        <v>0</v>
      </c>
      <c r="AI258" s="450">
        <f>IF(NFI_Expiration=1,IF($A258&lt;VLOOKUP(R$5,NFI,5,0),1,0)*Table_NFI[[#This Row],[Winter Clothes Adult]],Table_NFI[Winter Clothes Adult])</f>
        <v>0</v>
      </c>
      <c r="AJ258" s="450">
        <f>IF(NFI_Expiration=1,IF($A258&lt;VLOOKUP(S$5,NFI,5,0),1,0)*Table_NFI[[#This Row],[Winter Clothes Children]],Table_NFI[Winter Clothes Children])</f>
        <v>0</v>
      </c>
      <c r="AK258" s="450">
        <f>IF(NFI_Expiration=1,IF($A258&lt;VLOOKUP(T$5,NFI,5,0),1,0)*Table_NFI[[#This Row],[Winter Items Other]],Table_NFI[Winter Items Other])</f>
        <v>0</v>
      </c>
      <c r="AL258" s="450">
        <f>IF(NFI_Expiration=1,IF($A258&lt;VLOOKUP(M$5,NFI,5,0),1,0)*Table_NFI[[#This Row],[Winter Blanket]],Table_NFI[[#This Row],[Winter Blanket]])</f>
        <v>0</v>
      </c>
      <c r="AM258" s="450">
        <f>IF(Table_NFI[[#This Row],[Winter Clothes Adult]]+Table_NFI[[#This Row],[Winter Clothes Children]]+Table_NFI[[#This Row],[Winter Items Other]]+Table_NFI[[#This Row],[Winter Blanket]]&gt;0,1,0)</f>
        <v>0</v>
      </c>
      <c r="AN258" s="439">
        <f>IF(NFI_Expiration=1,IF($A258&lt;VLOOKUP(V$5,NFI,5,0),1,0)*Table_NFI[[#This Row],[Jerry Can]],Table_NFI[Jerry Can])</f>
        <v>0</v>
      </c>
      <c r="AO258" s="790" t="str">
        <f>IFERROR(VLOOKUP(Table_NFI[[#This Row],[Camp Name]],CL,2,0),"")</f>
        <v>MMR015CMP213</v>
      </c>
      <c r="AP258" s="772">
        <f ca="1">IF(Table_NFI[[#This Row],[Pcode]]="","",IF(OFFSET(CampList[Opening Date],MATCH(Table_NFI[[#This Row],[Pcode]],CampList[CP_Pcode],0)-1,0,1,1)&gt;=NFI_Monitor_Date,1,0))</f>
        <v>1</v>
      </c>
      <c r="AQ258" s="781" t="str">
        <f>IFERROR(VLOOKUP(Table_NFI[[#This Row],[Camp Name]],CL,3,0),"")</f>
        <v>Open</v>
      </c>
      <c r="AR258" s="439" t="str">
        <f ca="1">IF(Table_NFI[[#This Row],[Pcode]]="","",OFFSET(CampList[Priority],MATCH(Table_NFI[[#This Row],[Pcode]],CampList[CP_Pcode],0)-1,0,1,1))</f>
        <v>P4</v>
      </c>
      <c r="AS258" s="438">
        <f>IFERROR(Table_NFI[[#This Row],[Kitchen Set]]/VLOOKUP(Table_NFI[[#This Row],[Camp Name]],CL,4,0),"")</f>
        <v>1.4727272727272727</v>
      </c>
      <c r="AT258" s="792"/>
      <c r="AU258" s="773"/>
    </row>
    <row r="259" spans="1:47" s="774" customFormat="1" x14ac:dyDescent="0.25">
      <c r="A259" s="451">
        <f t="shared" si="3"/>
        <v>20.066666666666666</v>
      </c>
      <c r="B259" s="768">
        <v>41768</v>
      </c>
      <c r="C259" s="769" t="s">
        <v>1111</v>
      </c>
      <c r="D259" s="769" t="s">
        <v>907</v>
      </c>
      <c r="E259" s="769" t="s">
        <v>380</v>
      </c>
      <c r="F259" s="769" t="s">
        <v>237</v>
      </c>
      <c r="G259" s="769" t="s">
        <v>273</v>
      </c>
      <c r="H259" s="436"/>
      <c r="I259" s="436"/>
      <c r="J259" s="436"/>
      <c r="K259" s="436"/>
      <c r="L259" s="437"/>
      <c r="M259" s="437"/>
      <c r="N259" s="437"/>
      <c r="O259" s="437"/>
      <c r="P259" s="439"/>
      <c r="Q259" s="439"/>
      <c r="R259" s="436"/>
      <c r="S259" s="436"/>
      <c r="T259" s="436"/>
      <c r="U259" s="436">
        <v>58</v>
      </c>
      <c r="V259" s="436"/>
      <c r="W259" s="436"/>
      <c r="X259" s="436"/>
      <c r="Y259" s="448">
        <f>IF(NFI_Expiration=1,IF($A259&lt;VLOOKUP(H$5,NFI,5,0),1,0)*Table_NFI[[#This Row],[Hygiene Kit]],Table_NFI[Hygiene Kit])</f>
        <v>0</v>
      </c>
      <c r="Z259" s="448">
        <f>IF(NFI_Expiration=1,IF($A259&lt;VLOOKUP(I$5,NFI,5,0),1,0)*Table_NFI[[#This Row],[NFI Core Kit]],Table_NFI[NFI Core Kit])</f>
        <v>0</v>
      </c>
      <c r="AA259" s="448">
        <f>IF(NFI_Expiration=1,IF($A259&lt;VLOOKUP(J$5,NFI,5,0),1,0)*Table_NFI[[#This Row],[Sanitary Kit]],Table_NFI[Sanitary Kit])</f>
        <v>0</v>
      </c>
      <c r="AB259" s="448">
        <f>IF(NFI_Expiration=1,IF($A259&lt;VLOOKUP(K$5,NFI,5,0),1,0)*Table_NFI[[#This Row],[Mosquito net]],Table_NFI[Mosquito net])</f>
        <v>0</v>
      </c>
      <c r="AC259" s="448">
        <f>IF(NFI_Expiration=1,IF($A259&lt;VLOOKUP(L$5,NFI,5,0),1,0)*Table_NFI[[#This Row],[Tarpaulin]],Table_NFI[[#This Row],[Tarpaulin]])</f>
        <v>0</v>
      </c>
      <c r="AD259" s="448">
        <f>IF(NFI_Expiration=1,IF($A259&lt;VLOOKUP(M$5,NFI,5,0),1,0)*Table_NFI[[#This Row],[Blanket]],Table_NFI[[#This Row],[Blanket]])</f>
        <v>0</v>
      </c>
      <c r="AE259" s="448">
        <f>IF(NFI_Expiration=1,IF($A259&lt;VLOOKUP(N$5,NFI,5,0),1,0)*Table_NFI[[#This Row],[Kitchen Set]],Table_NFI[Kitchen Set])</f>
        <v>0</v>
      </c>
      <c r="AF259" s="448">
        <f>IF(NFI_Expiration=1,IF($A259&lt;VLOOKUP(O$5,NFI,5,0),1,0)*Table_NFI[[#This Row],[Clothes Kit]],Table_NFI[Clothes Kit])</f>
        <v>0</v>
      </c>
      <c r="AG259" s="448">
        <f>IF(NFI_Expiration=1,IF($A259&lt;VLOOKUP(P$5,NFI,5,0),1,0)*Table_NFI[[#This Row],[Plastic Bucket]],Table_NFI[Plastic Bucket])</f>
        <v>0</v>
      </c>
      <c r="AH259" s="448">
        <f>IF(NFI_Expiration=1,IF($A259&lt;VLOOKUP(Q$5,NFI,5,0),1,0)*Table_NFI[[#This Row],[Plastic Mat]],Table_NFI[Plastic Mat])*IF(Table_NFI[[#This Row],[Distribution Date]]&gt;"2014-04-01",1,2.5)</f>
        <v>0</v>
      </c>
      <c r="AI259" s="448">
        <f>IF(NFI_Expiration=1,IF($A259&lt;VLOOKUP(R$5,NFI,5,0),1,0)*Table_NFI[[#This Row],[Winter Clothes Adult]],Table_NFI[Winter Clothes Adult])</f>
        <v>0</v>
      </c>
      <c r="AJ259" s="448">
        <f>IF(NFI_Expiration=1,IF($A259&lt;VLOOKUP(S$5,NFI,5,0),1,0)*Table_NFI[[#This Row],[Winter Clothes Children]],Table_NFI[Winter Clothes Children])</f>
        <v>0</v>
      </c>
      <c r="AK259" s="448">
        <f>IF(NFI_Expiration=1,IF($A259&lt;VLOOKUP(T$5,NFI,5,0),1,0)*Table_NFI[[#This Row],[Winter Items Other]],Table_NFI[Winter Items Other])</f>
        <v>0</v>
      </c>
      <c r="AL259" s="448">
        <f>IF(NFI_Expiration=1,IF($A259&lt;VLOOKUP(M$5,NFI,5,0),1,0)*Table_NFI[[#This Row],[Winter Blanket]],Table_NFI[[#This Row],[Winter Blanket]])</f>
        <v>0</v>
      </c>
      <c r="AM259" s="448">
        <f>IF(Table_NFI[[#This Row],[Winter Clothes Adult]]+Table_NFI[[#This Row],[Winter Clothes Children]]+Table_NFI[[#This Row],[Winter Items Other]]+Table_NFI[[#This Row],[Winter Blanket]]&gt;0,1,0)</f>
        <v>1</v>
      </c>
      <c r="AN259" s="439">
        <f>IF(NFI_Expiration=1,IF($A259&lt;VLOOKUP(V$5,NFI,5,0),1,0)*Table_NFI[[#This Row],[Jerry Can]],Table_NFI[Jerry Can])</f>
        <v>0</v>
      </c>
      <c r="AO259" s="787" t="str">
        <f>IFERROR(VLOOKUP(Table_NFI[[#This Row],[Camp Name]],CL,2,0),"")</f>
        <v>MMR001CMP162</v>
      </c>
      <c r="AP259" s="788">
        <f ca="1">IF(Table_NFI[[#This Row],[Pcode]]="","",IF(OFFSET(CampList[Opening Date],MATCH(Table_NFI[[#This Row],[Pcode]],CampList[CP_Pcode],0)-1,0,1,1)&gt;=NFI_Monitor_Date,1,0))</f>
        <v>0</v>
      </c>
      <c r="AQ259" s="787" t="str">
        <f>IFERROR(VLOOKUP(Table_NFI[[#This Row],[Camp Name]],CL,3,0),"")</f>
        <v>Open</v>
      </c>
      <c r="AR259" s="448" t="str">
        <f ca="1">IF(Table_NFI[[#This Row],[Pcode]]="","",OFFSET(CampList[Priority],MATCH(Table_NFI[[#This Row],[Pcode]],CampList[CP_Pcode],0)-1,0,1,1))</f>
        <v>P4</v>
      </c>
      <c r="AS259" s="449">
        <f>IFERROR(Table_NFI[[#This Row],[Kitchen Set]]/VLOOKUP(Table_NFI[[#This Row],[Camp Name]],CL,4,0),"")</f>
        <v>0</v>
      </c>
      <c r="AT259" s="789"/>
      <c r="AU259" s="773"/>
    </row>
    <row r="260" spans="1:47" s="774" customFormat="1" x14ac:dyDescent="0.25">
      <c r="A260" s="451">
        <f t="shared" si="3"/>
        <v>20.066666666666666</v>
      </c>
      <c r="B260" s="768">
        <v>41768</v>
      </c>
      <c r="C260" s="769" t="s">
        <v>1111</v>
      </c>
      <c r="D260" s="769" t="s">
        <v>907</v>
      </c>
      <c r="E260" s="769" t="s">
        <v>380</v>
      </c>
      <c r="F260" s="769" t="s">
        <v>237</v>
      </c>
      <c r="G260" s="769" t="s">
        <v>277</v>
      </c>
      <c r="H260" s="436"/>
      <c r="I260" s="436"/>
      <c r="J260" s="436"/>
      <c r="K260" s="436"/>
      <c r="L260" s="437"/>
      <c r="M260" s="437"/>
      <c r="N260" s="437"/>
      <c r="O260" s="437"/>
      <c r="P260" s="439"/>
      <c r="Q260" s="439"/>
      <c r="R260" s="436"/>
      <c r="S260" s="436"/>
      <c r="T260" s="436"/>
      <c r="U260" s="436">
        <v>208</v>
      </c>
      <c r="V260" s="436"/>
      <c r="W260" s="436"/>
      <c r="X260" s="436"/>
      <c r="Y260" s="448">
        <f>IF(NFI_Expiration=1,IF($A260&lt;VLOOKUP(H$5,NFI,5,0),1,0)*Table_NFI[[#This Row],[Hygiene Kit]],Table_NFI[Hygiene Kit])</f>
        <v>0</v>
      </c>
      <c r="Z260" s="448">
        <f>IF(NFI_Expiration=1,IF($A260&lt;VLOOKUP(I$5,NFI,5,0),1,0)*Table_NFI[[#This Row],[NFI Core Kit]],Table_NFI[NFI Core Kit])</f>
        <v>0</v>
      </c>
      <c r="AA260" s="448">
        <f>IF(NFI_Expiration=1,IF($A260&lt;VLOOKUP(J$5,NFI,5,0),1,0)*Table_NFI[[#This Row],[Sanitary Kit]],Table_NFI[Sanitary Kit])</f>
        <v>0</v>
      </c>
      <c r="AB260" s="448">
        <f>IF(NFI_Expiration=1,IF($A260&lt;VLOOKUP(K$5,NFI,5,0),1,0)*Table_NFI[[#This Row],[Mosquito net]],Table_NFI[Mosquito net])</f>
        <v>0</v>
      </c>
      <c r="AC260" s="448">
        <f>IF(NFI_Expiration=1,IF($A260&lt;VLOOKUP(L$5,NFI,5,0),1,0)*Table_NFI[[#This Row],[Tarpaulin]],Table_NFI[[#This Row],[Tarpaulin]])</f>
        <v>0</v>
      </c>
      <c r="AD260" s="448">
        <f>IF(NFI_Expiration=1,IF($A260&lt;VLOOKUP(M$5,NFI,5,0),1,0)*Table_NFI[[#This Row],[Blanket]],Table_NFI[[#This Row],[Blanket]])</f>
        <v>0</v>
      </c>
      <c r="AE260" s="448">
        <f>IF(NFI_Expiration=1,IF($A260&lt;VLOOKUP(N$5,NFI,5,0),1,0)*Table_NFI[[#This Row],[Kitchen Set]],Table_NFI[Kitchen Set])</f>
        <v>0</v>
      </c>
      <c r="AF260" s="448">
        <f>IF(NFI_Expiration=1,IF($A260&lt;VLOOKUP(O$5,NFI,5,0),1,0)*Table_NFI[[#This Row],[Clothes Kit]],Table_NFI[Clothes Kit])</f>
        <v>0</v>
      </c>
      <c r="AG260" s="448">
        <f>IF(NFI_Expiration=1,IF($A260&lt;VLOOKUP(P$5,NFI,5,0),1,0)*Table_NFI[[#This Row],[Plastic Bucket]],Table_NFI[Plastic Bucket])</f>
        <v>0</v>
      </c>
      <c r="AH260" s="448">
        <f>IF(NFI_Expiration=1,IF($A260&lt;VLOOKUP(Q$5,NFI,5,0),1,0)*Table_NFI[[#This Row],[Plastic Mat]],Table_NFI[Plastic Mat])*IF(Table_NFI[[#This Row],[Distribution Date]]&gt;"2014-04-01",1,2.5)</f>
        <v>0</v>
      </c>
      <c r="AI260" s="448">
        <f>IF(NFI_Expiration=1,IF($A260&lt;VLOOKUP(R$5,NFI,5,0),1,0)*Table_NFI[[#This Row],[Winter Clothes Adult]],Table_NFI[Winter Clothes Adult])</f>
        <v>0</v>
      </c>
      <c r="AJ260" s="448">
        <f>IF(NFI_Expiration=1,IF($A260&lt;VLOOKUP(S$5,NFI,5,0),1,0)*Table_NFI[[#This Row],[Winter Clothes Children]],Table_NFI[Winter Clothes Children])</f>
        <v>0</v>
      </c>
      <c r="AK260" s="448">
        <f>IF(NFI_Expiration=1,IF($A260&lt;VLOOKUP(T$5,NFI,5,0),1,0)*Table_NFI[[#This Row],[Winter Items Other]],Table_NFI[Winter Items Other])</f>
        <v>0</v>
      </c>
      <c r="AL260" s="448">
        <f>IF(NFI_Expiration=1,IF($A260&lt;VLOOKUP(M$5,NFI,5,0),1,0)*Table_NFI[[#This Row],[Winter Blanket]],Table_NFI[[#This Row],[Winter Blanket]])</f>
        <v>0</v>
      </c>
      <c r="AM260" s="448">
        <f>IF(Table_NFI[[#This Row],[Winter Clothes Adult]]+Table_NFI[[#This Row],[Winter Clothes Children]]+Table_NFI[[#This Row],[Winter Items Other]]+Table_NFI[[#This Row],[Winter Blanket]]&gt;0,1,0)</f>
        <v>1</v>
      </c>
      <c r="AN260" s="439">
        <f>IF(NFI_Expiration=1,IF($A260&lt;VLOOKUP(V$5,NFI,5,0),1,0)*Table_NFI[[#This Row],[Jerry Can]],Table_NFI[Jerry Can])</f>
        <v>0</v>
      </c>
      <c r="AO260" s="787" t="str">
        <f>IFERROR(VLOOKUP(Table_NFI[[#This Row],[Camp Name]],CL,2,0),"")</f>
        <v>MMR001CMP006</v>
      </c>
      <c r="AP260" s="788">
        <f ca="1">IF(Table_NFI[[#This Row],[Pcode]]="","",IF(OFFSET(CampList[Opening Date],MATCH(Table_NFI[[#This Row],[Pcode]],CampList[CP_Pcode],0)-1,0,1,1)&gt;=NFI_Monitor_Date,1,0))</f>
        <v>0</v>
      </c>
      <c r="AQ260" s="787" t="str">
        <f>IFERROR(VLOOKUP(Table_NFI[[#This Row],[Camp Name]],CL,3,0),"")</f>
        <v>Open</v>
      </c>
      <c r="AR260" s="448" t="str">
        <f ca="1">IF(Table_NFI[[#This Row],[Pcode]]="","",OFFSET(CampList[Priority],MATCH(Table_NFI[[#This Row],[Pcode]],CampList[CP_Pcode],0)-1,0,1,1))</f>
        <v>P4</v>
      </c>
      <c r="AS260" s="449">
        <f>IFERROR(Table_NFI[[#This Row],[Kitchen Set]]/VLOOKUP(Table_NFI[[#This Row],[Camp Name]],CL,4,0),"")</f>
        <v>0</v>
      </c>
      <c r="AT260" s="789"/>
      <c r="AU260" s="773"/>
    </row>
    <row r="261" spans="1:47" s="774" customFormat="1" x14ac:dyDescent="0.25">
      <c r="A261" s="451">
        <f t="shared" si="3"/>
        <v>20.666666666666668</v>
      </c>
      <c r="B261" s="768">
        <v>41750</v>
      </c>
      <c r="C261" s="769" t="s">
        <v>454</v>
      </c>
      <c r="D261" s="769"/>
      <c r="E261" s="769" t="s">
        <v>555</v>
      </c>
      <c r="F261" s="769" t="s">
        <v>289</v>
      </c>
      <c r="G261" s="769" t="s">
        <v>1062</v>
      </c>
      <c r="H261" s="436"/>
      <c r="I261" s="436"/>
      <c r="J261" s="436"/>
      <c r="K261" s="436">
        <v>0</v>
      </c>
      <c r="L261" s="437">
        <v>1</v>
      </c>
      <c r="M261" s="437">
        <v>167</v>
      </c>
      <c r="N261" s="437">
        <v>1</v>
      </c>
      <c r="O261" s="437">
        <v>0</v>
      </c>
      <c r="P261" s="437">
        <v>1</v>
      </c>
      <c r="Q261" s="437">
        <v>0</v>
      </c>
      <c r="R261" s="436"/>
      <c r="S261" s="436"/>
      <c r="T261" s="436"/>
      <c r="U261" s="436"/>
      <c r="V261" s="436"/>
      <c r="W261" s="436"/>
      <c r="X261" s="436"/>
      <c r="Y261" s="450">
        <f>IF(NFI_Expiration=1,IF($A261&lt;VLOOKUP(H$5,NFI,5,0),1,0)*Table_NFI[[#This Row],[Hygiene Kit]],Table_NFI[Hygiene Kit])</f>
        <v>0</v>
      </c>
      <c r="Z261" s="450">
        <f>IF(NFI_Expiration=1,IF($A261&lt;VLOOKUP(I$5,NFI,5,0),1,0)*Table_NFI[[#This Row],[NFI Core Kit]],Table_NFI[NFI Core Kit])</f>
        <v>0</v>
      </c>
      <c r="AA261" s="450">
        <f>IF(NFI_Expiration=1,IF($A261&lt;VLOOKUP(J$5,NFI,5,0),1,0)*Table_NFI[[#This Row],[Sanitary Kit]],Table_NFI[Sanitary Kit])</f>
        <v>0</v>
      </c>
      <c r="AB261" s="450">
        <f>IF(NFI_Expiration=1,IF($A261&lt;VLOOKUP(K$5,NFI,5,0),1,0)*Table_NFI[[#This Row],[Mosquito net]],Table_NFI[Mosquito net])</f>
        <v>0</v>
      </c>
      <c r="AC261" s="450">
        <f>IF(NFI_Expiration=1,IF($A261&lt;VLOOKUP(L$5,NFI,5,0),1,0)*Table_NFI[[#This Row],[Tarpaulin]],Table_NFI[[#This Row],[Tarpaulin]])</f>
        <v>0</v>
      </c>
      <c r="AD261" s="450">
        <f>IF(NFI_Expiration=1,IF($A261&lt;VLOOKUP(M$5,NFI,5,0),1,0)*Table_NFI[[#This Row],[Blanket]],Table_NFI[[#This Row],[Blanket]])</f>
        <v>0</v>
      </c>
      <c r="AE261" s="450">
        <f>IF(NFI_Expiration=1,IF($A261&lt;VLOOKUP(N$5,NFI,5,0),1,0)*Table_NFI[[#This Row],[Kitchen Set]],Table_NFI[Kitchen Set])</f>
        <v>0</v>
      </c>
      <c r="AF261" s="450">
        <f>IF(NFI_Expiration=1,IF($A261&lt;VLOOKUP(O$5,NFI,5,0),1,0)*Table_NFI[[#This Row],[Clothes Kit]],Table_NFI[Clothes Kit])</f>
        <v>0</v>
      </c>
      <c r="AG261" s="450">
        <f>IF(NFI_Expiration=1,IF($A261&lt;VLOOKUP(P$5,NFI,5,0),1,0)*Table_NFI[[#This Row],[Plastic Bucket]],Table_NFI[Plastic Bucket])</f>
        <v>0</v>
      </c>
      <c r="AH261" s="450">
        <f>IF(NFI_Expiration=1,IF($A261&lt;VLOOKUP(Q$5,NFI,5,0),1,0)*Table_NFI[[#This Row],[Plastic Mat]],Table_NFI[Plastic Mat])*IF(Table_NFI[[#This Row],[Distribution Date]]&gt;"2014-04-01",1,2.5)</f>
        <v>0</v>
      </c>
      <c r="AI261" s="450">
        <f>IF(NFI_Expiration=1,IF($A261&lt;VLOOKUP(R$5,NFI,5,0),1,0)*Table_NFI[[#This Row],[Winter Clothes Adult]],Table_NFI[Winter Clothes Adult])</f>
        <v>0</v>
      </c>
      <c r="AJ261" s="450">
        <f>IF(NFI_Expiration=1,IF($A261&lt;VLOOKUP(S$5,NFI,5,0),1,0)*Table_NFI[[#This Row],[Winter Clothes Children]],Table_NFI[Winter Clothes Children])</f>
        <v>0</v>
      </c>
      <c r="AK261" s="450">
        <f>IF(NFI_Expiration=1,IF($A261&lt;VLOOKUP(T$5,NFI,5,0),1,0)*Table_NFI[[#This Row],[Winter Items Other]],Table_NFI[Winter Items Other])</f>
        <v>0</v>
      </c>
      <c r="AL261" s="450">
        <f>IF(NFI_Expiration=1,IF($A261&lt;VLOOKUP(M$5,NFI,5,0),1,0)*Table_NFI[[#This Row],[Winter Blanket]],Table_NFI[[#This Row],[Winter Blanket]])</f>
        <v>0</v>
      </c>
      <c r="AM261" s="450">
        <f>IF(Table_NFI[[#This Row],[Winter Clothes Adult]]+Table_NFI[[#This Row],[Winter Clothes Children]]+Table_NFI[[#This Row],[Winter Items Other]]+Table_NFI[[#This Row],[Winter Blanket]]&gt;0,1,0)</f>
        <v>0</v>
      </c>
      <c r="AN261" s="439">
        <f>IF(NFI_Expiration=1,IF($A261&lt;VLOOKUP(V$5,NFI,5,0),1,0)*Table_NFI[[#This Row],[Jerry Can]],Table_NFI[Jerry Can])</f>
        <v>0</v>
      </c>
      <c r="AO261" s="790" t="str">
        <f>IFERROR(VLOOKUP(Table_NFI[[#This Row],[Camp Name]],CL,2,0),"")</f>
        <v>MMR015CMP214</v>
      </c>
      <c r="AP261" s="772">
        <f ca="1">IF(Table_NFI[[#This Row],[Pcode]]="","",IF(OFFSET(CampList[Opening Date],MATCH(Table_NFI[[#This Row],[Pcode]],CampList[CP_Pcode],0)-1,0,1,1)&gt;=NFI_Monitor_Date,1,0))</f>
        <v>1</v>
      </c>
      <c r="AQ261" s="781" t="str">
        <f>IFERROR(VLOOKUP(Table_NFI[[#This Row],[Camp Name]],CL,3,0),"")</f>
        <v>Open</v>
      </c>
      <c r="AR261" s="439" t="str">
        <f ca="1">IF(Table_NFI[[#This Row],[Pcode]]="","",OFFSET(CampList[Priority],MATCH(Table_NFI[[#This Row],[Pcode]],CampList[CP_Pcode],0)-1,0,1,1))</f>
        <v>P4</v>
      </c>
      <c r="AS261" s="438">
        <f>IFERROR(Table_NFI[[#This Row],[Kitchen Set]]/VLOOKUP(Table_NFI[[#This Row],[Camp Name]],CL,4,0),"")</f>
        <v>2.4390243902439025E-2</v>
      </c>
      <c r="AT261" s="792"/>
      <c r="AU261" s="773" t="s">
        <v>1246</v>
      </c>
    </row>
    <row r="262" spans="1:47" s="774" customFormat="1" x14ac:dyDescent="0.25">
      <c r="A262" s="451">
        <f t="shared" ref="A262:A325" si="4">IF(ISBLANK(B262),"",(Report_Date-B262)/30)</f>
        <v>20.666666666666668</v>
      </c>
      <c r="B262" s="768">
        <v>41750</v>
      </c>
      <c r="C262" s="769" t="s">
        <v>454</v>
      </c>
      <c r="D262" s="769"/>
      <c r="E262" s="769" t="s">
        <v>555</v>
      </c>
      <c r="F262" s="769" t="s">
        <v>289</v>
      </c>
      <c r="G262" s="769" t="s">
        <v>1062</v>
      </c>
      <c r="H262" s="436"/>
      <c r="I262" s="436"/>
      <c r="J262" s="436"/>
      <c r="K262" s="436">
        <v>90</v>
      </c>
      <c r="L262" s="437">
        <v>49</v>
      </c>
      <c r="M262" s="437">
        <v>98</v>
      </c>
      <c r="N262" s="437">
        <v>49</v>
      </c>
      <c r="O262" s="437"/>
      <c r="P262" s="439">
        <v>49</v>
      </c>
      <c r="Q262" s="439">
        <v>225</v>
      </c>
      <c r="R262" s="436"/>
      <c r="S262" s="436"/>
      <c r="T262" s="436"/>
      <c r="U262" s="436"/>
      <c r="V262" s="436"/>
      <c r="W262" s="436"/>
      <c r="X262" s="436"/>
      <c r="Y262" s="450">
        <f>IF(NFI_Expiration=1,IF($A262&lt;VLOOKUP(H$5,NFI,5,0),1,0)*Table_NFI[[#This Row],[Hygiene Kit]],Table_NFI[Hygiene Kit])</f>
        <v>0</v>
      </c>
      <c r="Z262" s="450">
        <f>IF(NFI_Expiration=1,IF($A262&lt;VLOOKUP(I$5,NFI,5,0),1,0)*Table_NFI[[#This Row],[NFI Core Kit]],Table_NFI[NFI Core Kit])</f>
        <v>0</v>
      </c>
      <c r="AA262" s="450">
        <f>IF(NFI_Expiration=1,IF($A262&lt;VLOOKUP(J$5,NFI,5,0),1,0)*Table_NFI[[#This Row],[Sanitary Kit]],Table_NFI[Sanitary Kit])</f>
        <v>0</v>
      </c>
      <c r="AB262" s="450">
        <f>IF(NFI_Expiration=1,IF($A262&lt;VLOOKUP(K$5,NFI,5,0),1,0)*Table_NFI[[#This Row],[Mosquito net]],Table_NFI[Mosquito net])</f>
        <v>0</v>
      </c>
      <c r="AC262" s="450">
        <f>IF(NFI_Expiration=1,IF($A262&lt;VLOOKUP(L$5,NFI,5,0),1,0)*Table_NFI[[#This Row],[Tarpaulin]],Table_NFI[[#This Row],[Tarpaulin]])</f>
        <v>0</v>
      </c>
      <c r="AD262" s="450">
        <f>IF(NFI_Expiration=1,IF($A262&lt;VLOOKUP(M$5,NFI,5,0),1,0)*Table_NFI[[#This Row],[Blanket]],Table_NFI[[#This Row],[Blanket]])</f>
        <v>0</v>
      </c>
      <c r="AE262" s="450">
        <f>IF(NFI_Expiration=1,IF($A262&lt;VLOOKUP(N$5,NFI,5,0),1,0)*Table_NFI[[#This Row],[Kitchen Set]],Table_NFI[Kitchen Set])</f>
        <v>0</v>
      </c>
      <c r="AF262" s="450">
        <f>IF(NFI_Expiration=1,IF($A262&lt;VLOOKUP(O$5,NFI,5,0),1,0)*Table_NFI[[#This Row],[Clothes Kit]],Table_NFI[Clothes Kit])</f>
        <v>0</v>
      </c>
      <c r="AG262" s="450">
        <f>IF(NFI_Expiration=1,IF($A262&lt;VLOOKUP(P$5,NFI,5,0),1,0)*Table_NFI[[#This Row],[Plastic Bucket]],Table_NFI[Plastic Bucket])</f>
        <v>0</v>
      </c>
      <c r="AH262" s="450">
        <f>IF(NFI_Expiration=1,IF($A262&lt;VLOOKUP(Q$5,NFI,5,0),1,0)*Table_NFI[[#This Row],[Plastic Mat]],Table_NFI[Plastic Mat])*IF(Table_NFI[[#This Row],[Distribution Date]]&gt;"2014-04-01",1,2.5)</f>
        <v>0</v>
      </c>
      <c r="AI262" s="450">
        <f>IF(NFI_Expiration=1,IF($A262&lt;VLOOKUP(R$5,NFI,5,0),1,0)*Table_NFI[[#This Row],[Winter Clothes Adult]],Table_NFI[Winter Clothes Adult])</f>
        <v>0</v>
      </c>
      <c r="AJ262" s="450">
        <f>IF(NFI_Expiration=1,IF($A262&lt;VLOOKUP(S$5,NFI,5,0),1,0)*Table_NFI[[#This Row],[Winter Clothes Children]],Table_NFI[Winter Clothes Children])</f>
        <v>0</v>
      </c>
      <c r="AK262" s="450">
        <f>IF(NFI_Expiration=1,IF($A262&lt;VLOOKUP(T$5,NFI,5,0),1,0)*Table_NFI[[#This Row],[Winter Items Other]],Table_NFI[Winter Items Other])</f>
        <v>0</v>
      </c>
      <c r="AL262" s="450">
        <f>IF(NFI_Expiration=1,IF($A262&lt;VLOOKUP(M$5,NFI,5,0),1,0)*Table_NFI[[#This Row],[Winter Blanket]],Table_NFI[[#This Row],[Winter Blanket]])</f>
        <v>0</v>
      </c>
      <c r="AM262" s="450">
        <f>IF(Table_NFI[[#This Row],[Winter Clothes Adult]]+Table_NFI[[#This Row],[Winter Clothes Children]]+Table_NFI[[#This Row],[Winter Items Other]]+Table_NFI[[#This Row],[Winter Blanket]]&gt;0,1,0)</f>
        <v>0</v>
      </c>
      <c r="AN262" s="439">
        <f>IF(NFI_Expiration=1,IF($A262&lt;VLOOKUP(V$5,NFI,5,0),1,0)*Table_NFI[[#This Row],[Jerry Can]],Table_NFI[Jerry Can])</f>
        <v>0</v>
      </c>
      <c r="AO262" s="790" t="str">
        <f>IFERROR(VLOOKUP(Table_NFI[[#This Row],[Camp Name]],CL,2,0),"")</f>
        <v>MMR015CMP214</v>
      </c>
      <c r="AP262" s="772">
        <f ca="1">IF(Table_NFI[[#This Row],[Pcode]]="","",IF(OFFSET(CampList[Opening Date],MATCH(Table_NFI[[#This Row],[Pcode]],CampList[CP_Pcode],0)-1,0,1,1)&gt;=NFI_Monitor_Date,1,0))</f>
        <v>1</v>
      </c>
      <c r="AQ262" s="781" t="str">
        <f>IFERROR(VLOOKUP(Table_NFI[[#This Row],[Camp Name]],CL,3,0),"")</f>
        <v>Open</v>
      </c>
      <c r="AR262" s="439" t="str">
        <f ca="1">IF(Table_NFI[[#This Row],[Pcode]]="","",OFFSET(CampList[Priority],MATCH(Table_NFI[[#This Row],[Pcode]],CampList[CP_Pcode],0)-1,0,1,1))</f>
        <v>P4</v>
      </c>
      <c r="AS262" s="438">
        <f>IFERROR(Table_NFI[[#This Row],[Kitchen Set]]/VLOOKUP(Table_NFI[[#This Row],[Camp Name]],CL,4,0),"")</f>
        <v>1.1951219512195121</v>
      </c>
      <c r="AT262" s="792"/>
      <c r="AU262" s="773"/>
    </row>
    <row r="263" spans="1:47" s="774" customFormat="1" x14ac:dyDescent="0.25">
      <c r="A263" s="451">
        <f t="shared" si="4"/>
        <v>20.666666666666668</v>
      </c>
      <c r="B263" s="768">
        <v>41750</v>
      </c>
      <c r="C263" s="769" t="s">
        <v>454</v>
      </c>
      <c r="D263" s="769" t="s">
        <v>454</v>
      </c>
      <c r="E263" s="769" t="s">
        <v>380</v>
      </c>
      <c r="F263" s="769" t="s">
        <v>5</v>
      </c>
      <c r="G263" s="769" t="s">
        <v>6</v>
      </c>
      <c r="H263" s="436"/>
      <c r="I263" s="436"/>
      <c r="J263" s="436">
        <v>5</v>
      </c>
      <c r="K263" s="436">
        <v>6</v>
      </c>
      <c r="L263" s="437">
        <v>2</v>
      </c>
      <c r="M263" s="437">
        <v>6</v>
      </c>
      <c r="N263" s="437">
        <v>2</v>
      </c>
      <c r="O263" s="437">
        <v>2</v>
      </c>
      <c r="P263" s="439">
        <v>2</v>
      </c>
      <c r="Q263" s="439">
        <v>6</v>
      </c>
      <c r="R263" s="436"/>
      <c r="S263" s="436"/>
      <c r="T263" s="436"/>
      <c r="U263" s="436"/>
      <c r="V263" s="436"/>
      <c r="W263" s="436"/>
      <c r="X263" s="436"/>
      <c r="Y263" s="436">
        <f>IF(NFI_Expiration=1,IF($A263&lt;VLOOKUP(H$5,NFI,5,0),1,0)*Table_NFI[[#This Row],[Hygiene Kit]],Table_NFI[Hygiene Kit])</f>
        <v>0</v>
      </c>
      <c r="Z263" s="436">
        <f>IF(NFI_Expiration=1,IF($A263&lt;VLOOKUP(I$5,NFI,5,0),1,0)*Table_NFI[[#This Row],[NFI Core Kit]],Table_NFI[NFI Core Kit])</f>
        <v>0</v>
      </c>
      <c r="AA263" s="436">
        <f>IF(NFI_Expiration=1,IF($A263&lt;VLOOKUP(J$5,NFI,5,0),1,0)*Table_NFI[[#This Row],[Sanitary Kit]],Table_NFI[Sanitary Kit])</f>
        <v>0</v>
      </c>
      <c r="AB263" s="436">
        <f>IF(NFI_Expiration=1,IF($A263&lt;VLOOKUP(K$5,NFI,5,0),1,0)*Table_NFI[[#This Row],[Mosquito net]],Table_NFI[Mosquito net])</f>
        <v>0</v>
      </c>
      <c r="AC263" s="436">
        <f>IF(NFI_Expiration=1,IF($A263&lt;VLOOKUP(L$5,NFI,5,0),1,0)*Table_NFI[[#This Row],[Tarpaulin]],Table_NFI[[#This Row],[Tarpaulin]])</f>
        <v>0</v>
      </c>
      <c r="AD263" s="436">
        <f>IF(NFI_Expiration=1,IF($A263&lt;VLOOKUP(M$5,NFI,5,0),1,0)*Table_NFI[[#This Row],[Blanket]],Table_NFI[[#This Row],[Blanket]])</f>
        <v>0</v>
      </c>
      <c r="AE263" s="436">
        <f>IF(NFI_Expiration=1,IF($A263&lt;VLOOKUP(N$5,NFI,5,0),1,0)*Table_NFI[[#This Row],[Kitchen Set]],Table_NFI[Kitchen Set])</f>
        <v>0</v>
      </c>
      <c r="AF263" s="436">
        <f>IF(NFI_Expiration=1,IF($A263&lt;VLOOKUP(O$5,NFI,5,0),1,0)*Table_NFI[[#This Row],[Clothes Kit]],Table_NFI[Clothes Kit])</f>
        <v>0</v>
      </c>
      <c r="AG263" s="436">
        <f>IF(NFI_Expiration=1,IF($A263&lt;VLOOKUP(P$5,NFI,5,0),1,0)*Table_NFI[[#This Row],[Plastic Bucket]],Table_NFI[Plastic Bucket])</f>
        <v>0</v>
      </c>
      <c r="AH263" s="436">
        <f>IF(NFI_Expiration=1,IF($A263&lt;VLOOKUP(Q$5,NFI,5,0),1,0)*Table_NFI[[#This Row],[Plastic Mat]],Table_NFI[Plastic Mat])*IF(Table_NFI[[#This Row],[Distribution Date]]&gt;"2014-04-01",1,2.5)</f>
        <v>0</v>
      </c>
      <c r="AI263" s="436">
        <f>IF(NFI_Expiration=1,IF($A263&lt;VLOOKUP(R$5,NFI,5,0),1,0)*Table_NFI[[#This Row],[Winter Clothes Adult]],Table_NFI[Winter Clothes Adult])</f>
        <v>0</v>
      </c>
      <c r="AJ263" s="436">
        <f>IF(NFI_Expiration=1,IF($A263&lt;VLOOKUP(S$5,NFI,5,0),1,0)*Table_NFI[[#This Row],[Winter Clothes Children]],Table_NFI[Winter Clothes Children])</f>
        <v>0</v>
      </c>
      <c r="AK263" s="436">
        <f>IF(NFI_Expiration=1,IF($A263&lt;VLOOKUP(T$5,NFI,5,0),1,0)*Table_NFI[[#This Row],[Winter Items Other]],Table_NFI[Winter Items Other])</f>
        <v>0</v>
      </c>
      <c r="AL263" s="436">
        <f>IF(NFI_Expiration=1,IF($A263&lt;VLOOKUP(M$5,NFI,5,0),1,0)*Table_NFI[[#This Row],[Winter Blanket]],Table_NFI[[#This Row],[Winter Blanket]])</f>
        <v>0</v>
      </c>
      <c r="AM263" s="436">
        <f>IF(Table_NFI[[#This Row],[Winter Clothes Adult]]+Table_NFI[[#This Row],[Winter Clothes Children]]+Table_NFI[[#This Row],[Winter Items Other]]+Table_NFI[[#This Row],[Winter Blanket]]&gt;0,1,0)</f>
        <v>0</v>
      </c>
      <c r="AN263" s="439">
        <f>IF(NFI_Expiration=1,IF($A263&lt;VLOOKUP(V$5,NFI,5,0),1,0)*Table_NFI[[#This Row],[Jerry Can]],Table_NFI[Jerry Can])</f>
        <v>0</v>
      </c>
      <c r="AO263" s="771" t="str">
        <f>IFERROR(VLOOKUP(Table_NFI[[#This Row],[Camp Name]],CL,2,0),"")</f>
        <v>MMR001CMP050</v>
      </c>
      <c r="AP263" s="772">
        <f ca="1">IF(Table_NFI[[#This Row],[Pcode]]="","",IF(OFFSET(CampList[Opening Date],MATCH(Table_NFI[[#This Row],[Pcode]],CampList[CP_Pcode],0)-1,0,1,1)&gt;=NFI_Monitor_Date,1,0))</f>
        <v>0</v>
      </c>
      <c r="AQ263" s="781" t="str">
        <f>IFERROR(VLOOKUP(Table_NFI[[#This Row],[Camp Name]],CL,3,0),"")</f>
        <v>Open</v>
      </c>
      <c r="AR263" s="439" t="str">
        <f ca="1">IF(Table_NFI[[#This Row],[Pcode]]="","",OFFSET(CampList[Priority],MATCH(Table_NFI[[#This Row],[Pcode]],CampList[CP_Pcode],0)-1,0,1,1))</f>
        <v>P4</v>
      </c>
      <c r="AS263" s="438">
        <f>IFERROR(Table_NFI[[#This Row],[Kitchen Set]]/VLOOKUP(Table_NFI[[#This Row],[Camp Name]],CL,4,0),"")</f>
        <v>7.2992700729927005E-3</v>
      </c>
      <c r="AT263" s="769" t="s">
        <v>1099</v>
      </c>
      <c r="AU263" s="773"/>
    </row>
    <row r="264" spans="1:47" s="774" customFormat="1" x14ac:dyDescent="0.25">
      <c r="A264" s="451">
        <f t="shared" si="4"/>
        <v>20.666666666666668</v>
      </c>
      <c r="B264" s="768">
        <v>41750</v>
      </c>
      <c r="C264" s="769" t="s">
        <v>454</v>
      </c>
      <c r="D264" s="769"/>
      <c r="E264" s="769" t="s">
        <v>380</v>
      </c>
      <c r="F264" s="435" t="s">
        <v>151</v>
      </c>
      <c r="G264" s="769" t="s">
        <v>1041</v>
      </c>
      <c r="H264" s="436"/>
      <c r="I264" s="436"/>
      <c r="J264" s="436"/>
      <c r="K264" s="436">
        <v>800</v>
      </c>
      <c r="L264" s="437">
        <v>400</v>
      </c>
      <c r="M264" s="437"/>
      <c r="N264" s="437">
        <v>100</v>
      </c>
      <c r="O264" s="437"/>
      <c r="P264" s="439">
        <v>400</v>
      </c>
      <c r="Q264" s="439">
        <v>2000</v>
      </c>
      <c r="R264" s="436"/>
      <c r="S264" s="436"/>
      <c r="T264" s="436"/>
      <c r="U264" s="436"/>
      <c r="V264" s="436"/>
      <c r="W264" s="436"/>
      <c r="X264" s="436"/>
      <c r="Y264" s="450">
        <f>IF(NFI_Expiration=1,IF($A264&lt;VLOOKUP(H$5,NFI,5,0),1,0)*Table_NFI[[#This Row],[Hygiene Kit]],Table_NFI[Hygiene Kit])</f>
        <v>0</v>
      </c>
      <c r="Z264" s="450">
        <f>IF(NFI_Expiration=1,IF($A264&lt;VLOOKUP(I$5,NFI,5,0),1,0)*Table_NFI[[#This Row],[NFI Core Kit]],Table_NFI[NFI Core Kit])</f>
        <v>0</v>
      </c>
      <c r="AA264" s="450">
        <f>IF(NFI_Expiration=1,IF($A264&lt;VLOOKUP(J$5,NFI,5,0),1,0)*Table_NFI[[#This Row],[Sanitary Kit]],Table_NFI[Sanitary Kit])</f>
        <v>0</v>
      </c>
      <c r="AB264" s="450">
        <f>IF(NFI_Expiration=1,IF($A264&lt;VLOOKUP(K$5,NFI,5,0),1,0)*Table_NFI[[#This Row],[Mosquito net]],Table_NFI[Mosquito net])</f>
        <v>0</v>
      </c>
      <c r="AC264" s="450">
        <f>IF(NFI_Expiration=1,IF($A264&lt;VLOOKUP(L$5,NFI,5,0),1,0)*Table_NFI[[#This Row],[Tarpaulin]],Table_NFI[[#This Row],[Tarpaulin]])</f>
        <v>0</v>
      </c>
      <c r="AD264" s="450">
        <f>IF(NFI_Expiration=1,IF($A264&lt;VLOOKUP(M$5,NFI,5,0),1,0)*Table_NFI[[#This Row],[Blanket]],Table_NFI[[#This Row],[Blanket]])</f>
        <v>0</v>
      </c>
      <c r="AE264" s="450">
        <f>IF(NFI_Expiration=1,IF($A264&lt;VLOOKUP(N$5,NFI,5,0),1,0)*Table_NFI[[#This Row],[Kitchen Set]],Table_NFI[Kitchen Set])</f>
        <v>0</v>
      </c>
      <c r="AF264" s="450">
        <f>IF(NFI_Expiration=1,IF($A264&lt;VLOOKUP(O$5,NFI,5,0),1,0)*Table_NFI[[#This Row],[Clothes Kit]],Table_NFI[Clothes Kit])</f>
        <v>0</v>
      </c>
      <c r="AG264" s="450">
        <f>IF(NFI_Expiration=1,IF($A264&lt;VLOOKUP(P$5,NFI,5,0),1,0)*Table_NFI[[#This Row],[Plastic Bucket]],Table_NFI[Plastic Bucket])</f>
        <v>0</v>
      </c>
      <c r="AH264" s="450">
        <f>IF(NFI_Expiration=1,IF($A264&lt;VLOOKUP(Q$5,NFI,5,0),1,0)*Table_NFI[[#This Row],[Plastic Mat]],Table_NFI[Plastic Mat])*IF(Table_NFI[[#This Row],[Distribution Date]]&gt;"2014-04-01",1,2.5)</f>
        <v>0</v>
      </c>
      <c r="AI264" s="450">
        <f>IF(NFI_Expiration=1,IF($A264&lt;VLOOKUP(R$5,NFI,5,0),1,0)*Table_NFI[[#This Row],[Winter Clothes Adult]],Table_NFI[Winter Clothes Adult])</f>
        <v>0</v>
      </c>
      <c r="AJ264" s="450">
        <f>IF(NFI_Expiration=1,IF($A264&lt;VLOOKUP(S$5,NFI,5,0),1,0)*Table_NFI[[#This Row],[Winter Clothes Children]],Table_NFI[Winter Clothes Children])</f>
        <v>0</v>
      </c>
      <c r="AK264" s="450">
        <f>IF(NFI_Expiration=1,IF($A264&lt;VLOOKUP(T$5,NFI,5,0),1,0)*Table_NFI[[#This Row],[Winter Items Other]],Table_NFI[Winter Items Other])</f>
        <v>0</v>
      </c>
      <c r="AL264" s="450">
        <f>IF(NFI_Expiration=1,IF($A264&lt;VLOOKUP(M$5,NFI,5,0),1,0)*Table_NFI[[#This Row],[Winter Blanket]],Table_NFI[[#This Row],[Winter Blanket]])</f>
        <v>0</v>
      </c>
      <c r="AM264" s="450">
        <f>IF(Table_NFI[[#This Row],[Winter Clothes Adult]]+Table_NFI[[#This Row],[Winter Clothes Children]]+Table_NFI[[#This Row],[Winter Items Other]]+Table_NFI[[#This Row],[Winter Blanket]]&gt;0,1,0)</f>
        <v>0</v>
      </c>
      <c r="AN264" s="439">
        <f>IF(NFI_Expiration=1,IF($A264&lt;VLOOKUP(V$5,NFI,5,0),1,0)*Table_NFI[[#This Row],[Jerry Can]],Table_NFI[Jerry Can])</f>
        <v>0</v>
      </c>
      <c r="AO264" s="790" t="str">
        <f>IFERROR(VLOOKUP(Table_NFI[[#This Row],[Camp Name]],CL,2,0),"")</f>
        <v>MMR001CMP226</v>
      </c>
      <c r="AP264" s="791">
        <f ca="1">IF(Table_NFI[[#This Row],[Pcode]]="","",IF(OFFSET(CampList[Opening Date],MATCH(Table_NFI[[#This Row],[Pcode]],CampList[CP_Pcode],0)-1,0,1,1)&gt;=NFI_Monitor_Date,1,0))</f>
        <v>0</v>
      </c>
      <c r="AQ264" s="781" t="str">
        <f>IFERROR(VLOOKUP(Table_NFI[[#This Row],[Camp Name]],CL,3,0),"")</f>
        <v>Open</v>
      </c>
      <c r="AR264" s="439" t="str">
        <f ca="1">IF(Table_NFI[[#This Row],[Pcode]]="","",OFFSET(CampList[Priority],MATCH(Table_NFI[[#This Row],[Pcode]],CampList[CP_Pcode],0)-1,0,1,1))</f>
        <v>P2</v>
      </c>
      <c r="AS264" s="438">
        <f>IFERROR(Table_NFI[[#This Row],[Kitchen Set]]/VLOOKUP(Table_NFI[[#This Row],[Camp Name]],CL,4,0),"")</f>
        <v>0.45662100456621002</v>
      </c>
      <c r="AT264" s="792"/>
      <c r="AU264" s="773"/>
    </row>
    <row r="265" spans="1:47" s="774" customFormat="1" x14ac:dyDescent="0.25">
      <c r="A265" s="451">
        <f t="shared" si="4"/>
        <v>20.666666666666668</v>
      </c>
      <c r="B265" s="768">
        <v>41750</v>
      </c>
      <c r="C265" s="769" t="s">
        <v>454</v>
      </c>
      <c r="D265" s="769" t="s">
        <v>454</v>
      </c>
      <c r="E265" s="769" t="s">
        <v>380</v>
      </c>
      <c r="F265" s="769" t="s">
        <v>151</v>
      </c>
      <c r="G265" s="769" t="s">
        <v>152</v>
      </c>
      <c r="H265" s="436"/>
      <c r="I265" s="436"/>
      <c r="J265" s="436">
        <v>20</v>
      </c>
      <c r="K265" s="436">
        <v>30</v>
      </c>
      <c r="L265" s="437">
        <v>13</v>
      </c>
      <c r="M265" s="437">
        <v>40</v>
      </c>
      <c r="N265" s="437">
        <v>13</v>
      </c>
      <c r="O265" s="437">
        <v>13</v>
      </c>
      <c r="P265" s="439">
        <v>13</v>
      </c>
      <c r="Q265" s="439">
        <v>25</v>
      </c>
      <c r="R265" s="436"/>
      <c r="S265" s="436"/>
      <c r="T265" s="436"/>
      <c r="U265" s="436"/>
      <c r="V265" s="436"/>
      <c r="W265" s="436"/>
      <c r="X265" s="436"/>
      <c r="Y265" s="436">
        <f>IF(NFI_Expiration=1,IF($A265&lt;VLOOKUP(H$5,NFI,5,0),1,0)*Table_NFI[[#This Row],[Hygiene Kit]],Table_NFI[Hygiene Kit])</f>
        <v>0</v>
      </c>
      <c r="Z265" s="436">
        <f>IF(NFI_Expiration=1,IF($A265&lt;VLOOKUP(I$5,NFI,5,0),1,0)*Table_NFI[[#This Row],[NFI Core Kit]],Table_NFI[NFI Core Kit])</f>
        <v>0</v>
      </c>
      <c r="AA265" s="436">
        <f>IF(NFI_Expiration=1,IF($A265&lt;VLOOKUP(J$5,NFI,5,0),1,0)*Table_NFI[[#This Row],[Sanitary Kit]],Table_NFI[Sanitary Kit])</f>
        <v>0</v>
      </c>
      <c r="AB265" s="436">
        <f>IF(NFI_Expiration=1,IF($A265&lt;VLOOKUP(K$5,NFI,5,0),1,0)*Table_NFI[[#This Row],[Mosquito net]],Table_NFI[Mosquito net])</f>
        <v>0</v>
      </c>
      <c r="AC265" s="436">
        <f>IF(NFI_Expiration=1,IF($A265&lt;VLOOKUP(L$5,NFI,5,0),1,0)*Table_NFI[[#This Row],[Tarpaulin]],Table_NFI[[#This Row],[Tarpaulin]])</f>
        <v>0</v>
      </c>
      <c r="AD265" s="436">
        <f>IF(NFI_Expiration=1,IF($A265&lt;VLOOKUP(M$5,NFI,5,0),1,0)*Table_NFI[[#This Row],[Blanket]],Table_NFI[[#This Row],[Blanket]])</f>
        <v>0</v>
      </c>
      <c r="AE265" s="436">
        <f>IF(NFI_Expiration=1,IF($A265&lt;VLOOKUP(N$5,NFI,5,0),1,0)*Table_NFI[[#This Row],[Kitchen Set]],Table_NFI[Kitchen Set])</f>
        <v>0</v>
      </c>
      <c r="AF265" s="436">
        <f>IF(NFI_Expiration=1,IF($A265&lt;VLOOKUP(O$5,NFI,5,0),1,0)*Table_NFI[[#This Row],[Clothes Kit]],Table_NFI[Clothes Kit])</f>
        <v>0</v>
      </c>
      <c r="AG265" s="436">
        <f>IF(NFI_Expiration=1,IF($A265&lt;VLOOKUP(P$5,NFI,5,0),1,0)*Table_NFI[[#This Row],[Plastic Bucket]],Table_NFI[Plastic Bucket])</f>
        <v>0</v>
      </c>
      <c r="AH265" s="436">
        <f>IF(NFI_Expiration=1,IF($A265&lt;VLOOKUP(Q$5,NFI,5,0),1,0)*Table_NFI[[#This Row],[Plastic Mat]],Table_NFI[Plastic Mat])*IF(Table_NFI[[#This Row],[Distribution Date]]&gt;"2014-04-01",1,2.5)</f>
        <v>0</v>
      </c>
      <c r="AI265" s="436">
        <f>IF(NFI_Expiration=1,IF($A265&lt;VLOOKUP(R$5,NFI,5,0),1,0)*Table_NFI[[#This Row],[Winter Clothes Adult]],Table_NFI[Winter Clothes Adult])</f>
        <v>0</v>
      </c>
      <c r="AJ265" s="436">
        <f>IF(NFI_Expiration=1,IF($A265&lt;VLOOKUP(S$5,NFI,5,0),1,0)*Table_NFI[[#This Row],[Winter Clothes Children]],Table_NFI[Winter Clothes Children])</f>
        <v>0</v>
      </c>
      <c r="AK265" s="436">
        <f>IF(NFI_Expiration=1,IF($A265&lt;VLOOKUP(T$5,NFI,5,0),1,0)*Table_NFI[[#This Row],[Winter Items Other]],Table_NFI[Winter Items Other])</f>
        <v>0</v>
      </c>
      <c r="AL265" s="436">
        <f>IF(NFI_Expiration=1,IF($A265&lt;VLOOKUP(M$5,NFI,5,0),1,0)*Table_NFI[[#This Row],[Winter Blanket]],Table_NFI[[#This Row],[Winter Blanket]])</f>
        <v>0</v>
      </c>
      <c r="AM265" s="436">
        <f>IF(Table_NFI[[#This Row],[Winter Clothes Adult]]+Table_NFI[[#This Row],[Winter Clothes Children]]+Table_NFI[[#This Row],[Winter Items Other]]+Table_NFI[[#This Row],[Winter Blanket]]&gt;0,1,0)</f>
        <v>0</v>
      </c>
      <c r="AN265" s="439">
        <f>IF(NFI_Expiration=1,IF($A265&lt;VLOOKUP(V$5,NFI,5,0),1,0)*Table_NFI[[#This Row],[Jerry Can]],Table_NFI[Jerry Can])</f>
        <v>0</v>
      </c>
      <c r="AO265" s="771" t="str">
        <f>IFERROR(VLOOKUP(Table_NFI[[#This Row],[Camp Name]],CL,2,0),"")</f>
        <v>MMR001CMP066</v>
      </c>
      <c r="AP265" s="772">
        <f ca="1">IF(Table_NFI[[#This Row],[Pcode]]="","",IF(OFFSET(CampList[Opening Date],MATCH(Table_NFI[[#This Row],[Pcode]],CampList[CP_Pcode],0)-1,0,1,1)&gt;=NFI_Monitor_Date,1,0))</f>
        <v>0</v>
      </c>
      <c r="AQ265" s="781" t="str">
        <f>IFERROR(VLOOKUP(Table_NFI[[#This Row],[Camp Name]],CL,3,0),"")</f>
        <v>Open</v>
      </c>
      <c r="AR265" s="439" t="str">
        <f ca="1">IF(Table_NFI[[#This Row],[Pcode]]="","",OFFSET(CampList[Priority],MATCH(Table_NFI[[#This Row],[Pcode]],CampList[CP_Pcode],0)-1,0,1,1))</f>
        <v>P4</v>
      </c>
      <c r="AS265" s="438">
        <f>IFERROR(Table_NFI[[#This Row],[Kitchen Set]]/VLOOKUP(Table_NFI[[#This Row],[Camp Name]],CL,4,0),"")</f>
        <v>5.8823529411764705E-2</v>
      </c>
      <c r="AT265" s="769" t="s">
        <v>1099</v>
      </c>
      <c r="AU265" s="773"/>
    </row>
    <row r="266" spans="1:47" s="774" customFormat="1" x14ac:dyDescent="0.25">
      <c r="A266" s="451">
        <f t="shared" si="4"/>
        <v>20.666666666666668</v>
      </c>
      <c r="B266" s="768">
        <v>41750</v>
      </c>
      <c r="C266" s="769" t="s">
        <v>454</v>
      </c>
      <c r="D266" s="769" t="s">
        <v>454</v>
      </c>
      <c r="E266" s="769" t="s">
        <v>380</v>
      </c>
      <c r="F266" s="769" t="s">
        <v>185</v>
      </c>
      <c r="G266" s="769" t="s">
        <v>209</v>
      </c>
      <c r="H266" s="436"/>
      <c r="I266" s="436"/>
      <c r="J266" s="436">
        <v>15</v>
      </c>
      <c r="K266" s="436">
        <v>16</v>
      </c>
      <c r="L266" s="437">
        <v>50</v>
      </c>
      <c r="M266" s="437">
        <v>16</v>
      </c>
      <c r="N266" s="437">
        <v>7</v>
      </c>
      <c r="O266" s="437">
        <v>7</v>
      </c>
      <c r="P266" s="439">
        <v>7</v>
      </c>
      <c r="Q266" s="439">
        <v>13</v>
      </c>
      <c r="R266" s="436"/>
      <c r="S266" s="436"/>
      <c r="T266" s="436"/>
      <c r="U266" s="436"/>
      <c r="V266" s="436"/>
      <c r="W266" s="436"/>
      <c r="X266" s="436"/>
      <c r="Y266" s="436">
        <f>IF(NFI_Expiration=1,IF($A266&lt;VLOOKUP(H$5,NFI,5,0),1,0)*Table_NFI[[#This Row],[Hygiene Kit]],Table_NFI[Hygiene Kit])</f>
        <v>0</v>
      </c>
      <c r="Z266" s="436">
        <f>IF(NFI_Expiration=1,IF($A266&lt;VLOOKUP(I$5,NFI,5,0),1,0)*Table_NFI[[#This Row],[NFI Core Kit]],Table_NFI[NFI Core Kit])</f>
        <v>0</v>
      </c>
      <c r="AA266" s="436">
        <f>IF(NFI_Expiration=1,IF($A266&lt;VLOOKUP(J$5,NFI,5,0),1,0)*Table_NFI[[#This Row],[Sanitary Kit]],Table_NFI[Sanitary Kit])</f>
        <v>0</v>
      </c>
      <c r="AB266" s="436">
        <f>IF(NFI_Expiration=1,IF($A266&lt;VLOOKUP(K$5,NFI,5,0),1,0)*Table_NFI[[#This Row],[Mosquito net]],Table_NFI[Mosquito net])</f>
        <v>0</v>
      </c>
      <c r="AC266" s="436">
        <f>IF(NFI_Expiration=1,IF($A266&lt;VLOOKUP(L$5,NFI,5,0),1,0)*Table_NFI[[#This Row],[Tarpaulin]],Table_NFI[[#This Row],[Tarpaulin]])</f>
        <v>0</v>
      </c>
      <c r="AD266" s="436">
        <f>IF(NFI_Expiration=1,IF($A266&lt;VLOOKUP(M$5,NFI,5,0),1,0)*Table_NFI[[#This Row],[Blanket]],Table_NFI[[#This Row],[Blanket]])</f>
        <v>0</v>
      </c>
      <c r="AE266" s="436">
        <f>IF(NFI_Expiration=1,IF($A266&lt;VLOOKUP(N$5,NFI,5,0),1,0)*Table_NFI[[#This Row],[Kitchen Set]],Table_NFI[Kitchen Set])</f>
        <v>0</v>
      </c>
      <c r="AF266" s="436">
        <f>IF(NFI_Expiration=1,IF($A266&lt;VLOOKUP(O$5,NFI,5,0),1,0)*Table_NFI[[#This Row],[Clothes Kit]],Table_NFI[Clothes Kit])</f>
        <v>0</v>
      </c>
      <c r="AG266" s="436">
        <f>IF(NFI_Expiration=1,IF($A266&lt;VLOOKUP(P$5,NFI,5,0),1,0)*Table_NFI[[#This Row],[Plastic Bucket]],Table_NFI[Plastic Bucket])</f>
        <v>0</v>
      </c>
      <c r="AH266" s="436">
        <f>IF(NFI_Expiration=1,IF($A266&lt;VLOOKUP(Q$5,NFI,5,0),1,0)*Table_NFI[[#This Row],[Plastic Mat]],Table_NFI[Plastic Mat])*IF(Table_NFI[[#This Row],[Distribution Date]]&gt;"2014-04-01",1,2.5)</f>
        <v>0</v>
      </c>
      <c r="AI266" s="436">
        <f>IF(NFI_Expiration=1,IF($A266&lt;VLOOKUP(R$5,NFI,5,0),1,0)*Table_NFI[[#This Row],[Winter Clothes Adult]],Table_NFI[Winter Clothes Adult])</f>
        <v>0</v>
      </c>
      <c r="AJ266" s="436">
        <f>IF(NFI_Expiration=1,IF($A266&lt;VLOOKUP(S$5,NFI,5,0),1,0)*Table_NFI[[#This Row],[Winter Clothes Children]],Table_NFI[Winter Clothes Children])</f>
        <v>0</v>
      </c>
      <c r="AK266" s="436">
        <f>IF(NFI_Expiration=1,IF($A266&lt;VLOOKUP(T$5,NFI,5,0),1,0)*Table_NFI[[#This Row],[Winter Items Other]],Table_NFI[Winter Items Other])</f>
        <v>0</v>
      </c>
      <c r="AL266" s="436">
        <f>IF(NFI_Expiration=1,IF($A266&lt;VLOOKUP(M$5,NFI,5,0),1,0)*Table_NFI[[#This Row],[Winter Blanket]],Table_NFI[[#This Row],[Winter Blanket]])</f>
        <v>0</v>
      </c>
      <c r="AM266" s="436">
        <f>IF(Table_NFI[[#This Row],[Winter Clothes Adult]]+Table_NFI[[#This Row],[Winter Clothes Children]]+Table_NFI[[#This Row],[Winter Items Other]]+Table_NFI[[#This Row],[Winter Blanket]]&gt;0,1,0)</f>
        <v>0</v>
      </c>
      <c r="AN266" s="439">
        <f>IF(NFI_Expiration=1,IF($A266&lt;VLOOKUP(V$5,NFI,5,0),1,0)*Table_NFI[[#This Row],[Jerry Can]],Table_NFI[Jerry Can])</f>
        <v>0</v>
      </c>
      <c r="AO266" s="771" t="str">
        <f>IFERROR(VLOOKUP(Table_NFI[[#This Row],[Camp Name]],CL,2,0),"")</f>
        <v>MMR001CMP056</v>
      </c>
      <c r="AP266" s="772">
        <f ca="1">IF(Table_NFI[[#This Row],[Pcode]]="","",IF(OFFSET(CampList[Opening Date],MATCH(Table_NFI[[#This Row],[Pcode]],CampList[CP_Pcode],0)-1,0,1,1)&gt;=NFI_Monitor_Date,1,0))</f>
        <v>0</v>
      </c>
      <c r="AQ266" s="781" t="str">
        <f>IFERROR(VLOOKUP(Table_NFI[[#This Row],[Camp Name]],CL,3,0),"")</f>
        <v>Open</v>
      </c>
      <c r="AR266" s="439" t="str">
        <f ca="1">IF(Table_NFI[[#This Row],[Pcode]]="","",OFFSET(CampList[Priority],MATCH(Table_NFI[[#This Row],[Pcode]],CampList[CP_Pcode],0)-1,0,1,1))</f>
        <v>P4</v>
      </c>
      <c r="AS266" s="438">
        <f>IFERROR(Table_NFI[[#This Row],[Kitchen Set]]/VLOOKUP(Table_NFI[[#This Row],[Camp Name]],CL,4,0),"")</f>
        <v>3.3816425120772944E-2</v>
      </c>
      <c r="AT266" s="769" t="s">
        <v>1099</v>
      </c>
      <c r="AU266" s="773"/>
    </row>
    <row r="267" spans="1:47" s="774" customFormat="1" x14ac:dyDescent="0.25">
      <c r="A267" s="451">
        <f t="shared" si="4"/>
        <v>20.7</v>
      </c>
      <c r="B267" s="768">
        <v>41749</v>
      </c>
      <c r="C267" s="769" t="s">
        <v>454</v>
      </c>
      <c r="D267" s="769"/>
      <c r="E267" s="769" t="s">
        <v>380</v>
      </c>
      <c r="F267" s="769" t="s">
        <v>151</v>
      </c>
      <c r="G267" s="769" t="s">
        <v>160</v>
      </c>
      <c r="H267" s="436"/>
      <c r="I267" s="436"/>
      <c r="J267" s="436"/>
      <c r="K267" s="436">
        <v>220</v>
      </c>
      <c r="L267" s="437">
        <v>110</v>
      </c>
      <c r="M267" s="437">
        <v>1000</v>
      </c>
      <c r="N267" s="437">
        <v>110</v>
      </c>
      <c r="O267" s="437"/>
      <c r="P267" s="439">
        <v>110</v>
      </c>
      <c r="Q267" s="439">
        <v>550</v>
      </c>
      <c r="R267" s="436"/>
      <c r="S267" s="436"/>
      <c r="T267" s="436"/>
      <c r="U267" s="436"/>
      <c r="V267" s="436"/>
      <c r="W267" s="436"/>
      <c r="X267" s="436"/>
      <c r="Y267" s="450">
        <f>IF(NFI_Expiration=1,IF($A267&lt;VLOOKUP(H$5,NFI,5,0),1,0)*Table_NFI[[#This Row],[Hygiene Kit]],Table_NFI[Hygiene Kit])</f>
        <v>0</v>
      </c>
      <c r="Z267" s="450">
        <f>IF(NFI_Expiration=1,IF($A267&lt;VLOOKUP(I$5,NFI,5,0),1,0)*Table_NFI[[#This Row],[NFI Core Kit]],Table_NFI[NFI Core Kit])</f>
        <v>0</v>
      </c>
      <c r="AA267" s="450">
        <f>IF(NFI_Expiration=1,IF($A267&lt;VLOOKUP(J$5,NFI,5,0),1,0)*Table_NFI[[#This Row],[Sanitary Kit]],Table_NFI[Sanitary Kit])</f>
        <v>0</v>
      </c>
      <c r="AB267" s="450">
        <f>IF(NFI_Expiration=1,IF($A267&lt;VLOOKUP(K$5,NFI,5,0),1,0)*Table_NFI[[#This Row],[Mosquito net]],Table_NFI[Mosquito net])</f>
        <v>0</v>
      </c>
      <c r="AC267" s="450">
        <f>IF(NFI_Expiration=1,IF($A267&lt;VLOOKUP(L$5,NFI,5,0),1,0)*Table_NFI[[#This Row],[Tarpaulin]],Table_NFI[[#This Row],[Tarpaulin]])</f>
        <v>0</v>
      </c>
      <c r="AD267" s="450">
        <f>IF(NFI_Expiration=1,IF($A267&lt;VLOOKUP(M$5,NFI,5,0),1,0)*Table_NFI[[#This Row],[Blanket]],Table_NFI[[#This Row],[Blanket]])</f>
        <v>0</v>
      </c>
      <c r="AE267" s="450">
        <f>IF(NFI_Expiration=1,IF($A267&lt;VLOOKUP(N$5,NFI,5,0),1,0)*Table_NFI[[#This Row],[Kitchen Set]],Table_NFI[Kitchen Set])</f>
        <v>0</v>
      </c>
      <c r="AF267" s="450">
        <f>IF(NFI_Expiration=1,IF($A267&lt;VLOOKUP(O$5,NFI,5,0),1,0)*Table_NFI[[#This Row],[Clothes Kit]],Table_NFI[Clothes Kit])</f>
        <v>0</v>
      </c>
      <c r="AG267" s="450">
        <f>IF(NFI_Expiration=1,IF($A267&lt;VLOOKUP(P$5,NFI,5,0),1,0)*Table_NFI[[#This Row],[Plastic Bucket]],Table_NFI[Plastic Bucket])</f>
        <v>0</v>
      </c>
      <c r="AH267" s="450">
        <f>IF(NFI_Expiration=1,IF($A267&lt;VLOOKUP(Q$5,NFI,5,0),1,0)*Table_NFI[[#This Row],[Plastic Mat]],Table_NFI[Plastic Mat])*IF(Table_NFI[[#This Row],[Distribution Date]]&gt;"2014-04-01",1,2.5)</f>
        <v>0</v>
      </c>
      <c r="AI267" s="450">
        <f>IF(NFI_Expiration=1,IF($A267&lt;VLOOKUP(R$5,NFI,5,0),1,0)*Table_NFI[[#This Row],[Winter Clothes Adult]],Table_NFI[Winter Clothes Adult])</f>
        <v>0</v>
      </c>
      <c r="AJ267" s="450">
        <f>IF(NFI_Expiration=1,IF($A267&lt;VLOOKUP(S$5,NFI,5,0),1,0)*Table_NFI[[#This Row],[Winter Clothes Children]],Table_NFI[Winter Clothes Children])</f>
        <v>0</v>
      </c>
      <c r="AK267" s="450">
        <f>IF(NFI_Expiration=1,IF($A267&lt;VLOOKUP(T$5,NFI,5,0),1,0)*Table_NFI[[#This Row],[Winter Items Other]],Table_NFI[Winter Items Other])</f>
        <v>0</v>
      </c>
      <c r="AL267" s="450">
        <f>IF(NFI_Expiration=1,IF($A267&lt;VLOOKUP(M$5,NFI,5,0),1,0)*Table_NFI[[#This Row],[Winter Blanket]],Table_NFI[[#This Row],[Winter Blanket]])</f>
        <v>0</v>
      </c>
      <c r="AM267" s="450">
        <f>IF(Table_NFI[[#This Row],[Winter Clothes Adult]]+Table_NFI[[#This Row],[Winter Clothes Children]]+Table_NFI[[#This Row],[Winter Items Other]]+Table_NFI[[#This Row],[Winter Blanket]]&gt;0,1,0)</f>
        <v>0</v>
      </c>
      <c r="AN267" s="439">
        <f>IF(NFI_Expiration=1,IF($A267&lt;VLOOKUP(V$5,NFI,5,0),1,0)*Table_NFI[[#This Row],[Jerry Can]],Table_NFI[Jerry Can])</f>
        <v>0</v>
      </c>
      <c r="AO267" s="790" t="str">
        <f>IFERROR(VLOOKUP(Table_NFI[[#This Row],[Camp Name]],CL,2,0),"")</f>
        <v>MMR001CMP133</v>
      </c>
      <c r="AP267" s="791">
        <f ca="1">IF(Table_NFI[[#This Row],[Pcode]]="","",IF(OFFSET(CampList[Opening Date],MATCH(Table_NFI[[#This Row],[Pcode]],CampList[CP_Pcode],0)-1,0,1,1)&gt;=NFI_Monitor_Date,1,0))</f>
        <v>0</v>
      </c>
      <c r="AQ267" s="781" t="str">
        <f>IFERROR(VLOOKUP(Table_NFI[[#This Row],[Camp Name]],CL,3,0),"")</f>
        <v>Open</v>
      </c>
      <c r="AR267" s="439" t="str">
        <f ca="1">IF(Table_NFI[[#This Row],[Pcode]]="","",OFFSET(CampList[Priority],MATCH(Table_NFI[[#This Row],[Pcode]],CampList[CP_Pcode],0)-1,0,1,1))</f>
        <v>P4</v>
      </c>
      <c r="AS267" s="438">
        <f>IFERROR(Table_NFI[[#This Row],[Kitchen Set]]/VLOOKUP(Table_NFI[[#This Row],[Camp Name]],CL,4,0),"")</f>
        <v>0.96491228070175439</v>
      </c>
      <c r="AT267" s="792"/>
      <c r="AU267" s="773"/>
    </row>
    <row r="268" spans="1:47" s="774" customFormat="1" x14ac:dyDescent="0.25">
      <c r="A268" s="451">
        <f t="shared" si="4"/>
        <v>20.733333333333334</v>
      </c>
      <c r="B268" s="768">
        <v>41748</v>
      </c>
      <c r="C268" s="769" t="s">
        <v>454</v>
      </c>
      <c r="D268" s="769"/>
      <c r="E268" s="769" t="s">
        <v>380</v>
      </c>
      <c r="F268" s="769" t="s">
        <v>151</v>
      </c>
      <c r="G268" s="769" t="s">
        <v>154</v>
      </c>
      <c r="H268" s="436"/>
      <c r="I268" s="436"/>
      <c r="J268" s="436"/>
      <c r="K268" s="436">
        <v>400</v>
      </c>
      <c r="L268" s="437">
        <v>190</v>
      </c>
      <c r="M268" s="437">
        <v>870</v>
      </c>
      <c r="N268" s="437">
        <v>190</v>
      </c>
      <c r="O268" s="437"/>
      <c r="P268" s="439">
        <v>190</v>
      </c>
      <c r="Q268" s="439">
        <v>1000</v>
      </c>
      <c r="R268" s="436"/>
      <c r="S268" s="436"/>
      <c r="T268" s="436"/>
      <c r="U268" s="436"/>
      <c r="V268" s="436"/>
      <c r="W268" s="436"/>
      <c r="X268" s="436"/>
      <c r="Y268" s="436">
        <f>IF(NFI_Expiration=1,IF($A268&lt;VLOOKUP(H$5,NFI,5,0),1,0)*Table_NFI[[#This Row],[Hygiene Kit]],Table_NFI[Hygiene Kit])</f>
        <v>0</v>
      </c>
      <c r="Z268" s="436">
        <f>IF(NFI_Expiration=1,IF($A268&lt;VLOOKUP(I$5,NFI,5,0),1,0)*Table_NFI[[#This Row],[NFI Core Kit]],Table_NFI[NFI Core Kit])</f>
        <v>0</v>
      </c>
      <c r="AA268" s="436">
        <f>IF(NFI_Expiration=1,IF($A268&lt;VLOOKUP(J$5,NFI,5,0),1,0)*Table_NFI[[#This Row],[Sanitary Kit]],Table_NFI[Sanitary Kit])</f>
        <v>0</v>
      </c>
      <c r="AB268" s="436">
        <f>IF(NFI_Expiration=1,IF($A268&lt;VLOOKUP(K$5,NFI,5,0),1,0)*Table_NFI[[#This Row],[Mosquito net]],Table_NFI[Mosquito net])</f>
        <v>0</v>
      </c>
      <c r="AC268" s="436">
        <f>IF(NFI_Expiration=1,IF($A268&lt;VLOOKUP(L$5,NFI,5,0),1,0)*Table_NFI[[#This Row],[Tarpaulin]],Table_NFI[[#This Row],[Tarpaulin]])</f>
        <v>0</v>
      </c>
      <c r="AD268" s="436">
        <f>IF(NFI_Expiration=1,IF($A268&lt;VLOOKUP(M$5,NFI,5,0),1,0)*Table_NFI[[#This Row],[Blanket]],Table_NFI[[#This Row],[Blanket]])</f>
        <v>0</v>
      </c>
      <c r="AE268" s="436">
        <f>IF(NFI_Expiration=1,IF($A268&lt;VLOOKUP(N$5,NFI,5,0),1,0)*Table_NFI[[#This Row],[Kitchen Set]],Table_NFI[Kitchen Set])</f>
        <v>0</v>
      </c>
      <c r="AF268" s="436">
        <f>IF(NFI_Expiration=1,IF($A268&lt;VLOOKUP(O$5,NFI,5,0),1,0)*Table_NFI[[#This Row],[Clothes Kit]],Table_NFI[Clothes Kit])</f>
        <v>0</v>
      </c>
      <c r="AG268" s="436">
        <f>IF(NFI_Expiration=1,IF($A268&lt;VLOOKUP(P$5,NFI,5,0),1,0)*Table_NFI[[#This Row],[Plastic Bucket]],Table_NFI[Plastic Bucket])</f>
        <v>0</v>
      </c>
      <c r="AH268" s="436">
        <f>IF(NFI_Expiration=1,IF($A268&lt;VLOOKUP(Q$5,NFI,5,0),1,0)*Table_NFI[[#This Row],[Plastic Mat]],Table_NFI[Plastic Mat])*IF(Table_NFI[[#This Row],[Distribution Date]]&gt;"2014-04-01",1,2.5)</f>
        <v>0</v>
      </c>
      <c r="AI268" s="436">
        <f>IF(NFI_Expiration=1,IF($A268&lt;VLOOKUP(R$5,NFI,5,0),1,0)*Table_NFI[[#This Row],[Winter Clothes Adult]],Table_NFI[Winter Clothes Adult])</f>
        <v>0</v>
      </c>
      <c r="AJ268" s="436">
        <f>IF(NFI_Expiration=1,IF($A268&lt;VLOOKUP(S$5,NFI,5,0),1,0)*Table_NFI[[#This Row],[Winter Clothes Children]],Table_NFI[Winter Clothes Children])</f>
        <v>0</v>
      </c>
      <c r="AK268" s="436">
        <f>IF(NFI_Expiration=1,IF($A268&lt;VLOOKUP(T$5,NFI,5,0),1,0)*Table_NFI[[#This Row],[Winter Items Other]],Table_NFI[Winter Items Other])</f>
        <v>0</v>
      </c>
      <c r="AL268" s="436">
        <f>IF(NFI_Expiration=1,IF($A268&lt;VLOOKUP(M$5,NFI,5,0),1,0)*Table_NFI[[#This Row],[Winter Blanket]],Table_NFI[[#This Row],[Winter Blanket]])</f>
        <v>0</v>
      </c>
      <c r="AM268" s="436">
        <f>IF(Table_NFI[[#This Row],[Winter Clothes Adult]]+Table_NFI[[#This Row],[Winter Clothes Children]]+Table_NFI[[#This Row],[Winter Items Other]]+Table_NFI[[#This Row],[Winter Blanket]]&gt;0,1,0)</f>
        <v>0</v>
      </c>
      <c r="AN268" s="439">
        <f>IF(NFI_Expiration=1,IF($A268&lt;VLOOKUP(V$5,NFI,5,0),1,0)*Table_NFI[[#This Row],[Jerry Can]],Table_NFI[Jerry Can])</f>
        <v>0</v>
      </c>
      <c r="AO268" s="771" t="str">
        <f>IFERROR(VLOOKUP(Table_NFI[[#This Row],[Camp Name]],CL,2,0),"")</f>
        <v>MMR001CMP132</v>
      </c>
      <c r="AP268" s="772">
        <f ca="1">IF(Table_NFI[[#This Row],[Pcode]]="","",IF(OFFSET(CampList[Opening Date],MATCH(Table_NFI[[#This Row],[Pcode]],CampList[CP_Pcode],0)-1,0,1,1)&gt;=NFI_Monitor_Date,1,0))</f>
        <v>0</v>
      </c>
      <c r="AQ268" s="781" t="str">
        <f>IFERROR(VLOOKUP(Table_NFI[[#This Row],[Camp Name]],CL,3,0),"")</f>
        <v>Open</v>
      </c>
      <c r="AR268" s="439" t="str">
        <f ca="1">IF(Table_NFI[[#This Row],[Pcode]]="","",OFFSET(CampList[Priority],MATCH(Table_NFI[[#This Row],[Pcode]],CampList[CP_Pcode],0)-1,0,1,1))</f>
        <v>P4</v>
      </c>
      <c r="AS268" s="438">
        <f>IFERROR(Table_NFI[[#This Row],[Kitchen Set]]/VLOOKUP(Table_NFI[[#This Row],[Camp Name]],CL,4,0),"")</f>
        <v>0.41484716157205243</v>
      </c>
      <c r="AT268" s="769"/>
      <c r="AU268" s="773"/>
    </row>
    <row r="269" spans="1:47" s="774" customFormat="1" x14ac:dyDescent="0.25">
      <c r="A269" s="451">
        <f t="shared" si="4"/>
        <v>20.8</v>
      </c>
      <c r="B269" s="768">
        <v>41746</v>
      </c>
      <c r="C269" s="769" t="s">
        <v>454</v>
      </c>
      <c r="D269" s="769" t="s">
        <v>454</v>
      </c>
      <c r="E269" s="769" t="s">
        <v>380</v>
      </c>
      <c r="F269" s="769" t="s">
        <v>185</v>
      </c>
      <c r="G269" s="769" t="s">
        <v>209</v>
      </c>
      <c r="H269" s="436"/>
      <c r="I269" s="436"/>
      <c r="J269" s="436"/>
      <c r="K269" s="436">
        <v>8</v>
      </c>
      <c r="L269" s="437">
        <v>4</v>
      </c>
      <c r="M269" s="437">
        <v>12</v>
      </c>
      <c r="N269" s="437">
        <v>4</v>
      </c>
      <c r="O269" s="437">
        <v>4</v>
      </c>
      <c r="P269" s="439">
        <v>4</v>
      </c>
      <c r="Q269" s="439">
        <v>41</v>
      </c>
      <c r="R269" s="436"/>
      <c r="S269" s="436"/>
      <c r="T269" s="436"/>
      <c r="U269" s="436"/>
      <c r="V269" s="436"/>
      <c r="W269" s="436"/>
      <c r="X269" s="436"/>
      <c r="Y269" s="436">
        <f>IF(NFI_Expiration=1,IF($A269&lt;VLOOKUP(H$5,NFI,5,0),1,0)*Table_NFI[[#This Row],[Hygiene Kit]],Table_NFI[Hygiene Kit])</f>
        <v>0</v>
      </c>
      <c r="Z269" s="436">
        <f>IF(NFI_Expiration=1,IF($A269&lt;VLOOKUP(I$5,NFI,5,0),1,0)*Table_NFI[[#This Row],[NFI Core Kit]],Table_NFI[NFI Core Kit])</f>
        <v>0</v>
      </c>
      <c r="AA269" s="436">
        <f>IF(NFI_Expiration=1,IF($A269&lt;VLOOKUP(J$5,NFI,5,0),1,0)*Table_NFI[[#This Row],[Sanitary Kit]],Table_NFI[Sanitary Kit])</f>
        <v>0</v>
      </c>
      <c r="AB269" s="436">
        <f>IF(NFI_Expiration=1,IF($A269&lt;VLOOKUP(K$5,NFI,5,0),1,0)*Table_NFI[[#This Row],[Mosquito net]],Table_NFI[Mosquito net])</f>
        <v>0</v>
      </c>
      <c r="AC269" s="436">
        <f>IF(NFI_Expiration=1,IF($A269&lt;VLOOKUP(L$5,NFI,5,0),1,0)*Table_NFI[[#This Row],[Tarpaulin]],Table_NFI[[#This Row],[Tarpaulin]])</f>
        <v>0</v>
      </c>
      <c r="AD269" s="436">
        <f>IF(NFI_Expiration=1,IF($A269&lt;VLOOKUP(M$5,NFI,5,0),1,0)*Table_NFI[[#This Row],[Blanket]],Table_NFI[[#This Row],[Blanket]])</f>
        <v>0</v>
      </c>
      <c r="AE269" s="436">
        <f>IF(NFI_Expiration=1,IF($A269&lt;VLOOKUP(N$5,NFI,5,0),1,0)*Table_NFI[[#This Row],[Kitchen Set]],Table_NFI[Kitchen Set])</f>
        <v>0</v>
      </c>
      <c r="AF269" s="436">
        <f>IF(NFI_Expiration=1,IF($A269&lt;VLOOKUP(O$5,NFI,5,0),1,0)*Table_NFI[[#This Row],[Clothes Kit]],Table_NFI[Clothes Kit])</f>
        <v>0</v>
      </c>
      <c r="AG269" s="436">
        <f>IF(NFI_Expiration=1,IF($A269&lt;VLOOKUP(P$5,NFI,5,0),1,0)*Table_NFI[[#This Row],[Plastic Bucket]],Table_NFI[Plastic Bucket])</f>
        <v>0</v>
      </c>
      <c r="AH269" s="436">
        <f>IF(NFI_Expiration=1,IF($A269&lt;VLOOKUP(Q$5,NFI,5,0),1,0)*Table_NFI[[#This Row],[Plastic Mat]],Table_NFI[Plastic Mat])*IF(Table_NFI[[#This Row],[Distribution Date]]&gt;"2014-04-01",1,2.5)</f>
        <v>0</v>
      </c>
      <c r="AI269" s="436">
        <f>IF(NFI_Expiration=1,IF($A269&lt;VLOOKUP(R$5,NFI,5,0),1,0)*Table_NFI[[#This Row],[Winter Clothes Adult]],Table_NFI[Winter Clothes Adult])</f>
        <v>0</v>
      </c>
      <c r="AJ269" s="436">
        <f>IF(NFI_Expiration=1,IF($A269&lt;VLOOKUP(S$5,NFI,5,0),1,0)*Table_NFI[[#This Row],[Winter Clothes Children]],Table_NFI[Winter Clothes Children])</f>
        <v>0</v>
      </c>
      <c r="AK269" s="436">
        <f>IF(NFI_Expiration=1,IF($A269&lt;VLOOKUP(T$5,NFI,5,0),1,0)*Table_NFI[[#This Row],[Winter Items Other]],Table_NFI[Winter Items Other])</f>
        <v>0</v>
      </c>
      <c r="AL269" s="436">
        <f>IF(NFI_Expiration=1,IF($A269&lt;VLOOKUP(M$5,NFI,5,0),1,0)*Table_NFI[[#This Row],[Winter Blanket]],Table_NFI[[#This Row],[Winter Blanket]])</f>
        <v>0</v>
      </c>
      <c r="AM269" s="436">
        <f>IF(Table_NFI[[#This Row],[Winter Clothes Adult]]+Table_NFI[[#This Row],[Winter Clothes Children]]+Table_NFI[[#This Row],[Winter Items Other]]+Table_NFI[[#This Row],[Winter Blanket]]&gt;0,1,0)</f>
        <v>0</v>
      </c>
      <c r="AN269" s="439">
        <f>IF(NFI_Expiration=1,IF($A269&lt;VLOOKUP(V$5,NFI,5,0),1,0)*Table_NFI[[#This Row],[Jerry Can]],Table_NFI[Jerry Can])</f>
        <v>0</v>
      </c>
      <c r="AO269" s="771" t="str">
        <f>IFERROR(VLOOKUP(Table_NFI[[#This Row],[Camp Name]],CL,2,0),"")</f>
        <v>MMR001CMP056</v>
      </c>
      <c r="AP269" s="772">
        <f ca="1">IF(Table_NFI[[#This Row],[Pcode]]="","",IF(OFFSET(CampList[Opening Date],MATCH(Table_NFI[[#This Row],[Pcode]],CampList[CP_Pcode],0)-1,0,1,1)&gt;=NFI_Monitor_Date,1,0))</f>
        <v>0</v>
      </c>
      <c r="AQ269" s="781" t="str">
        <f>IFERROR(VLOOKUP(Table_NFI[[#This Row],[Camp Name]],CL,3,0),"")</f>
        <v>Open</v>
      </c>
      <c r="AR269" s="439" t="str">
        <f ca="1">IF(Table_NFI[[#This Row],[Pcode]]="","",OFFSET(CampList[Priority],MATCH(Table_NFI[[#This Row],[Pcode]],CampList[CP_Pcode],0)-1,0,1,1))</f>
        <v>P4</v>
      </c>
      <c r="AS269" s="438">
        <f>IFERROR(Table_NFI[[#This Row],[Kitchen Set]]/VLOOKUP(Table_NFI[[#This Row],[Camp Name]],CL,4,0),"")</f>
        <v>1.932367149758454E-2</v>
      </c>
      <c r="AT269" s="769" t="s">
        <v>1099</v>
      </c>
      <c r="AU269" s="773"/>
    </row>
    <row r="270" spans="1:47" s="774" customFormat="1" x14ac:dyDescent="0.25">
      <c r="A270" s="451">
        <f t="shared" si="4"/>
        <v>20.9</v>
      </c>
      <c r="B270" s="768">
        <v>41743</v>
      </c>
      <c r="C270" s="769" t="s">
        <v>454</v>
      </c>
      <c r="D270" s="769" t="s">
        <v>454</v>
      </c>
      <c r="E270" s="769" t="s">
        <v>380</v>
      </c>
      <c r="F270" s="769" t="s">
        <v>185</v>
      </c>
      <c r="G270" s="769" t="s">
        <v>209</v>
      </c>
      <c r="H270" s="436"/>
      <c r="I270" s="436"/>
      <c r="J270" s="436"/>
      <c r="K270" s="436">
        <v>10</v>
      </c>
      <c r="L270" s="437">
        <v>5</v>
      </c>
      <c r="M270" s="437">
        <v>15</v>
      </c>
      <c r="N270" s="437">
        <v>5</v>
      </c>
      <c r="O270" s="437">
        <v>5</v>
      </c>
      <c r="P270" s="439">
        <v>5</v>
      </c>
      <c r="Q270" s="439"/>
      <c r="R270" s="436"/>
      <c r="S270" s="436"/>
      <c r="T270" s="436"/>
      <c r="U270" s="436"/>
      <c r="V270" s="436"/>
      <c r="W270" s="436"/>
      <c r="X270" s="436"/>
      <c r="Y270" s="436">
        <f>IF(NFI_Expiration=1,IF($A270&lt;VLOOKUP(H$5,NFI,5,0),1,0)*Table_NFI[[#This Row],[Hygiene Kit]],Table_NFI[Hygiene Kit])</f>
        <v>0</v>
      </c>
      <c r="Z270" s="436">
        <f>IF(NFI_Expiration=1,IF($A270&lt;VLOOKUP(I$5,NFI,5,0),1,0)*Table_NFI[[#This Row],[NFI Core Kit]],Table_NFI[NFI Core Kit])</f>
        <v>0</v>
      </c>
      <c r="AA270" s="436">
        <f>IF(NFI_Expiration=1,IF($A270&lt;VLOOKUP(J$5,NFI,5,0),1,0)*Table_NFI[[#This Row],[Sanitary Kit]],Table_NFI[Sanitary Kit])</f>
        <v>0</v>
      </c>
      <c r="AB270" s="436">
        <f>IF(NFI_Expiration=1,IF($A270&lt;VLOOKUP(K$5,NFI,5,0),1,0)*Table_NFI[[#This Row],[Mosquito net]],Table_NFI[Mosquito net])</f>
        <v>0</v>
      </c>
      <c r="AC270" s="436">
        <f>IF(NFI_Expiration=1,IF($A270&lt;VLOOKUP(L$5,NFI,5,0),1,0)*Table_NFI[[#This Row],[Tarpaulin]],Table_NFI[[#This Row],[Tarpaulin]])</f>
        <v>0</v>
      </c>
      <c r="AD270" s="436">
        <f>IF(NFI_Expiration=1,IF($A270&lt;VLOOKUP(M$5,NFI,5,0),1,0)*Table_NFI[[#This Row],[Blanket]],Table_NFI[[#This Row],[Blanket]])</f>
        <v>0</v>
      </c>
      <c r="AE270" s="436">
        <f>IF(NFI_Expiration=1,IF($A270&lt;VLOOKUP(N$5,NFI,5,0),1,0)*Table_NFI[[#This Row],[Kitchen Set]],Table_NFI[Kitchen Set])</f>
        <v>0</v>
      </c>
      <c r="AF270" s="436">
        <f>IF(NFI_Expiration=1,IF($A270&lt;VLOOKUP(O$5,NFI,5,0),1,0)*Table_NFI[[#This Row],[Clothes Kit]],Table_NFI[Clothes Kit])</f>
        <v>0</v>
      </c>
      <c r="AG270" s="436">
        <f>IF(NFI_Expiration=1,IF($A270&lt;VLOOKUP(P$5,NFI,5,0),1,0)*Table_NFI[[#This Row],[Plastic Bucket]],Table_NFI[Plastic Bucket])</f>
        <v>0</v>
      </c>
      <c r="AH270" s="436">
        <f>IF(NFI_Expiration=1,IF($A270&lt;VLOOKUP(Q$5,NFI,5,0),1,0)*Table_NFI[[#This Row],[Plastic Mat]],Table_NFI[Plastic Mat])*IF(Table_NFI[[#This Row],[Distribution Date]]&gt;"2014-04-01",1,2.5)</f>
        <v>0</v>
      </c>
      <c r="AI270" s="436">
        <f>IF(NFI_Expiration=1,IF($A270&lt;VLOOKUP(R$5,NFI,5,0),1,0)*Table_NFI[[#This Row],[Winter Clothes Adult]],Table_NFI[Winter Clothes Adult])</f>
        <v>0</v>
      </c>
      <c r="AJ270" s="436">
        <f>IF(NFI_Expiration=1,IF($A270&lt;VLOOKUP(S$5,NFI,5,0),1,0)*Table_NFI[[#This Row],[Winter Clothes Children]],Table_NFI[Winter Clothes Children])</f>
        <v>0</v>
      </c>
      <c r="AK270" s="436">
        <f>IF(NFI_Expiration=1,IF($A270&lt;VLOOKUP(T$5,NFI,5,0),1,0)*Table_NFI[[#This Row],[Winter Items Other]],Table_NFI[Winter Items Other])</f>
        <v>0</v>
      </c>
      <c r="AL270" s="436">
        <f>IF(NFI_Expiration=1,IF($A270&lt;VLOOKUP(M$5,NFI,5,0),1,0)*Table_NFI[[#This Row],[Winter Blanket]],Table_NFI[[#This Row],[Winter Blanket]])</f>
        <v>0</v>
      </c>
      <c r="AM270" s="436">
        <f>IF(Table_NFI[[#This Row],[Winter Clothes Adult]]+Table_NFI[[#This Row],[Winter Clothes Children]]+Table_NFI[[#This Row],[Winter Items Other]]+Table_NFI[[#This Row],[Winter Blanket]]&gt;0,1,0)</f>
        <v>0</v>
      </c>
      <c r="AN270" s="439">
        <f>IF(NFI_Expiration=1,IF($A270&lt;VLOOKUP(V$5,NFI,5,0),1,0)*Table_NFI[[#This Row],[Jerry Can]],Table_NFI[Jerry Can])</f>
        <v>0</v>
      </c>
      <c r="AO270" s="771" t="str">
        <f>IFERROR(VLOOKUP(Table_NFI[[#This Row],[Camp Name]],CL,2,0),"")</f>
        <v>MMR001CMP056</v>
      </c>
      <c r="AP270" s="772">
        <f ca="1">IF(Table_NFI[[#This Row],[Pcode]]="","",IF(OFFSET(CampList[Opening Date],MATCH(Table_NFI[[#This Row],[Pcode]],CampList[CP_Pcode],0)-1,0,1,1)&gt;=NFI_Monitor_Date,1,0))</f>
        <v>0</v>
      </c>
      <c r="AQ270" s="781" t="str">
        <f>IFERROR(VLOOKUP(Table_NFI[[#This Row],[Camp Name]],CL,3,0),"")</f>
        <v>Open</v>
      </c>
      <c r="AR270" s="439" t="str">
        <f ca="1">IF(Table_NFI[[#This Row],[Pcode]]="","",OFFSET(CampList[Priority],MATCH(Table_NFI[[#This Row],[Pcode]],CampList[CP_Pcode],0)-1,0,1,1))</f>
        <v>P4</v>
      </c>
      <c r="AS270" s="438">
        <f>IFERROR(Table_NFI[[#This Row],[Kitchen Set]]/VLOOKUP(Table_NFI[[#This Row],[Camp Name]],CL,4,0),"")</f>
        <v>2.4154589371980676E-2</v>
      </c>
      <c r="AT270" s="769" t="s">
        <v>1099</v>
      </c>
      <c r="AU270" s="773"/>
    </row>
    <row r="271" spans="1:47" s="774" customFormat="1" x14ac:dyDescent="0.25">
      <c r="A271" s="451">
        <f t="shared" si="4"/>
        <v>21.066666666666666</v>
      </c>
      <c r="B271" s="768">
        <v>41738</v>
      </c>
      <c r="C271" s="769" t="s">
        <v>1111</v>
      </c>
      <c r="D271" s="769" t="s">
        <v>907</v>
      </c>
      <c r="E271" s="769" t="s">
        <v>380</v>
      </c>
      <c r="F271" s="769" t="s">
        <v>5</v>
      </c>
      <c r="G271" s="769" t="s">
        <v>26</v>
      </c>
      <c r="H271" s="436"/>
      <c r="I271" s="436"/>
      <c r="J271" s="436"/>
      <c r="K271" s="436"/>
      <c r="L271" s="437"/>
      <c r="M271" s="437"/>
      <c r="N271" s="437"/>
      <c r="O271" s="437"/>
      <c r="P271" s="439"/>
      <c r="Q271" s="439"/>
      <c r="R271" s="436"/>
      <c r="S271" s="436"/>
      <c r="T271" s="436"/>
      <c r="U271" s="436">
        <v>42</v>
      </c>
      <c r="V271" s="436"/>
      <c r="W271" s="436"/>
      <c r="X271" s="436"/>
      <c r="Y271" s="448">
        <f>IF(NFI_Expiration=1,IF($A271&lt;VLOOKUP(H$5,NFI,5,0),1,0)*Table_NFI[[#This Row],[Hygiene Kit]],Table_NFI[Hygiene Kit])</f>
        <v>0</v>
      </c>
      <c r="Z271" s="448">
        <f>IF(NFI_Expiration=1,IF($A271&lt;VLOOKUP(I$5,NFI,5,0),1,0)*Table_NFI[[#This Row],[NFI Core Kit]],Table_NFI[NFI Core Kit])</f>
        <v>0</v>
      </c>
      <c r="AA271" s="448">
        <f>IF(NFI_Expiration=1,IF($A271&lt;VLOOKUP(J$5,NFI,5,0),1,0)*Table_NFI[[#This Row],[Sanitary Kit]],Table_NFI[Sanitary Kit])</f>
        <v>0</v>
      </c>
      <c r="AB271" s="448">
        <f>IF(NFI_Expiration=1,IF($A271&lt;VLOOKUP(K$5,NFI,5,0),1,0)*Table_NFI[[#This Row],[Mosquito net]],Table_NFI[Mosquito net])</f>
        <v>0</v>
      </c>
      <c r="AC271" s="448">
        <f>IF(NFI_Expiration=1,IF($A271&lt;VLOOKUP(L$5,NFI,5,0),1,0)*Table_NFI[[#This Row],[Tarpaulin]],Table_NFI[[#This Row],[Tarpaulin]])</f>
        <v>0</v>
      </c>
      <c r="AD271" s="448">
        <f>IF(NFI_Expiration=1,IF($A271&lt;VLOOKUP(M$5,NFI,5,0),1,0)*Table_NFI[[#This Row],[Blanket]],Table_NFI[[#This Row],[Blanket]])</f>
        <v>0</v>
      </c>
      <c r="AE271" s="448">
        <f>IF(NFI_Expiration=1,IF($A271&lt;VLOOKUP(N$5,NFI,5,0),1,0)*Table_NFI[[#This Row],[Kitchen Set]],Table_NFI[Kitchen Set])</f>
        <v>0</v>
      </c>
      <c r="AF271" s="448">
        <f>IF(NFI_Expiration=1,IF($A271&lt;VLOOKUP(O$5,NFI,5,0),1,0)*Table_NFI[[#This Row],[Clothes Kit]],Table_NFI[Clothes Kit])</f>
        <v>0</v>
      </c>
      <c r="AG271" s="448">
        <f>IF(NFI_Expiration=1,IF($A271&lt;VLOOKUP(P$5,NFI,5,0),1,0)*Table_NFI[[#This Row],[Plastic Bucket]],Table_NFI[Plastic Bucket])</f>
        <v>0</v>
      </c>
      <c r="AH271" s="448">
        <f>IF(NFI_Expiration=1,IF($A271&lt;VLOOKUP(Q$5,NFI,5,0),1,0)*Table_NFI[[#This Row],[Plastic Mat]],Table_NFI[Plastic Mat])*IF(Table_NFI[[#This Row],[Distribution Date]]&gt;"2014-04-01",1,2.5)</f>
        <v>0</v>
      </c>
      <c r="AI271" s="448">
        <f>IF(NFI_Expiration=1,IF($A271&lt;VLOOKUP(R$5,NFI,5,0),1,0)*Table_NFI[[#This Row],[Winter Clothes Adult]],Table_NFI[Winter Clothes Adult])</f>
        <v>0</v>
      </c>
      <c r="AJ271" s="448">
        <f>IF(NFI_Expiration=1,IF($A271&lt;VLOOKUP(S$5,NFI,5,0),1,0)*Table_NFI[[#This Row],[Winter Clothes Children]],Table_NFI[Winter Clothes Children])</f>
        <v>0</v>
      </c>
      <c r="AK271" s="448">
        <f>IF(NFI_Expiration=1,IF($A271&lt;VLOOKUP(T$5,NFI,5,0),1,0)*Table_NFI[[#This Row],[Winter Items Other]],Table_NFI[Winter Items Other])</f>
        <v>0</v>
      </c>
      <c r="AL271" s="448">
        <f>IF(NFI_Expiration=1,IF($A271&lt;VLOOKUP(M$5,NFI,5,0),1,0)*Table_NFI[[#This Row],[Winter Blanket]],Table_NFI[[#This Row],[Winter Blanket]])</f>
        <v>0</v>
      </c>
      <c r="AM271" s="448">
        <f>IF(Table_NFI[[#This Row],[Winter Clothes Adult]]+Table_NFI[[#This Row],[Winter Clothes Children]]+Table_NFI[[#This Row],[Winter Items Other]]+Table_NFI[[#This Row],[Winter Blanket]]&gt;0,1,0)</f>
        <v>1</v>
      </c>
      <c r="AN271" s="439">
        <f>IF(NFI_Expiration=1,IF($A271&lt;VLOOKUP(V$5,NFI,5,0),1,0)*Table_NFI[[#This Row],[Jerry Can]],Table_NFI[Jerry Can])</f>
        <v>0</v>
      </c>
      <c r="AO271" s="787" t="str">
        <f>IFERROR(VLOOKUP(Table_NFI[[#This Row],[Camp Name]],CL,2,0),"")</f>
        <v>MMR001CMP053</v>
      </c>
      <c r="AP271" s="788">
        <f ca="1">IF(Table_NFI[[#This Row],[Pcode]]="","",IF(OFFSET(CampList[Opening Date],MATCH(Table_NFI[[#This Row],[Pcode]],CampList[CP_Pcode],0)-1,0,1,1)&gt;=NFI_Monitor_Date,1,0))</f>
        <v>0</v>
      </c>
      <c r="AQ271" s="787" t="str">
        <f>IFERROR(VLOOKUP(Table_NFI[[#This Row],[Camp Name]],CL,3,0),"")</f>
        <v>Open</v>
      </c>
      <c r="AR271" s="448" t="str">
        <f ca="1">IF(Table_NFI[[#This Row],[Pcode]]="","",OFFSET(CampList[Priority],MATCH(Table_NFI[[#This Row],[Pcode]],CampList[CP_Pcode],0)-1,0,1,1))</f>
        <v>P4</v>
      </c>
      <c r="AS271" s="449">
        <f>IFERROR(Table_NFI[[#This Row],[Kitchen Set]]/VLOOKUP(Table_NFI[[#This Row],[Camp Name]],CL,4,0),"")</f>
        <v>0</v>
      </c>
      <c r="AT271" s="789"/>
      <c r="AU271" s="773"/>
    </row>
    <row r="272" spans="1:47" s="774" customFormat="1" x14ac:dyDescent="0.25">
      <c r="A272" s="451">
        <f t="shared" si="4"/>
        <v>21.066666666666666</v>
      </c>
      <c r="B272" s="768">
        <v>41738</v>
      </c>
      <c r="C272" s="769" t="s">
        <v>1111</v>
      </c>
      <c r="D272" s="769" t="s">
        <v>907</v>
      </c>
      <c r="E272" s="769" t="s">
        <v>380</v>
      </c>
      <c r="F272" s="769" t="s">
        <v>5</v>
      </c>
      <c r="G272" s="769" t="s">
        <v>24</v>
      </c>
      <c r="H272" s="436"/>
      <c r="I272" s="436"/>
      <c r="J272" s="436"/>
      <c r="K272" s="436"/>
      <c r="L272" s="437"/>
      <c r="M272" s="437"/>
      <c r="N272" s="437"/>
      <c r="O272" s="437"/>
      <c r="P272" s="439"/>
      <c r="Q272" s="439"/>
      <c r="R272" s="436"/>
      <c r="S272" s="436"/>
      <c r="T272" s="436"/>
      <c r="U272" s="436">
        <v>122</v>
      </c>
      <c r="V272" s="436"/>
      <c r="W272" s="436"/>
      <c r="X272" s="436"/>
      <c r="Y272" s="448">
        <f>IF(NFI_Expiration=1,IF($A272&lt;VLOOKUP(H$5,NFI,5,0),1,0)*Table_NFI[[#This Row],[Hygiene Kit]],Table_NFI[Hygiene Kit])</f>
        <v>0</v>
      </c>
      <c r="Z272" s="448">
        <f>IF(NFI_Expiration=1,IF($A272&lt;VLOOKUP(I$5,NFI,5,0),1,0)*Table_NFI[[#This Row],[NFI Core Kit]],Table_NFI[NFI Core Kit])</f>
        <v>0</v>
      </c>
      <c r="AA272" s="448">
        <f>IF(NFI_Expiration=1,IF($A272&lt;VLOOKUP(J$5,NFI,5,0),1,0)*Table_NFI[[#This Row],[Sanitary Kit]],Table_NFI[Sanitary Kit])</f>
        <v>0</v>
      </c>
      <c r="AB272" s="448">
        <f>IF(NFI_Expiration=1,IF($A272&lt;VLOOKUP(K$5,NFI,5,0),1,0)*Table_NFI[[#This Row],[Mosquito net]],Table_NFI[Mosquito net])</f>
        <v>0</v>
      </c>
      <c r="AC272" s="448">
        <f>IF(NFI_Expiration=1,IF($A272&lt;VLOOKUP(L$5,NFI,5,0),1,0)*Table_NFI[[#This Row],[Tarpaulin]],Table_NFI[[#This Row],[Tarpaulin]])</f>
        <v>0</v>
      </c>
      <c r="AD272" s="448">
        <f>IF(NFI_Expiration=1,IF($A272&lt;VLOOKUP(M$5,NFI,5,0),1,0)*Table_NFI[[#This Row],[Blanket]],Table_NFI[[#This Row],[Blanket]])</f>
        <v>0</v>
      </c>
      <c r="AE272" s="448">
        <f>IF(NFI_Expiration=1,IF($A272&lt;VLOOKUP(N$5,NFI,5,0),1,0)*Table_NFI[[#This Row],[Kitchen Set]],Table_NFI[Kitchen Set])</f>
        <v>0</v>
      </c>
      <c r="AF272" s="448">
        <f>IF(NFI_Expiration=1,IF($A272&lt;VLOOKUP(O$5,NFI,5,0),1,0)*Table_NFI[[#This Row],[Clothes Kit]],Table_NFI[Clothes Kit])</f>
        <v>0</v>
      </c>
      <c r="AG272" s="448">
        <f>IF(NFI_Expiration=1,IF($A272&lt;VLOOKUP(P$5,NFI,5,0),1,0)*Table_NFI[[#This Row],[Plastic Bucket]],Table_NFI[Plastic Bucket])</f>
        <v>0</v>
      </c>
      <c r="AH272" s="448">
        <f>IF(NFI_Expiration=1,IF($A272&lt;VLOOKUP(Q$5,NFI,5,0),1,0)*Table_NFI[[#This Row],[Plastic Mat]],Table_NFI[Plastic Mat])*IF(Table_NFI[[#This Row],[Distribution Date]]&gt;"2014-04-01",1,2.5)</f>
        <v>0</v>
      </c>
      <c r="AI272" s="448">
        <f>IF(NFI_Expiration=1,IF($A272&lt;VLOOKUP(R$5,NFI,5,0),1,0)*Table_NFI[[#This Row],[Winter Clothes Adult]],Table_NFI[Winter Clothes Adult])</f>
        <v>0</v>
      </c>
      <c r="AJ272" s="448">
        <f>IF(NFI_Expiration=1,IF($A272&lt;VLOOKUP(S$5,NFI,5,0),1,0)*Table_NFI[[#This Row],[Winter Clothes Children]],Table_NFI[Winter Clothes Children])</f>
        <v>0</v>
      </c>
      <c r="AK272" s="448">
        <f>IF(NFI_Expiration=1,IF($A272&lt;VLOOKUP(T$5,NFI,5,0),1,0)*Table_NFI[[#This Row],[Winter Items Other]],Table_NFI[Winter Items Other])</f>
        <v>0</v>
      </c>
      <c r="AL272" s="448">
        <f>IF(NFI_Expiration=1,IF($A272&lt;VLOOKUP(M$5,NFI,5,0),1,0)*Table_NFI[[#This Row],[Winter Blanket]],Table_NFI[[#This Row],[Winter Blanket]])</f>
        <v>0</v>
      </c>
      <c r="AM272" s="448">
        <f>IF(Table_NFI[[#This Row],[Winter Clothes Adult]]+Table_NFI[[#This Row],[Winter Clothes Children]]+Table_NFI[[#This Row],[Winter Items Other]]+Table_NFI[[#This Row],[Winter Blanket]]&gt;0,1,0)</f>
        <v>1</v>
      </c>
      <c r="AN272" s="439">
        <f>IF(NFI_Expiration=1,IF($A272&lt;VLOOKUP(V$5,NFI,5,0),1,0)*Table_NFI[[#This Row],[Jerry Can]],Table_NFI[Jerry Can])</f>
        <v>0</v>
      </c>
      <c r="AO272" s="787" t="str">
        <f>IFERROR(VLOOKUP(Table_NFI[[#This Row],[Camp Name]],CL,2,0),"")</f>
        <v>MMR001CMP055</v>
      </c>
      <c r="AP272" s="788">
        <f ca="1">IF(Table_NFI[[#This Row],[Pcode]]="","",IF(OFFSET(CampList[Opening Date],MATCH(Table_NFI[[#This Row],[Pcode]],CampList[CP_Pcode],0)-1,0,1,1)&gt;=NFI_Monitor_Date,1,0))</f>
        <v>0</v>
      </c>
      <c r="AQ272" s="787" t="str">
        <f>IFERROR(VLOOKUP(Table_NFI[[#This Row],[Camp Name]],CL,3,0),"")</f>
        <v>Open</v>
      </c>
      <c r="AR272" s="448" t="str">
        <f ca="1">IF(Table_NFI[[#This Row],[Pcode]]="","",OFFSET(CampList[Priority],MATCH(Table_NFI[[#This Row],[Pcode]],CampList[CP_Pcode],0)-1,0,1,1))</f>
        <v>P4</v>
      </c>
      <c r="AS272" s="449">
        <f>IFERROR(Table_NFI[[#This Row],[Kitchen Set]]/VLOOKUP(Table_NFI[[#This Row],[Camp Name]],CL,4,0),"")</f>
        <v>0</v>
      </c>
      <c r="AT272" s="789"/>
      <c r="AU272" s="773"/>
    </row>
    <row r="273" spans="1:47" s="774" customFormat="1" x14ac:dyDescent="0.25">
      <c r="A273" s="451">
        <f t="shared" si="4"/>
        <v>21.1</v>
      </c>
      <c r="B273" s="768">
        <v>41737</v>
      </c>
      <c r="C273" s="769" t="s">
        <v>1111</v>
      </c>
      <c r="D273" s="769" t="s">
        <v>907</v>
      </c>
      <c r="E273" s="769" t="s">
        <v>380</v>
      </c>
      <c r="F273" s="769" t="s">
        <v>5</v>
      </c>
      <c r="G273" s="769" t="s">
        <v>14</v>
      </c>
      <c r="H273" s="436"/>
      <c r="I273" s="436"/>
      <c r="J273" s="436"/>
      <c r="K273" s="436"/>
      <c r="L273" s="437"/>
      <c r="M273" s="437"/>
      <c r="N273" s="437"/>
      <c r="O273" s="437"/>
      <c r="P273" s="439"/>
      <c r="Q273" s="439"/>
      <c r="R273" s="436"/>
      <c r="S273" s="436"/>
      <c r="T273" s="436"/>
      <c r="U273" s="436">
        <v>90</v>
      </c>
      <c r="V273" s="436"/>
      <c r="W273" s="436"/>
      <c r="X273" s="436"/>
      <c r="Y273" s="448">
        <f>IF(NFI_Expiration=1,IF($A273&lt;VLOOKUP(H$5,NFI,5,0),1,0)*Table_NFI[[#This Row],[Hygiene Kit]],Table_NFI[Hygiene Kit])</f>
        <v>0</v>
      </c>
      <c r="Z273" s="448">
        <f>IF(NFI_Expiration=1,IF($A273&lt;VLOOKUP(I$5,NFI,5,0),1,0)*Table_NFI[[#This Row],[NFI Core Kit]],Table_NFI[NFI Core Kit])</f>
        <v>0</v>
      </c>
      <c r="AA273" s="448">
        <f>IF(NFI_Expiration=1,IF($A273&lt;VLOOKUP(J$5,NFI,5,0),1,0)*Table_NFI[[#This Row],[Sanitary Kit]],Table_NFI[Sanitary Kit])</f>
        <v>0</v>
      </c>
      <c r="AB273" s="448">
        <f>IF(NFI_Expiration=1,IF($A273&lt;VLOOKUP(K$5,NFI,5,0),1,0)*Table_NFI[[#This Row],[Mosquito net]],Table_NFI[Mosquito net])</f>
        <v>0</v>
      </c>
      <c r="AC273" s="448">
        <f>IF(NFI_Expiration=1,IF($A273&lt;VLOOKUP(L$5,NFI,5,0),1,0)*Table_NFI[[#This Row],[Tarpaulin]],Table_NFI[[#This Row],[Tarpaulin]])</f>
        <v>0</v>
      </c>
      <c r="AD273" s="448">
        <f>IF(NFI_Expiration=1,IF($A273&lt;VLOOKUP(M$5,NFI,5,0),1,0)*Table_NFI[[#This Row],[Blanket]],Table_NFI[[#This Row],[Blanket]])</f>
        <v>0</v>
      </c>
      <c r="AE273" s="448">
        <f>IF(NFI_Expiration=1,IF($A273&lt;VLOOKUP(N$5,NFI,5,0),1,0)*Table_NFI[[#This Row],[Kitchen Set]],Table_NFI[Kitchen Set])</f>
        <v>0</v>
      </c>
      <c r="AF273" s="448">
        <f>IF(NFI_Expiration=1,IF($A273&lt;VLOOKUP(O$5,NFI,5,0),1,0)*Table_NFI[[#This Row],[Clothes Kit]],Table_NFI[Clothes Kit])</f>
        <v>0</v>
      </c>
      <c r="AG273" s="448">
        <f>IF(NFI_Expiration=1,IF($A273&lt;VLOOKUP(P$5,NFI,5,0),1,0)*Table_NFI[[#This Row],[Plastic Bucket]],Table_NFI[Plastic Bucket])</f>
        <v>0</v>
      </c>
      <c r="AH273" s="448">
        <f>IF(NFI_Expiration=1,IF($A273&lt;VLOOKUP(Q$5,NFI,5,0),1,0)*Table_NFI[[#This Row],[Plastic Mat]],Table_NFI[Plastic Mat])*IF(Table_NFI[[#This Row],[Distribution Date]]&gt;"2014-04-01",1,2.5)</f>
        <v>0</v>
      </c>
      <c r="AI273" s="448">
        <f>IF(NFI_Expiration=1,IF($A273&lt;VLOOKUP(R$5,NFI,5,0),1,0)*Table_NFI[[#This Row],[Winter Clothes Adult]],Table_NFI[Winter Clothes Adult])</f>
        <v>0</v>
      </c>
      <c r="AJ273" s="448">
        <f>IF(NFI_Expiration=1,IF($A273&lt;VLOOKUP(S$5,NFI,5,0),1,0)*Table_NFI[[#This Row],[Winter Clothes Children]],Table_NFI[Winter Clothes Children])</f>
        <v>0</v>
      </c>
      <c r="AK273" s="448">
        <f>IF(NFI_Expiration=1,IF($A273&lt;VLOOKUP(T$5,NFI,5,0),1,0)*Table_NFI[[#This Row],[Winter Items Other]],Table_NFI[Winter Items Other])</f>
        <v>0</v>
      </c>
      <c r="AL273" s="448">
        <f>IF(NFI_Expiration=1,IF($A273&lt;VLOOKUP(M$5,NFI,5,0),1,0)*Table_NFI[[#This Row],[Winter Blanket]],Table_NFI[[#This Row],[Winter Blanket]])</f>
        <v>0</v>
      </c>
      <c r="AM273" s="448">
        <f>IF(Table_NFI[[#This Row],[Winter Clothes Adult]]+Table_NFI[[#This Row],[Winter Clothes Children]]+Table_NFI[[#This Row],[Winter Items Other]]+Table_NFI[[#This Row],[Winter Blanket]]&gt;0,1,0)</f>
        <v>1</v>
      </c>
      <c r="AN273" s="439">
        <f>IF(NFI_Expiration=1,IF($A273&lt;VLOOKUP(V$5,NFI,5,0),1,0)*Table_NFI[[#This Row],[Jerry Can]],Table_NFI[Jerry Can])</f>
        <v>0</v>
      </c>
      <c r="AO273" s="787" t="str">
        <f>IFERROR(VLOOKUP(Table_NFI[[#This Row],[Camp Name]],CL,2,0),"")</f>
        <v>MMR001CMP052</v>
      </c>
      <c r="AP273" s="788">
        <f ca="1">IF(Table_NFI[[#This Row],[Pcode]]="","",IF(OFFSET(CampList[Opening Date],MATCH(Table_NFI[[#This Row],[Pcode]],CampList[CP_Pcode],0)-1,0,1,1)&gt;=NFI_Monitor_Date,1,0))</f>
        <v>0</v>
      </c>
      <c r="AQ273" s="787" t="str">
        <f>IFERROR(VLOOKUP(Table_NFI[[#This Row],[Camp Name]],CL,3,0),"")</f>
        <v>Open</v>
      </c>
      <c r="AR273" s="448" t="str">
        <f ca="1">IF(Table_NFI[[#This Row],[Pcode]]="","",OFFSET(CampList[Priority],MATCH(Table_NFI[[#This Row],[Pcode]],CampList[CP_Pcode],0)-1,0,1,1))</f>
        <v>P4</v>
      </c>
      <c r="AS273" s="449">
        <f>IFERROR(Table_NFI[[#This Row],[Kitchen Set]]/VLOOKUP(Table_NFI[[#This Row],[Camp Name]],CL,4,0),"")</f>
        <v>0</v>
      </c>
      <c r="AT273" s="789"/>
      <c r="AU273" s="773"/>
    </row>
    <row r="274" spans="1:47" s="774" customFormat="1" x14ac:dyDescent="0.25">
      <c r="A274" s="451">
        <f t="shared" si="4"/>
        <v>21.1</v>
      </c>
      <c r="B274" s="768">
        <v>41737</v>
      </c>
      <c r="C274" s="769" t="s">
        <v>1111</v>
      </c>
      <c r="D274" s="769" t="s">
        <v>907</v>
      </c>
      <c r="E274" s="769" t="s">
        <v>380</v>
      </c>
      <c r="F274" s="769" t="s">
        <v>185</v>
      </c>
      <c r="G274" s="769" t="s">
        <v>207</v>
      </c>
      <c r="H274" s="436"/>
      <c r="I274" s="436"/>
      <c r="J274" s="436"/>
      <c r="K274" s="436"/>
      <c r="L274" s="437"/>
      <c r="M274" s="437"/>
      <c r="N274" s="437"/>
      <c r="O274" s="437"/>
      <c r="P274" s="439"/>
      <c r="Q274" s="439"/>
      <c r="R274" s="436"/>
      <c r="S274" s="436"/>
      <c r="T274" s="436"/>
      <c r="U274" s="436">
        <v>10</v>
      </c>
      <c r="V274" s="436"/>
      <c r="W274" s="436"/>
      <c r="X274" s="436"/>
      <c r="Y274" s="448">
        <f>IF(NFI_Expiration=1,IF($A274&lt;VLOOKUP(H$5,NFI,5,0),1,0)*Table_NFI[[#This Row],[Hygiene Kit]],Table_NFI[Hygiene Kit])</f>
        <v>0</v>
      </c>
      <c r="Z274" s="448">
        <f>IF(NFI_Expiration=1,IF($A274&lt;VLOOKUP(I$5,NFI,5,0),1,0)*Table_NFI[[#This Row],[NFI Core Kit]],Table_NFI[NFI Core Kit])</f>
        <v>0</v>
      </c>
      <c r="AA274" s="448">
        <f>IF(NFI_Expiration=1,IF($A274&lt;VLOOKUP(J$5,NFI,5,0),1,0)*Table_NFI[[#This Row],[Sanitary Kit]],Table_NFI[Sanitary Kit])</f>
        <v>0</v>
      </c>
      <c r="AB274" s="448">
        <f>IF(NFI_Expiration=1,IF($A274&lt;VLOOKUP(K$5,NFI,5,0),1,0)*Table_NFI[[#This Row],[Mosquito net]],Table_NFI[Mosquito net])</f>
        <v>0</v>
      </c>
      <c r="AC274" s="448">
        <f>IF(NFI_Expiration=1,IF($A274&lt;VLOOKUP(L$5,NFI,5,0),1,0)*Table_NFI[[#This Row],[Tarpaulin]],Table_NFI[[#This Row],[Tarpaulin]])</f>
        <v>0</v>
      </c>
      <c r="AD274" s="448">
        <f>IF(NFI_Expiration=1,IF($A274&lt;VLOOKUP(M$5,NFI,5,0),1,0)*Table_NFI[[#This Row],[Blanket]],Table_NFI[[#This Row],[Blanket]])</f>
        <v>0</v>
      </c>
      <c r="AE274" s="448">
        <f>IF(NFI_Expiration=1,IF($A274&lt;VLOOKUP(N$5,NFI,5,0),1,0)*Table_NFI[[#This Row],[Kitchen Set]],Table_NFI[Kitchen Set])</f>
        <v>0</v>
      </c>
      <c r="AF274" s="448">
        <f>IF(NFI_Expiration=1,IF($A274&lt;VLOOKUP(O$5,NFI,5,0),1,0)*Table_NFI[[#This Row],[Clothes Kit]],Table_NFI[Clothes Kit])</f>
        <v>0</v>
      </c>
      <c r="AG274" s="448">
        <f>IF(NFI_Expiration=1,IF($A274&lt;VLOOKUP(P$5,NFI,5,0),1,0)*Table_NFI[[#This Row],[Plastic Bucket]],Table_NFI[Plastic Bucket])</f>
        <v>0</v>
      </c>
      <c r="AH274" s="448">
        <f>IF(NFI_Expiration=1,IF($A274&lt;VLOOKUP(Q$5,NFI,5,0),1,0)*Table_NFI[[#This Row],[Plastic Mat]],Table_NFI[Plastic Mat])*IF(Table_NFI[[#This Row],[Distribution Date]]&gt;"2014-04-01",1,2.5)</f>
        <v>0</v>
      </c>
      <c r="AI274" s="448">
        <f>IF(NFI_Expiration=1,IF($A274&lt;VLOOKUP(R$5,NFI,5,0),1,0)*Table_NFI[[#This Row],[Winter Clothes Adult]],Table_NFI[Winter Clothes Adult])</f>
        <v>0</v>
      </c>
      <c r="AJ274" s="448">
        <f>IF(NFI_Expiration=1,IF($A274&lt;VLOOKUP(S$5,NFI,5,0),1,0)*Table_NFI[[#This Row],[Winter Clothes Children]],Table_NFI[Winter Clothes Children])</f>
        <v>0</v>
      </c>
      <c r="AK274" s="448">
        <f>IF(NFI_Expiration=1,IF($A274&lt;VLOOKUP(T$5,NFI,5,0),1,0)*Table_NFI[[#This Row],[Winter Items Other]],Table_NFI[Winter Items Other])</f>
        <v>0</v>
      </c>
      <c r="AL274" s="448">
        <f>IF(NFI_Expiration=1,IF($A274&lt;VLOOKUP(M$5,NFI,5,0),1,0)*Table_NFI[[#This Row],[Winter Blanket]],Table_NFI[[#This Row],[Winter Blanket]])</f>
        <v>0</v>
      </c>
      <c r="AM274" s="448">
        <f>IF(Table_NFI[[#This Row],[Winter Clothes Adult]]+Table_NFI[[#This Row],[Winter Clothes Children]]+Table_NFI[[#This Row],[Winter Items Other]]+Table_NFI[[#This Row],[Winter Blanket]]&gt;0,1,0)</f>
        <v>1</v>
      </c>
      <c r="AN274" s="439">
        <f>IF(NFI_Expiration=1,IF($A274&lt;VLOOKUP(V$5,NFI,5,0),1,0)*Table_NFI[[#This Row],[Jerry Can]],Table_NFI[Jerry Can])</f>
        <v>0</v>
      </c>
      <c r="AO274" s="787" t="str">
        <f>IFERROR(VLOOKUP(Table_NFI[[#This Row],[Camp Name]],CL,2,0),"")</f>
        <v>MMR001CMP058</v>
      </c>
      <c r="AP274" s="788">
        <f ca="1">IF(Table_NFI[[#This Row],[Pcode]]="","",IF(OFFSET(CampList[Opening Date],MATCH(Table_NFI[[#This Row],[Pcode]],CampList[CP_Pcode],0)-1,0,1,1)&gt;=NFI_Monitor_Date,1,0))</f>
        <v>0</v>
      </c>
      <c r="AQ274" s="771" t="s">
        <v>849</v>
      </c>
      <c r="AR274" s="448" t="str">
        <f ca="1">IF(Table_NFI[[#This Row],[Pcode]]="","",OFFSET(CampList[Priority],MATCH(Table_NFI[[#This Row],[Pcode]],CampList[CP_Pcode],0)-1,0,1,1))</f>
        <v>P4</v>
      </c>
      <c r="AS274" s="449" t="str">
        <f>IFERROR(Table_NFI[[#This Row],[Kitchen Set]]/VLOOKUP(Table_NFI[[#This Row],[Camp Name]],CL,4,0),"")</f>
        <v/>
      </c>
      <c r="AT274" s="789"/>
      <c r="AU274" s="773"/>
    </row>
    <row r="275" spans="1:47" s="774" customFormat="1" x14ac:dyDescent="0.25">
      <c r="A275" s="451">
        <f t="shared" si="4"/>
        <v>21.1</v>
      </c>
      <c r="B275" s="768">
        <v>41737</v>
      </c>
      <c r="C275" s="769" t="s">
        <v>1111</v>
      </c>
      <c r="D275" s="769" t="s">
        <v>907</v>
      </c>
      <c r="E275" s="769" t="s">
        <v>380</v>
      </c>
      <c r="F275" s="769" t="s">
        <v>185</v>
      </c>
      <c r="G275" s="769" t="s">
        <v>217</v>
      </c>
      <c r="H275" s="436"/>
      <c r="I275" s="436"/>
      <c r="J275" s="436"/>
      <c r="K275" s="436"/>
      <c r="L275" s="437"/>
      <c r="M275" s="437"/>
      <c r="N275" s="437"/>
      <c r="O275" s="437"/>
      <c r="P275" s="439"/>
      <c r="Q275" s="439"/>
      <c r="R275" s="436"/>
      <c r="S275" s="436"/>
      <c r="T275" s="436"/>
      <c r="U275" s="436">
        <v>46</v>
      </c>
      <c r="V275" s="436"/>
      <c r="W275" s="436"/>
      <c r="X275" s="436"/>
      <c r="Y275" s="448">
        <f>IF(NFI_Expiration=1,IF($A275&lt;VLOOKUP(H$5,NFI,5,0),1,0)*Table_NFI[[#This Row],[Hygiene Kit]],Table_NFI[Hygiene Kit])</f>
        <v>0</v>
      </c>
      <c r="Z275" s="448">
        <f>IF(NFI_Expiration=1,IF($A275&lt;VLOOKUP(I$5,NFI,5,0),1,0)*Table_NFI[[#This Row],[NFI Core Kit]],Table_NFI[NFI Core Kit])</f>
        <v>0</v>
      </c>
      <c r="AA275" s="448">
        <f>IF(NFI_Expiration=1,IF($A275&lt;VLOOKUP(J$5,NFI,5,0),1,0)*Table_NFI[[#This Row],[Sanitary Kit]],Table_NFI[Sanitary Kit])</f>
        <v>0</v>
      </c>
      <c r="AB275" s="448">
        <f>IF(NFI_Expiration=1,IF($A275&lt;VLOOKUP(K$5,NFI,5,0),1,0)*Table_NFI[[#This Row],[Mosquito net]],Table_NFI[Mosquito net])</f>
        <v>0</v>
      </c>
      <c r="AC275" s="448">
        <f>IF(NFI_Expiration=1,IF($A275&lt;VLOOKUP(L$5,NFI,5,0),1,0)*Table_NFI[[#This Row],[Tarpaulin]],Table_NFI[[#This Row],[Tarpaulin]])</f>
        <v>0</v>
      </c>
      <c r="AD275" s="448">
        <f>IF(NFI_Expiration=1,IF($A275&lt;VLOOKUP(M$5,NFI,5,0),1,0)*Table_NFI[[#This Row],[Blanket]],Table_NFI[[#This Row],[Blanket]])</f>
        <v>0</v>
      </c>
      <c r="AE275" s="448">
        <f>IF(NFI_Expiration=1,IF($A275&lt;VLOOKUP(N$5,NFI,5,0),1,0)*Table_NFI[[#This Row],[Kitchen Set]],Table_NFI[Kitchen Set])</f>
        <v>0</v>
      </c>
      <c r="AF275" s="448">
        <f>IF(NFI_Expiration=1,IF($A275&lt;VLOOKUP(O$5,NFI,5,0),1,0)*Table_NFI[[#This Row],[Clothes Kit]],Table_NFI[Clothes Kit])</f>
        <v>0</v>
      </c>
      <c r="AG275" s="448">
        <f>IF(NFI_Expiration=1,IF($A275&lt;VLOOKUP(P$5,NFI,5,0),1,0)*Table_NFI[[#This Row],[Plastic Bucket]],Table_NFI[Plastic Bucket])</f>
        <v>0</v>
      </c>
      <c r="AH275" s="448">
        <f>IF(NFI_Expiration=1,IF($A275&lt;VLOOKUP(Q$5,NFI,5,0),1,0)*Table_NFI[[#This Row],[Plastic Mat]],Table_NFI[Plastic Mat])*IF(Table_NFI[[#This Row],[Distribution Date]]&gt;"2014-04-01",1,2.5)</f>
        <v>0</v>
      </c>
      <c r="AI275" s="448">
        <f>IF(NFI_Expiration=1,IF($A275&lt;VLOOKUP(R$5,NFI,5,0),1,0)*Table_NFI[[#This Row],[Winter Clothes Adult]],Table_NFI[Winter Clothes Adult])</f>
        <v>0</v>
      </c>
      <c r="AJ275" s="448">
        <f>IF(NFI_Expiration=1,IF($A275&lt;VLOOKUP(S$5,NFI,5,0),1,0)*Table_NFI[[#This Row],[Winter Clothes Children]],Table_NFI[Winter Clothes Children])</f>
        <v>0</v>
      </c>
      <c r="AK275" s="448">
        <f>IF(NFI_Expiration=1,IF($A275&lt;VLOOKUP(T$5,NFI,5,0),1,0)*Table_NFI[[#This Row],[Winter Items Other]],Table_NFI[Winter Items Other])</f>
        <v>0</v>
      </c>
      <c r="AL275" s="448">
        <f>IF(NFI_Expiration=1,IF($A275&lt;VLOOKUP(M$5,NFI,5,0),1,0)*Table_NFI[[#This Row],[Winter Blanket]],Table_NFI[[#This Row],[Winter Blanket]])</f>
        <v>0</v>
      </c>
      <c r="AM275" s="448">
        <f>IF(Table_NFI[[#This Row],[Winter Clothes Adult]]+Table_NFI[[#This Row],[Winter Clothes Children]]+Table_NFI[[#This Row],[Winter Items Other]]+Table_NFI[[#This Row],[Winter Blanket]]&gt;0,1,0)</f>
        <v>1</v>
      </c>
      <c r="AN275" s="439">
        <f>IF(NFI_Expiration=1,IF($A275&lt;VLOOKUP(V$5,NFI,5,0),1,0)*Table_NFI[[#This Row],[Jerry Can]],Table_NFI[Jerry Can])</f>
        <v>0</v>
      </c>
      <c r="AO275" s="787" t="str">
        <f>IFERROR(VLOOKUP(Table_NFI[[#This Row],[Camp Name]],CL,2,0),"")</f>
        <v>MMR001CMP059</v>
      </c>
      <c r="AP275" s="788">
        <f ca="1">IF(Table_NFI[[#This Row],[Pcode]]="","",IF(OFFSET(CampList[Opening Date],MATCH(Table_NFI[[#This Row],[Pcode]],CampList[CP_Pcode],0)-1,0,1,1)&gt;=NFI_Monitor_Date,1,0))</f>
        <v>0</v>
      </c>
      <c r="AQ275" s="787" t="str">
        <f>IFERROR(VLOOKUP(Table_NFI[[#This Row],[Camp Name]],CL,3,0),"")</f>
        <v>Open</v>
      </c>
      <c r="AR275" s="448" t="str">
        <f ca="1">IF(Table_NFI[[#This Row],[Pcode]]="","",OFFSET(CampList[Priority],MATCH(Table_NFI[[#This Row],[Pcode]],CampList[CP_Pcode],0)-1,0,1,1))</f>
        <v>P4</v>
      </c>
      <c r="AS275" s="449">
        <f>IFERROR(Table_NFI[[#This Row],[Kitchen Set]]/VLOOKUP(Table_NFI[[#This Row],[Camp Name]],CL,4,0),"")</f>
        <v>0</v>
      </c>
      <c r="AT275" s="789"/>
      <c r="AU275" s="773"/>
    </row>
    <row r="276" spans="1:47" s="774" customFormat="1" x14ac:dyDescent="0.25">
      <c r="A276" s="451">
        <f t="shared" si="4"/>
        <v>21.1</v>
      </c>
      <c r="B276" s="768">
        <v>41737</v>
      </c>
      <c r="C276" s="769" t="s">
        <v>1111</v>
      </c>
      <c r="D276" s="769" t="s">
        <v>907</v>
      </c>
      <c r="E276" s="769" t="s">
        <v>380</v>
      </c>
      <c r="F276" s="769" t="s">
        <v>5</v>
      </c>
      <c r="G276" s="769" t="s">
        <v>366</v>
      </c>
      <c r="H276" s="436"/>
      <c r="I276" s="436"/>
      <c r="J276" s="436"/>
      <c r="K276" s="436"/>
      <c r="L276" s="437"/>
      <c r="M276" s="437"/>
      <c r="N276" s="437"/>
      <c r="O276" s="437"/>
      <c r="P276" s="439"/>
      <c r="Q276" s="439"/>
      <c r="R276" s="436"/>
      <c r="S276" s="436"/>
      <c r="T276" s="436"/>
      <c r="U276" s="436">
        <v>372</v>
      </c>
      <c r="V276" s="436"/>
      <c r="W276" s="436"/>
      <c r="X276" s="436"/>
      <c r="Y276" s="448">
        <f>IF(NFI_Expiration=1,IF($A276&lt;VLOOKUP(H$5,NFI,5,0),1,0)*Table_NFI[[#This Row],[Hygiene Kit]],Table_NFI[Hygiene Kit])</f>
        <v>0</v>
      </c>
      <c r="Z276" s="448">
        <f>IF(NFI_Expiration=1,IF($A276&lt;VLOOKUP(I$5,NFI,5,0),1,0)*Table_NFI[[#This Row],[NFI Core Kit]],Table_NFI[NFI Core Kit])</f>
        <v>0</v>
      </c>
      <c r="AA276" s="448">
        <f>IF(NFI_Expiration=1,IF($A276&lt;VLOOKUP(J$5,NFI,5,0),1,0)*Table_NFI[[#This Row],[Sanitary Kit]],Table_NFI[Sanitary Kit])</f>
        <v>0</v>
      </c>
      <c r="AB276" s="448">
        <f>IF(NFI_Expiration=1,IF($A276&lt;VLOOKUP(K$5,NFI,5,0),1,0)*Table_NFI[[#This Row],[Mosquito net]],Table_NFI[Mosquito net])</f>
        <v>0</v>
      </c>
      <c r="AC276" s="448">
        <f>IF(NFI_Expiration=1,IF($A276&lt;VLOOKUP(L$5,NFI,5,0),1,0)*Table_NFI[[#This Row],[Tarpaulin]],Table_NFI[[#This Row],[Tarpaulin]])</f>
        <v>0</v>
      </c>
      <c r="AD276" s="448">
        <f>IF(NFI_Expiration=1,IF($A276&lt;VLOOKUP(M$5,NFI,5,0),1,0)*Table_NFI[[#This Row],[Blanket]],Table_NFI[[#This Row],[Blanket]])</f>
        <v>0</v>
      </c>
      <c r="AE276" s="448">
        <f>IF(NFI_Expiration=1,IF($A276&lt;VLOOKUP(N$5,NFI,5,0),1,0)*Table_NFI[[#This Row],[Kitchen Set]],Table_NFI[Kitchen Set])</f>
        <v>0</v>
      </c>
      <c r="AF276" s="448">
        <f>IF(NFI_Expiration=1,IF($A276&lt;VLOOKUP(O$5,NFI,5,0),1,0)*Table_NFI[[#This Row],[Clothes Kit]],Table_NFI[Clothes Kit])</f>
        <v>0</v>
      </c>
      <c r="AG276" s="448">
        <f>IF(NFI_Expiration=1,IF($A276&lt;VLOOKUP(P$5,NFI,5,0),1,0)*Table_NFI[[#This Row],[Plastic Bucket]],Table_NFI[Plastic Bucket])</f>
        <v>0</v>
      </c>
      <c r="AH276" s="448">
        <f>IF(NFI_Expiration=1,IF($A276&lt;VLOOKUP(Q$5,NFI,5,0),1,0)*Table_NFI[[#This Row],[Plastic Mat]],Table_NFI[Plastic Mat])*IF(Table_NFI[[#This Row],[Distribution Date]]&gt;"2014-04-01",1,2.5)</f>
        <v>0</v>
      </c>
      <c r="AI276" s="448">
        <f>IF(NFI_Expiration=1,IF($A276&lt;VLOOKUP(R$5,NFI,5,0),1,0)*Table_NFI[[#This Row],[Winter Clothes Adult]],Table_NFI[Winter Clothes Adult])</f>
        <v>0</v>
      </c>
      <c r="AJ276" s="448">
        <f>IF(NFI_Expiration=1,IF($A276&lt;VLOOKUP(S$5,NFI,5,0),1,0)*Table_NFI[[#This Row],[Winter Clothes Children]],Table_NFI[Winter Clothes Children])</f>
        <v>0</v>
      </c>
      <c r="AK276" s="448">
        <f>IF(NFI_Expiration=1,IF($A276&lt;VLOOKUP(T$5,NFI,5,0),1,0)*Table_NFI[[#This Row],[Winter Items Other]],Table_NFI[Winter Items Other])</f>
        <v>0</v>
      </c>
      <c r="AL276" s="448">
        <f>IF(NFI_Expiration=1,IF($A276&lt;VLOOKUP(M$5,NFI,5,0),1,0)*Table_NFI[[#This Row],[Winter Blanket]],Table_NFI[[#This Row],[Winter Blanket]])</f>
        <v>0</v>
      </c>
      <c r="AM276" s="448">
        <f>IF(Table_NFI[[#This Row],[Winter Clothes Adult]]+Table_NFI[[#This Row],[Winter Clothes Children]]+Table_NFI[[#This Row],[Winter Items Other]]+Table_NFI[[#This Row],[Winter Blanket]]&gt;0,1,0)</f>
        <v>1</v>
      </c>
      <c r="AN276" s="439">
        <f>IF(NFI_Expiration=1,IF($A276&lt;VLOOKUP(V$5,NFI,5,0),1,0)*Table_NFI[[#This Row],[Jerry Can]],Table_NFI[Jerry Can])</f>
        <v>0</v>
      </c>
      <c r="AO276" s="787" t="str">
        <f>IFERROR(VLOOKUP(Table_NFI[[#This Row],[Camp Name]],CL,2,0),"")</f>
        <v>MMR001CMP193</v>
      </c>
      <c r="AP276" s="788">
        <f ca="1">IF(Table_NFI[[#This Row],[Pcode]]="","",IF(OFFSET(CampList[Opening Date],MATCH(Table_NFI[[#This Row],[Pcode]],CampList[CP_Pcode],0)-1,0,1,1)&gt;=NFI_Monitor_Date,1,0))</f>
        <v>0</v>
      </c>
      <c r="AQ276" s="787" t="str">
        <f>IFERROR(VLOOKUP(Table_NFI[[#This Row],[Camp Name]],CL,3,0),"")</f>
        <v>Open</v>
      </c>
      <c r="AR276" s="448" t="str">
        <f ca="1">IF(Table_NFI[[#This Row],[Pcode]]="","",OFFSET(CampList[Priority],MATCH(Table_NFI[[#This Row],[Pcode]],CampList[CP_Pcode],0)-1,0,1,1))</f>
        <v>P4</v>
      </c>
      <c r="AS276" s="449">
        <f>IFERROR(Table_NFI[[#This Row],[Kitchen Set]]/VLOOKUP(Table_NFI[[#This Row],[Camp Name]],CL,4,0),"")</f>
        <v>0</v>
      </c>
      <c r="AT276" s="789"/>
      <c r="AU276" s="773"/>
    </row>
    <row r="277" spans="1:47" s="774" customFormat="1" x14ac:dyDescent="0.25">
      <c r="A277" s="451">
        <f t="shared" si="4"/>
        <v>21.133333333333333</v>
      </c>
      <c r="B277" s="768">
        <v>41736</v>
      </c>
      <c r="C277" s="769" t="s">
        <v>1111</v>
      </c>
      <c r="D277" s="769" t="s">
        <v>907</v>
      </c>
      <c r="E277" s="769" t="s">
        <v>380</v>
      </c>
      <c r="F277" s="769" t="s">
        <v>151</v>
      </c>
      <c r="G277" s="769" t="s">
        <v>891</v>
      </c>
      <c r="H277" s="436"/>
      <c r="I277" s="436"/>
      <c r="J277" s="436"/>
      <c r="K277" s="436"/>
      <c r="L277" s="437"/>
      <c r="M277" s="437"/>
      <c r="N277" s="437"/>
      <c r="O277" s="437"/>
      <c r="P277" s="439"/>
      <c r="Q277" s="439"/>
      <c r="R277" s="436"/>
      <c r="S277" s="436"/>
      <c r="T277" s="436"/>
      <c r="U277" s="436">
        <v>478</v>
      </c>
      <c r="V277" s="436"/>
      <c r="W277" s="436"/>
      <c r="X277" s="436"/>
      <c r="Y277" s="448">
        <f>IF(NFI_Expiration=1,IF($A277&lt;VLOOKUP(H$5,NFI,5,0),1,0)*Table_NFI[[#This Row],[Hygiene Kit]],Table_NFI[Hygiene Kit])</f>
        <v>0</v>
      </c>
      <c r="Z277" s="448">
        <f>IF(NFI_Expiration=1,IF($A277&lt;VLOOKUP(I$5,NFI,5,0),1,0)*Table_NFI[[#This Row],[NFI Core Kit]],Table_NFI[NFI Core Kit])</f>
        <v>0</v>
      </c>
      <c r="AA277" s="448">
        <f>IF(NFI_Expiration=1,IF($A277&lt;VLOOKUP(J$5,NFI,5,0),1,0)*Table_NFI[[#This Row],[Sanitary Kit]],Table_NFI[Sanitary Kit])</f>
        <v>0</v>
      </c>
      <c r="AB277" s="448">
        <f>IF(NFI_Expiration=1,IF($A277&lt;VLOOKUP(K$5,NFI,5,0),1,0)*Table_NFI[[#This Row],[Mosquito net]],Table_NFI[Mosquito net])</f>
        <v>0</v>
      </c>
      <c r="AC277" s="448">
        <f>IF(NFI_Expiration=1,IF($A277&lt;VLOOKUP(L$5,NFI,5,0),1,0)*Table_NFI[[#This Row],[Tarpaulin]],Table_NFI[[#This Row],[Tarpaulin]])</f>
        <v>0</v>
      </c>
      <c r="AD277" s="448">
        <f>IF(NFI_Expiration=1,IF($A277&lt;VLOOKUP(M$5,NFI,5,0),1,0)*Table_NFI[[#This Row],[Blanket]],Table_NFI[[#This Row],[Blanket]])</f>
        <v>0</v>
      </c>
      <c r="AE277" s="448">
        <f>IF(NFI_Expiration=1,IF($A277&lt;VLOOKUP(N$5,NFI,5,0),1,0)*Table_NFI[[#This Row],[Kitchen Set]],Table_NFI[Kitchen Set])</f>
        <v>0</v>
      </c>
      <c r="AF277" s="448">
        <f>IF(NFI_Expiration=1,IF($A277&lt;VLOOKUP(O$5,NFI,5,0),1,0)*Table_NFI[[#This Row],[Clothes Kit]],Table_NFI[Clothes Kit])</f>
        <v>0</v>
      </c>
      <c r="AG277" s="448">
        <f>IF(NFI_Expiration=1,IF($A277&lt;VLOOKUP(P$5,NFI,5,0),1,0)*Table_NFI[[#This Row],[Plastic Bucket]],Table_NFI[Plastic Bucket])</f>
        <v>0</v>
      </c>
      <c r="AH277" s="448">
        <f>IF(NFI_Expiration=1,IF($A277&lt;VLOOKUP(Q$5,NFI,5,0),1,0)*Table_NFI[[#This Row],[Plastic Mat]],Table_NFI[Plastic Mat])*IF(Table_NFI[[#This Row],[Distribution Date]]&gt;"2014-04-01",1,2.5)</f>
        <v>0</v>
      </c>
      <c r="AI277" s="448">
        <f>IF(NFI_Expiration=1,IF($A277&lt;VLOOKUP(R$5,NFI,5,0),1,0)*Table_NFI[[#This Row],[Winter Clothes Adult]],Table_NFI[Winter Clothes Adult])</f>
        <v>0</v>
      </c>
      <c r="AJ277" s="448">
        <f>IF(NFI_Expiration=1,IF($A277&lt;VLOOKUP(S$5,NFI,5,0),1,0)*Table_NFI[[#This Row],[Winter Clothes Children]],Table_NFI[Winter Clothes Children])</f>
        <v>0</v>
      </c>
      <c r="AK277" s="448">
        <f>IF(NFI_Expiration=1,IF($A277&lt;VLOOKUP(T$5,NFI,5,0),1,0)*Table_NFI[[#This Row],[Winter Items Other]],Table_NFI[Winter Items Other])</f>
        <v>0</v>
      </c>
      <c r="AL277" s="448">
        <f>IF(NFI_Expiration=1,IF($A277&lt;VLOOKUP(M$5,NFI,5,0),1,0)*Table_NFI[[#This Row],[Winter Blanket]],Table_NFI[[#This Row],[Winter Blanket]])</f>
        <v>0</v>
      </c>
      <c r="AM277" s="448">
        <f>IF(Table_NFI[[#This Row],[Winter Clothes Adult]]+Table_NFI[[#This Row],[Winter Clothes Children]]+Table_NFI[[#This Row],[Winter Items Other]]+Table_NFI[[#This Row],[Winter Blanket]]&gt;0,1,0)</f>
        <v>1</v>
      </c>
      <c r="AN277" s="439">
        <f>IF(NFI_Expiration=1,IF($A277&lt;VLOOKUP(V$5,NFI,5,0),1,0)*Table_NFI[[#This Row],[Jerry Can]],Table_NFI[Jerry Can])</f>
        <v>0</v>
      </c>
      <c r="AO277" s="787" t="str">
        <f>IFERROR(VLOOKUP(Table_NFI[[#This Row],[Camp Name]],CL,2,0),"")</f>
        <v>MMR001CMP218</v>
      </c>
      <c r="AP277" s="788">
        <f ca="1">IF(Table_NFI[[#This Row],[Pcode]]="","",IF(OFFSET(CampList[Opening Date],MATCH(Table_NFI[[#This Row],[Pcode]],CampList[CP_Pcode],0)-1,0,1,1)&gt;=NFI_Monitor_Date,1,0))</f>
        <v>0</v>
      </c>
      <c r="AQ277" s="787" t="str">
        <f>IFERROR(VLOOKUP(Table_NFI[[#This Row],[Camp Name]],CL,3,0),"")</f>
        <v>Open</v>
      </c>
      <c r="AR277" s="448" t="str">
        <f ca="1">IF(Table_NFI[[#This Row],[Pcode]]="","",OFFSET(CampList[Priority],MATCH(Table_NFI[[#This Row],[Pcode]],CampList[CP_Pcode],0)-1,0,1,1))</f>
        <v>P4</v>
      </c>
      <c r="AS277" s="449">
        <f>IFERROR(Table_NFI[[#This Row],[Kitchen Set]]/VLOOKUP(Table_NFI[[#This Row],[Camp Name]],CL,4,0),"")</f>
        <v>0</v>
      </c>
      <c r="AT277" s="789"/>
      <c r="AU277" s="773"/>
    </row>
    <row r="278" spans="1:47" s="803" customFormat="1" x14ac:dyDescent="0.25">
      <c r="A278" s="451">
        <f t="shared" si="4"/>
        <v>21.133333333333333</v>
      </c>
      <c r="B278" s="768">
        <v>41736</v>
      </c>
      <c r="C278" s="769" t="s">
        <v>1111</v>
      </c>
      <c r="D278" s="769" t="s">
        <v>907</v>
      </c>
      <c r="E278" s="769" t="s">
        <v>380</v>
      </c>
      <c r="F278" s="769" t="s">
        <v>151</v>
      </c>
      <c r="G278" s="769" t="s">
        <v>949</v>
      </c>
      <c r="H278" s="436"/>
      <c r="I278" s="436"/>
      <c r="J278" s="436"/>
      <c r="K278" s="436"/>
      <c r="L278" s="437"/>
      <c r="M278" s="437"/>
      <c r="N278" s="437"/>
      <c r="O278" s="437"/>
      <c r="P278" s="439"/>
      <c r="Q278" s="439"/>
      <c r="R278" s="436"/>
      <c r="S278" s="436"/>
      <c r="T278" s="436"/>
      <c r="U278" s="436">
        <v>158</v>
      </c>
      <c r="V278" s="695"/>
      <c r="W278" s="695"/>
      <c r="X278" s="695"/>
      <c r="Y278" s="448">
        <f>IF(NFI_Expiration=1,IF($A278&lt;VLOOKUP(H$5,NFI,5,0),1,0)*Table_NFI[[#This Row],[Hygiene Kit]],Table_NFI[Hygiene Kit])</f>
        <v>0</v>
      </c>
      <c r="Z278" s="448">
        <f>IF(NFI_Expiration=1,IF($A278&lt;VLOOKUP(I$5,NFI,5,0),1,0)*Table_NFI[[#This Row],[NFI Core Kit]],Table_NFI[NFI Core Kit])</f>
        <v>0</v>
      </c>
      <c r="AA278" s="448">
        <f>IF(NFI_Expiration=1,IF($A278&lt;VLOOKUP(J$5,NFI,5,0),1,0)*Table_NFI[[#This Row],[Sanitary Kit]],Table_NFI[Sanitary Kit])</f>
        <v>0</v>
      </c>
      <c r="AB278" s="448">
        <f>IF(NFI_Expiration=1,IF($A278&lt;VLOOKUP(K$5,NFI,5,0),1,0)*Table_NFI[[#This Row],[Mosquito net]],Table_NFI[Mosquito net])</f>
        <v>0</v>
      </c>
      <c r="AC278" s="448">
        <f>IF(NFI_Expiration=1,IF($A278&lt;VLOOKUP(L$5,NFI,5,0),1,0)*Table_NFI[[#This Row],[Tarpaulin]],Table_NFI[[#This Row],[Tarpaulin]])</f>
        <v>0</v>
      </c>
      <c r="AD278" s="448">
        <f>IF(NFI_Expiration=1,IF($A278&lt;VLOOKUP(M$5,NFI,5,0),1,0)*Table_NFI[[#This Row],[Blanket]],Table_NFI[[#This Row],[Blanket]])</f>
        <v>0</v>
      </c>
      <c r="AE278" s="448">
        <f>IF(NFI_Expiration=1,IF($A278&lt;VLOOKUP(N$5,NFI,5,0),1,0)*Table_NFI[[#This Row],[Kitchen Set]],Table_NFI[Kitchen Set])</f>
        <v>0</v>
      </c>
      <c r="AF278" s="448">
        <f>IF(NFI_Expiration=1,IF($A278&lt;VLOOKUP(O$5,NFI,5,0),1,0)*Table_NFI[[#This Row],[Clothes Kit]],Table_NFI[Clothes Kit])</f>
        <v>0</v>
      </c>
      <c r="AG278" s="448">
        <f>IF(NFI_Expiration=1,IF($A278&lt;VLOOKUP(P$5,NFI,5,0),1,0)*Table_NFI[[#This Row],[Plastic Bucket]],Table_NFI[Plastic Bucket])</f>
        <v>0</v>
      </c>
      <c r="AH278" s="448">
        <f>IF(NFI_Expiration=1,IF($A278&lt;VLOOKUP(Q$5,NFI,5,0),1,0)*Table_NFI[[#This Row],[Plastic Mat]],Table_NFI[Plastic Mat])*IF(Table_NFI[[#This Row],[Distribution Date]]&gt;"2014-04-01",1,2.5)</f>
        <v>0</v>
      </c>
      <c r="AI278" s="448">
        <f>IF(NFI_Expiration=1,IF($A278&lt;VLOOKUP(R$5,NFI,5,0),1,0)*Table_NFI[[#This Row],[Winter Clothes Adult]],Table_NFI[Winter Clothes Adult])</f>
        <v>0</v>
      </c>
      <c r="AJ278" s="448">
        <f>IF(NFI_Expiration=1,IF($A278&lt;VLOOKUP(S$5,NFI,5,0),1,0)*Table_NFI[[#This Row],[Winter Clothes Children]],Table_NFI[Winter Clothes Children])</f>
        <v>0</v>
      </c>
      <c r="AK278" s="448">
        <f>IF(NFI_Expiration=1,IF($A278&lt;VLOOKUP(T$5,NFI,5,0),1,0)*Table_NFI[[#This Row],[Winter Items Other]],Table_NFI[Winter Items Other])</f>
        <v>0</v>
      </c>
      <c r="AL278" s="448">
        <f>IF(NFI_Expiration=1,IF($A278&lt;VLOOKUP(M$5,NFI,5,0),1,0)*Table_NFI[[#This Row],[Winter Blanket]],Table_NFI[[#This Row],[Winter Blanket]])</f>
        <v>0</v>
      </c>
      <c r="AM278" s="448">
        <f>IF(Table_NFI[[#This Row],[Winter Clothes Adult]]+Table_NFI[[#This Row],[Winter Clothes Children]]+Table_NFI[[#This Row],[Winter Items Other]]+Table_NFI[[#This Row],[Winter Blanket]]&gt;0,1,0)</f>
        <v>1</v>
      </c>
      <c r="AN278" s="488">
        <f>IF(NFI_Expiration=1,IF($A278&lt;VLOOKUP(V$5,NFI,5,0),1,0)*Table_NFI[[#This Row],[Jerry Can]],Table_NFI[Jerry Can])</f>
        <v>0</v>
      </c>
      <c r="AO278" s="787" t="str">
        <f>IFERROR(VLOOKUP(Table_NFI[[#This Row],[Camp Name]],CL,2,0),"")</f>
        <v>MMR001CMP223</v>
      </c>
      <c r="AP278" s="788">
        <f ca="1">IF(Table_NFI[[#This Row],[Pcode]]="","",IF(OFFSET(CampList[Opening Date],MATCH(Table_NFI[[#This Row],[Pcode]],CampList[CP_Pcode],0)-1,0,1,1)&gt;=NFI_Monitor_Date,1,0))</f>
        <v>0</v>
      </c>
      <c r="AQ278" s="787" t="str">
        <f>IFERROR(VLOOKUP(Table_NFI[[#This Row],[Camp Name]],CL,3,0),"")</f>
        <v>Open</v>
      </c>
      <c r="AR278" s="448" t="str">
        <f ca="1">IF(Table_NFI[[#This Row],[Pcode]]="","",OFFSET(CampList[Priority],MATCH(Table_NFI[[#This Row],[Pcode]],CampList[CP_Pcode],0)-1,0,1,1))</f>
        <v>P4</v>
      </c>
      <c r="AS278" s="449">
        <f>IFERROR(Table_NFI[[#This Row],[Kitchen Set]]/VLOOKUP(Table_NFI[[#This Row],[Camp Name]],CL,4,0),"")</f>
        <v>0</v>
      </c>
      <c r="AT278" s="789"/>
      <c r="AU278" s="773"/>
    </row>
    <row r="279" spans="1:47" s="774" customFormat="1" x14ac:dyDescent="0.25">
      <c r="A279" s="451">
        <f t="shared" si="4"/>
        <v>21.133333333333333</v>
      </c>
      <c r="B279" s="768">
        <v>41736</v>
      </c>
      <c r="C279" s="769" t="s">
        <v>1111</v>
      </c>
      <c r="D279" s="769" t="s">
        <v>907</v>
      </c>
      <c r="E279" s="769" t="s">
        <v>380</v>
      </c>
      <c r="F279" s="769" t="s">
        <v>151</v>
      </c>
      <c r="G279" s="769" t="s">
        <v>12</v>
      </c>
      <c r="H279" s="436"/>
      <c r="I279" s="436"/>
      <c r="J279" s="436"/>
      <c r="K279" s="436"/>
      <c r="L279" s="437"/>
      <c r="M279" s="437"/>
      <c r="N279" s="437"/>
      <c r="O279" s="437"/>
      <c r="P279" s="439"/>
      <c r="Q279" s="439"/>
      <c r="R279" s="436"/>
      <c r="S279" s="436"/>
      <c r="T279" s="436"/>
      <c r="U279" s="436">
        <v>558</v>
      </c>
      <c r="V279" s="436"/>
      <c r="W279" s="436"/>
      <c r="X279" s="436"/>
      <c r="Y279" s="448">
        <f>IF(NFI_Expiration=1,IF($A279&lt;VLOOKUP(H$5,NFI,5,0),1,0)*Table_NFI[[#This Row],[Hygiene Kit]],Table_NFI[Hygiene Kit])</f>
        <v>0</v>
      </c>
      <c r="Z279" s="448">
        <f>IF(NFI_Expiration=1,IF($A279&lt;VLOOKUP(I$5,NFI,5,0),1,0)*Table_NFI[[#This Row],[NFI Core Kit]],Table_NFI[NFI Core Kit])</f>
        <v>0</v>
      </c>
      <c r="AA279" s="448">
        <f>IF(NFI_Expiration=1,IF($A279&lt;VLOOKUP(J$5,NFI,5,0),1,0)*Table_NFI[[#This Row],[Sanitary Kit]],Table_NFI[Sanitary Kit])</f>
        <v>0</v>
      </c>
      <c r="AB279" s="448">
        <f>IF(NFI_Expiration=1,IF($A279&lt;VLOOKUP(K$5,NFI,5,0),1,0)*Table_NFI[[#This Row],[Mosquito net]],Table_NFI[Mosquito net])</f>
        <v>0</v>
      </c>
      <c r="AC279" s="448">
        <f>IF(NFI_Expiration=1,IF($A279&lt;VLOOKUP(L$5,NFI,5,0),1,0)*Table_NFI[[#This Row],[Tarpaulin]],Table_NFI[[#This Row],[Tarpaulin]])</f>
        <v>0</v>
      </c>
      <c r="AD279" s="448">
        <f>IF(NFI_Expiration=1,IF($A279&lt;VLOOKUP(M$5,NFI,5,0),1,0)*Table_NFI[[#This Row],[Blanket]],Table_NFI[[#This Row],[Blanket]])</f>
        <v>0</v>
      </c>
      <c r="AE279" s="448">
        <f>IF(NFI_Expiration=1,IF($A279&lt;VLOOKUP(N$5,NFI,5,0),1,0)*Table_NFI[[#This Row],[Kitchen Set]],Table_NFI[Kitchen Set])</f>
        <v>0</v>
      </c>
      <c r="AF279" s="448">
        <f>IF(NFI_Expiration=1,IF($A279&lt;VLOOKUP(O$5,NFI,5,0),1,0)*Table_NFI[[#This Row],[Clothes Kit]],Table_NFI[Clothes Kit])</f>
        <v>0</v>
      </c>
      <c r="AG279" s="448">
        <f>IF(NFI_Expiration=1,IF($A279&lt;VLOOKUP(P$5,NFI,5,0),1,0)*Table_NFI[[#This Row],[Plastic Bucket]],Table_NFI[Plastic Bucket])</f>
        <v>0</v>
      </c>
      <c r="AH279" s="448">
        <f>IF(NFI_Expiration=1,IF($A279&lt;VLOOKUP(Q$5,NFI,5,0),1,0)*Table_NFI[[#This Row],[Plastic Mat]],Table_NFI[Plastic Mat])*IF(Table_NFI[[#This Row],[Distribution Date]]&gt;"2014-04-01",1,2.5)</f>
        <v>0</v>
      </c>
      <c r="AI279" s="448">
        <f>IF(NFI_Expiration=1,IF($A279&lt;VLOOKUP(R$5,NFI,5,0),1,0)*Table_NFI[[#This Row],[Winter Clothes Adult]],Table_NFI[Winter Clothes Adult])</f>
        <v>0</v>
      </c>
      <c r="AJ279" s="448">
        <f>IF(NFI_Expiration=1,IF($A279&lt;VLOOKUP(S$5,NFI,5,0),1,0)*Table_NFI[[#This Row],[Winter Clothes Children]],Table_NFI[Winter Clothes Children])</f>
        <v>0</v>
      </c>
      <c r="AK279" s="448">
        <f>IF(NFI_Expiration=1,IF($A279&lt;VLOOKUP(T$5,NFI,5,0),1,0)*Table_NFI[[#This Row],[Winter Items Other]],Table_NFI[Winter Items Other])</f>
        <v>0</v>
      </c>
      <c r="AL279" s="448">
        <f>IF(NFI_Expiration=1,IF($A279&lt;VLOOKUP(M$5,NFI,5,0),1,0)*Table_NFI[[#This Row],[Winter Blanket]],Table_NFI[[#This Row],[Winter Blanket]])</f>
        <v>0</v>
      </c>
      <c r="AM279" s="448">
        <f>IF(Table_NFI[[#This Row],[Winter Clothes Adult]]+Table_NFI[[#This Row],[Winter Clothes Children]]+Table_NFI[[#This Row],[Winter Items Other]]+Table_NFI[[#This Row],[Winter Blanket]]&gt;0,1,0)</f>
        <v>1</v>
      </c>
      <c r="AN279" s="439">
        <f>IF(NFI_Expiration=1,IF($A279&lt;VLOOKUP(V$5,NFI,5,0),1,0)*Table_NFI[[#This Row],[Jerry Can]],Table_NFI[Jerry Can])</f>
        <v>0</v>
      </c>
      <c r="AO279" s="787" t="str">
        <f>IFERROR(VLOOKUP(Table_NFI[[#This Row],[Camp Name]],CL,2,0),"")</f>
        <v>MMR001CMP163</v>
      </c>
      <c r="AP279" s="788">
        <f ca="1">IF(Table_NFI[[#This Row],[Pcode]]="","",IF(OFFSET(CampList[Opening Date],MATCH(Table_NFI[[#This Row],[Pcode]],CampList[CP_Pcode],0)-1,0,1,1)&gt;=NFI_Monitor_Date,1,0))</f>
        <v>0</v>
      </c>
      <c r="AQ279" s="787" t="str">
        <f>IFERROR(VLOOKUP(Table_NFI[[#This Row],[Camp Name]],CL,3,0),"")</f>
        <v>Open</v>
      </c>
      <c r="AR279" s="448" t="str">
        <f ca="1">IF(Table_NFI[[#This Row],[Pcode]]="","",OFFSET(CampList[Priority],MATCH(Table_NFI[[#This Row],[Pcode]],CampList[CP_Pcode],0)-1,0,1,1))</f>
        <v>P4</v>
      </c>
      <c r="AS279" s="449">
        <f>IFERROR(Table_NFI[[#This Row],[Kitchen Set]]/VLOOKUP(Table_NFI[[#This Row],[Camp Name]],CL,4,0),"")</f>
        <v>0</v>
      </c>
      <c r="AT279" s="789"/>
      <c r="AU279" s="773"/>
    </row>
    <row r="280" spans="1:47" s="774" customFormat="1" x14ac:dyDescent="0.25">
      <c r="A280" s="451">
        <f t="shared" si="4"/>
        <v>21.133333333333333</v>
      </c>
      <c r="B280" s="768">
        <v>41736</v>
      </c>
      <c r="C280" s="769" t="s">
        <v>1111</v>
      </c>
      <c r="D280" s="769" t="s">
        <v>907</v>
      </c>
      <c r="E280" s="769" t="s">
        <v>380</v>
      </c>
      <c r="F280" s="769" t="s">
        <v>151</v>
      </c>
      <c r="G280" s="769" t="s">
        <v>152</v>
      </c>
      <c r="H280" s="436"/>
      <c r="I280" s="436"/>
      <c r="J280" s="436"/>
      <c r="K280" s="436"/>
      <c r="L280" s="437"/>
      <c r="M280" s="437"/>
      <c r="N280" s="437"/>
      <c r="O280" s="437"/>
      <c r="P280" s="439"/>
      <c r="Q280" s="439"/>
      <c r="R280" s="436"/>
      <c r="S280" s="436"/>
      <c r="T280" s="436"/>
      <c r="U280" s="436">
        <v>262</v>
      </c>
      <c r="V280" s="436"/>
      <c r="W280" s="436"/>
      <c r="X280" s="436"/>
      <c r="Y280" s="448">
        <f>IF(NFI_Expiration=1,IF($A280&lt;VLOOKUP(H$5,NFI,5,0),1,0)*Table_NFI[[#This Row],[Hygiene Kit]],Table_NFI[Hygiene Kit])</f>
        <v>0</v>
      </c>
      <c r="Z280" s="448">
        <f>IF(NFI_Expiration=1,IF($A280&lt;VLOOKUP(I$5,NFI,5,0),1,0)*Table_NFI[[#This Row],[NFI Core Kit]],Table_NFI[NFI Core Kit])</f>
        <v>0</v>
      </c>
      <c r="AA280" s="448">
        <f>IF(NFI_Expiration=1,IF($A280&lt;VLOOKUP(J$5,NFI,5,0),1,0)*Table_NFI[[#This Row],[Sanitary Kit]],Table_NFI[Sanitary Kit])</f>
        <v>0</v>
      </c>
      <c r="AB280" s="448">
        <f>IF(NFI_Expiration=1,IF($A280&lt;VLOOKUP(K$5,NFI,5,0),1,0)*Table_NFI[[#This Row],[Mosquito net]],Table_NFI[Mosquito net])</f>
        <v>0</v>
      </c>
      <c r="AC280" s="448">
        <f>IF(NFI_Expiration=1,IF($A280&lt;VLOOKUP(L$5,NFI,5,0),1,0)*Table_NFI[[#This Row],[Tarpaulin]],Table_NFI[[#This Row],[Tarpaulin]])</f>
        <v>0</v>
      </c>
      <c r="AD280" s="448">
        <f>IF(NFI_Expiration=1,IF($A280&lt;VLOOKUP(M$5,NFI,5,0),1,0)*Table_NFI[[#This Row],[Blanket]],Table_NFI[[#This Row],[Blanket]])</f>
        <v>0</v>
      </c>
      <c r="AE280" s="448">
        <f>IF(NFI_Expiration=1,IF($A280&lt;VLOOKUP(N$5,NFI,5,0),1,0)*Table_NFI[[#This Row],[Kitchen Set]],Table_NFI[Kitchen Set])</f>
        <v>0</v>
      </c>
      <c r="AF280" s="448">
        <f>IF(NFI_Expiration=1,IF($A280&lt;VLOOKUP(O$5,NFI,5,0),1,0)*Table_NFI[[#This Row],[Clothes Kit]],Table_NFI[Clothes Kit])</f>
        <v>0</v>
      </c>
      <c r="AG280" s="448">
        <f>IF(NFI_Expiration=1,IF($A280&lt;VLOOKUP(P$5,NFI,5,0),1,0)*Table_NFI[[#This Row],[Plastic Bucket]],Table_NFI[Plastic Bucket])</f>
        <v>0</v>
      </c>
      <c r="AH280" s="448">
        <f>IF(NFI_Expiration=1,IF($A280&lt;VLOOKUP(Q$5,NFI,5,0),1,0)*Table_NFI[[#This Row],[Plastic Mat]],Table_NFI[Plastic Mat])*IF(Table_NFI[[#This Row],[Distribution Date]]&gt;"2014-04-01",1,2.5)</f>
        <v>0</v>
      </c>
      <c r="AI280" s="448">
        <f>IF(NFI_Expiration=1,IF($A280&lt;VLOOKUP(R$5,NFI,5,0),1,0)*Table_NFI[[#This Row],[Winter Clothes Adult]],Table_NFI[Winter Clothes Adult])</f>
        <v>0</v>
      </c>
      <c r="AJ280" s="448">
        <f>IF(NFI_Expiration=1,IF($A280&lt;VLOOKUP(S$5,NFI,5,0),1,0)*Table_NFI[[#This Row],[Winter Clothes Children]],Table_NFI[Winter Clothes Children])</f>
        <v>0</v>
      </c>
      <c r="AK280" s="448">
        <f>IF(NFI_Expiration=1,IF($A280&lt;VLOOKUP(T$5,NFI,5,0),1,0)*Table_NFI[[#This Row],[Winter Items Other]],Table_NFI[Winter Items Other])</f>
        <v>0</v>
      </c>
      <c r="AL280" s="448">
        <f>IF(NFI_Expiration=1,IF($A280&lt;VLOOKUP(M$5,NFI,5,0),1,0)*Table_NFI[[#This Row],[Winter Blanket]],Table_NFI[[#This Row],[Winter Blanket]])</f>
        <v>0</v>
      </c>
      <c r="AM280" s="448">
        <f>IF(Table_NFI[[#This Row],[Winter Clothes Adult]]+Table_NFI[[#This Row],[Winter Clothes Children]]+Table_NFI[[#This Row],[Winter Items Other]]+Table_NFI[[#This Row],[Winter Blanket]]&gt;0,1,0)</f>
        <v>1</v>
      </c>
      <c r="AN280" s="439">
        <f>IF(NFI_Expiration=1,IF($A280&lt;VLOOKUP(V$5,NFI,5,0),1,0)*Table_NFI[[#This Row],[Jerry Can]],Table_NFI[Jerry Can])</f>
        <v>0</v>
      </c>
      <c r="AO280" s="787" t="str">
        <f>IFERROR(VLOOKUP(Table_NFI[[#This Row],[Camp Name]],CL,2,0),"")</f>
        <v>MMR001CMP066</v>
      </c>
      <c r="AP280" s="788">
        <f ca="1">IF(Table_NFI[[#This Row],[Pcode]]="","",IF(OFFSET(CampList[Opening Date],MATCH(Table_NFI[[#This Row],[Pcode]],CampList[CP_Pcode],0)-1,0,1,1)&gt;=NFI_Monitor_Date,1,0))</f>
        <v>0</v>
      </c>
      <c r="AQ280" s="787" t="str">
        <f>IFERROR(VLOOKUP(Table_NFI[[#This Row],[Camp Name]],CL,3,0),"")</f>
        <v>Open</v>
      </c>
      <c r="AR280" s="448" t="str">
        <f ca="1">IF(Table_NFI[[#This Row],[Pcode]]="","",OFFSET(CampList[Priority],MATCH(Table_NFI[[#This Row],[Pcode]],CampList[CP_Pcode],0)-1,0,1,1))</f>
        <v>P4</v>
      </c>
      <c r="AS280" s="449">
        <f>IFERROR(Table_NFI[[#This Row],[Kitchen Set]]/VLOOKUP(Table_NFI[[#This Row],[Camp Name]],CL,4,0),"")</f>
        <v>0</v>
      </c>
      <c r="AT280" s="789"/>
      <c r="AU280" s="773"/>
    </row>
    <row r="281" spans="1:47" s="774" customFormat="1" x14ac:dyDescent="0.25">
      <c r="A281" s="451">
        <f t="shared" si="4"/>
        <v>21.166666666666668</v>
      </c>
      <c r="B281" s="768">
        <v>41735</v>
      </c>
      <c r="C281" s="769" t="s">
        <v>1111</v>
      </c>
      <c r="D281" s="769" t="s">
        <v>907</v>
      </c>
      <c r="E281" s="769" t="s">
        <v>380</v>
      </c>
      <c r="F281" s="769" t="s">
        <v>529</v>
      </c>
      <c r="G281" s="769" t="s">
        <v>58</v>
      </c>
      <c r="H281" s="436"/>
      <c r="I281" s="436"/>
      <c r="J281" s="436"/>
      <c r="K281" s="436"/>
      <c r="L281" s="437"/>
      <c r="M281" s="437"/>
      <c r="N281" s="437"/>
      <c r="O281" s="437"/>
      <c r="P281" s="439"/>
      <c r="Q281" s="439"/>
      <c r="R281" s="436"/>
      <c r="S281" s="436"/>
      <c r="T281" s="436"/>
      <c r="U281" s="436">
        <v>30</v>
      </c>
      <c r="V281" s="436"/>
      <c r="W281" s="436"/>
      <c r="X281" s="436"/>
      <c r="Y281" s="448">
        <f>IF(NFI_Expiration=1,IF($A281&lt;VLOOKUP(H$5,NFI,5,0),1,0)*Table_NFI[[#This Row],[Hygiene Kit]],Table_NFI[Hygiene Kit])</f>
        <v>0</v>
      </c>
      <c r="Z281" s="448">
        <f>IF(NFI_Expiration=1,IF($A281&lt;VLOOKUP(I$5,NFI,5,0),1,0)*Table_NFI[[#This Row],[NFI Core Kit]],Table_NFI[NFI Core Kit])</f>
        <v>0</v>
      </c>
      <c r="AA281" s="448">
        <f>IF(NFI_Expiration=1,IF($A281&lt;VLOOKUP(J$5,NFI,5,0),1,0)*Table_NFI[[#This Row],[Sanitary Kit]],Table_NFI[Sanitary Kit])</f>
        <v>0</v>
      </c>
      <c r="AB281" s="448">
        <f>IF(NFI_Expiration=1,IF($A281&lt;VLOOKUP(K$5,NFI,5,0),1,0)*Table_NFI[[#This Row],[Mosquito net]],Table_NFI[Mosquito net])</f>
        <v>0</v>
      </c>
      <c r="AC281" s="448">
        <f>IF(NFI_Expiration=1,IF($A281&lt;VLOOKUP(L$5,NFI,5,0),1,0)*Table_NFI[[#This Row],[Tarpaulin]],Table_NFI[[#This Row],[Tarpaulin]])</f>
        <v>0</v>
      </c>
      <c r="AD281" s="448">
        <f>IF(NFI_Expiration=1,IF($A281&lt;VLOOKUP(M$5,NFI,5,0),1,0)*Table_NFI[[#This Row],[Blanket]],Table_NFI[[#This Row],[Blanket]])</f>
        <v>0</v>
      </c>
      <c r="AE281" s="448">
        <f>IF(NFI_Expiration=1,IF($A281&lt;VLOOKUP(N$5,NFI,5,0),1,0)*Table_NFI[[#This Row],[Kitchen Set]],Table_NFI[Kitchen Set])</f>
        <v>0</v>
      </c>
      <c r="AF281" s="448">
        <f>IF(NFI_Expiration=1,IF($A281&lt;VLOOKUP(O$5,NFI,5,0),1,0)*Table_NFI[[#This Row],[Clothes Kit]],Table_NFI[Clothes Kit])</f>
        <v>0</v>
      </c>
      <c r="AG281" s="448">
        <f>IF(NFI_Expiration=1,IF($A281&lt;VLOOKUP(P$5,NFI,5,0),1,0)*Table_NFI[[#This Row],[Plastic Bucket]],Table_NFI[Plastic Bucket])</f>
        <v>0</v>
      </c>
      <c r="AH281" s="448">
        <f>IF(NFI_Expiration=1,IF($A281&lt;VLOOKUP(Q$5,NFI,5,0),1,0)*Table_NFI[[#This Row],[Plastic Mat]],Table_NFI[Plastic Mat])*IF(Table_NFI[[#This Row],[Distribution Date]]&gt;"2014-04-01",1,2.5)</f>
        <v>0</v>
      </c>
      <c r="AI281" s="448">
        <f>IF(NFI_Expiration=1,IF($A281&lt;VLOOKUP(R$5,NFI,5,0),1,0)*Table_NFI[[#This Row],[Winter Clothes Adult]],Table_NFI[Winter Clothes Adult])</f>
        <v>0</v>
      </c>
      <c r="AJ281" s="448">
        <f>IF(NFI_Expiration=1,IF($A281&lt;VLOOKUP(S$5,NFI,5,0),1,0)*Table_NFI[[#This Row],[Winter Clothes Children]],Table_NFI[Winter Clothes Children])</f>
        <v>0</v>
      </c>
      <c r="AK281" s="448">
        <f>IF(NFI_Expiration=1,IF($A281&lt;VLOOKUP(T$5,NFI,5,0),1,0)*Table_NFI[[#This Row],[Winter Items Other]],Table_NFI[Winter Items Other])</f>
        <v>0</v>
      </c>
      <c r="AL281" s="448">
        <f>IF(NFI_Expiration=1,IF($A281&lt;VLOOKUP(M$5,NFI,5,0),1,0)*Table_NFI[[#This Row],[Winter Blanket]],Table_NFI[[#This Row],[Winter Blanket]])</f>
        <v>0</v>
      </c>
      <c r="AM281" s="448">
        <f>IF(Table_NFI[[#This Row],[Winter Clothes Adult]]+Table_NFI[[#This Row],[Winter Clothes Children]]+Table_NFI[[#This Row],[Winter Items Other]]+Table_NFI[[#This Row],[Winter Blanket]]&gt;0,1,0)</f>
        <v>1</v>
      </c>
      <c r="AN281" s="439">
        <f>IF(NFI_Expiration=1,IF($A281&lt;VLOOKUP(V$5,NFI,5,0),1,0)*Table_NFI[[#This Row],[Jerry Can]],Table_NFI[Jerry Can])</f>
        <v>0</v>
      </c>
      <c r="AO281" s="787" t="str">
        <f>IFERROR(VLOOKUP(Table_NFI[[#This Row],[Camp Name]],CL,2,0),"")</f>
        <v>MMR001CMP188</v>
      </c>
      <c r="AP281" s="788">
        <f ca="1">IF(Table_NFI[[#This Row],[Pcode]]="","",IF(OFFSET(CampList[Opening Date],MATCH(Table_NFI[[#This Row],[Pcode]],CampList[CP_Pcode],0)-1,0,1,1)&gt;=NFI_Monitor_Date,1,0))</f>
        <v>0</v>
      </c>
      <c r="AQ281" s="787" t="str">
        <f>IFERROR(VLOOKUP(Table_NFI[[#This Row],[Camp Name]],CL,3,0),"")</f>
        <v>Closed</v>
      </c>
      <c r="AR281" s="448" t="str">
        <f ca="1">IF(Table_NFI[[#This Row],[Pcode]]="","",OFFSET(CampList[Priority],MATCH(Table_NFI[[#This Row],[Pcode]],CampList[CP_Pcode],0)-1,0,1,1))</f>
        <v>P4</v>
      </c>
      <c r="AS281" s="449" t="str">
        <f>IFERROR(Table_NFI[[#This Row],[Kitchen Set]]/VLOOKUP(Table_NFI[[#This Row],[Camp Name]],CL,4,0),"")</f>
        <v/>
      </c>
      <c r="AT281" s="789"/>
      <c r="AU281" s="773"/>
    </row>
    <row r="282" spans="1:47" s="774" customFormat="1" x14ac:dyDescent="0.25">
      <c r="A282" s="451">
        <f t="shared" si="4"/>
        <v>21.2</v>
      </c>
      <c r="B282" s="768">
        <v>41734</v>
      </c>
      <c r="C282" s="769" t="s">
        <v>1111</v>
      </c>
      <c r="D282" s="769" t="s">
        <v>907</v>
      </c>
      <c r="E282" s="769" t="s">
        <v>380</v>
      </c>
      <c r="F282" s="769" t="s">
        <v>529</v>
      </c>
      <c r="G282" s="769" t="s">
        <v>88</v>
      </c>
      <c r="H282" s="436"/>
      <c r="I282" s="436"/>
      <c r="J282" s="436"/>
      <c r="K282" s="436"/>
      <c r="L282" s="437"/>
      <c r="M282" s="437"/>
      <c r="N282" s="437"/>
      <c r="O282" s="437"/>
      <c r="P282" s="439"/>
      <c r="Q282" s="439"/>
      <c r="R282" s="436"/>
      <c r="S282" s="436"/>
      <c r="T282" s="436"/>
      <c r="U282" s="436">
        <v>44</v>
      </c>
      <c r="V282" s="436"/>
      <c r="W282" s="436"/>
      <c r="X282" s="436"/>
      <c r="Y282" s="448">
        <f>IF(NFI_Expiration=1,IF($A282&lt;VLOOKUP(H$5,NFI,5,0),1,0)*Table_NFI[[#This Row],[Hygiene Kit]],Table_NFI[Hygiene Kit])</f>
        <v>0</v>
      </c>
      <c r="Z282" s="448">
        <f>IF(NFI_Expiration=1,IF($A282&lt;VLOOKUP(I$5,NFI,5,0),1,0)*Table_NFI[[#This Row],[NFI Core Kit]],Table_NFI[NFI Core Kit])</f>
        <v>0</v>
      </c>
      <c r="AA282" s="448">
        <f>IF(NFI_Expiration=1,IF($A282&lt;VLOOKUP(J$5,NFI,5,0),1,0)*Table_NFI[[#This Row],[Sanitary Kit]],Table_NFI[Sanitary Kit])</f>
        <v>0</v>
      </c>
      <c r="AB282" s="448">
        <f>IF(NFI_Expiration=1,IF($A282&lt;VLOOKUP(K$5,NFI,5,0),1,0)*Table_NFI[[#This Row],[Mosquito net]],Table_NFI[Mosquito net])</f>
        <v>0</v>
      </c>
      <c r="AC282" s="448">
        <f>IF(NFI_Expiration=1,IF($A282&lt;VLOOKUP(L$5,NFI,5,0),1,0)*Table_NFI[[#This Row],[Tarpaulin]],Table_NFI[[#This Row],[Tarpaulin]])</f>
        <v>0</v>
      </c>
      <c r="AD282" s="448">
        <f>IF(NFI_Expiration=1,IF($A282&lt;VLOOKUP(M$5,NFI,5,0),1,0)*Table_NFI[[#This Row],[Blanket]],Table_NFI[[#This Row],[Blanket]])</f>
        <v>0</v>
      </c>
      <c r="AE282" s="448">
        <f>IF(NFI_Expiration=1,IF($A282&lt;VLOOKUP(N$5,NFI,5,0),1,0)*Table_NFI[[#This Row],[Kitchen Set]],Table_NFI[Kitchen Set])</f>
        <v>0</v>
      </c>
      <c r="AF282" s="448">
        <f>IF(NFI_Expiration=1,IF($A282&lt;VLOOKUP(O$5,NFI,5,0),1,0)*Table_NFI[[#This Row],[Clothes Kit]],Table_NFI[Clothes Kit])</f>
        <v>0</v>
      </c>
      <c r="AG282" s="448">
        <f>IF(NFI_Expiration=1,IF($A282&lt;VLOOKUP(P$5,NFI,5,0),1,0)*Table_NFI[[#This Row],[Plastic Bucket]],Table_NFI[Plastic Bucket])</f>
        <v>0</v>
      </c>
      <c r="AH282" s="448">
        <f>IF(NFI_Expiration=1,IF($A282&lt;VLOOKUP(Q$5,NFI,5,0),1,0)*Table_NFI[[#This Row],[Plastic Mat]],Table_NFI[Plastic Mat])*IF(Table_NFI[[#This Row],[Distribution Date]]&gt;"2014-04-01",1,2.5)</f>
        <v>0</v>
      </c>
      <c r="AI282" s="448">
        <f>IF(NFI_Expiration=1,IF($A282&lt;VLOOKUP(R$5,NFI,5,0),1,0)*Table_NFI[[#This Row],[Winter Clothes Adult]],Table_NFI[Winter Clothes Adult])</f>
        <v>0</v>
      </c>
      <c r="AJ282" s="448">
        <f>IF(NFI_Expiration=1,IF($A282&lt;VLOOKUP(S$5,NFI,5,0),1,0)*Table_NFI[[#This Row],[Winter Clothes Children]],Table_NFI[Winter Clothes Children])</f>
        <v>0</v>
      </c>
      <c r="AK282" s="448">
        <f>IF(NFI_Expiration=1,IF($A282&lt;VLOOKUP(T$5,NFI,5,0),1,0)*Table_NFI[[#This Row],[Winter Items Other]],Table_NFI[Winter Items Other])</f>
        <v>0</v>
      </c>
      <c r="AL282" s="448">
        <f>IF(NFI_Expiration=1,IF($A282&lt;VLOOKUP(M$5,NFI,5,0),1,0)*Table_NFI[[#This Row],[Winter Blanket]],Table_NFI[[#This Row],[Winter Blanket]])</f>
        <v>0</v>
      </c>
      <c r="AM282" s="448">
        <f>IF(Table_NFI[[#This Row],[Winter Clothes Adult]]+Table_NFI[[#This Row],[Winter Clothes Children]]+Table_NFI[[#This Row],[Winter Items Other]]+Table_NFI[[#This Row],[Winter Blanket]]&gt;0,1,0)</f>
        <v>1</v>
      </c>
      <c r="AN282" s="439">
        <f>IF(NFI_Expiration=1,IF($A282&lt;VLOOKUP(V$5,NFI,5,0),1,0)*Table_NFI[[#This Row],[Jerry Can]],Table_NFI[Jerry Can])</f>
        <v>0</v>
      </c>
      <c r="AO282" s="787" t="str">
        <f>IFERROR(VLOOKUP(Table_NFI[[#This Row],[Camp Name]],CL,2,0),"")</f>
        <v>MMR001CMP148</v>
      </c>
      <c r="AP282" s="788">
        <f ca="1">IF(Table_NFI[[#This Row],[Pcode]]="","",IF(OFFSET(CampList[Opening Date],MATCH(Table_NFI[[#This Row],[Pcode]],CampList[CP_Pcode],0)-1,0,1,1)&gt;=NFI_Monitor_Date,1,0))</f>
        <v>0</v>
      </c>
      <c r="AQ282" s="787" t="str">
        <f>IFERROR(VLOOKUP(Table_NFI[[#This Row],[Camp Name]],CL,3,0),"")</f>
        <v>Open</v>
      </c>
      <c r="AR282" s="448" t="str">
        <f ca="1">IF(Table_NFI[[#This Row],[Pcode]]="","",OFFSET(CampList[Priority],MATCH(Table_NFI[[#This Row],[Pcode]],CampList[CP_Pcode],0)-1,0,1,1))</f>
        <v>P4</v>
      </c>
      <c r="AS282" s="449">
        <f>IFERROR(Table_NFI[[#This Row],[Kitchen Set]]/VLOOKUP(Table_NFI[[#This Row],[Camp Name]],CL,4,0),"")</f>
        <v>0</v>
      </c>
      <c r="AT282" s="789"/>
      <c r="AU282" s="773"/>
    </row>
    <row r="283" spans="1:47" s="774" customFormat="1" x14ac:dyDescent="0.25">
      <c r="A283" s="451">
        <f t="shared" si="4"/>
        <v>21.3</v>
      </c>
      <c r="B283" s="768">
        <v>41731</v>
      </c>
      <c r="C283" s="769" t="s">
        <v>454</v>
      </c>
      <c r="D283" s="769" t="s">
        <v>454</v>
      </c>
      <c r="E283" s="769" t="s">
        <v>380</v>
      </c>
      <c r="F283" s="769" t="s">
        <v>5</v>
      </c>
      <c r="G283" s="769" t="s">
        <v>8</v>
      </c>
      <c r="H283" s="436"/>
      <c r="I283" s="436"/>
      <c r="J283" s="436"/>
      <c r="K283" s="436"/>
      <c r="L283" s="437">
        <v>1</v>
      </c>
      <c r="M283" s="437">
        <v>3</v>
      </c>
      <c r="N283" s="437">
        <v>2</v>
      </c>
      <c r="O283" s="437"/>
      <c r="P283" s="439">
        <v>3</v>
      </c>
      <c r="Q283" s="439"/>
      <c r="R283" s="436"/>
      <c r="S283" s="436"/>
      <c r="T283" s="436"/>
      <c r="U283" s="436"/>
      <c r="V283" s="436"/>
      <c r="W283" s="436"/>
      <c r="X283" s="436"/>
      <c r="Y283" s="436">
        <f>IF(NFI_Expiration=1,IF($A283&lt;VLOOKUP(H$5,NFI,5,0),1,0)*Table_NFI[[#This Row],[Hygiene Kit]],Table_NFI[Hygiene Kit])</f>
        <v>0</v>
      </c>
      <c r="Z283" s="436">
        <f>IF(NFI_Expiration=1,IF($A283&lt;VLOOKUP(I$5,NFI,5,0),1,0)*Table_NFI[[#This Row],[NFI Core Kit]],Table_NFI[NFI Core Kit])</f>
        <v>0</v>
      </c>
      <c r="AA283" s="436">
        <f>IF(NFI_Expiration=1,IF($A283&lt;VLOOKUP(J$5,NFI,5,0),1,0)*Table_NFI[[#This Row],[Sanitary Kit]],Table_NFI[Sanitary Kit])</f>
        <v>0</v>
      </c>
      <c r="AB283" s="436">
        <f>IF(NFI_Expiration=1,IF($A283&lt;VLOOKUP(K$5,NFI,5,0),1,0)*Table_NFI[[#This Row],[Mosquito net]],Table_NFI[Mosquito net])</f>
        <v>0</v>
      </c>
      <c r="AC283" s="436">
        <f>IF(NFI_Expiration=1,IF($A283&lt;VLOOKUP(L$5,NFI,5,0),1,0)*Table_NFI[[#This Row],[Tarpaulin]],Table_NFI[[#This Row],[Tarpaulin]])</f>
        <v>0</v>
      </c>
      <c r="AD283" s="436">
        <f>IF(NFI_Expiration=1,IF($A283&lt;VLOOKUP(M$5,NFI,5,0),1,0)*Table_NFI[[#This Row],[Blanket]],Table_NFI[[#This Row],[Blanket]])</f>
        <v>0</v>
      </c>
      <c r="AE283" s="436">
        <f>IF(NFI_Expiration=1,IF($A283&lt;VLOOKUP(N$5,NFI,5,0),1,0)*Table_NFI[[#This Row],[Kitchen Set]],Table_NFI[Kitchen Set])</f>
        <v>0</v>
      </c>
      <c r="AF283" s="436">
        <f>IF(NFI_Expiration=1,IF($A283&lt;VLOOKUP(O$5,NFI,5,0),1,0)*Table_NFI[[#This Row],[Clothes Kit]],Table_NFI[Clothes Kit])</f>
        <v>0</v>
      </c>
      <c r="AG283" s="436">
        <f>IF(NFI_Expiration=1,IF($A283&lt;VLOOKUP(P$5,NFI,5,0),1,0)*Table_NFI[[#This Row],[Plastic Bucket]],Table_NFI[Plastic Bucket])</f>
        <v>0</v>
      </c>
      <c r="AH283" s="436">
        <f>IF(NFI_Expiration=1,IF($A283&lt;VLOOKUP(Q$5,NFI,5,0),1,0)*Table_NFI[[#This Row],[Plastic Mat]],Table_NFI[Plastic Mat])*IF(Table_NFI[[#This Row],[Distribution Date]]&gt;"2014-04-01",1,2.5)</f>
        <v>0</v>
      </c>
      <c r="AI283" s="436">
        <f>IF(NFI_Expiration=1,IF($A283&lt;VLOOKUP(R$5,NFI,5,0),1,0)*Table_NFI[[#This Row],[Winter Clothes Adult]],Table_NFI[Winter Clothes Adult])</f>
        <v>0</v>
      </c>
      <c r="AJ283" s="436">
        <f>IF(NFI_Expiration=1,IF($A283&lt;VLOOKUP(S$5,NFI,5,0),1,0)*Table_NFI[[#This Row],[Winter Clothes Children]],Table_NFI[Winter Clothes Children])</f>
        <v>0</v>
      </c>
      <c r="AK283" s="436">
        <f>IF(NFI_Expiration=1,IF($A283&lt;VLOOKUP(T$5,NFI,5,0),1,0)*Table_NFI[[#This Row],[Winter Items Other]],Table_NFI[Winter Items Other])</f>
        <v>0</v>
      </c>
      <c r="AL283" s="436">
        <f>IF(NFI_Expiration=1,IF($A283&lt;VLOOKUP(M$5,NFI,5,0),1,0)*Table_NFI[[#This Row],[Winter Blanket]],Table_NFI[[#This Row],[Winter Blanket]])</f>
        <v>0</v>
      </c>
      <c r="AM283" s="436">
        <f>IF(Table_NFI[[#This Row],[Winter Clothes Adult]]+Table_NFI[[#This Row],[Winter Clothes Children]]+Table_NFI[[#This Row],[Winter Items Other]]+Table_NFI[[#This Row],[Winter Blanket]]&gt;0,1,0)</f>
        <v>0</v>
      </c>
      <c r="AN283" s="439">
        <f>IF(NFI_Expiration=1,IF($A283&lt;VLOOKUP(V$5,NFI,5,0),1,0)*Table_NFI[[#This Row],[Jerry Can]],Table_NFI[Jerry Can])</f>
        <v>0</v>
      </c>
      <c r="AO283" s="771" t="str">
        <f>IFERROR(VLOOKUP(Table_NFI[[#This Row],[Camp Name]],CL,2,0),"")</f>
        <v>MMR001CMP051</v>
      </c>
      <c r="AP283" s="772">
        <f ca="1">IF(Table_NFI[[#This Row],[Pcode]]="","",IF(OFFSET(CampList[Opening Date],MATCH(Table_NFI[[#This Row],[Pcode]],CampList[CP_Pcode],0)-1,0,1,1)&gt;=NFI_Monitor_Date,1,0))</f>
        <v>0</v>
      </c>
      <c r="AQ283" s="781" t="str">
        <f>IFERROR(VLOOKUP(Table_NFI[[#This Row],[Camp Name]],CL,3,0),"")</f>
        <v>Open</v>
      </c>
      <c r="AR283" s="439" t="str">
        <f ca="1">IF(Table_NFI[[#This Row],[Pcode]]="","",OFFSET(CampList[Priority],MATCH(Table_NFI[[#This Row],[Pcode]],CampList[CP_Pcode],0)-1,0,1,1))</f>
        <v>P4</v>
      </c>
      <c r="AS283" s="438">
        <f>IFERROR(Table_NFI[[#This Row],[Kitchen Set]]/VLOOKUP(Table_NFI[[#This Row],[Camp Name]],CL,4,0),"")</f>
        <v>8.6956521739130432E-2</v>
      </c>
      <c r="AT283" s="769" t="s">
        <v>1099</v>
      </c>
      <c r="AU283" s="773"/>
    </row>
    <row r="284" spans="1:47" s="774" customFormat="1" x14ac:dyDescent="0.25">
      <c r="A284" s="451">
        <f t="shared" si="4"/>
        <v>22.5</v>
      </c>
      <c r="B284" s="768">
        <v>41695</v>
      </c>
      <c r="C284" s="769" t="s">
        <v>1111</v>
      </c>
      <c r="D284" s="769" t="s">
        <v>907</v>
      </c>
      <c r="E284" s="769" t="s">
        <v>380</v>
      </c>
      <c r="F284" s="769" t="s">
        <v>173</v>
      </c>
      <c r="G284" s="769" t="s">
        <v>174</v>
      </c>
      <c r="H284" s="436"/>
      <c r="I284" s="436"/>
      <c r="J284" s="436"/>
      <c r="K284" s="436"/>
      <c r="L284" s="437"/>
      <c r="M284" s="437"/>
      <c r="N284" s="437"/>
      <c r="O284" s="437"/>
      <c r="P284" s="439"/>
      <c r="Q284" s="439"/>
      <c r="R284" s="436"/>
      <c r="S284" s="436"/>
      <c r="T284" s="436"/>
      <c r="U284" s="436">
        <v>26</v>
      </c>
      <c r="V284" s="436"/>
      <c r="W284" s="436"/>
      <c r="X284" s="436"/>
      <c r="Y284" s="448">
        <f>IF(NFI_Expiration=1,IF($A284&lt;VLOOKUP(H$5,NFI,5,0),1,0)*Table_NFI[[#This Row],[Hygiene Kit]],Table_NFI[Hygiene Kit])</f>
        <v>0</v>
      </c>
      <c r="Z284" s="448">
        <f>IF(NFI_Expiration=1,IF($A284&lt;VLOOKUP(I$5,NFI,5,0),1,0)*Table_NFI[[#This Row],[NFI Core Kit]],Table_NFI[NFI Core Kit])</f>
        <v>0</v>
      </c>
      <c r="AA284" s="448">
        <f>IF(NFI_Expiration=1,IF($A284&lt;VLOOKUP(J$5,NFI,5,0),1,0)*Table_NFI[[#This Row],[Sanitary Kit]],Table_NFI[Sanitary Kit])</f>
        <v>0</v>
      </c>
      <c r="AB284" s="448">
        <f>IF(NFI_Expiration=1,IF($A284&lt;VLOOKUP(K$5,NFI,5,0),1,0)*Table_NFI[[#This Row],[Mosquito net]],Table_NFI[Mosquito net])</f>
        <v>0</v>
      </c>
      <c r="AC284" s="448">
        <f>IF(NFI_Expiration=1,IF($A284&lt;VLOOKUP(L$5,NFI,5,0),1,0)*Table_NFI[[#This Row],[Tarpaulin]],Table_NFI[[#This Row],[Tarpaulin]])</f>
        <v>0</v>
      </c>
      <c r="AD284" s="448">
        <f>IF(NFI_Expiration=1,IF($A284&lt;VLOOKUP(M$5,NFI,5,0),1,0)*Table_NFI[[#This Row],[Blanket]],Table_NFI[[#This Row],[Blanket]])</f>
        <v>0</v>
      </c>
      <c r="AE284" s="448">
        <f>IF(NFI_Expiration=1,IF($A284&lt;VLOOKUP(N$5,NFI,5,0),1,0)*Table_NFI[[#This Row],[Kitchen Set]],Table_NFI[Kitchen Set])</f>
        <v>0</v>
      </c>
      <c r="AF284" s="448">
        <f>IF(NFI_Expiration=1,IF($A284&lt;VLOOKUP(O$5,NFI,5,0),1,0)*Table_NFI[[#This Row],[Clothes Kit]],Table_NFI[Clothes Kit])</f>
        <v>0</v>
      </c>
      <c r="AG284" s="448">
        <f>IF(NFI_Expiration=1,IF($A284&lt;VLOOKUP(P$5,NFI,5,0),1,0)*Table_NFI[[#This Row],[Plastic Bucket]],Table_NFI[Plastic Bucket])</f>
        <v>0</v>
      </c>
      <c r="AH284" s="448">
        <f>IF(NFI_Expiration=1,IF($A284&lt;VLOOKUP(Q$5,NFI,5,0),1,0)*Table_NFI[[#This Row],[Plastic Mat]],Table_NFI[Plastic Mat])*IF(Table_NFI[[#This Row],[Distribution Date]]&gt;"2014-04-01",1,2.5)</f>
        <v>0</v>
      </c>
      <c r="AI284" s="448">
        <f>IF(NFI_Expiration=1,IF($A284&lt;VLOOKUP(R$5,NFI,5,0),1,0)*Table_NFI[[#This Row],[Winter Clothes Adult]],Table_NFI[Winter Clothes Adult])</f>
        <v>0</v>
      </c>
      <c r="AJ284" s="448">
        <f>IF(NFI_Expiration=1,IF($A284&lt;VLOOKUP(S$5,NFI,5,0),1,0)*Table_NFI[[#This Row],[Winter Clothes Children]],Table_NFI[Winter Clothes Children])</f>
        <v>0</v>
      </c>
      <c r="AK284" s="448">
        <f>IF(NFI_Expiration=1,IF($A284&lt;VLOOKUP(T$5,NFI,5,0),1,0)*Table_NFI[[#This Row],[Winter Items Other]],Table_NFI[Winter Items Other])</f>
        <v>0</v>
      </c>
      <c r="AL284" s="448">
        <f>IF(NFI_Expiration=1,IF($A284&lt;VLOOKUP(M$5,NFI,5,0),1,0)*Table_NFI[[#This Row],[Winter Blanket]],Table_NFI[[#This Row],[Winter Blanket]])</f>
        <v>0</v>
      </c>
      <c r="AM284" s="448">
        <f>IF(Table_NFI[[#This Row],[Winter Clothes Adult]]+Table_NFI[[#This Row],[Winter Clothes Children]]+Table_NFI[[#This Row],[Winter Items Other]]+Table_NFI[[#This Row],[Winter Blanket]]&gt;0,1,0)</f>
        <v>1</v>
      </c>
      <c r="AN284" s="439">
        <f>IF(NFI_Expiration=1,IF($A284&lt;VLOOKUP(V$5,NFI,5,0),1,0)*Table_NFI[[#This Row],[Jerry Can]],Table_NFI[Jerry Can])</f>
        <v>0</v>
      </c>
      <c r="AO284" s="787" t="str">
        <f>IFERROR(VLOOKUP(Table_NFI[[#This Row],[Camp Name]],CL,2,0),"")</f>
        <v>MMR001CMP078</v>
      </c>
      <c r="AP284" s="788">
        <f ca="1">IF(Table_NFI[[#This Row],[Pcode]]="","",IF(OFFSET(CampList[Opening Date],MATCH(Table_NFI[[#This Row],[Pcode]],CampList[CP_Pcode],0)-1,0,1,1)&gt;=NFI_Monitor_Date,1,0))</f>
        <v>0</v>
      </c>
      <c r="AQ284" s="787" t="str">
        <f>IFERROR(VLOOKUP(Table_NFI[[#This Row],[Camp Name]],CL,3,0),"")</f>
        <v>Open</v>
      </c>
      <c r="AR284" s="448" t="str">
        <f ca="1">IF(Table_NFI[[#This Row],[Pcode]]="","",OFFSET(CampList[Priority],MATCH(Table_NFI[[#This Row],[Pcode]],CampList[CP_Pcode],0)-1,0,1,1))</f>
        <v>P4</v>
      </c>
      <c r="AS284" s="449">
        <f>IFERROR(Table_NFI[[#This Row],[Kitchen Set]]/VLOOKUP(Table_NFI[[#This Row],[Camp Name]],CL,4,0),"")</f>
        <v>0</v>
      </c>
      <c r="AT284" s="789"/>
      <c r="AU284" s="773"/>
    </row>
    <row r="285" spans="1:47" s="774" customFormat="1" x14ac:dyDescent="0.25">
      <c r="A285" s="451">
        <f t="shared" si="4"/>
        <v>22.5</v>
      </c>
      <c r="B285" s="768">
        <v>41695</v>
      </c>
      <c r="C285" s="769" t="s">
        <v>1111</v>
      </c>
      <c r="D285" s="769" t="s">
        <v>907</v>
      </c>
      <c r="E285" s="769" t="s">
        <v>380</v>
      </c>
      <c r="F285" s="769" t="s">
        <v>173</v>
      </c>
      <c r="G285" s="769" t="s">
        <v>176</v>
      </c>
      <c r="H285" s="436"/>
      <c r="I285" s="436"/>
      <c r="J285" s="436"/>
      <c r="K285" s="436"/>
      <c r="L285" s="437"/>
      <c r="M285" s="437"/>
      <c r="N285" s="437"/>
      <c r="O285" s="437"/>
      <c r="P285" s="439"/>
      <c r="Q285" s="439"/>
      <c r="R285" s="436"/>
      <c r="S285" s="436"/>
      <c r="T285" s="436"/>
      <c r="U285" s="436">
        <v>26</v>
      </c>
      <c r="V285" s="436"/>
      <c r="W285" s="436"/>
      <c r="X285" s="436"/>
      <c r="Y285" s="448">
        <f>IF(NFI_Expiration=1,IF($A285&lt;VLOOKUP(H$5,NFI,5,0),1,0)*Table_NFI[[#This Row],[Hygiene Kit]],Table_NFI[Hygiene Kit])</f>
        <v>0</v>
      </c>
      <c r="Z285" s="448">
        <f>IF(NFI_Expiration=1,IF($A285&lt;VLOOKUP(I$5,NFI,5,0),1,0)*Table_NFI[[#This Row],[NFI Core Kit]],Table_NFI[NFI Core Kit])</f>
        <v>0</v>
      </c>
      <c r="AA285" s="448">
        <f>IF(NFI_Expiration=1,IF($A285&lt;VLOOKUP(J$5,NFI,5,0),1,0)*Table_NFI[[#This Row],[Sanitary Kit]],Table_NFI[Sanitary Kit])</f>
        <v>0</v>
      </c>
      <c r="AB285" s="448">
        <f>IF(NFI_Expiration=1,IF($A285&lt;VLOOKUP(K$5,NFI,5,0),1,0)*Table_NFI[[#This Row],[Mosquito net]],Table_NFI[Mosquito net])</f>
        <v>0</v>
      </c>
      <c r="AC285" s="448">
        <f>IF(NFI_Expiration=1,IF($A285&lt;VLOOKUP(L$5,NFI,5,0),1,0)*Table_NFI[[#This Row],[Tarpaulin]],Table_NFI[[#This Row],[Tarpaulin]])</f>
        <v>0</v>
      </c>
      <c r="AD285" s="448">
        <f>IF(NFI_Expiration=1,IF($A285&lt;VLOOKUP(M$5,NFI,5,0),1,0)*Table_NFI[[#This Row],[Blanket]],Table_NFI[[#This Row],[Blanket]])</f>
        <v>0</v>
      </c>
      <c r="AE285" s="448">
        <f>IF(NFI_Expiration=1,IF($A285&lt;VLOOKUP(N$5,NFI,5,0),1,0)*Table_NFI[[#This Row],[Kitchen Set]],Table_NFI[Kitchen Set])</f>
        <v>0</v>
      </c>
      <c r="AF285" s="448">
        <f>IF(NFI_Expiration=1,IF($A285&lt;VLOOKUP(O$5,NFI,5,0),1,0)*Table_NFI[[#This Row],[Clothes Kit]],Table_NFI[Clothes Kit])</f>
        <v>0</v>
      </c>
      <c r="AG285" s="448">
        <f>IF(NFI_Expiration=1,IF($A285&lt;VLOOKUP(P$5,NFI,5,0),1,0)*Table_NFI[[#This Row],[Plastic Bucket]],Table_NFI[Plastic Bucket])</f>
        <v>0</v>
      </c>
      <c r="AH285" s="448">
        <f>IF(NFI_Expiration=1,IF($A285&lt;VLOOKUP(Q$5,NFI,5,0),1,0)*Table_NFI[[#This Row],[Plastic Mat]],Table_NFI[Plastic Mat])*IF(Table_NFI[[#This Row],[Distribution Date]]&gt;"2014-04-01",1,2.5)</f>
        <v>0</v>
      </c>
      <c r="AI285" s="448">
        <f>IF(NFI_Expiration=1,IF($A285&lt;VLOOKUP(R$5,NFI,5,0),1,0)*Table_NFI[[#This Row],[Winter Clothes Adult]],Table_NFI[Winter Clothes Adult])</f>
        <v>0</v>
      </c>
      <c r="AJ285" s="448">
        <f>IF(NFI_Expiration=1,IF($A285&lt;VLOOKUP(S$5,NFI,5,0),1,0)*Table_NFI[[#This Row],[Winter Clothes Children]],Table_NFI[Winter Clothes Children])</f>
        <v>0</v>
      </c>
      <c r="AK285" s="448">
        <f>IF(NFI_Expiration=1,IF($A285&lt;VLOOKUP(T$5,NFI,5,0),1,0)*Table_NFI[[#This Row],[Winter Items Other]],Table_NFI[Winter Items Other])</f>
        <v>0</v>
      </c>
      <c r="AL285" s="448">
        <f>IF(NFI_Expiration=1,IF($A285&lt;VLOOKUP(M$5,NFI,5,0),1,0)*Table_NFI[[#This Row],[Winter Blanket]],Table_NFI[[#This Row],[Winter Blanket]])</f>
        <v>0</v>
      </c>
      <c r="AM285" s="448">
        <f>IF(Table_NFI[[#This Row],[Winter Clothes Adult]]+Table_NFI[[#This Row],[Winter Clothes Children]]+Table_NFI[[#This Row],[Winter Items Other]]+Table_NFI[[#This Row],[Winter Blanket]]&gt;0,1,0)</f>
        <v>1</v>
      </c>
      <c r="AN285" s="439">
        <f>IF(NFI_Expiration=1,IF($A285&lt;VLOOKUP(V$5,NFI,5,0),1,0)*Table_NFI[[#This Row],[Jerry Can]],Table_NFI[Jerry Can])</f>
        <v>0</v>
      </c>
      <c r="AO285" s="787" t="str">
        <f>IFERROR(VLOOKUP(Table_NFI[[#This Row],[Camp Name]],CL,2,0),"")</f>
        <v>MMR001CMP077</v>
      </c>
      <c r="AP285" s="788">
        <f ca="1">IF(Table_NFI[[#This Row],[Pcode]]="","",IF(OFFSET(CampList[Opening Date],MATCH(Table_NFI[[#This Row],[Pcode]],CampList[CP_Pcode],0)-1,0,1,1)&gt;=NFI_Monitor_Date,1,0))</f>
        <v>0</v>
      </c>
      <c r="AQ285" s="787" t="str">
        <f>IFERROR(VLOOKUP(Table_NFI[[#This Row],[Camp Name]],CL,3,0),"")</f>
        <v>Open</v>
      </c>
      <c r="AR285" s="448" t="str">
        <f ca="1">IF(Table_NFI[[#This Row],[Pcode]]="","",OFFSET(CampList[Priority],MATCH(Table_NFI[[#This Row],[Pcode]],CampList[CP_Pcode],0)-1,0,1,1))</f>
        <v>P4</v>
      </c>
      <c r="AS285" s="449">
        <f>IFERROR(Table_NFI[[#This Row],[Kitchen Set]]/VLOOKUP(Table_NFI[[#This Row],[Camp Name]],CL,4,0),"")</f>
        <v>0</v>
      </c>
      <c r="AT285" s="789"/>
      <c r="AU285" s="773"/>
    </row>
    <row r="286" spans="1:47" s="774" customFormat="1" x14ac:dyDescent="0.25">
      <c r="A286" s="451">
        <f t="shared" si="4"/>
        <v>22.5</v>
      </c>
      <c r="B286" s="768">
        <v>41695</v>
      </c>
      <c r="C286" s="769" t="s">
        <v>1111</v>
      </c>
      <c r="D286" s="769" t="s">
        <v>907</v>
      </c>
      <c r="E286" s="769" t="s">
        <v>380</v>
      </c>
      <c r="F286" s="769" t="s">
        <v>173</v>
      </c>
      <c r="G286" s="769" t="s">
        <v>178</v>
      </c>
      <c r="H286" s="436"/>
      <c r="I286" s="436"/>
      <c r="J286" s="436"/>
      <c r="K286" s="436"/>
      <c r="L286" s="437"/>
      <c r="M286" s="437"/>
      <c r="N286" s="437"/>
      <c r="O286" s="437"/>
      <c r="P286" s="439"/>
      <c r="Q286" s="439"/>
      <c r="R286" s="436"/>
      <c r="S286" s="436"/>
      <c r="T286" s="436"/>
      <c r="U286" s="436">
        <v>28</v>
      </c>
      <c r="V286" s="436"/>
      <c r="W286" s="436"/>
      <c r="X286" s="436"/>
      <c r="Y286" s="448">
        <f>IF(NFI_Expiration=1,IF($A286&lt;VLOOKUP(H$5,NFI,5,0),1,0)*Table_NFI[[#This Row],[Hygiene Kit]],Table_NFI[Hygiene Kit])</f>
        <v>0</v>
      </c>
      <c r="Z286" s="448">
        <f>IF(NFI_Expiration=1,IF($A286&lt;VLOOKUP(I$5,NFI,5,0),1,0)*Table_NFI[[#This Row],[NFI Core Kit]],Table_NFI[NFI Core Kit])</f>
        <v>0</v>
      </c>
      <c r="AA286" s="448">
        <f>IF(NFI_Expiration=1,IF($A286&lt;VLOOKUP(J$5,NFI,5,0),1,0)*Table_NFI[[#This Row],[Sanitary Kit]],Table_NFI[Sanitary Kit])</f>
        <v>0</v>
      </c>
      <c r="AB286" s="448">
        <f>IF(NFI_Expiration=1,IF($A286&lt;VLOOKUP(K$5,NFI,5,0),1,0)*Table_NFI[[#This Row],[Mosquito net]],Table_NFI[Mosquito net])</f>
        <v>0</v>
      </c>
      <c r="AC286" s="448">
        <f>IF(NFI_Expiration=1,IF($A286&lt;VLOOKUP(L$5,NFI,5,0),1,0)*Table_NFI[[#This Row],[Tarpaulin]],Table_NFI[[#This Row],[Tarpaulin]])</f>
        <v>0</v>
      </c>
      <c r="AD286" s="448">
        <f>IF(NFI_Expiration=1,IF($A286&lt;VLOOKUP(M$5,NFI,5,0),1,0)*Table_NFI[[#This Row],[Blanket]],Table_NFI[[#This Row],[Blanket]])</f>
        <v>0</v>
      </c>
      <c r="AE286" s="448">
        <f>IF(NFI_Expiration=1,IF($A286&lt;VLOOKUP(N$5,NFI,5,0),1,0)*Table_NFI[[#This Row],[Kitchen Set]],Table_NFI[Kitchen Set])</f>
        <v>0</v>
      </c>
      <c r="AF286" s="448">
        <f>IF(NFI_Expiration=1,IF($A286&lt;VLOOKUP(O$5,NFI,5,0),1,0)*Table_NFI[[#This Row],[Clothes Kit]],Table_NFI[Clothes Kit])</f>
        <v>0</v>
      </c>
      <c r="AG286" s="448">
        <f>IF(NFI_Expiration=1,IF($A286&lt;VLOOKUP(P$5,NFI,5,0),1,0)*Table_NFI[[#This Row],[Plastic Bucket]],Table_NFI[Plastic Bucket])</f>
        <v>0</v>
      </c>
      <c r="AH286" s="448">
        <f>IF(NFI_Expiration=1,IF($A286&lt;VLOOKUP(Q$5,NFI,5,0),1,0)*Table_NFI[[#This Row],[Plastic Mat]],Table_NFI[Plastic Mat])*IF(Table_NFI[[#This Row],[Distribution Date]]&gt;"2014-04-01",1,2.5)</f>
        <v>0</v>
      </c>
      <c r="AI286" s="448">
        <f>IF(NFI_Expiration=1,IF($A286&lt;VLOOKUP(R$5,NFI,5,0),1,0)*Table_NFI[[#This Row],[Winter Clothes Adult]],Table_NFI[Winter Clothes Adult])</f>
        <v>0</v>
      </c>
      <c r="AJ286" s="448">
        <f>IF(NFI_Expiration=1,IF($A286&lt;VLOOKUP(S$5,NFI,5,0),1,0)*Table_NFI[[#This Row],[Winter Clothes Children]],Table_NFI[Winter Clothes Children])</f>
        <v>0</v>
      </c>
      <c r="AK286" s="448">
        <f>IF(NFI_Expiration=1,IF($A286&lt;VLOOKUP(T$5,NFI,5,0),1,0)*Table_NFI[[#This Row],[Winter Items Other]],Table_NFI[Winter Items Other])</f>
        <v>0</v>
      </c>
      <c r="AL286" s="448">
        <f>IF(NFI_Expiration=1,IF($A286&lt;VLOOKUP(M$5,NFI,5,0),1,0)*Table_NFI[[#This Row],[Winter Blanket]],Table_NFI[[#This Row],[Winter Blanket]])</f>
        <v>0</v>
      </c>
      <c r="AM286" s="448">
        <f>IF(Table_NFI[[#This Row],[Winter Clothes Adult]]+Table_NFI[[#This Row],[Winter Clothes Children]]+Table_NFI[[#This Row],[Winter Items Other]]+Table_NFI[[#This Row],[Winter Blanket]]&gt;0,1,0)</f>
        <v>1</v>
      </c>
      <c r="AN286" s="439">
        <f>IF(NFI_Expiration=1,IF($A286&lt;VLOOKUP(V$5,NFI,5,0),1,0)*Table_NFI[[#This Row],[Jerry Can]],Table_NFI[Jerry Can])</f>
        <v>0</v>
      </c>
      <c r="AO286" s="787" t="str">
        <f>IFERROR(VLOOKUP(Table_NFI[[#This Row],[Camp Name]],CL,2,0),"")</f>
        <v>MMR001CMP079</v>
      </c>
      <c r="AP286" s="788">
        <f ca="1">IF(Table_NFI[[#This Row],[Pcode]]="","",IF(OFFSET(CampList[Opening Date],MATCH(Table_NFI[[#This Row],[Pcode]],CampList[CP_Pcode],0)-1,0,1,1)&gt;=NFI_Monitor_Date,1,0))</f>
        <v>0</v>
      </c>
      <c r="AQ286" s="787" t="str">
        <f>IFERROR(VLOOKUP(Table_NFI[[#This Row],[Camp Name]],CL,3,0),"")</f>
        <v>Open</v>
      </c>
      <c r="AR286" s="448" t="str">
        <f ca="1">IF(Table_NFI[[#This Row],[Pcode]]="","",OFFSET(CampList[Priority],MATCH(Table_NFI[[#This Row],[Pcode]],CampList[CP_Pcode],0)-1,0,1,1))</f>
        <v>P4</v>
      </c>
      <c r="AS286" s="449">
        <f>IFERROR(Table_NFI[[#This Row],[Kitchen Set]]/VLOOKUP(Table_NFI[[#This Row],[Camp Name]],CL,4,0),"")</f>
        <v>0</v>
      </c>
      <c r="AT286" s="789"/>
      <c r="AU286" s="773"/>
    </row>
    <row r="287" spans="1:47" s="774" customFormat="1" x14ac:dyDescent="0.25">
      <c r="A287" s="451">
        <f t="shared" si="4"/>
        <v>22.566666666666666</v>
      </c>
      <c r="B287" s="768">
        <v>41693</v>
      </c>
      <c r="C287" s="769" t="s">
        <v>1111</v>
      </c>
      <c r="D287" s="769" t="s">
        <v>907</v>
      </c>
      <c r="E287" s="769" t="s">
        <v>380</v>
      </c>
      <c r="F287" s="769" t="s">
        <v>27</v>
      </c>
      <c r="G287" s="769" t="s">
        <v>28</v>
      </c>
      <c r="H287" s="436"/>
      <c r="I287" s="436"/>
      <c r="J287" s="436"/>
      <c r="K287" s="436"/>
      <c r="L287" s="437"/>
      <c r="M287" s="437"/>
      <c r="N287" s="437"/>
      <c r="O287" s="437"/>
      <c r="P287" s="439"/>
      <c r="Q287" s="439"/>
      <c r="R287" s="436"/>
      <c r="S287" s="436"/>
      <c r="T287" s="436"/>
      <c r="U287" s="436">
        <v>222</v>
      </c>
      <c r="V287" s="436"/>
      <c r="W287" s="436"/>
      <c r="X287" s="436"/>
      <c r="Y287" s="448">
        <f>IF(NFI_Expiration=1,IF($A287&lt;VLOOKUP(H$5,NFI,5,0),1,0)*Table_NFI[[#This Row],[Hygiene Kit]],Table_NFI[Hygiene Kit])</f>
        <v>0</v>
      </c>
      <c r="Z287" s="448">
        <f>IF(NFI_Expiration=1,IF($A287&lt;VLOOKUP(I$5,NFI,5,0),1,0)*Table_NFI[[#This Row],[NFI Core Kit]],Table_NFI[NFI Core Kit])</f>
        <v>0</v>
      </c>
      <c r="AA287" s="448">
        <f>IF(NFI_Expiration=1,IF($A287&lt;VLOOKUP(J$5,NFI,5,0),1,0)*Table_NFI[[#This Row],[Sanitary Kit]],Table_NFI[Sanitary Kit])</f>
        <v>0</v>
      </c>
      <c r="AB287" s="448">
        <f>IF(NFI_Expiration=1,IF($A287&lt;VLOOKUP(K$5,NFI,5,0),1,0)*Table_NFI[[#This Row],[Mosquito net]],Table_NFI[Mosquito net])</f>
        <v>0</v>
      </c>
      <c r="AC287" s="448">
        <f>IF(NFI_Expiration=1,IF($A287&lt;VLOOKUP(L$5,NFI,5,0),1,0)*Table_NFI[[#This Row],[Tarpaulin]],Table_NFI[[#This Row],[Tarpaulin]])</f>
        <v>0</v>
      </c>
      <c r="AD287" s="448">
        <f>IF(NFI_Expiration=1,IF($A287&lt;VLOOKUP(M$5,NFI,5,0),1,0)*Table_NFI[[#This Row],[Blanket]],Table_NFI[[#This Row],[Blanket]])</f>
        <v>0</v>
      </c>
      <c r="AE287" s="448">
        <f>IF(NFI_Expiration=1,IF($A287&lt;VLOOKUP(N$5,NFI,5,0),1,0)*Table_NFI[[#This Row],[Kitchen Set]],Table_NFI[Kitchen Set])</f>
        <v>0</v>
      </c>
      <c r="AF287" s="448">
        <f>IF(NFI_Expiration=1,IF($A287&lt;VLOOKUP(O$5,NFI,5,0),1,0)*Table_NFI[[#This Row],[Clothes Kit]],Table_NFI[Clothes Kit])</f>
        <v>0</v>
      </c>
      <c r="AG287" s="448">
        <f>IF(NFI_Expiration=1,IF($A287&lt;VLOOKUP(P$5,NFI,5,0),1,0)*Table_NFI[[#This Row],[Plastic Bucket]],Table_NFI[Plastic Bucket])</f>
        <v>0</v>
      </c>
      <c r="AH287" s="448">
        <f>IF(NFI_Expiration=1,IF($A287&lt;VLOOKUP(Q$5,NFI,5,0),1,0)*Table_NFI[[#This Row],[Plastic Mat]],Table_NFI[Plastic Mat])*IF(Table_NFI[[#This Row],[Distribution Date]]&gt;"2014-04-01",1,2.5)</f>
        <v>0</v>
      </c>
      <c r="AI287" s="448">
        <f>IF(NFI_Expiration=1,IF($A287&lt;VLOOKUP(R$5,NFI,5,0),1,0)*Table_NFI[[#This Row],[Winter Clothes Adult]],Table_NFI[Winter Clothes Adult])</f>
        <v>0</v>
      </c>
      <c r="AJ287" s="448">
        <f>IF(NFI_Expiration=1,IF($A287&lt;VLOOKUP(S$5,NFI,5,0),1,0)*Table_NFI[[#This Row],[Winter Clothes Children]],Table_NFI[Winter Clothes Children])</f>
        <v>0</v>
      </c>
      <c r="AK287" s="448">
        <f>IF(NFI_Expiration=1,IF($A287&lt;VLOOKUP(T$5,NFI,5,0),1,0)*Table_NFI[[#This Row],[Winter Items Other]],Table_NFI[Winter Items Other])</f>
        <v>0</v>
      </c>
      <c r="AL287" s="448">
        <f>IF(NFI_Expiration=1,IF($A287&lt;VLOOKUP(M$5,NFI,5,0),1,0)*Table_NFI[[#This Row],[Winter Blanket]],Table_NFI[[#This Row],[Winter Blanket]])</f>
        <v>0</v>
      </c>
      <c r="AM287" s="448">
        <f>IF(Table_NFI[[#This Row],[Winter Clothes Adult]]+Table_NFI[[#This Row],[Winter Clothes Children]]+Table_NFI[[#This Row],[Winter Items Other]]+Table_NFI[[#This Row],[Winter Blanket]]&gt;0,1,0)</f>
        <v>1</v>
      </c>
      <c r="AN287" s="439">
        <f>IF(NFI_Expiration=1,IF($A287&lt;VLOOKUP(V$5,NFI,5,0),1,0)*Table_NFI[[#This Row],[Jerry Can]],Table_NFI[Jerry Can])</f>
        <v>0</v>
      </c>
      <c r="AO287" s="787" t="str">
        <f>IFERROR(VLOOKUP(Table_NFI[[#This Row],[Camp Name]],CL,2,0),"")</f>
        <v>MMR001CMP042</v>
      </c>
      <c r="AP287" s="788">
        <f ca="1">IF(Table_NFI[[#This Row],[Pcode]]="","",IF(OFFSET(CampList[Opening Date],MATCH(Table_NFI[[#This Row],[Pcode]],CampList[CP_Pcode],0)-1,0,1,1)&gt;=NFI_Monitor_Date,1,0))</f>
        <v>0</v>
      </c>
      <c r="AQ287" s="787" t="str">
        <f>IFERROR(VLOOKUP(Table_NFI[[#This Row],[Camp Name]],CL,3,0),"")</f>
        <v>Open</v>
      </c>
      <c r="AR287" s="448" t="str">
        <f ca="1">IF(Table_NFI[[#This Row],[Pcode]]="","",OFFSET(CampList[Priority],MATCH(Table_NFI[[#This Row],[Pcode]],CampList[CP_Pcode],0)-1,0,1,1))</f>
        <v>P1</v>
      </c>
      <c r="AS287" s="449">
        <f>IFERROR(Table_NFI[[#This Row],[Kitchen Set]]/VLOOKUP(Table_NFI[[#This Row],[Camp Name]],CL,4,0),"")</f>
        <v>0</v>
      </c>
      <c r="AT287" s="789"/>
      <c r="AU287" s="773"/>
    </row>
    <row r="288" spans="1:47" s="774" customFormat="1" x14ac:dyDescent="0.25">
      <c r="A288" s="451">
        <f t="shared" si="4"/>
        <v>22.566666666666666</v>
      </c>
      <c r="B288" s="768">
        <v>41693</v>
      </c>
      <c r="C288" s="769" t="s">
        <v>1111</v>
      </c>
      <c r="D288" s="769" t="s">
        <v>907</v>
      </c>
      <c r="E288" s="769" t="s">
        <v>380</v>
      </c>
      <c r="F288" s="769" t="s">
        <v>27</v>
      </c>
      <c r="G288" s="769" t="s">
        <v>365</v>
      </c>
      <c r="H288" s="436"/>
      <c r="I288" s="436"/>
      <c r="J288" s="436"/>
      <c r="K288" s="436"/>
      <c r="L288" s="437"/>
      <c r="M288" s="437"/>
      <c r="N288" s="437"/>
      <c r="O288" s="437"/>
      <c r="P288" s="439"/>
      <c r="Q288" s="439"/>
      <c r="R288" s="436"/>
      <c r="S288" s="436"/>
      <c r="T288" s="436"/>
      <c r="U288" s="436">
        <v>278</v>
      </c>
      <c r="V288" s="436"/>
      <c r="W288" s="436"/>
      <c r="X288" s="436"/>
      <c r="Y288" s="448">
        <f>IF(NFI_Expiration=1,IF($A288&lt;VLOOKUP(H$5,NFI,5,0),1,0)*Table_NFI[[#This Row],[Hygiene Kit]],Table_NFI[Hygiene Kit])</f>
        <v>0</v>
      </c>
      <c r="Z288" s="448">
        <f>IF(NFI_Expiration=1,IF($A288&lt;VLOOKUP(I$5,NFI,5,0),1,0)*Table_NFI[[#This Row],[NFI Core Kit]],Table_NFI[NFI Core Kit])</f>
        <v>0</v>
      </c>
      <c r="AA288" s="448">
        <f>IF(NFI_Expiration=1,IF($A288&lt;VLOOKUP(J$5,NFI,5,0),1,0)*Table_NFI[[#This Row],[Sanitary Kit]],Table_NFI[Sanitary Kit])</f>
        <v>0</v>
      </c>
      <c r="AB288" s="448">
        <f>IF(NFI_Expiration=1,IF($A288&lt;VLOOKUP(K$5,NFI,5,0),1,0)*Table_NFI[[#This Row],[Mosquito net]],Table_NFI[Mosquito net])</f>
        <v>0</v>
      </c>
      <c r="AC288" s="448">
        <f>IF(NFI_Expiration=1,IF($A288&lt;VLOOKUP(L$5,NFI,5,0),1,0)*Table_NFI[[#This Row],[Tarpaulin]],Table_NFI[[#This Row],[Tarpaulin]])</f>
        <v>0</v>
      </c>
      <c r="AD288" s="448">
        <f>IF(NFI_Expiration=1,IF($A288&lt;VLOOKUP(M$5,NFI,5,0),1,0)*Table_NFI[[#This Row],[Blanket]],Table_NFI[[#This Row],[Blanket]])</f>
        <v>0</v>
      </c>
      <c r="AE288" s="448">
        <f>IF(NFI_Expiration=1,IF($A288&lt;VLOOKUP(N$5,NFI,5,0),1,0)*Table_NFI[[#This Row],[Kitchen Set]],Table_NFI[Kitchen Set])</f>
        <v>0</v>
      </c>
      <c r="AF288" s="448">
        <f>IF(NFI_Expiration=1,IF($A288&lt;VLOOKUP(O$5,NFI,5,0),1,0)*Table_NFI[[#This Row],[Clothes Kit]],Table_NFI[Clothes Kit])</f>
        <v>0</v>
      </c>
      <c r="AG288" s="448">
        <f>IF(NFI_Expiration=1,IF($A288&lt;VLOOKUP(P$5,NFI,5,0),1,0)*Table_NFI[[#This Row],[Plastic Bucket]],Table_NFI[Plastic Bucket])</f>
        <v>0</v>
      </c>
      <c r="AH288" s="448">
        <f>IF(NFI_Expiration=1,IF($A288&lt;VLOOKUP(Q$5,NFI,5,0),1,0)*Table_NFI[[#This Row],[Plastic Mat]],Table_NFI[Plastic Mat])*IF(Table_NFI[[#This Row],[Distribution Date]]&gt;"2014-04-01",1,2.5)</f>
        <v>0</v>
      </c>
      <c r="AI288" s="448">
        <f>IF(NFI_Expiration=1,IF($A288&lt;VLOOKUP(R$5,NFI,5,0),1,0)*Table_NFI[[#This Row],[Winter Clothes Adult]],Table_NFI[Winter Clothes Adult])</f>
        <v>0</v>
      </c>
      <c r="AJ288" s="448">
        <f>IF(NFI_Expiration=1,IF($A288&lt;VLOOKUP(S$5,NFI,5,0),1,0)*Table_NFI[[#This Row],[Winter Clothes Children]],Table_NFI[Winter Clothes Children])</f>
        <v>0</v>
      </c>
      <c r="AK288" s="448">
        <f>IF(NFI_Expiration=1,IF($A288&lt;VLOOKUP(T$5,NFI,5,0),1,0)*Table_NFI[[#This Row],[Winter Items Other]],Table_NFI[Winter Items Other])</f>
        <v>0</v>
      </c>
      <c r="AL288" s="448">
        <f>IF(NFI_Expiration=1,IF($A288&lt;VLOOKUP(M$5,NFI,5,0),1,0)*Table_NFI[[#This Row],[Winter Blanket]],Table_NFI[[#This Row],[Winter Blanket]])</f>
        <v>0</v>
      </c>
      <c r="AM288" s="448">
        <f>IF(Table_NFI[[#This Row],[Winter Clothes Adult]]+Table_NFI[[#This Row],[Winter Clothes Children]]+Table_NFI[[#This Row],[Winter Items Other]]+Table_NFI[[#This Row],[Winter Blanket]]&gt;0,1,0)</f>
        <v>1</v>
      </c>
      <c r="AN288" s="439">
        <f>IF(NFI_Expiration=1,IF($A288&lt;VLOOKUP(V$5,NFI,5,0),1,0)*Table_NFI[[#This Row],[Jerry Can]],Table_NFI[Jerry Can])</f>
        <v>0</v>
      </c>
      <c r="AO288" s="787" t="str">
        <f>IFERROR(VLOOKUP(Table_NFI[[#This Row],[Camp Name]],CL,2,0),"")</f>
        <v>MMR001CMP195</v>
      </c>
      <c r="AP288" s="788">
        <f ca="1">IF(Table_NFI[[#This Row],[Pcode]]="","",IF(OFFSET(CampList[Opening Date],MATCH(Table_NFI[[#This Row],[Pcode]],CampList[CP_Pcode],0)-1,0,1,1)&gt;=NFI_Monitor_Date,1,0))</f>
        <v>0</v>
      </c>
      <c r="AQ288" s="787" t="str">
        <f>IFERROR(VLOOKUP(Table_NFI[[#This Row],[Camp Name]],CL,3,0),"")</f>
        <v>Open</v>
      </c>
      <c r="AR288" s="448" t="str">
        <f ca="1">IF(Table_NFI[[#This Row],[Pcode]]="","",OFFSET(CampList[Priority],MATCH(Table_NFI[[#This Row],[Pcode]],CampList[CP_Pcode],0)-1,0,1,1))</f>
        <v>P1</v>
      </c>
      <c r="AS288" s="449">
        <f>IFERROR(Table_NFI[[#This Row],[Kitchen Set]]/VLOOKUP(Table_NFI[[#This Row],[Camp Name]],CL,4,0),"")</f>
        <v>0</v>
      </c>
      <c r="AT288" s="789"/>
      <c r="AU288" s="773"/>
    </row>
    <row r="289" spans="1:47" s="774" customFormat="1" x14ac:dyDescent="0.25">
      <c r="A289" s="451">
        <f t="shared" si="4"/>
        <v>22.566666666666666</v>
      </c>
      <c r="B289" s="768">
        <v>41693</v>
      </c>
      <c r="C289" s="769" t="s">
        <v>1111</v>
      </c>
      <c r="D289" s="769" t="s">
        <v>907</v>
      </c>
      <c r="E289" s="769" t="s">
        <v>380</v>
      </c>
      <c r="F289" s="769" t="s">
        <v>185</v>
      </c>
      <c r="G289" s="769" t="s">
        <v>225</v>
      </c>
      <c r="H289" s="436"/>
      <c r="I289" s="436"/>
      <c r="J289" s="436"/>
      <c r="K289" s="436"/>
      <c r="L289" s="437"/>
      <c r="M289" s="437"/>
      <c r="N289" s="437"/>
      <c r="O289" s="437"/>
      <c r="P289" s="439"/>
      <c r="Q289" s="439"/>
      <c r="R289" s="436"/>
      <c r="S289" s="436"/>
      <c r="T289" s="436"/>
      <c r="U289" s="436">
        <v>376</v>
      </c>
      <c r="V289" s="436"/>
      <c r="W289" s="436"/>
      <c r="X289" s="436"/>
      <c r="Y289" s="448">
        <f>IF(NFI_Expiration=1,IF($A289&lt;VLOOKUP(H$5,NFI,5,0),1,0)*Table_NFI[[#This Row],[Hygiene Kit]],Table_NFI[Hygiene Kit])</f>
        <v>0</v>
      </c>
      <c r="Z289" s="448">
        <f>IF(NFI_Expiration=1,IF($A289&lt;VLOOKUP(I$5,NFI,5,0),1,0)*Table_NFI[[#This Row],[NFI Core Kit]],Table_NFI[NFI Core Kit])</f>
        <v>0</v>
      </c>
      <c r="AA289" s="448">
        <f>IF(NFI_Expiration=1,IF($A289&lt;VLOOKUP(J$5,NFI,5,0),1,0)*Table_NFI[[#This Row],[Sanitary Kit]],Table_NFI[Sanitary Kit])</f>
        <v>0</v>
      </c>
      <c r="AB289" s="448">
        <f>IF(NFI_Expiration=1,IF($A289&lt;VLOOKUP(K$5,NFI,5,0),1,0)*Table_NFI[[#This Row],[Mosquito net]],Table_NFI[Mosquito net])</f>
        <v>0</v>
      </c>
      <c r="AC289" s="448">
        <f>IF(NFI_Expiration=1,IF($A289&lt;VLOOKUP(L$5,NFI,5,0),1,0)*Table_NFI[[#This Row],[Tarpaulin]],Table_NFI[[#This Row],[Tarpaulin]])</f>
        <v>0</v>
      </c>
      <c r="AD289" s="448">
        <f>IF(NFI_Expiration=1,IF($A289&lt;VLOOKUP(M$5,NFI,5,0),1,0)*Table_NFI[[#This Row],[Blanket]],Table_NFI[[#This Row],[Blanket]])</f>
        <v>0</v>
      </c>
      <c r="AE289" s="448">
        <f>IF(NFI_Expiration=1,IF($A289&lt;VLOOKUP(N$5,NFI,5,0),1,0)*Table_NFI[[#This Row],[Kitchen Set]],Table_NFI[Kitchen Set])</f>
        <v>0</v>
      </c>
      <c r="AF289" s="448">
        <f>IF(NFI_Expiration=1,IF($A289&lt;VLOOKUP(O$5,NFI,5,0),1,0)*Table_NFI[[#This Row],[Clothes Kit]],Table_NFI[Clothes Kit])</f>
        <v>0</v>
      </c>
      <c r="AG289" s="448">
        <f>IF(NFI_Expiration=1,IF($A289&lt;VLOOKUP(P$5,NFI,5,0),1,0)*Table_NFI[[#This Row],[Plastic Bucket]],Table_NFI[Plastic Bucket])</f>
        <v>0</v>
      </c>
      <c r="AH289" s="448">
        <f>IF(NFI_Expiration=1,IF($A289&lt;VLOOKUP(Q$5,NFI,5,0),1,0)*Table_NFI[[#This Row],[Plastic Mat]],Table_NFI[Plastic Mat])*IF(Table_NFI[[#This Row],[Distribution Date]]&gt;"2014-04-01",1,2.5)</f>
        <v>0</v>
      </c>
      <c r="AI289" s="448">
        <f>IF(NFI_Expiration=1,IF($A289&lt;VLOOKUP(R$5,NFI,5,0),1,0)*Table_NFI[[#This Row],[Winter Clothes Adult]],Table_NFI[Winter Clothes Adult])</f>
        <v>0</v>
      </c>
      <c r="AJ289" s="448">
        <f>IF(NFI_Expiration=1,IF($A289&lt;VLOOKUP(S$5,NFI,5,0),1,0)*Table_NFI[[#This Row],[Winter Clothes Children]],Table_NFI[Winter Clothes Children])</f>
        <v>0</v>
      </c>
      <c r="AK289" s="448">
        <f>IF(NFI_Expiration=1,IF($A289&lt;VLOOKUP(T$5,NFI,5,0),1,0)*Table_NFI[[#This Row],[Winter Items Other]],Table_NFI[Winter Items Other])</f>
        <v>0</v>
      </c>
      <c r="AL289" s="448">
        <f>IF(NFI_Expiration=1,IF($A289&lt;VLOOKUP(M$5,NFI,5,0),1,0)*Table_NFI[[#This Row],[Winter Blanket]],Table_NFI[[#This Row],[Winter Blanket]])</f>
        <v>0</v>
      </c>
      <c r="AM289" s="448">
        <f>IF(Table_NFI[[#This Row],[Winter Clothes Adult]]+Table_NFI[[#This Row],[Winter Clothes Children]]+Table_NFI[[#This Row],[Winter Items Other]]+Table_NFI[[#This Row],[Winter Blanket]]&gt;0,1,0)</f>
        <v>1</v>
      </c>
      <c r="AN289" s="439">
        <f>IF(NFI_Expiration=1,IF($A289&lt;VLOOKUP(V$5,NFI,5,0),1,0)*Table_NFI[[#This Row],[Jerry Can]],Table_NFI[Jerry Can])</f>
        <v>0</v>
      </c>
      <c r="AO289" s="787" t="str">
        <f>IFERROR(VLOOKUP(Table_NFI[[#This Row],[Camp Name]],CL,2,0),"")</f>
        <v>MMR001CMP073</v>
      </c>
      <c r="AP289" s="788">
        <f ca="1">IF(Table_NFI[[#This Row],[Pcode]]="","",IF(OFFSET(CampList[Opening Date],MATCH(Table_NFI[[#This Row],[Pcode]],CampList[CP_Pcode],0)-1,0,1,1)&gt;=NFI_Monitor_Date,1,0))</f>
        <v>0</v>
      </c>
      <c r="AQ289" s="787" t="str">
        <f>IFERROR(VLOOKUP(Table_NFI[[#This Row],[Camp Name]],CL,3,0),"")</f>
        <v>Open</v>
      </c>
      <c r="AR289" s="448" t="str">
        <f ca="1">IF(Table_NFI[[#This Row],[Pcode]]="","",OFFSET(CampList[Priority],MATCH(Table_NFI[[#This Row],[Pcode]],CampList[CP_Pcode],0)-1,0,1,1))</f>
        <v>P3</v>
      </c>
      <c r="AS289" s="449">
        <f>IFERROR(Table_NFI[[#This Row],[Kitchen Set]]/VLOOKUP(Table_NFI[[#This Row],[Camp Name]],CL,4,0),"")</f>
        <v>0</v>
      </c>
      <c r="AT289" s="789"/>
      <c r="AU289" s="773"/>
    </row>
    <row r="290" spans="1:47" s="774" customFormat="1" x14ac:dyDescent="0.25">
      <c r="A290" s="451">
        <f t="shared" si="4"/>
        <v>22.6</v>
      </c>
      <c r="B290" s="768">
        <v>41692</v>
      </c>
      <c r="C290" s="769" t="s">
        <v>1111</v>
      </c>
      <c r="D290" s="769" t="s">
        <v>907</v>
      </c>
      <c r="E290" s="769" t="s">
        <v>380</v>
      </c>
      <c r="F290" s="769" t="s">
        <v>27</v>
      </c>
      <c r="G290" s="769" t="s">
        <v>870</v>
      </c>
      <c r="H290" s="436"/>
      <c r="I290" s="436"/>
      <c r="J290" s="436"/>
      <c r="K290" s="436"/>
      <c r="L290" s="437"/>
      <c r="M290" s="437"/>
      <c r="N290" s="437"/>
      <c r="O290" s="437"/>
      <c r="P290" s="439"/>
      <c r="Q290" s="439"/>
      <c r="R290" s="436"/>
      <c r="S290" s="436"/>
      <c r="T290" s="436"/>
      <c r="U290" s="436">
        <v>126</v>
      </c>
      <c r="V290" s="436"/>
      <c r="W290" s="436"/>
      <c r="X290" s="436"/>
      <c r="Y290" s="448">
        <f>IF(NFI_Expiration=1,IF($A290&lt;VLOOKUP(H$5,NFI,5,0),1,0)*Table_NFI[[#This Row],[Hygiene Kit]],Table_NFI[Hygiene Kit])</f>
        <v>0</v>
      </c>
      <c r="Z290" s="448">
        <f>IF(NFI_Expiration=1,IF($A290&lt;VLOOKUP(I$5,NFI,5,0),1,0)*Table_NFI[[#This Row],[NFI Core Kit]],Table_NFI[NFI Core Kit])</f>
        <v>0</v>
      </c>
      <c r="AA290" s="448">
        <f>IF(NFI_Expiration=1,IF($A290&lt;VLOOKUP(J$5,NFI,5,0),1,0)*Table_NFI[[#This Row],[Sanitary Kit]],Table_NFI[Sanitary Kit])</f>
        <v>0</v>
      </c>
      <c r="AB290" s="448">
        <f>IF(NFI_Expiration=1,IF($A290&lt;VLOOKUP(K$5,NFI,5,0),1,0)*Table_NFI[[#This Row],[Mosquito net]],Table_NFI[Mosquito net])</f>
        <v>0</v>
      </c>
      <c r="AC290" s="448">
        <f>IF(NFI_Expiration=1,IF($A290&lt;VLOOKUP(L$5,NFI,5,0),1,0)*Table_NFI[[#This Row],[Tarpaulin]],Table_NFI[[#This Row],[Tarpaulin]])</f>
        <v>0</v>
      </c>
      <c r="AD290" s="448">
        <f>IF(NFI_Expiration=1,IF($A290&lt;VLOOKUP(M$5,NFI,5,0),1,0)*Table_NFI[[#This Row],[Blanket]],Table_NFI[[#This Row],[Blanket]])</f>
        <v>0</v>
      </c>
      <c r="AE290" s="448">
        <f>IF(NFI_Expiration=1,IF($A290&lt;VLOOKUP(N$5,NFI,5,0),1,0)*Table_NFI[[#This Row],[Kitchen Set]],Table_NFI[Kitchen Set])</f>
        <v>0</v>
      </c>
      <c r="AF290" s="448">
        <f>IF(NFI_Expiration=1,IF($A290&lt;VLOOKUP(O$5,NFI,5,0),1,0)*Table_NFI[[#This Row],[Clothes Kit]],Table_NFI[Clothes Kit])</f>
        <v>0</v>
      </c>
      <c r="AG290" s="448">
        <f>IF(NFI_Expiration=1,IF($A290&lt;VLOOKUP(P$5,NFI,5,0),1,0)*Table_NFI[[#This Row],[Plastic Bucket]],Table_NFI[Plastic Bucket])</f>
        <v>0</v>
      </c>
      <c r="AH290" s="448">
        <f>IF(NFI_Expiration=1,IF($A290&lt;VLOOKUP(Q$5,NFI,5,0),1,0)*Table_NFI[[#This Row],[Plastic Mat]],Table_NFI[Plastic Mat])*IF(Table_NFI[[#This Row],[Distribution Date]]&gt;"2014-04-01",1,2.5)</f>
        <v>0</v>
      </c>
      <c r="AI290" s="448">
        <f>IF(NFI_Expiration=1,IF($A290&lt;VLOOKUP(R$5,NFI,5,0),1,0)*Table_NFI[[#This Row],[Winter Clothes Adult]],Table_NFI[Winter Clothes Adult])</f>
        <v>0</v>
      </c>
      <c r="AJ290" s="448">
        <f>IF(NFI_Expiration=1,IF($A290&lt;VLOOKUP(S$5,NFI,5,0),1,0)*Table_NFI[[#This Row],[Winter Clothes Children]],Table_NFI[Winter Clothes Children])</f>
        <v>0</v>
      </c>
      <c r="AK290" s="448">
        <f>IF(NFI_Expiration=1,IF($A290&lt;VLOOKUP(T$5,NFI,5,0),1,0)*Table_NFI[[#This Row],[Winter Items Other]],Table_NFI[Winter Items Other])</f>
        <v>0</v>
      </c>
      <c r="AL290" s="448">
        <f>IF(NFI_Expiration=1,IF($A290&lt;VLOOKUP(M$5,NFI,5,0),1,0)*Table_NFI[[#This Row],[Winter Blanket]],Table_NFI[[#This Row],[Winter Blanket]])</f>
        <v>0</v>
      </c>
      <c r="AM290" s="448">
        <f>IF(Table_NFI[[#This Row],[Winter Clothes Adult]]+Table_NFI[[#This Row],[Winter Clothes Children]]+Table_NFI[[#This Row],[Winter Items Other]]+Table_NFI[[#This Row],[Winter Blanket]]&gt;0,1,0)</f>
        <v>1</v>
      </c>
      <c r="AN290" s="439">
        <f>IF(NFI_Expiration=1,IF($A290&lt;VLOOKUP(V$5,NFI,5,0),1,0)*Table_NFI[[#This Row],[Jerry Can]],Table_NFI[Jerry Can])</f>
        <v>0</v>
      </c>
      <c r="AO290" s="787" t="str">
        <f>IFERROR(VLOOKUP(Table_NFI[[#This Row],[Camp Name]],CL,2,0),"")</f>
        <v>MMR001CMP210</v>
      </c>
      <c r="AP290" s="788">
        <f ca="1">IF(Table_NFI[[#This Row],[Pcode]]="","",IF(OFFSET(CampList[Opening Date],MATCH(Table_NFI[[#This Row],[Pcode]],CampList[CP_Pcode],0)-1,0,1,1)&gt;=NFI_Monitor_Date,1,0))</f>
        <v>0</v>
      </c>
      <c r="AQ290" s="787" t="str">
        <f>IFERROR(VLOOKUP(Table_NFI[[#This Row],[Camp Name]],CL,3,0),"")</f>
        <v>Open</v>
      </c>
      <c r="AR290" s="448" t="str">
        <f ca="1">IF(Table_NFI[[#This Row],[Pcode]]="","",OFFSET(CampList[Priority],MATCH(Table_NFI[[#This Row],[Pcode]],CampList[CP_Pcode],0)-1,0,1,1))</f>
        <v>P1</v>
      </c>
      <c r="AS290" s="449">
        <f>IFERROR(Table_NFI[[#This Row],[Kitchen Set]]/VLOOKUP(Table_NFI[[#This Row],[Camp Name]],CL,4,0),"")</f>
        <v>0</v>
      </c>
      <c r="AT290" s="789"/>
      <c r="AU290" s="773"/>
    </row>
    <row r="291" spans="1:47" s="774" customFormat="1" x14ac:dyDescent="0.25">
      <c r="A291" s="451">
        <f t="shared" si="4"/>
        <v>22.6</v>
      </c>
      <c r="B291" s="768">
        <v>41692</v>
      </c>
      <c r="C291" s="769" t="s">
        <v>1111</v>
      </c>
      <c r="D291" s="769" t="s">
        <v>907</v>
      </c>
      <c r="E291" s="769" t="s">
        <v>380</v>
      </c>
      <c r="F291" s="769" t="s">
        <v>27</v>
      </c>
      <c r="G291" s="769" t="s">
        <v>1026</v>
      </c>
      <c r="H291" s="436"/>
      <c r="I291" s="436"/>
      <c r="J291" s="436"/>
      <c r="K291" s="436"/>
      <c r="L291" s="437"/>
      <c r="M291" s="437"/>
      <c r="N291" s="437"/>
      <c r="O291" s="437"/>
      <c r="P291" s="439"/>
      <c r="Q291" s="439"/>
      <c r="R291" s="436"/>
      <c r="S291" s="436"/>
      <c r="T291" s="436"/>
      <c r="U291" s="436">
        <v>58</v>
      </c>
      <c r="V291" s="436"/>
      <c r="W291" s="436"/>
      <c r="X291" s="436"/>
      <c r="Y291" s="448">
        <f>IF(NFI_Expiration=1,IF($A291&lt;VLOOKUP(H$5,NFI,5,0),1,0)*Table_NFI[[#This Row],[Hygiene Kit]],Table_NFI[Hygiene Kit])</f>
        <v>0</v>
      </c>
      <c r="Z291" s="448">
        <f>IF(NFI_Expiration=1,IF($A291&lt;VLOOKUP(I$5,NFI,5,0),1,0)*Table_NFI[[#This Row],[NFI Core Kit]],Table_NFI[NFI Core Kit])</f>
        <v>0</v>
      </c>
      <c r="AA291" s="448">
        <f>IF(NFI_Expiration=1,IF($A291&lt;VLOOKUP(J$5,NFI,5,0),1,0)*Table_NFI[[#This Row],[Sanitary Kit]],Table_NFI[Sanitary Kit])</f>
        <v>0</v>
      </c>
      <c r="AB291" s="448">
        <f>IF(NFI_Expiration=1,IF($A291&lt;VLOOKUP(K$5,NFI,5,0),1,0)*Table_NFI[[#This Row],[Mosquito net]],Table_NFI[Mosquito net])</f>
        <v>0</v>
      </c>
      <c r="AC291" s="448">
        <f>IF(NFI_Expiration=1,IF($A291&lt;VLOOKUP(L$5,NFI,5,0),1,0)*Table_NFI[[#This Row],[Tarpaulin]],Table_NFI[[#This Row],[Tarpaulin]])</f>
        <v>0</v>
      </c>
      <c r="AD291" s="448">
        <f>IF(NFI_Expiration=1,IF($A291&lt;VLOOKUP(M$5,NFI,5,0),1,0)*Table_NFI[[#This Row],[Blanket]],Table_NFI[[#This Row],[Blanket]])</f>
        <v>0</v>
      </c>
      <c r="AE291" s="448">
        <f>IF(NFI_Expiration=1,IF($A291&lt;VLOOKUP(N$5,NFI,5,0),1,0)*Table_NFI[[#This Row],[Kitchen Set]],Table_NFI[Kitchen Set])</f>
        <v>0</v>
      </c>
      <c r="AF291" s="448">
        <f>IF(NFI_Expiration=1,IF($A291&lt;VLOOKUP(O$5,NFI,5,0),1,0)*Table_NFI[[#This Row],[Clothes Kit]],Table_NFI[Clothes Kit])</f>
        <v>0</v>
      </c>
      <c r="AG291" s="448">
        <f>IF(NFI_Expiration=1,IF($A291&lt;VLOOKUP(P$5,NFI,5,0),1,0)*Table_NFI[[#This Row],[Plastic Bucket]],Table_NFI[Plastic Bucket])</f>
        <v>0</v>
      </c>
      <c r="AH291" s="448">
        <f>IF(NFI_Expiration=1,IF($A291&lt;VLOOKUP(Q$5,NFI,5,0),1,0)*Table_NFI[[#This Row],[Plastic Mat]],Table_NFI[Plastic Mat])*IF(Table_NFI[[#This Row],[Distribution Date]]&gt;"2014-04-01",1,2.5)</f>
        <v>0</v>
      </c>
      <c r="AI291" s="448">
        <f>IF(NFI_Expiration=1,IF($A291&lt;VLOOKUP(R$5,NFI,5,0),1,0)*Table_NFI[[#This Row],[Winter Clothes Adult]],Table_NFI[Winter Clothes Adult])</f>
        <v>0</v>
      </c>
      <c r="AJ291" s="448">
        <f>IF(NFI_Expiration=1,IF($A291&lt;VLOOKUP(S$5,NFI,5,0),1,0)*Table_NFI[[#This Row],[Winter Clothes Children]],Table_NFI[Winter Clothes Children])</f>
        <v>0</v>
      </c>
      <c r="AK291" s="448">
        <f>IF(NFI_Expiration=1,IF($A291&lt;VLOOKUP(T$5,NFI,5,0),1,0)*Table_NFI[[#This Row],[Winter Items Other]],Table_NFI[Winter Items Other])</f>
        <v>0</v>
      </c>
      <c r="AL291" s="448">
        <f>IF(NFI_Expiration=1,IF($A291&lt;VLOOKUP(M$5,NFI,5,0),1,0)*Table_NFI[[#This Row],[Winter Blanket]],Table_NFI[[#This Row],[Winter Blanket]])</f>
        <v>0</v>
      </c>
      <c r="AM291" s="448">
        <f>IF(Table_NFI[[#This Row],[Winter Clothes Adult]]+Table_NFI[[#This Row],[Winter Clothes Children]]+Table_NFI[[#This Row],[Winter Items Other]]+Table_NFI[[#This Row],[Winter Blanket]]&gt;0,1,0)</f>
        <v>1</v>
      </c>
      <c r="AN291" s="439">
        <f>IF(NFI_Expiration=1,IF($A291&lt;VLOOKUP(V$5,NFI,5,0),1,0)*Table_NFI[[#This Row],[Jerry Can]],Table_NFI[Jerry Can])</f>
        <v>0</v>
      </c>
      <c r="AO291" s="787" t="str">
        <f>IFERROR(VLOOKUP(Table_NFI[[#This Row],[Camp Name]],CL,2,0),"")</f>
        <v>MMR001CMP225</v>
      </c>
      <c r="AP291" s="788">
        <f ca="1">IF(Table_NFI[[#This Row],[Pcode]]="","",IF(OFFSET(CampList[Opening Date],MATCH(Table_NFI[[#This Row],[Pcode]],CampList[CP_Pcode],0)-1,0,1,1)&gt;=NFI_Monitor_Date,1,0))</f>
        <v>0</v>
      </c>
      <c r="AQ291" s="787" t="str">
        <f>IFERROR(VLOOKUP(Table_NFI[[#This Row],[Camp Name]],CL,3,0),"")</f>
        <v>Open</v>
      </c>
      <c r="AR291" s="448" t="str">
        <f ca="1">IF(Table_NFI[[#This Row],[Pcode]]="","",OFFSET(CampList[Priority],MATCH(Table_NFI[[#This Row],[Pcode]],CampList[CP_Pcode],0)-1,0,1,1))</f>
        <v>P1</v>
      </c>
      <c r="AS291" s="449">
        <f>IFERROR(Table_NFI[[#This Row],[Kitchen Set]]/VLOOKUP(Table_NFI[[#This Row],[Camp Name]],CL,4,0),"")</f>
        <v>0</v>
      </c>
      <c r="AT291" s="789"/>
      <c r="AU291" s="773"/>
    </row>
    <row r="292" spans="1:47" s="774" customFormat="1" x14ac:dyDescent="0.25">
      <c r="A292" s="451">
        <f t="shared" si="4"/>
        <v>22.6</v>
      </c>
      <c r="B292" s="768">
        <v>41692</v>
      </c>
      <c r="C292" s="769" t="s">
        <v>1111</v>
      </c>
      <c r="D292" s="769" t="s">
        <v>907</v>
      </c>
      <c r="E292" s="769" t="s">
        <v>380</v>
      </c>
      <c r="F292" s="769" t="s">
        <v>813</v>
      </c>
      <c r="G292" s="769" t="s">
        <v>813</v>
      </c>
      <c r="H292" s="436"/>
      <c r="I292" s="436"/>
      <c r="J292" s="436"/>
      <c r="K292" s="436"/>
      <c r="L292" s="437"/>
      <c r="M292" s="437"/>
      <c r="N292" s="437"/>
      <c r="O292" s="437"/>
      <c r="P292" s="439"/>
      <c r="Q292" s="439"/>
      <c r="R292" s="436"/>
      <c r="S292" s="436"/>
      <c r="T292" s="436"/>
      <c r="U292" s="436">
        <v>16</v>
      </c>
      <c r="V292" s="436"/>
      <c r="W292" s="436"/>
      <c r="X292" s="436"/>
      <c r="Y292" s="448">
        <f>IF(NFI_Expiration=1,IF($A292&lt;VLOOKUP(H$5,NFI,5,0),1,0)*Table_NFI[[#This Row],[Hygiene Kit]],Table_NFI[Hygiene Kit])</f>
        <v>0</v>
      </c>
      <c r="Z292" s="448">
        <f>IF(NFI_Expiration=1,IF($A292&lt;VLOOKUP(I$5,NFI,5,0),1,0)*Table_NFI[[#This Row],[NFI Core Kit]],Table_NFI[NFI Core Kit])</f>
        <v>0</v>
      </c>
      <c r="AA292" s="448">
        <f>IF(NFI_Expiration=1,IF($A292&lt;VLOOKUP(J$5,NFI,5,0),1,0)*Table_NFI[[#This Row],[Sanitary Kit]],Table_NFI[Sanitary Kit])</f>
        <v>0</v>
      </c>
      <c r="AB292" s="448">
        <f>IF(NFI_Expiration=1,IF($A292&lt;VLOOKUP(K$5,NFI,5,0),1,0)*Table_NFI[[#This Row],[Mosquito net]],Table_NFI[Mosquito net])</f>
        <v>0</v>
      </c>
      <c r="AC292" s="448">
        <f>IF(NFI_Expiration=1,IF($A292&lt;VLOOKUP(L$5,NFI,5,0),1,0)*Table_NFI[[#This Row],[Tarpaulin]],Table_NFI[[#This Row],[Tarpaulin]])</f>
        <v>0</v>
      </c>
      <c r="AD292" s="448">
        <f>IF(NFI_Expiration=1,IF($A292&lt;VLOOKUP(M$5,NFI,5,0),1,0)*Table_NFI[[#This Row],[Blanket]],Table_NFI[[#This Row],[Blanket]])</f>
        <v>0</v>
      </c>
      <c r="AE292" s="448">
        <f>IF(NFI_Expiration=1,IF($A292&lt;VLOOKUP(N$5,NFI,5,0),1,0)*Table_NFI[[#This Row],[Kitchen Set]],Table_NFI[Kitchen Set])</f>
        <v>0</v>
      </c>
      <c r="AF292" s="448">
        <f>IF(NFI_Expiration=1,IF($A292&lt;VLOOKUP(O$5,NFI,5,0),1,0)*Table_NFI[[#This Row],[Clothes Kit]],Table_NFI[Clothes Kit])</f>
        <v>0</v>
      </c>
      <c r="AG292" s="448">
        <f>IF(NFI_Expiration=1,IF($A292&lt;VLOOKUP(P$5,NFI,5,0),1,0)*Table_NFI[[#This Row],[Plastic Bucket]],Table_NFI[Plastic Bucket])</f>
        <v>0</v>
      </c>
      <c r="AH292" s="448">
        <f>IF(NFI_Expiration=1,IF($A292&lt;VLOOKUP(Q$5,NFI,5,0),1,0)*Table_NFI[[#This Row],[Plastic Mat]],Table_NFI[Plastic Mat])*IF(Table_NFI[[#This Row],[Distribution Date]]&gt;"2014-04-01",1,2.5)</f>
        <v>0</v>
      </c>
      <c r="AI292" s="448">
        <f>IF(NFI_Expiration=1,IF($A292&lt;VLOOKUP(R$5,NFI,5,0),1,0)*Table_NFI[[#This Row],[Winter Clothes Adult]],Table_NFI[Winter Clothes Adult])</f>
        <v>0</v>
      </c>
      <c r="AJ292" s="448">
        <f>IF(NFI_Expiration=1,IF($A292&lt;VLOOKUP(S$5,NFI,5,0),1,0)*Table_NFI[[#This Row],[Winter Clothes Children]],Table_NFI[Winter Clothes Children])</f>
        <v>0</v>
      </c>
      <c r="AK292" s="448">
        <f>IF(NFI_Expiration=1,IF($A292&lt;VLOOKUP(T$5,NFI,5,0),1,0)*Table_NFI[[#This Row],[Winter Items Other]],Table_NFI[Winter Items Other])</f>
        <v>0</v>
      </c>
      <c r="AL292" s="448">
        <f>IF(NFI_Expiration=1,IF($A292&lt;VLOOKUP(M$5,NFI,5,0),1,0)*Table_NFI[[#This Row],[Winter Blanket]],Table_NFI[[#This Row],[Winter Blanket]])</f>
        <v>0</v>
      </c>
      <c r="AM292" s="448">
        <f>IF(Table_NFI[[#This Row],[Winter Clothes Adult]]+Table_NFI[[#This Row],[Winter Clothes Children]]+Table_NFI[[#This Row],[Winter Items Other]]+Table_NFI[[#This Row],[Winter Blanket]]&gt;0,1,0)</f>
        <v>1</v>
      </c>
      <c r="AN292" s="439">
        <f>IF(NFI_Expiration=1,IF($A292&lt;VLOOKUP(V$5,NFI,5,0),1,0)*Table_NFI[[#This Row],[Jerry Can]],Table_NFI[Jerry Can])</f>
        <v>0</v>
      </c>
      <c r="AO292" s="787" t="str">
        <f>IFERROR(VLOOKUP(Table_NFI[[#This Row],[Camp Name]],CL,2,0),"")</f>
        <v>MMR001CMP206</v>
      </c>
      <c r="AP292" s="788">
        <f ca="1">IF(Table_NFI[[#This Row],[Pcode]]="","",IF(OFFSET(CampList[Opening Date],MATCH(Table_NFI[[#This Row],[Pcode]],CampList[CP_Pcode],0)-1,0,1,1)&gt;=NFI_Monitor_Date,1,0))</f>
        <v>0</v>
      </c>
      <c r="AQ292" s="787" t="str">
        <f>IFERROR(VLOOKUP(Table_NFI[[#This Row],[Camp Name]],CL,3,0),"")</f>
        <v>Open</v>
      </c>
      <c r="AR292" s="448" t="str">
        <f ca="1">IF(Table_NFI[[#This Row],[Pcode]]="","",OFFSET(CampList[Priority],MATCH(Table_NFI[[#This Row],[Pcode]],CampList[CP_Pcode],0)-1,0,1,1))</f>
        <v>P4</v>
      </c>
      <c r="AS292" s="449">
        <f>IFERROR(Table_NFI[[#This Row],[Kitchen Set]]/VLOOKUP(Table_NFI[[#This Row],[Camp Name]],CL,4,0),"")</f>
        <v>0</v>
      </c>
      <c r="AT292" s="789"/>
      <c r="AU292" s="773"/>
    </row>
    <row r="293" spans="1:47" s="774" customFormat="1" x14ac:dyDescent="0.25">
      <c r="A293" s="451">
        <f t="shared" si="4"/>
        <v>23.4</v>
      </c>
      <c r="B293" s="768">
        <v>41668</v>
      </c>
      <c r="C293" s="769" t="s">
        <v>454</v>
      </c>
      <c r="D293" s="442" t="s">
        <v>454</v>
      </c>
      <c r="E293" s="775" t="s">
        <v>380</v>
      </c>
      <c r="F293" s="435" t="s">
        <v>151</v>
      </c>
      <c r="G293" s="435" t="s">
        <v>891</v>
      </c>
      <c r="H293" s="442"/>
      <c r="I293" s="442"/>
      <c r="J293" s="442"/>
      <c r="K293" s="775">
        <v>100</v>
      </c>
      <c r="L293" s="776">
        <v>58</v>
      </c>
      <c r="M293" s="443">
        <v>100</v>
      </c>
      <c r="N293" s="443">
        <v>58</v>
      </c>
      <c r="O293" s="443"/>
      <c r="P293" s="776">
        <v>58</v>
      </c>
      <c r="Q293" s="443">
        <v>290</v>
      </c>
      <c r="R293" s="442"/>
      <c r="S293" s="442"/>
      <c r="T293" s="442"/>
      <c r="U293" s="442"/>
      <c r="V293" s="442"/>
      <c r="W293" s="442"/>
      <c r="X293" s="442"/>
      <c r="Y293" s="436">
        <f>IF(NFI_Expiration=1,IF($A293&lt;VLOOKUP(H$5,NFI,5,0),1,0)*Table_NFI[[#This Row],[Hygiene Kit]],Table_NFI[Hygiene Kit])</f>
        <v>0</v>
      </c>
      <c r="Z293" s="436">
        <f>IF(NFI_Expiration=1,IF($A293&lt;VLOOKUP(I$5,NFI,5,0),1,0)*Table_NFI[[#This Row],[NFI Core Kit]],Table_NFI[NFI Core Kit])</f>
        <v>0</v>
      </c>
      <c r="AA293" s="436">
        <f>IF(NFI_Expiration=1,IF($A293&lt;VLOOKUP(J$5,NFI,5,0),1,0)*Table_NFI[[#This Row],[Sanitary Kit]],Table_NFI[Sanitary Kit])</f>
        <v>0</v>
      </c>
      <c r="AB293" s="436">
        <f>IF(NFI_Expiration=1,IF($A293&lt;VLOOKUP(K$5,NFI,5,0),1,0)*Table_NFI[[#This Row],[Mosquito net]],Table_NFI[Mosquito net])</f>
        <v>0</v>
      </c>
      <c r="AC293" s="436">
        <f>IF(NFI_Expiration=1,IF($A293&lt;VLOOKUP(L$5,NFI,5,0),1,0)*Table_NFI[[#This Row],[Tarpaulin]],Table_NFI[[#This Row],[Tarpaulin]])</f>
        <v>0</v>
      </c>
      <c r="AD293" s="436">
        <f>IF(NFI_Expiration=1,IF($A293&lt;VLOOKUP(M$5,NFI,5,0),1,0)*Table_NFI[[#This Row],[Blanket]],Table_NFI[[#This Row],[Blanket]])</f>
        <v>0</v>
      </c>
      <c r="AE293" s="436">
        <f>IF(NFI_Expiration=1,IF($A293&lt;VLOOKUP(N$5,NFI,5,0),1,0)*Table_NFI[[#This Row],[Kitchen Set]],Table_NFI[Kitchen Set])</f>
        <v>0</v>
      </c>
      <c r="AF293" s="436">
        <f>IF(NFI_Expiration=1,IF($A293&lt;VLOOKUP(O$5,NFI,5,0),1,0)*Table_NFI[[#This Row],[Clothes Kit]],Table_NFI[Clothes Kit])</f>
        <v>0</v>
      </c>
      <c r="AG293" s="436">
        <f>IF(NFI_Expiration=1,IF($A293&lt;VLOOKUP(P$5,NFI,5,0),1,0)*Table_NFI[[#This Row],[Plastic Bucket]],Table_NFI[Plastic Bucket])</f>
        <v>0</v>
      </c>
      <c r="AH293" s="436">
        <f>IF(NFI_Expiration=1,IF($A293&lt;VLOOKUP(Q$5,NFI,5,0),1,0)*Table_NFI[[#This Row],[Plastic Mat]],Table_NFI[Plastic Mat])*IF(Table_NFI[[#This Row],[Distribution Date]]&gt;"2014-04-01",1,2.5)</f>
        <v>0</v>
      </c>
      <c r="AI293" s="436">
        <f>IF(NFI_Expiration=1,IF($A293&lt;VLOOKUP(R$5,NFI,5,0),1,0)*Table_NFI[[#This Row],[Winter Clothes Adult]],Table_NFI[Winter Clothes Adult])</f>
        <v>0</v>
      </c>
      <c r="AJ293" s="436">
        <f>IF(NFI_Expiration=1,IF($A293&lt;VLOOKUP(S$5,NFI,5,0),1,0)*Table_NFI[[#This Row],[Winter Clothes Children]],Table_NFI[Winter Clothes Children])</f>
        <v>0</v>
      </c>
      <c r="AK293" s="436">
        <f>IF(NFI_Expiration=1,IF($A293&lt;VLOOKUP(T$5,NFI,5,0),1,0)*Table_NFI[[#This Row],[Winter Items Other]],Table_NFI[Winter Items Other])</f>
        <v>0</v>
      </c>
      <c r="AL293" s="436">
        <f>IF(NFI_Expiration=1,IF($A293&lt;VLOOKUP(M$5,NFI,5,0),1,0)*Table_NFI[[#This Row],[Winter Blanket]],Table_NFI[[#This Row],[Winter Blanket]])</f>
        <v>0</v>
      </c>
      <c r="AM293" s="436">
        <f>IF(Table_NFI[[#This Row],[Winter Clothes Adult]]+Table_NFI[[#This Row],[Winter Clothes Children]]+Table_NFI[[#This Row],[Winter Items Other]]+Table_NFI[[#This Row],[Winter Blanket]]&gt;0,1,0)</f>
        <v>0</v>
      </c>
      <c r="AN293" s="439">
        <f>IF(NFI_Expiration=1,IF($A293&lt;VLOOKUP(V$5,NFI,5,0),1,0)*Table_NFI[[#This Row],[Jerry Can]],Table_NFI[Jerry Can])</f>
        <v>0</v>
      </c>
      <c r="AO293" s="771" t="str">
        <f>IFERROR(VLOOKUP(Table_NFI[[#This Row],[Camp Name]],CL,2,0),"")</f>
        <v>MMR001CMP218</v>
      </c>
      <c r="AP293" s="772">
        <f ca="1">IF(Table_NFI[[#This Row],[Pcode]]="","",IF(OFFSET(CampList[Opening Date],MATCH(Table_NFI[[#This Row],[Pcode]],CampList[CP_Pcode],0)-1,0,1,1)&gt;=NFI_Monitor_Date,1,0))</f>
        <v>0</v>
      </c>
      <c r="AQ293" s="781" t="str">
        <f>IFERROR(VLOOKUP(Table_NFI[[#This Row],[Camp Name]],CL,3,0),"")</f>
        <v>Open</v>
      </c>
      <c r="AR293" s="439" t="str">
        <f ca="1">IF(Table_NFI[[#This Row],[Pcode]]="","",OFFSET(CampList[Priority],MATCH(Table_NFI[[#This Row],[Pcode]],CampList[CP_Pcode],0)-1,0,1,1))</f>
        <v>P4</v>
      </c>
      <c r="AS293" s="438">
        <f>IFERROR(Table_NFI[[#This Row],[Kitchen Set]]/VLOOKUP(Table_NFI[[#This Row],[Camp Name]],CL,4,0),"")</f>
        <v>0.15591397849462366</v>
      </c>
      <c r="AT293" s="769" t="s">
        <v>1099</v>
      </c>
      <c r="AU293" s="773"/>
    </row>
    <row r="294" spans="1:47" s="774" customFormat="1" x14ac:dyDescent="0.25">
      <c r="A294" s="451">
        <f t="shared" si="4"/>
        <v>23.433333333333334</v>
      </c>
      <c r="B294" s="768">
        <v>41667</v>
      </c>
      <c r="C294" s="769" t="s">
        <v>454</v>
      </c>
      <c r="D294" s="779"/>
      <c r="E294" s="769" t="s">
        <v>380</v>
      </c>
      <c r="F294" s="769" t="s">
        <v>151</v>
      </c>
      <c r="G294" s="769" t="s">
        <v>949</v>
      </c>
      <c r="H294" s="437"/>
      <c r="I294" s="437"/>
      <c r="J294" s="437"/>
      <c r="K294" s="437">
        <v>18</v>
      </c>
      <c r="L294" s="437">
        <v>10</v>
      </c>
      <c r="M294" s="437">
        <v>18</v>
      </c>
      <c r="N294" s="437">
        <v>40</v>
      </c>
      <c r="O294" s="437"/>
      <c r="P294" s="439">
        <v>10</v>
      </c>
      <c r="Q294" s="439">
        <v>50</v>
      </c>
      <c r="R294" s="439"/>
      <c r="S294" s="439"/>
      <c r="T294" s="439"/>
      <c r="U294" s="439"/>
      <c r="V294" s="439"/>
      <c r="W294" s="439"/>
      <c r="X294" s="439"/>
      <c r="Y294" s="439">
        <f>IF(NFI_Expiration=1,IF($A294&lt;VLOOKUP(H$5,NFI,5,0),1,0)*Table_NFI[[#This Row],[Hygiene Kit]],Table_NFI[Hygiene Kit])</f>
        <v>0</v>
      </c>
      <c r="Z294" s="439">
        <f>IF(NFI_Expiration=1,IF($A294&lt;VLOOKUP(I$5,NFI,5,0),1,0)*Table_NFI[[#This Row],[NFI Core Kit]],Table_NFI[NFI Core Kit])</f>
        <v>0</v>
      </c>
      <c r="AA294" s="439">
        <f>IF(NFI_Expiration=1,IF($A294&lt;VLOOKUP(J$5,NFI,5,0),1,0)*Table_NFI[[#This Row],[Sanitary Kit]],Table_NFI[Sanitary Kit])</f>
        <v>0</v>
      </c>
      <c r="AB294" s="439">
        <f>IF(NFI_Expiration=1,IF($A294&lt;VLOOKUP(K$5,NFI,5,0),1,0)*Table_NFI[[#This Row],[Mosquito net]],Table_NFI[Mosquito net])</f>
        <v>0</v>
      </c>
      <c r="AC294" s="439">
        <f>IF(NFI_Expiration=1,IF($A294&lt;VLOOKUP(L$5,NFI,5,0),1,0)*Table_NFI[[#This Row],[Tarpaulin]],Table_NFI[[#This Row],[Tarpaulin]])</f>
        <v>0</v>
      </c>
      <c r="AD294" s="439">
        <f>IF(NFI_Expiration=1,IF($A294&lt;VLOOKUP(M$5,NFI,5,0),1,0)*Table_NFI[[#This Row],[Blanket]],Table_NFI[[#This Row],[Blanket]])</f>
        <v>0</v>
      </c>
      <c r="AE294" s="439">
        <f>IF(NFI_Expiration=1,IF($A294&lt;VLOOKUP(N$5,NFI,5,0),1,0)*Table_NFI[[#This Row],[Kitchen Set]],Table_NFI[Kitchen Set])</f>
        <v>0</v>
      </c>
      <c r="AF294" s="439">
        <f>IF(NFI_Expiration=1,IF($A294&lt;VLOOKUP(O$5,NFI,5,0),1,0)*Table_NFI[[#This Row],[Clothes Kit]],Table_NFI[Clothes Kit])</f>
        <v>0</v>
      </c>
      <c r="AG294" s="439">
        <f>IF(NFI_Expiration=1,IF($A294&lt;VLOOKUP(P$5,NFI,5,0),1,0)*Table_NFI[[#This Row],[Plastic Bucket]],Table_NFI[Plastic Bucket])</f>
        <v>0</v>
      </c>
      <c r="AH294" s="439">
        <f>IF(NFI_Expiration=1,IF($A294&lt;VLOOKUP(Q$5,NFI,5,0),1,0)*Table_NFI[[#This Row],[Plastic Mat]],Table_NFI[Plastic Mat])*IF(Table_NFI[[#This Row],[Distribution Date]]&gt;"2014-04-01",1,2.5)</f>
        <v>0</v>
      </c>
      <c r="AI294" s="439">
        <f>IF(NFI_Expiration=1,IF($A294&lt;VLOOKUP(R$5,NFI,5,0),1,0)*Table_NFI[[#This Row],[Winter Clothes Adult]],Table_NFI[Winter Clothes Adult])</f>
        <v>0</v>
      </c>
      <c r="AJ294" s="439">
        <f>IF(NFI_Expiration=1,IF($A294&lt;VLOOKUP(S$5,NFI,5,0),1,0)*Table_NFI[[#This Row],[Winter Clothes Children]],Table_NFI[Winter Clothes Children])</f>
        <v>0</v>
      </c>
      <c r="AK294" s="439">
        <f>IF(NFI_Expiration=1,IF($A294&lt;VLOOKUP(T$5,NFI,5,0),1,0)*Table_NFI[[#This Row],[Winter Items Other]],Table_NFI[Winter Items Other])</f>
        <v>0</v>
      </c>
      <c r="AL294" s="439">
        <f>IF(NFI_Expiration=1,IF($A294&lt;VLOOKUP(M$5,NFI,5,0),1,0)*Table_NFI[[#This Row],[Winter Blanket]],Table_NFI[[#This Row],[Winter Blanket]])</f>
        <v>0</v>
      </c>
      <c r="AM294" s="439">
        <f>IF(Table_NFI[[#This Row],[Winter Clothes Adult]]+Table_NFI[[#This Row],[Winter Clothes Children]]+Table_NFI[[#This Row],[Winter Items Other]]+Table_NFI[[#This Row],[Winter Blanket]]&gt;0,1,0)</f>
        <v>0</v>
      </c>
      <c r="AN294" s="439">
        <f>IF(NFI_Expiration=1,IF($A294&lt;VLOOKUP(V$5,NFI,5,0),1,0)*Table_NFI[[#This Row],[Jerry Can]],Table_NFI[Jerry Can])</f>
        <v>0</v>
      </c>
      <c r="AO294" s="781" t="str">
        <f>IFERROR(VLOOKUP(Table_NFI[[#This Row],[Camp Name]],CL,2,0),"")</f>
        <v>MMR001CMP223</v>
      </c>
      <c r="AP294" s="772">
        <f ca="1">IF(Table_NFI[[#This Row],[Pcode]]="","",IF(OFFSET(CampList[Opening Date],MATCH(Table_NFI[[#This Row],[Pcode]],CampList[CP_Pcode],0)-1,0,1,1)&gt;=NFI_Monitor_Date,1,0))</f>
        <v>0</v>
      </c>
      <c r="AQ294" s="781" t="str">
        <f>IFERROR(VLOOKUP(Table_NFI[[#This Row],[Camp Name]],CL,3,0),"")</f>
        <v>Open</v>
      </c>
      <c r="AR294" s="439" t="str">
        <f ca="1">IF(Table_NFI[[#This Row],[Pcode]]="","",OFFSET(CampList[Priority],MATCH(Table_NFI[[#This Row],[Pcode]],CampList[CP_Pcode],0)-1,0,1,1))</f>
        <v>P4</v>
      </c>
      <c r="AS294" s="438">
        <f>IFERROR(Table_NFI[[#This Row],[Kitchen Set]]/VLOOKUP(Table_NFI[[#This Row],[Camp Name]],CL,4,0),"")</f>
        <v>0.32520325203252032</v>
      </c>
      <c r="AT294" s="779"/>
      <c r="AU294" s="782"/>
    </row>
    <row r="295" spans="1:47" s="774" customFormat="1" x14ac:dyDescent="0.25">
      <c r="A295" s="451">
        <f t="shared" si="4"/>
        <v>23.466666666666665</v>
      </c>
      <c r="B295" s="768">
        <v>41666</v>
      </c>
      <c r="C295" s="769" t="s">
        <v>1043</v>
      </c>
      <c r="D295" s="769" t="s">
        <v>462</v>
      </c>
      <c r="E295" s="769" t="s">
        <v>380</v>
      </c>
      <c r="F295" s="769" t="s">
        <v>310</v>
      </c>
      <c r="G295" s="769" t="s">
        <v>336</v>
      </c>
      <c r="H295" s="436"/>
      <c r="I295" s="436"/>
      <c r="J295" s="436"/>
      <c r="K295" s="436"/>
      <c r="L295" s="437"/>
      <c r="M295" s="437">
        <v>181</v>
      </c>
      <c r="N295" s="437">
        <v>181</v>
      </c>
      <c r="O295" s="437">
        <v>181</v>
      </c>
      <c r="P295" s="439"/>
      <c r="Q295" s="439">
        <v>181</v>
      </c>
      <c r="R295" s="436"/>
      <c r="S295" s="436"/>
      <c r="T295" s="436"/>
      <c r="U295" s="436"/>
      <c r="V295" s="436"/>
      <c r="W295" s="436"/>
      <c r="X295" s="436"/>
      <c r="Y295" s="436">
        <f>IF(NFI_Expiration=1,IF($A295&lt;VLOOKUP(H$5,NFI,5,0),1,0)*Table_NFI[[#This Row],[Hygiene Kit]],Table_NFI[Hygiene Kit])</f>
        <v>0</v>
      </c>
      <c r="Z295" s="436">
        <f>IF(NFI_Expiration=1,IF($A295&lt;VLOOKUP(I$5,NFI,5,0),1,0)*Table_NFI[[#This Row],[NFI Core Kit]],Table_NFI[NFI Core Kit])</f>
        <v>0</v>
      </c>
      <c r="AA295" s="436">
        <f>IF(NFI_Expiration=1,IF($A295&lt;VLOOKUP(J$5,NFI,5,0),1,0)*Table_NFI[[#This Row],[Sanitary Kit]],Table_NFI[Sanitary Kit])</f>
        <v>0</v>
      </c>
      <c r="AB295" s="436">
        <f>IF(NFI_Expiration=1,IF($A295&lt;VLOOKUP(K$5,NFI,5,0),1,0)*Table_NFI[[#This Row],[Mosquito net]],Table_NFI[Mosquito net])</f>
        <v>0</v>
      </c>
      <c r="AC295" s="436">
        <f>IF(NFI_Expiration=1,IF($A295&lt;VLOOKUP(L$5,NFI,5,0),1,0)*Table_NFI[[#This Row],[Tarpaulin]],Table_NFI[[#This Row],[Tarpaulin]])</f>
        <v>0</v>
      </c>
      <c r="AD295" s="436">
        <f>IF(NFI_Expiration=1,IF($A295&lt;VLOOKUP(M$5,NFI,5,0),1,0)*Table_NFI[[#This Row],[Blanket]],Table_NFI[[#This Row],[Blanket]])</f>
        <v>0</v>
      </c>
      <c r="AE295" s="436">
        <f>IF(NFI_Expiration=1,IF($A295&lt;VLOOKUP(N$5,NFI,5,0),1,0)*Table_NFI[[#This Row],[Kitchen Set]],Table_NFI[Kitchen Set])</f>
        <v>0</v>
      </c>
      <c r="AF295" s="436">
        <f>IF(NFI_Expiration=1,IF($A295&lt;VLOOKUP(O$5,NFI,5,0),1,0)*Table_NFI[[#This Row],[Clothes Kit]],Table_NFI[Clothes Kit])</f>
        <v>0</v>
      </c>
      <c r="AG295" s="436">
        <f>IF(NFI_Expiration=1,IF($A295&lt;VLOOKUP(P$5,NFI,5,0),1,0)*Table_NFI[[#This Row],[Plastic Bucket]],Table_NFI[Plastic Bucket])</f>
        <v>0</v>
      </c>
      <c r="AH295" s="436">
        <f>IF(NFI_Expiration=1,IF($A295&lt;VLOOKUP(Q$5,NFI,5,0),1,0)*Table_NFI[[#This Row],[Plastic Mat]],Table_NFI[Plastic Mat])*IF(Table_NFI[[#This Row],[Distribution Date]]&gt;"2014-04-01",1,2.5)</f>
        <v>0</v>
      </c>
      <c r="AI295" s="436">
        <f>IF(NFI_Expiration=1,IF($A295&lt;VLOOKUP(R$5,NFI,5,0),1,0)*Table_NFI[[#This Row],[Winter Clothes Adult]],Table_NFI[Winter Clothes Adult])</f>
        <v>0</v>
      </c>
      <c r="AJ295" s="436">
        <f>IF(NFI_Expiration=1,IF($A295&lt;VLOOKUP(S$5,NFI,5,0),1,0)*Table_NFI[[#This Row],[Winter Clothes Children]],Table_NFI[Winter Clothes Children])</f>
        <v>0</v>
      </c>
      <c r="AK295" s="436">
        <f>IF(NFI_Expiration=1,IF($A295&lt;VLOOKUP(T$5,NFI,5,0),1,0)*Table_NFI[[#This Row],[Winter Items Other]],Table_NFI[Winter Items Other])</f>
        <v>0</v>
      </c>
      <c r="AL295" s="436">
        <f>IF(NFI_Expiration=1,IF($A295&lt;VLOOKUP(M$5,NFI,5,0),1,0)*Table_NFI[[#This Row],[Winter Blanket]],Table_NFI[[#This Row],[Winter Blanket]])</f>
        <v>0</v>
      </c>
      <c r="AM295" s="436">
        <f>IF(Table_NFI[[#This Row],[Winter Clothes Adult]]+Table_NFI[[#This Row],[Winter Clothes Children]]+Table_NFI[[#This Row],[Winter Items Other]]+Table_NFI[[#This Row],[Winter Blanket]]&gt;0,1,0)</f>
        <v>0</v>
      </c>
      <c r="AN295" s="439">
        <f>IF(NFI_Expiration=1,IF($A295&lt;VLOOKUP(V$5,NFI,5,0),1,0)*Table_NFI[[#This Row],[Jerry Can]],Table_NFI[Jerry Can])</f>
        <v>0</v>
      </c>
      <c r="AO295" s="771" t="str">
        <f>IFERROR(VLOOKUP(Table_NFI[[#This Row],[Camp Name]],CL,2,0),"")</f>
        <v>MMR001CMP115</v>
      </c>
      <c r="AP295" s="772">
        <f ca="1">IF(Table_NFI[[#This Row],[Pcode]]="","",IF(OFFSET(CampList[Opening Date],MATCH(Table_NFI[[#This Row],[Pcode]],CampList[CP_Pcode],0)-1,0,1,1)&gt;=NFI_Monitor_Date,1,0))</f>
        <v>0</v>
      </c>
      <c r="AQ295" s="771" t="str">
        <f>IFERROR(VLOOKUP(Table_NFI[[#This Row],[Camp Name]],CL,3,0),"")</f>
        <v>Open</v>
      </c>
      <c r="AR295" s="436" t="str">
        <f ca="1">IF(Table_NFI[[#This Row],[Pcode]]="","",OFFSET(CampList[Priority],MATCH(Table_NFI[[#This Row],[Pcode]],CampList[CP_Pcode],0)-1,0,1,1))</f>
        <v>P1</v>
      </c>
      <c r="AS295" s="438">
        <f>IFERROR(Table_NFI[[#This Row],[Kitchen Set]]/VLOOKUP(Table_NFI[[#This Row],[Camp Name]],CL,4,0),"")</f>
        <v>1.1753246753246753</v>
      </c>
      <c r="AT295" s="769" t="s">
        <v>1099</v>
      </c>
      <c r="AU295" s="773"/>
    </row>
    <row r="296" spans="1:47" s="774" customFormat="1" x14ac:dyDescent="0.25">
      <c r="A296" s="451">
        <f t="shared" si="4"/>
        <v>23.466666666666665</v>
      </c>
      <c r="B296" s="768">
        <v>41666</v>
      </c>
      <c r="C296" s="769" t="s">
        <v>1043</v>
      </c>
      <c r="D296" s="769" t="s">
        <v>462</v>
      </c>
      <c r="E296" s="769" t="s">
        <v>380</v>
      </c>
      <c r="F296" s="769" t="s">
        <v>27</v>
      </c>
      <c r="G296" s="769" t="s">
        <v>364</v>
      </c>
      <c r="H296" s="436"/>
      <c r="I296" s="436"/>
      <c r="J296" s="436"/>
      <c r="K296" s="436"/>
      <c r="L296" s="437"/>
      <c r="M296" s="437">
        <v>155</v>
      </c>
      <c r="N296" s="437">
        <v>155</v>
      </c>
      <c r="O296" s="437">
        <v>155</v>
      </c>
      <c r="P296" s="439"/>
      <c r="Q296" s="439">
        <v>155</v>
      </c>
      <c r="R296" s="436"/>
      <c r="S296" s="436"/>
      <c r="T296" s="436"/>
      <c r="U296" s="436"/>
      <c r="V296" s="436"/>
      <c r="W296" s="436"/>
      <c r="X296" s="436"/>
      <c r="Y296" s="436">
        <f>IF(NFI_Expiration=1,IF($A296&lt;VLOOKUP(H$5,NFI,5,0),1,0)*Table_NFI[[#This Row],[Hygiene Kit]],Table_NFI[Hygiene Kit])</f>
        <v>0</v>
      </c>
      <c r="Z296" s="436">
        <f>IF(NFI_Expiration=1,IF($A296&lt;VLOOKUP(I$5,NFI,5,0),1,0)*Table_NFI[[#This Row],[NFI Core Kit]],Table_NFI[NFI Core Kit])</f>
        <v>0</v>
      </c>
      <c r="AA296" s="436">
        <f>IF(NFI_Expiration=1,IF($A296&lt;VLOOKUP(J$5,NFI,5,0),1,0)*Table_NFI[[#This Row],[Sanitary Kit]],Table_NFI[Sanitary Kit])</f>
        <v>0</v>
      </c>
      <c r="AB296" s="436">
        <f>IF(NFI_Expiration=1,IF($A296&lt;VLOOKUP(K$5,NFI,5,0),1,0)*Table_NFI[[#This Row],[Mosquito net]],Table_NFI[Mosquito net])</f>
        <v>0</v>
      </c>
      <c r="AC296" s="436">
        <f>IF(NFI_Expiration=1,IF($A296&lt;VLOOKUP(L$5,NFI,5,0),1,0)*Table_NFI[[#This Row],[Tarpaulin]],Table_NFI[[#This Row],[Tarpaulin]])</f>
        <v>0</v>
      </c>
      <c r="AD296" s="436">
        <f>IF(NFI_Expiration=1,IF($A296&lt;VLOOKUP(M$5,NFI,5,0),1,0)*Table_NFI[[#This Row],[Blanket]],Table_NFI[[#This Row],[Blanket]])</f>
        <v>0</v>
      </c>
      <c r="AE296" s="436">
        <f>IF(NFI_Expiration=1,IF($A296&lt;VLOOKUP(N$5,NFI,5,0),1,0)*Table_NFI[[#This Row],[Kitchen Set]],Table_NFI[Kitchen Set])</f>
        <v>0</v>
      </c>
      <c r="AF296" s="436">
        <f>IF(NFI_Expiration=1,IF($A296&lt;VLOOKUP(O$5,NFI,5,0),1,0)*Table_NFI[[#This Row],[Clothes Kit]],Table_NFI[Clothes Kit])</f>
        <v>0</v>
      </c>
      <c r="AG296" s="436">
        <f>IF(NFI_Expiration=1,IF($A296&lt;VLOOKUP(P$5,NFI,5,0),1,0)*Table_NFI[[#This Row],[Plastic Bucket]],Table_NFI[Plastic Bucket])</f>
        <v>0</v>
      </c>
      <c r="AH296" s="436">
        <f>IF(NFI_Expiration=1,IF($A296&lt;VLOOKUP(Q$5,NFI,5,0),1,0)*Table_NFI[[#This Row],[Plastic Mat]],Table_NFI[Plastic Mat])*IF(Table_NFI[[#This Row],[Distribution Date]]&gt;"2014-04-01",1,2.5)</f>
        <v>0</v>
      </c>
      <c r="AI296" s="436">
        <f>IF(NFI_Expiration=1,IF($A296&lt;VLOOKUP(R$5,NFI,5,0),1,0)*Table_NFI[[#This Row],[Winter Clothes Adult]],Table_NFI[Winter Clothes Adult])</f>
        <v>0</v>
      </c>
      <c r="AJ296" s="436">
        <f>IF(NFI_Expiration=1,IF($A296&lt;VLOOKUP(S$5,NFI,5,0),1,0)*Table_NFI[[#This Row],[Winter Clothes Children]],Table_NFI[Winter Clothes Children])</f>
        <v>0</v>
      </c>
      <c r="AK296" s="436">
        <f>IF(NFI_Expiration=1,IF($A296&lt;VLOOKUP(T$5,NFI,5,0),1,0)*Table_NFI[[#This Row],[Winter Items Other]],Table_NFI[Winter Items Other])</f>
        <v>0</v>
      </c>
      <c r="AL296" s="436">
        <f>IF(NFI_Expiration=1,IF($A296&lt;VLOOKUP(M$5,NFI,5,0),1,0)*Table_NFI[[#This Row],[Winter Blanket]],Table_NFI[[#This Row],[Winter Blanket]])</f>
        <v>0</v>
      </c>
      <c r="AM296" s="436">
        <f>IF(Table_NFI[[#This Row],[Winter Clothes Adult]]+Table_NFI[[#This Row],[Winter Clothes Children]]+Table_NFI[[#This Row],[Winter Items Other]]+Table_NFI[[#This Row],[Winter Blanket]]&gt;0,1,0)</f>
        <v>0</v>
      </c>
      <c r="AN296" s="439">
        <f>IF(NFI_Expiration=1,IF($A296&lt;VLOOKUP(V$5,NFI,5,0),1,0)*Table_NFI[[#This Row],[Jerry Can]],Table_NFI[Jerry Can])</f>
        <v>0</v>
      </c>
      <c r="AO296" s="771" t="str">
        <f>IFERROR(VLOOKUP(Table_NFI[[#This Row],[Camp Name]],CL,2,0),"")</f>
        <v>MMR001CMP043</v>
      </c>
      <c r="AP296" s="772">
        <f ca="1">IF(Table_NFI[[#This Row],[Pcode]]="","",IF(OFFSET(CampList[Opening Date],MATCH(Table_NFI[[#This Row],[Pcode]],CampList[CP_Pcode],0)-1,0,1,1)&gt;=NFI_Monitor_Date,1,0))</f>
        <v>0</v>
      </c>
      <c r="AQ296" s="771" t="str">
        <f>IFERROR(VLOOKUP(Table_NFI[[#This Row],[Camp Name]],CL,3,0),"")</f>
        <v>Open</v>
      </c>
      <c r="AR296" s="436" t="str">
        <f ca="1">IF(Table_NFI[[#This Row],[Pcode]]="","",OFFSET(CampList[Priority],MATCH(Table_NFI[[#This Row],[Pcode]],CampList[CP_Pcode],0)-1,0,1,1))</f>
        <v>P1</v>
      </c>
      <c r="AS296" s="438">
        <f>IFERROR(Table_NFI[[#This Row],[Kitchen Set]]/VLOOKUP(Table_NFI[[#This Row],[Camp Name]],CL,4,0),"")</f>
        <v>1.0064935064935066</v>
      </c>
      <c r="AT296" s="769" t="s">
        <v>1099</v>
      </c>
      <c r="AU296" s="773"/>
    </row>
    <row r="297" spans="1:47" s="774" customFormat="1" x14ac:dyDescent="0.25">
      <c r="A297" s="451">
        <f t="shared" si="4"/>
        <v>23.533333333333335</v>
      </c>
      <c r="B297" s="768">
        <v>41664</v>
      </c>
      <c r="C297" s="769" t="s">
        <v>454</v>
      </c>
      <c r="D297" s="442" t="s">
        <v>454</v>
      </c>
      <c r="E297" s="775" t="s">
        <v>380</v>
      </c>
      <c r="F297" s="435" t="s">
        <v>185</v>
      </c>
      <c r="G297" s="435" t="s">
        <v>192</v>
      </c>
      <c r="H297" s="442"/>
      <c r="I297" s="442"/>
      <c r="J297" s="442"/>
      <c r="K297" s="786">
        <v>62</v>
      </c>
      <c r="L297" s="776">
        <v>31</v>
      </c>
      <c r="M297" s="443">
        <v>62</v>
      </c>
      <c r="N297" s="443">
        <v>31</v>
      </c>
      <c r="O297" s="443"/>
      <c r="P297" s="776">
        <v>31</v>
      </c>
      <c r="Q297" s="443">
        <v>155</v>
      </c>
      <c r="R297" s="442"/>
      <c r="S297" s="442"/>
      <c r="T297" s="442"/>
      <c r="U297" s="442"/>
      <c r="V297" s="442"/>
      <c r="W297" s="442"/>
      <c r="X297" s="442"/>
      <c r="Y297" s="436">
        <f>IF(NFI_Expiration=1,IF($A297&lt;VLOOKUP(H$5,NFI,5,0),1,0)*Table_NFI[[#This Row],[Hygiene Kit]],Table_NFI[Hygiene Kit])</f>
        <v>0</v>
      </c>
      <c r="Z297" s="436">
        <f>IF(NFI_Expiration=1,IF($A297&lt;VLOOKUP(I$5,NFI,5,0),1,0)*Table_NFI[[#This Row],[NFI Core Kit]],Table_NFI[NFI Core Kit])</f>
        <v>0</v>
      </c>
      <c r="AA297" s="436">
        <f>IF(NFI_Expiration=1,IF($A297&lt;VLOOKUP(J$5,NFI,5,0),1,0)*Table_NFI[[#This Row],[Sanitary Kit]],Table_NFI[Sanitary Kit])</f>
        <v>0</v>
      </c>
      <c r="AB297" s="436">
        <f>IF(NFI_Expiration=1,IF($A297&lt;VLOOKUP(K$5,NFI,5,0),1,0)*Table_NFI[[#This Row],[Mosquito net]],Table_NFI[Mosquito net])</f>
        <v>0</v>
      </c>
      <c r="AC297" s="436">
        <f>IF(NFI_Expiration=1,IF($A297&lt;VLOOKUP(L$5,NFI,5,0),1,0)*Table_NFI[[#This Row],[Tarpaulin]],Table_NFI[[#This Row],[Tarpaulin]])</f>
        <v>0</v>
      </c>
      <c r="AD297" s="436">
        <f>IF(NFI_Expiration=1,IF($A297&lt;VLOOKUP(M$5,NFI,5,0),1,0)*Table_NFI[[#This Row],[Blanket]],Table_NFI[[#This Row],[Blanket]])</f>
        <v>0</v>
      </c>
      <c r="AE297" s="436">
        <f>IF(NFI_Expiration=1,IF($A297&lt;VLOOKUP(N$5,NFI,5,0),1,0)*Table_NFI[[#This Row],[Kitchen Set]],Table_NFI[Kitchen Set])</f>
        <v>0</v>
      </c>
      <c r="AF297" s="436">
        <f>IF(NFI_Expiration=1,IF($A297&lt;VLOOKUP(O$5,NFI,5,0),1,0)*Table_NFI[[#This Row],[Clothes Kit]],Table_NFI[Clothes Kit])</f>
        <v>0</v>
      </c>
      <c r="AG297" s="436">
        <f>IF(NFI_Expiration=1,IF($A297&lt;VLOOKUP(P$5,NFI,5,0),1,0)*Table_NFI[[#This Row],[Plastic Bucket]],Table_NFI[Plastic Bucket])</f>
        <v>0</v>
      </c>
      <c r="AH297" s="436">
        <f>IF(NFI_Expiration=1,IF($A297&lt;VLOOKUP(Q$5,NFI,5,0),1,0)*Table_NFI[[#This Row],[Plastic Mat]],Table_NFI[Plastic Mat])*IF(Table_NFI[[#This Row],[Distribution Date]]&gt;"2014-04-01",1,2.5)</f>
        <v>0</v>
      </c>
      <c r="AI297" s="436">
        <f>IF(NFI_Expiration=1,IF($A297&lt;VLOOKUP(R$5,NFI,5,0),1,0)*Table_NFI[[#This Row],[Winter Clothes Adult]],Table_NFI[Winter Clothes Adult])</f>
        <v>0</v>
      </c>
      <c r="AJ297" s="436">
        <f>IF(NFI_Expiration=1,IF($A297&lt;VLOOKUP(S$5,NFI,5,0),1,0)*Table_NFI[[#This Row],[Winter Clothes Children]],Table_NFI[Winter Clothes Children])</f>
        <v>0</v>
      </c>
      <c r="AK297" s="436">
        <f>IF(NFI_Expiration=1,IF($A297&lt;VLOOKUP(T$5,NFI,5,0),1,0)*Table_NFI[[#This Row],[Winter Items Other]],Table_NFI[Winter Items Other])</f>
        <v>0</v>
      </c>
      <c r="AL297" s="436">
        <f>IF(NFI_Expiration=1,IF($A297&lt;VLOOKUP(M$5,NFI,5,0),1,0)*Table_NFI[[#This Row],[Winter Blanket]],Table_NFI[[#This Row],[Winter Blanket]])</f>
        <v>0</v>
      </c>
      <c r="AM297" s="436">
        <f>IF(Table_NFI[[#This Row],[Winter Clothes Adult]]+Table_NFI[[#This Row],[Winter Clothes Children]]+Table_NFI[[#This Row],[Winter Items Other]]+Table_NFI[[#This Row],[Winter Blanket]]&gt;0,1,0)</f>
        <v>0</v>
      </c>
      <c r="AN297" s="439">
        <f>IF(NFI_Expiration=1,IF($A297&lt;VLOOKUP(V$5,NFI,5,0),1,0)*Table_NFI[[#This Row],[Jerry Can]],Table_NFI[Jerry Can])</f>
        <v>0</v>
      </c>
      <c r="AO297" s="771" t="str">
        <f>IFERROR(VLOOKUP(Table_NFI[[#This Row],[Camp Name]],CL,2,0),"")</f>
        <v>MMR001CMP123</v>
      </c>
      <c r="AP297" s="772">
        <f ca="1">IF(Table_NFI[[#This Row],[Pcode]]="","",IF(OFFSET(CampList[Opening Date],MATCH(Table_NFI[[#This Row],[Pcode]],CampList[CP_Pcode],0)-1,0,1,1)&gt;=NFI_Monitor_Date,1,0))</f>
        <v>0</v>
      </c>
      <c r="AQ297" s="781" t="str">
        <f>IFERROR(VLOOKUP(Table_NFI[[#This Row],[Camp Name]],CL,3,0),"")</f>
        <v>Open</v>
      </c>
      <c r="AR297" s="439" t="str">
        <f ca="1">IF(Table_NFI[[#This Row],[Pcode]]="","",OFFSET(CampList[Priority],MATCH(Table_NFI[[#This Row],[Pcode]],CampList[CP_Pcode],0)-1,0,1,1))</f>
        <v>P2</v>
      </c>
      <c r="AS297" s="438">
        <f>IFERROR(Table_NFI[[#This Row],[Kitchen Set]]/VLOOKUP(Table_NFI[[#This Row],[Camp Name]],CL,4,0),"")</f>
        <v>0.26724137931034481</v>
      </c>
      <c r="AT297" s="769" t="s">
        <v>1099</v>
      </c>
      <c r="AU297" s="773"/>
    </row>
    <row r="298" spans="1:47" s="774" customFormat="1" x14ac:dyDescent="0.25">
      <c r="A298" s="451">
        <f t="shared" si="4"/>
        <v>23.533333333333335</v>
      </c>
      <c r="B298" s="768">
        <v>41664</v>
      </c>
      <c r="C298" s="769" t="s">
        <v>1043</v>
      </c>
      <c r="D298" s="769" t="s">
        <v>462</v>
      </c>
      <c r="E298" s="769" t="s">
        <v>380</v>
      </c>
      <c r="F298" s="769" t="s">
        <v>310</v>
      </c>
      <c r="G298" s="769" t="s">
        <v>1257</v>
      </c>
      <c r="H298" s="436"/>
      <c r="I298" s="436"/>
      <c r="J298" s="436"/>
      <c r="K298" s="436"/>
      <c r="L298" s="437"/>
      <c r="M298" s="437">
        <v>191</v>
      </c>
      <c r="N298" s="437">
        <v>191</v>
      </c>
      <c r="O298" s="437">
        <v>191</v>
      </c>
      <c r="P298" s="439"/>
      <c r="Q298" s="439">
        <v>191</v>
      </c>
      <c r="R298" s="436"/>
      <c r="S298" s="436"/>
      <c r="T298" s="436"/>
      <c r="U298" s="436"/>
      <c r="V298" s="436"/>
      <c r="W298" s="436"/>
      <c r="X298" s="436"/>
      <c r="Y298" s="436">
        <f>IF(NFI_Expiration=1,IF($A298&lt;VLOOKUP(H$5,NFI,5,0),1,0)*Table_NFI[[#This Row],[Hygiene Kit]],Table_NFI[Hygiene Kit])</f>
        <v>0</v>
      </c>
      <c r="Z298" s="436">
        <f>IF(NFI_Expiration=1,IF($A298&lt;VLOOKUP(I$5,NFI,5,0),1,0)*Table_NFI[[#This Row],[NFI Core Kit]],Table_NFI[NFI Core Kit])</f>
        <v>0</v>
      </c>
      <c r="AA298" s="436">
        <f>IF(NFI_Expiration=1,IF($A298&lt;VLOOKUP(J$5,NFI,5,0),1,0)*Table_NFI[[#This Row],[Sanitary Kit]],Table_NFI[Sanitary Kit])</f>
        <v>0</v>
      </c>
      <c r="AB298" s="436">
        <f>IF(NFI_Expiration=1,IF($A298&lt;VLOOKUP(K$5,NFI,5,0),1,0)*Table_NFI[[#This Row],[Mosquito net]],Table_NFI[Mosquito net])</f>
        <v>0</v>
      </c>
      <c r="AC298" s="436">
        <f>IF(NFI_Expiration=1,IF($A298&lt;VLOOKUP(L$5,NFI,5,0),1,0)*Table_NFI[[#This Row],[Tarpaulin]],Table_NFI[[#This Row],[Tarpaulin]])</f>
        <v>0</v>
      </c>
      <c r="AD298" s="436">
        <f>IF(NFI_Expiration=1,IF($A298&lt;VLOOKUP(M$5,NFI,5,0),1,0)*Table_NFI[[#This Row],[Blanket]],Table_NFI[[#This Row],[Blanket]])</f>
        <v>0</v>
      </c>
      <c r="AE298" s="436">
        <f>IF(NFI_Expiration=1,IF($A298&lt;VLOOKUP(N$5,NFI,5,0),1,0)*Table_NFI[[#This Row],[Kitchen Set]],Table_NFI[Kitchen Set])</f>
        <v>0</v>
      </c>
      <c r="AF298" s="436">
        <f>IF(NFI_Expiration=1,IF($A298&lt;VLOOKUP(O$5,NFI,5,0),1,0)*Table_NFI[[#This Row],[Clothes Kit]],Table_NFI[Clothes Kit])</f>
        <v>0</v>
      </c>
      <c r="AG298" s="436">
        <f>IF(NFI_Expiration=1,IF($A298&lt;VLOOKUP(P$5,NFI,5,0),1,0)*Table_NFI[[#This Row],[Plastic Bucket]],Table_NFI[Plastic Bucket])</f>
        <v>0</v>
      </c>
      <c r="AH298" s="436">
        <f>IF(NFI_Expiration=1,IF($A298&lt;VLOOKUP(Q$5,NFI,5,0),1,0)*Table_NFI[[#This Row],[Plastic Mat]],Table_NFI[Plastic Mat])*IF(Table_NFI[[#This Row],[Distribution Date]]&gt;"2014-04-01",1,2.5)</f>
        <v>0</v>
      </c>
      <c r="AI298" s="436">
        <f>IF(NFI_Expiration=1,IF($A298&lt;VLOOKUP(R$5,NFI,5,0),1,0)*Table_NFI[[#This Row],[Winter Clothes Adult]],Table_NFI[Winter Clothes Adult])</f>
        <v>0</v>
      </c>
      <c r="AJ298" s="436">
        <f>IF(NFI_Expiration=1,IF($A298&lt;VLOOKUP(S$5,NFI,5,0),1,0)*Table_NFI[[#This Row],[Winter Clothes Children]],Table_NFI[Winter Clothes Children])</f>
        <v>0</v>
      </c>
      <c r="AK298" s="436">
        <f>IF(NFI_Expiration=1,IF($A298&lt;VLOOKUP(T$5,NFI,5,0),1,0)*Table_NFI[[#This Row],[Winter Items Other]],Table_NFI[Winter Items Other])</f>
        <v>0</v>
      </c>
      <c r="AL298" s="436">
        <f>IF(NFI_Expiration=1,IF($A298&lt;VLOOKUP(M$5,NFI,5,0),1,0)*Table_NFI[[#This Row],[Winter Blanket]],Table_NFI[[#This Row],[Winter Blanket]])</f>
        <v>0</v>
      </c>
      <c r="AM298" s="436">
        <f>IF(Table_NFI[[#This Row],[Winter Clothes Adult]]+Table_NFI[[#This Row],[Winter Clothes Children]]+Table_NFI[[#This Row],[Winter Items Other]]+Table_NFI[[#This Row],[Winter Blanket]]&gt;0,1,0)</f>
        <v>0</v>
      </c>
      <c r="AN298" s="439">
        <f>IF(NFI_Expiration=1,IF($A298&lt;VLOOKUP(V$5,NFI,5,0),1,0)*Table_NFI[[#This Row],[Jerry Can]],Table_NFI[Jerry Can])</f>
        <v>0</v>
      </c>
      <c r="AO298" s="771" t="str">
        <f>IFERROR(VLOOKUP(Table_NFI[[#This Row],[Camp Name]],CL,2,0),"")</f>
        <v>MMR001CMP120</v>
      </c>
      <c r="AP298" s="772">
        <f ca="1">IF(Table_NFI[[#This Row],[Pcode]]="","",IF(OFFSET(CampList[Opening Date],MATCH(Table_NFI[[#This Row],[Pcode]],CampList[CP_Pcode],0)-1,0,1,1)&gt;=NFI_Monitor_Date,1,0))</f>
        <v>0</v>
      </c>
      <c r="AQ298" s="771" t="str">
        <f>IFERROR(VLOOKUP(Table_NFI[[#This Row],[Camp Name]],CL,3,0),"")</f>
        <v>Open</v>
      </c>
      <c r="AR298" s="436" t="str">
        <f ca="1">IF(Table_NFI[[#This Row],[Pcode]]="","",OFFSET(CampList[Priority],MATCH(Table_NFI[[#This Row],[Pcode]],CampList[CP_Pcode],0)-1,0,1,1))</f>
        <v>P1</v>
      </c>
      <c r="AS298" s="438">
        <f>IFERROR(Table_NFI[[#This Row],[Kitchen Set]]/VLOOKUP(Table_NFI[[#This Row],[Camp Name]],CL,4,0),"")</f>
        <v>1</v>
      </c>
      <c r="AT298" s="769" t="s">
        <v>1099</v>
      </c>
      <c r="AU298" s="773"/>
    </row>
    <row r="299" spans="1:47" s="774" customFormat="1" x14ac:dyDescent="0.25">
      <c r="A299" s="451">
        <f t="shared" si="4"/>
        <v>23.533333333333335</v>
      </c>
      <c r="B299" s="768">
        <v>41664</v>
      </c>
      <c r="C299" s="769" t="s">
        <v>1043</v>
      </c>
      <c r="D299" s="769" t="s">
        <v>462</v>
      </c>
      <c r="E299" s="769" t="s">
        <v>380</v>
      </c>
      <c r="F299" s="769" t="s">
        <v>310</v>
      </c>
      <c r="G299" s="769" t="s">
        <v>347</v>
      </c>
      <c r="H299" s="436"/>
      <c r="I299" s="436"/>
      <c r="J299" s="436"/>
      <c r="K299" s="436"/>
      <c r="L299" s="437"/>
      <c r="M299" s="437">
        <v>198</v>
      </c>
      <c r="N299" s="437">
        <v>198</v>
      </c>
      <c r="O299" s="437">
        <v>198</v>
      </c>
      <c r="P299" s="439"/>
      <c r="Q299" s="439">
        <v>198</v>
      </c>
      <c r="R299" s="436"/>
      <c r="S299" s="436"/>
      <c r="T299" s="436"/>
      <c r="U299" s="436"/>
      <c r="V299" s="436"/>
      <c r="W299" s="436"/>
      <c r="X299" s="436"/>
      <c r="Y299" s="436">
        <f>IF(NFI_Expiration=1,IF($A299&lt;VLOOKUP(H$5,NFI,5,0),1,0)*Table_NFI[[#This Row],[Hygiene Kit]],Table_NFI[Hygiene Kit])</f>
        <v>0</v>
      </c>
      <c r="Z299" s="436">
        <f>IF(NFI_Expiration=1,IF($A299&lt;VLOOKUP(I$5,NFI,5,0),1,0)*Table_NFI[[#This Row],[NFI Core Kit]],Table_NFI[NFI Core Kit])</f>
        <v>0</v>
      </c>
      <c r="AA299" s="436">
        <f>IF(NFI_Expiration=1,IF($A299&lt;VLOOKUP(J$5,NFI,5,0),1,0)*Table_NFI[[#This Row],[Sanitary Kit]],Table_NFI[Sanitary Kit])</f>
        <v>0</v>
      </c>
      <c r="AB299" s="436">
        <f>IF(NFI_Expiration=1,IF($A299&lt;VLOOKUP(K$5,NFI,5,0),1,0)*Table_NFI[[#This Row],[Mosquito net]],Table_NFI[Mosquito net])</f>
        <v>0</v>
      </c>
      <c r="AC299" s="436">
        <f>IF(NFI_Expiration=1,IF($A299&lt;VLOOKUP(L$5,NFI,5,0),1,0)*Table_NFI[[#This Row],[Tarpaulin]],Table_NFI[[#This Row],[Tarpaulin]])</f>
        <v>0</v>
      </c>
      <c r="AD299" s="436">
        <f>IF(NFI_Expiration=1,IF($A299&lt;VLOOKUP(M$5,NFI,5,0),1,0)*Table_NFI[[#This Row],[Blanket]],Table_NFI[[#This Row],[Blanket]])</f>
        <v>0</v>
      </c>
      <c r="AE299" s="436">
        <f>IF(NFI_Expiration=1,IF($A299&lt;VLOOKUP(N$5,NFI,5,0),1,0)*Table_NFI[[#This Row],[Kitchen Set]],Table_NFI[Kitchen Set])</f>
        <v>0</v>
      </c>
      <c r="AF299" s="436">
        <f>IF(NFI_Expiration=1,IF($A299&lt;VLOOKUP(O$5,NFI,5,0),1,0)*Table_NFI[[#This Row],[Clothes Kit]],Table_NFI[Clothes Kit])</f>
        <v>0</v>
      </c>
      <c r="AG299" s="436">
        <f>IF(NFI_Expiration=1,IF($A299&lt;VLOOKUP(P$5,NFI,5,0),1,0)*Table_NFI[[#This Row],[Plastic Bucket]],Table_NFI[Plastic Bucket])</f>
        <v>0</v>
      </c>
      <c r="AH299" s="436">
        <f>IF(NFI_Expiration=1,IF($A299&lt;VLOOKUP(Q$5,NFI,5,0),1,0)*Table_NFI[[#This Row],[Plastic Mat]],Table_NFI[Plastic Mat])*IF(Table_NFI[[#This Row],[Distribution Date]]&gt;"2014-04-01",1,2.5)</f>
        <v>0</v>
      </c>
      <c r="AI299" s="436">
        <f>IF(NFI_Expiration=1,IF($A299&lt;VLOOKUP(R$5,NFI,5,0),1,0)*Table_NFI[[#This Row],[Winter Clothes Adult]],Table_NFI[Winter Clothes Adult])</f>
        <v>0</v>
      </c>
      <c r="AJ299" s="436">
        <f>IF(NFI_Expiration=1,IF($A299&lt;VLOOKUP(S$5,NFI,5,0),1,0)*Table_NFI[[#This Row],[Winter Clothes Children]],Table_NFI[Winter Clothes Children])</f>
        <v>0</v>
      </c>
      <c r="AK299" s="436">
        <f>IF(NFI_Expiration=1,IF($A299&lt;VLOOKUP(T$5,NFI,5,0),1,0)*Table_NFI[[#This Row],[Winter Items Other]],Table_NFI[Winter Items Other])</f>
        <v>0</v>
      </c>
      <c r="AL299" s="436">
        <f>IF(NFI_Expiration=1,IF($A299&lt;VLOOKUP(M$5,NFI,5,0),1,0)*Table_NFI[[#This Row],[Winter Blanket]],Table_NFI[[#This Row],[Winter Blanket]])</f>
        <v>0</v>
      </c>
      <c r="AM299" s="436">
        <f>IF(Table_NFI[[#This Row],[Winter Clothes Adult]]+Table_NFI[[#This Row],[Winter Clothes Children]]+Table_NFI[[#This Row],[Winter Items Other]]+Table_NFI[[#This Row],[Winter Blanket]]&gt;0,1,0)</f>
        <v>0</v>
      </c>
      <c r="AN299" s="439">
        <f>IF(NFI_Expiration=1,IF($A299&lt;VLOOKUP(V$5,NFI,5,0),1,0)*Table_NFI[[#This Row],[Jerry Can]],Table_NFI[Jerry Can])</f>
        <v>0</v>
      </c>
      <c r="AO299" s="771" t="str">
        <f>IFERROR(VLOOKUP(Table_NFI[[#This Row],[Camp Name]],CL,2,0),"")</f>
        <v>MMR001CMP041</v>
      </c>
      <c r="AP299" s="772">
        <f ca="1">IF(Table_NFI[[#This Row],[Pcode]]="","",IF(OFFSET(CampList[Opening Date],MATCH(Table_NFI[[#This Row],[Pcode]],CampList[CP_Pcode],0)-1,0,1,1)&gt;=NFI_Monitor_Date,1,0))</f>
        <v>0</v>
      </c>
      <c r="AQ299" s="771" t="str">
        <f>IFERROR(VLOOKUP(Table_NFI[[#This Row],[Camp Name]],CL,3,0),"")</f>
        <v>Open</v>
      </c>
      <c r="AR299" s="436" t="str">
        <f ca="1">IF(Table_NFI[[#This Row],[Pcode]]="","",OFFSET(CampList[Priority],MATCH(Table_NFI[[#This Row],[Pcode]],CampList[CP_Pcode],0)-1,0,1,1))</f>
        <v>P1</v>
      </c>
      <c r="AS299" s="438">
        <f>IFERROR(Table_NFI[[#This Row],[Kitchen Set]]/VLOOKUP(Table_NFI[[#This Row],[Camp Name]],CL,4,0),"")</f>
        <v>1.0819672131147542</v>
      </c>
      <c r="AT299" s="769" t="s">
        <v>1099</v>
      </c>
      <c r="AU299" s="773"/>
    </row>
    <row r="300" spans="1:47" s="774" customFormat="1" x14ac:dyDescent="0.25">
      <c r="A300" s="451">
        <f t="shared" si="4"/>
        <v>23.533333333333335</v>
      </c>
      <c r="B300" s="768">
        <v>41664</v>
      </c>
      <c r="C300" s="769" t="s">
        <v>1043</v>
      </c>
      <c r="D300" s="769" t="s">
        <v>462</v>
      </c>
      <c r="E300" s="769" t="s">
        <v>380</v>
      </c>
      <c r="F300" s="769" t="s">
        <v>310</v>
      </c>
      <c r="G300" s="769" t="s">
        <v>1259</v>
      </c>
      <c r="H300" s="436"/>
      <c r="I300" s="436"/>
      <c r="J300" s="436"/>
      <c r="K300" s="436"/>
      <c r="L300" s="437"/>
      <c r="M300" s="437">
        <v>646</v>
      </c>
      <c r="N300" s="437">
        <v>646</v>
      </c>
      <c r="O300" s="437">
        <v>646</v>
      </c>
      <c r="P300" s="439"/>
      <c r="Q300" s="439">
        <v>646</v>
      </c>
      <c r="R300" s="436"/>
      <c r="S300" s="436"/>
      <c r="T300" s="436"/>
      <c r="U300" s="436"/>
      <c r="V300" s="436"/>
      <c r="W300" s="436"/>
      <c r="X300" s="436"/>
      <c r="Y300" s="436">
        <f>IF(NFI_Expiration=1,IF($A300&lt;VLOOKUP(H$5,NFI,5,0),1,0)*Table_NFI[[#This Row],[Hygiene Kit]],Table_NFI[Hygiene Kit])</f>
        <v>0</v>
      </c>
      <c r="Z300" s="436">
        <f>IF(NFI_Expiration=1,IF($A300&lt;VLOOKUP(I$5,NFI,5,0),1,0)*Table_NFI[[#This Row],[NFI Core Kit]],Table_NFI[NFI Core Kit])</f>
        <v>0</v>
      </c>
      <c r="AA300" s="436">
        <f>IF(NFI_Expiration=1,IF($A300&lt;VLOOKUP(J$5,NFI,5,0),1,0)*Table_NFI[[#This Row],[Sanitary Kit]],Table_NFI[Sanitary Kit])</f>
        <v>0</v>
      </c>
      <c r="AB300" s="436">
        <f>IF(NFI_Expiration=1,IF($A300&lt;VLOOKUP(K$5,NFI,5,0),1,0)*Table_NFI[[#This Row],[Mosquito net]],Table_NFI[Mosquito net])</f>
        <v>0</v>
      </c>
      <c r="AC300" s="436">
        <f>IF(NFI_Expiration=1,IF($A300&lt;VLOOKUP(L$5,NFI,5,0),1,0)*Table_NFI[[#This Row],[Tarpaulin]],Table_NFI[[#This Row],[Tarpaulin]])</f>
        <v>0</v>
      </c>
      <c r="AD300" s="436">
        <f>IF(NFI_Expiration=1,IF($A300&lt;VLOOKUP(M$5,NFI,5,0),1,0)*Table_NFI[[#This Row],[Blanket]],Table_NFI[[#This Row],[Blanket]])</f>
        <v>0</v>
      </c>
      <c r="AE300" s="436">
        <f>IF(NFI_Expiration=1,IF($A300&lt;VLOOKUP(N$5,NFI,5,0),1,0)*Table_NFI[[#This Row],[Kitchen Set]],Table_NFI[Kitchen Set])</f>
        <v>0</v>
      </c>
      <c r="AF300" s="436">
        <f>IF(NFI_Expiration=1,IF($A300&lt;VLOOKUP(O$5,NFI,5,0),1,0)*Table_NFI[[#This Row],[Clothes Kit]],Table_NFI[Clothes Kit])</f>
        <v>0</v>
      </c>
      <c r="AG300" s="436">
        <f>IF(NFI_Expiration=1,IF($A300&lt;VLOOKUP(P$5,NFI,5,0),1,0)*Table_NFI[[#This Row],[Plastic Bucket]],Table_NFI[Plastic Bucket])</f>
        <v>0</v>
      </c>
      <c r="AH300" s="436">
        <f>IF(NFI_Expiration=1,IF($A300&lt;VLOOKUP(Q$5,NFI,5,0),1,0)*Table_NFI[[#This Row],[Plastic Mat]],Table_NFI[Plastic Mat])*IF(Table_NFI[[#This Row],[Distribution Date]]&gt;"2014-04-01",1,2.5)</f>
        <v>0</v>
      </c>
      <c r="AI300" s="436">
        <f>IF(NFI_Expiration=1,IF($A300&lt;VLOOKUP(R$5,NFI,5,0),1,0)*Table_NFI[[#This Row],[Winter Clothes Adult]],Table_NFI[Winter Clothes Adult])</f>
        <v>0</v>
      </c>
      <c r="AJ300" s="436">
        <f>IF(NFI_Expiration=1,IF($A300&lt;VLOOKUP(S$5,NFI,5,0),1,0)*Table_NFI[[#This Row],[Winter Clothes Children]],Table_NFI[Winter Clothes Children])</f>
        <v>0</v>
      </c>
      <c r="AK300" s="436">
        <f>IF(NFI_Expiration=1,IF($A300&lt;VLOOKUP(T$5,NFI,5,0),1,0)*Table_NFI[[#This Row],[Winter Items Other]],Table_NFI[Winter Items Other])</f>
        <v>0</v>
      </c>
      <c r="AL300" s="436">
        <f>IF(NFI_Expiration=1,IF($A300&lt;VLOOKUP(M$5,NFI,5,0),1,0)*Table_NFI[[#This Row],[Winter Blanket]],Table_NFI[[#This Row],[Winter Blanket]])</f>
        <v>0</v>
      </c>
      <c r="AM300" s="436">
        <f>IF(Table_NFI[[#This Row],[Winter Clothes Adult]]+Table_NFI[[#This Row],[Winter Clothes Children]]+Table_NFI[[#This Row],[Winter Items Other]]+Table_NFI[[#This Row],[Winter Blanket]]&gt;0,1,0)</f>
        <v>0</v>
      </c>
      <c r="AN300" s="439">
        <f>IF(NFI_Expiration=1,IF($A300&lt;VLOOKUP(V$5,NFI,5,0),1,0)*Table_NFI[[#This Row],[Jerry Can]],Table_NFI[Jerry Can])</f>
        <v>0</v>
      </c>
      <c r="AO300" s="771" t="str">
        <f>IFERROR(VLOOKUP(Table_NFI[[#This Row],[Camp Name]],CL,2,0),"")</f>
        <v>MMR001CMP111</v>
      </c>
      <c r="AP300" s="772">
        <f ca="1">IF(Table_NFI[[#This Row],[Pcode]]="","",IF(OFFSET(CampList[Opening Date],MATCH(Table_NFI[[#This Row],[Pcode]],CampList[CP_Pcode],0)-1,0,1,1)&gt;=NFI_Monitor_Date,1,0))</f>
        <v>0</v>
      </c>
      <c r="AQ300" s="771" t="str">
        <f>IFERROR(VLOOKUP(Table_NFI[[#This Row],[Camp Name]],CL,3,0),"")</f>
        <v>Open</v>
      </c>
      <c r="AR300" s="436" t="str">
        <f ca="1">IF(Table_NFI[[#This Row],[Pcode]]="","",OFFSET(CampList[Priority],MATCH(Table_NFI[[#This Row],[Pcode]],CampList[CP_Pcode],0)-1,0,1,1))</f>
        <v>P2</v>
      </c>
      <c r="AS300" s="438">
        <f>IFERROR(Table_NFI[[#This Row],[Kitchen Set]]/VLOOKUP(Table_NFI[[#This Row],[Camp Name]],CL,4,0),"")</f>
        <v>1.0419354838709678</v>
      </c>
      <c r="AT300" s="769" t="s">
        <v>1099</v>
      </c>
      <c r="AU300" s="773"/>
    </row>
    <row r="301" spans="1:47" s="774" customFormat="1" x14ac:dyDescent="0.25">
      <c r="A301" s="451">
        <f t="shared" si="4"/>
        <v>23.566666666666666</v>
      </c>
      <c r="B301" s="768">
        <v>41663</v>
      </c>
      <c r="C301" s="769" t="s">
        <v>455</v>
      </c>
      <c r="D301" s="769"/>
      <c r="E301" s="769" t="s">
        <v>380</v>
      </c>
      <c r="F301" s="435" t="s">
        <v>151</v>
      </c>
      <c r="G301" s="769" t="s">
        <v>188</v>
      </c>
      <c r="H301" s="436"/>
      <c r="I301" s="436"/>
      <c r="J301" s="436"/>
      <c r="K301" s="436"/>
      <c r="L301" s="437"/>
      <c r="M301" s="437"/>
      <c r="N301" s="437"/>
      <c r="O301" s="437"/>
      <c r="P301" s="439"/>
      <c r="Q301" s="439"/>
      <c r="R301" s="436"/>
      <c r="S301" s="436">
        <v>838</v>
      </c>
      <c r="T301" s="436"/>
      <c r="U301" s="436"/>
      <c r="V301" s="436"/>
      <c r="W301" s="436"/>
      <c r="X301" s="436"/>
      <c r="Y301" s="436">
        <f>IF(NFI_Expiration=1,IF($A301&lt;VLOOKUP(H$5,NFI,5,0),1,0)*Table_NFI[[#This Row],[Hygiene Kit]],Table_NFI[Hygiene Kit])</f>
        <v>0</v>
      </c>
      <c r="Z301" s="436">
        <f>IF(NFI_Expiration=1,IF($A301&lt;VLOOKUP(I$5,NFI,5,0),1,0)*Table_NFI[[#This Row],[NFI Core Kit]],Table_NFI[NFI Core Kit])</f>
        <v>0</v>
      </c>
      <c r="AA301" s="436">
        <f>IF(NFI_Expiration=1,IF($A301&lt;VLOOKUP(J$5,NFI,5,0),1,0)*Table_NFI[[#This Row],[Sanitary Kit]],Table_NFI[Sanitary Kit])</f>
        <v>0</v>
      </c>
      <c r="AB301" s="436">
        <f>IF(NFI_Expiration=1,IF($A301&lt;VLOOKUP(K$5,NFI,5,0),1,0)*Table_NFI[[#This Row],[Mosquito net]],Table_NFI[Mosquito net])</f>
        <v>0</v>
      </c>
      <c r="AC301" s="436">
        <f>IF(NFI_Expiration=1,IF($A301&lt;VLOOKUP(L$5,NFI,5,0),1,0)*Table_NFI[[#This Row],[Tarpaulin]],Table_NFI[[#This Row],[Tarpaulin]])</f>
        <v>0</v>
      </c>
      <c r="AD301" s="436">
        <f>IF(NFI_Expiration=1,IF($A301&lt;VLOOKUP(M$5,NFI,5,0),1,0)*Table_NFI[[#This Row],[Blanket]],Table_NFI[[#This Row],[Blanket]])</f>
        <v>0</v>
      </c>
      <c r="AE301" s="436">
        <f>IF(NFI_Expiration=1,IF($A301&lt;VLOOKUP(N$5,NFI,5,0),1,0)*Table_NFI[[#This Row],[Kitchen Set]],Table_NFI[Kitchen Set])</f>
        <v>0</v>
      </c>
      <c r="AF301" s="436">
        <f>IF(NFI_Expiration=1,IF($A301&lt;VLOOKUP(O$5,NFI,5,0),1,0)*Table_NFI[[#This Row],[Clothes Kit]],Table_NFI[Clothes Kit])</f>
        <v>0</v>
      </c>
      <c r="AG301" s="436">
        <f>IF(NFI_Expiration=1,IF($A301&lt;VLOOKUP(P$5,NFI,5,0),1,0)*Table_NFI[[#This Row],[Plastic Bucket]],Table_NFI[Plastic Bucket])</f>
        <v>0</v>
      </c>
      <c r="AH301" s="436">
        <f>IF(NFI_Expiration=1,IF($A301&lt;VLOOKUP(Q$5,NFI,5,0),1,0)*Table_NFI[[#This Row],[Plastic Mat]],Table_NFI[Plastic Mat])*IF(Table_NFI[[#This Row],[Distribution Date]]&gt;"2014-04-01",1,2.5)</f>
        <v>0</v>
      </c>
      <c r="AI301" s="436">
        <f>IF(NFI_Expiration=1,IF($A301&lt;VLOOKUP(R$5,NFI,5,0),1,0)*Table_NFI[[#This Row],[Winter Clothes Adult]],Table_NFI[Winter Clothes Adult])</f>
        <v>0</v>
      </c>
      <c r="AJ301" s="436">
        <f>IF(NFI_Expiration=1,IF($A301&lt;VLOOKUP(S$5,NFI,5,0),1,0)*Table_NFI[[#This Row],[Winter Clothes Children]],Table_NFI[Winter Clothes Children])</f>
        <v>0</v>
      </c>
      <c r="AK301" s="436">
        <f>IF(NFI_Expiration=1,IF($A301&lt;VLOOKUP(T$5,NFI,5,0),1,0)*Table_NFI[[#This Row],[Winter Items Other]],Table_NFI[Winter Items Other])</f>
        <v>0</v>
      </c>
      <c r="AL301" s="436">
        <f>IF(NFI_Expiration=1,IF($A301&lt;VLOOKUP(M$5,NFI,5,0),1,0)*Table_NFI[[#This Row],[Winter Blanket]],Table_NFI[[#This Row],[Winter Blanket]])</f>
        <v>0</v>
      </c>
      <c r="AM301" s="436">
        <f>IF(Table_NFI[[#This Row],[Winter Clothes Adult]]+Table_NFI[[#This Row],[Winter Clothes Children]]+Table_NFI[[#This Row],[Winter Items Other]]+Table_NFI[[#This Row],[Winter Blanket]]&gt;0,1,0)</f>
        <v>1</v>
      </c>
      <c r="AN301" s="439">
        <f>IF(NFI_Expiration=1,IF($A301&lt;VLOOKUP(V$5,NFI,5,0),1,0)*Table_NFI[[#This Row],[Jerry Can]],Table_NFI[Jerry Can])</f>
        <v>0</v>
      </c>
      <c r="AO301" s="771" t="str">
        <f>IFERROR(VLOOKUP(Table_NFI[[#This Row],[Camp Name]],CL,2,0),"")</f>
        <v>MMR001CMP129</v>
      </c>
      <c r="AP301" s="772">
        <f ca="1">IF(Table_NFI[[#This Row],[Pcode]]="","",IF(OFFSET(CampList[Opening Date],MATCH(Table_NFI[[#This Row],[Pcode]],CampList[CP_Pcode],0)-1,0,1,1)&gt;=NFI_Monitor_Date,1,0))</f>
        <v>0</v>
      </c>
      <c r="AQ301" s="771" t="str">
        <f>IFERROR(VLOOKUP(Table_NFI[[#This Row],[Camp Name]],CL,3,0),"")</f>
        <v>Open</v>
      </c>
      <c r="AR301" s="436" t="str">
        <f ca="1">IF(Table_NFI[[#This Row],[Pcode]]="","",OFFSET(CampList[Priority],MATCH(Table_NFI[[#This Row],[Pcode]],CampList[CP_Pcode],0)-1,0,1,1))</f>
        <v>P2</v>
      </c>
      <c r="AS301" s="438">
        <f>IFERROR(Table_NFI[[#This Row],[Kitchen Set]]/VLOOKUP(Table_NFI[[#This Row],[Camp Name]],CL,4,0),"")</f>
        <v>0</v>
      </c>
      <c r="AT301" s="769" t="s">
        <v>1099</v>
      </c>
      <c r="AU301" s="773"/>
    </row>
    <row r="302" spans="1:47" s="774" customFormat="1" x14ac:dyDescent="0.25">
      <c r="A302" s="451">
        <f t="shared" si="4"/>
        <v>23.566666666666666</v>
      </c>
      <c r="B302" s="768">
        <v>41663</v>
      </c>
      <c r="C302" s="769" t="s">
        <v>454</v>
      </c>
      <c r="D302" s="442" t="s">
        <v>454</v>
      </c>
      <c r="E302" s="775" t="s">
        <v>380</v>
      </c>
      <c r="F302" s="769" t="s">
        <v>185</v>
      </c>
      <c r="G302" s="435" t="s">
        <v>219</v>
      </c>
      <c r="H302" s="442"/>
      <c r="I302" s="442"/>
      <c r="J302" s="442"/>
      <c r="K302" s="775">
        <v>60</v>
      </c>
      <c r="L302" s="776">
        <v>30</v>
      </c>
      <c r="M302" s="443">
        <v>60</v>
      </c>
      <c r="N302" s="443">
        <v>30</v>
      </c>
      <c r="O302" s="443"/>
      <c r="P302" s="776">
        <v>30</v>
      </c>
      <c r="Q302" s="443">
        <v>150</v>
      </c>
      <c r="R302" s="442"/>
      <c r="S302" s="442"/>
      <c r="T302" s="442"/>
      <c r="U302" s="442"/>
      <c r="V302" s="442"/>
      <c r="W302" s="442"/>
      <c r="X302" s="442"/>
      <c r="Y302" s="436">
        <f>IF(NFI_Expiration=1,IF($A302&lt;VLOOKUP(H$5,NFI,5,0),1,0)*Table_NFI[[#This Row],[Hygiene Kit]],Table_NFI[Hygiene Kit])</f>
        <v>0</v>
      </c>
      <c r="Z302" s="436">
        <f>IF(NFI_Expiration=1,IF($A302&lt;VLOOKUP(I$5,NFI,5,0),1,0)*Table_NFI[[#This Row],[NFI Core Kit]],Table_NFI[NFI Core Kit])</f>
        <v>0</v>
      </c>
      <c r="AA302" s="436">
        <f>IF(NFI_Expiration=1,IF($A302&lt;VLOOKUP(J$5,NFI,5,0),1,0)*Table_NFI[[#This Row],[Sanitary Kit]],Table_NFI[Sanitary Kit])</f>
        <v>0</v>
      </c>
      <c r="AB302" s="436">
        <f>IF(NFI_Expiration=1,IF($A302&lt;VLOOKUP(K$5,NFI,5,0),1,0)*Table_NFI[[#This Row],[Mosquito net]],Table_NFI[Mosquito net])</f>
        <v>0</v>
      </c>
      <c r="AC302" s="436">
        <f>IF(NFI_Expiration=1,IF($A302&lt;VLOOKUP(L$5,NFI,5,0),1,0)*Table_NFI[[#This Row],[Tarpaulin]],Table_NFI[[#This Row],[Tarpaulin]])</f>
        <v>0</v>
      </c>
      <c r="AD302" s="436">
        <f>IF(NFI_Expiration=1,IF($A302&lt;VLOOKUP(M$5,NFI,5,0),1,0)*Table_NFI[[#This Row],[Blanket]],Table_NFI[[#This Row],[Blanket]])</f>
        <v>0</v>
      </c>
      <c r="AE302" s="436">
        <f>IF(NFI_Expiration=1,IF($A302&lt;VLOOKUP(N$5,NFI,5,0),1,0)*Table_NFI[[#This Row],[Kitchen Set]],Table_NFI[Kitchen Set])</f>
        <v>0</v>
      </c>
      <c r="AF302" s="436">
        <f>IF(NFI_Expiration=1,IF($A302&lt;VLOOKUP(O$5,NFI,5,0),1,0)*Table_NFI[[#This Row],[Clothes Kit]],Table_NFI[Clothes Kit])</f>
        <v>0</v>
      </c>
      <c r="AG302" s="436">
        <f>IF(NFI_Expiration=1,IF($A302&lt;VLOOKUP(P$5,NFI,5,0),1,0)*Table_NFI[[#This Row],[Plastic Bucket]],Table_NFI[Plastic Bucket])</f>
        <v>0</v>
      </c>
      <c r="AH302" s="436">
        <f>IF(NFI_Expiration=1,IF($A302&lt;VLOOKUP(Q$5,NFI,5,0),1,0)*Table_NFI[[#This Row],[Plastic Mat]],Table_NFI[Plastic Mat])*IF(Table_NFI[[#This Row],[Distribution Date]]&gt;"2014-04-01",1,2.5)</f>
        <v>0</v>
      </c>
      <c r="AI302" s="436">
        <f>IF(NFI_Expiration=1,IF($A302&lt;VLOOKUP(R$5,NFI,5,0),1,0)*Table_NFI[[#This Row],[Winter Clothes Adult]],Table_NFI[Winter Clothes Adult])</f>
        <v>0</v>
      </c>
      <c r="AJ302" s="436">
        <f>IF(NFI_Expiration=1,IF($A302&lt;VLOOKUP(S$5,NFI,5,0),1,0)*Table_NFI[[#This Row],[Winter Clothes Children]],Table_NFI[Winter Clothes Children])</f>
        <v>0</v>
      </c>
      <c r="AK302" s="436">
        <f>IF(NFI_Expiration=1,IF($A302&lt;VLOOKUP(T$5,NFI,5,0),1,0)*Table_NFI[[#This Row],[Winter Items Other]],Table_NFI[Winter Items Other])</f>
        <v>0</v>
      </c>
      <c r="AL302" s="436">
        <f>IF(NFI_Expiration=1,IF($A302&lt;VLOOKUP(M$5,NFI,5,0),1,0)*Table_NFI[[#This Row],[Winter Blanket]],Table_NFI[[#This Row],[Winter Blanket]])</f>
        <v>0</v>
      </c>
      <c r="AM302" s="436">
        <f>IF(Table_NFI[[#This Row],[Winter Clothes Adult]]+Table_NFI[[#This Row],[Winter Clothes Children]]+Table_NFI[[#This Row],[Winter Items Other]]+Table_NFI[[#This Row],[Winter Blanket]]&gt;0,1,0)</f>
        <v>0</v>
      </c>
      <c r="AN302" s="439">
        <f>IF(NFI_Expiration=1,IF($A302&lt;VLOOKUP(V$5,NFI,5,0),1,0)*Table_NFI[[#This Row],[Jerry Can]],Table_NFI[Jerry Can])</f>
        <v>0</v>
      </c>
      <c r="AO302" s="771" t="str">
        <f>IFERROR(VLOOKUP(Table_NFI[[#This Row],[Camp Name]],CL,2,0),"")</f>
        <v>MMR001CMP126</v>
      </c>
      <c r="AP302" s="772">
        <f ca="1">IF(Table_NFI[[#This Row],[Pcode]]="","",IF(OFFSET(CampList[Opening Date],MATCH(Table_NFI[[#This Row],[Pcode]],CampList[CP_Pcode],0)-1,0,1,1)&gt;=NFI_Monitor_Date,1,0))</f>
        <v>0</v>
      </c>
      <c r="AQ302" s="781" t="str">
        <f>IFERROR(VLOOKUP(Table_NFI[[#This Row],[Camp Name]],CL,3,0),"")</f>
        <v>Open</v>
      </c>
      <c r="AR302" s="439" t="str">
        <f ca="1">IF(Table_NFI[[#This Row],[Pcode]]="","",OFFSET(CampList[Priority],MATCH(Table_NFI[[#This Row],[Pcode]],CampList[CP_Pcode],0)-1,0,1,1))</f>
        <v>P2</v>
      </c>
      <c r="AS302" s="438">
        <f>IFERROR(Table_NFI[[#This Row],[Kitchen Set]]/VLOOKUP(Table_NFI[[#This Row],[Camp Name]],CL,4,0),"")</f>
        <v>4.4313146233382568E-2</v>
      </c>
      <c r="AT302" s="769" t="s">
        <v>1099</v>
      </c>
      <c r="AU302" s="773"/>
    </row>
    <row r="303" spans="1:47" s="774" customFormat="1" x14ac:dyDescent="0.25">
      <c r="A303" s="451">
        <f t="shared" si="4"/>
        <v>23.7</v>
      </c>
      <c r="B303" s="768">
        <v>41659</v>
      </c>
      <c r="C303" s="769" t="s">
        <v>1101</v>
      </c>
      <c r="D303" s="769" t="s">
        <v>907</v>
      </c>
      <c r="E303" s="769" t="s">
        <v>380</v>
      </c>
      <c r="F303" s="769" t="s">
        <v>899</v>
      </c>
      <c r="G303" s="769" t="s">
        <v>901</v>
      </c>
      <c r="H303" s="436"/>
      <c r="I303" s="436"/>
      <c r="J303" s="436"/>
      <c r="K303" s="436">
        <v>8</v>
      </c>
      <c r="L303" s="437">
        <v>16</v>
      </c>
      <c r="M303" s="437">
        <v>16</v>
      </c>
      <c r="N303" s="437">
        <v>8</v>
      </c>
      <c r="O303" s="437"/>
      <c r="P303" s="439"/>
      <c r="Q303" s="439"/>
      <c r="R303" s="436">
        <v>19</v>
      </c>
      <c r="S303" s="436">
        <v>9</v>
      </c>
      <c r="T303" s="436"/>
      <c r="U303" s="436"/>
      <c r="V303" s="436"/>
      <c r="W303" s="436"/>
      <c r="X303" s="436"/>
      <c r="Y303" s="446">
        <f>IF(NFI_Expiration=1,IF($A303&lt;VLOOKUP(H$5,NFI,5,0),1,0)*Table_NFI[[#This Row],[Hygiene Kit]],Table_NFI[Hygiene Kit])</f>
        <v>0</v>
      </c>
      <c r="Z303" s="446">
        <f>IF(NFI_Expiration=1,IF($A303&lt;VLOOKUP(I$5,NFI,5,0),1,0)*Table_NFI[[#This Row],[NFI Core Kit]],Table_NFI[NFI Core Kit])</f>
        <v>0</v>
      </c>
      <c r="AA303" s="446">
        <f>IF(NFI_Expiration=1,IF($A303&lt;VLOOKUP(J$5,NFI,5,0),1,0)*Table_NFI[[#This Row],[Sanitary Kit]],Table_NFI[Sanitary Kit])</f>
        <v>0</v>
      </c>
      <c r="AB303" s="446">
        <f>IF(NFI_Expiration=1,IF($A303&lt;VLOOKUP(K$5,NFI,5,0),1,0)*Table_NFI[[#This Row],[Mosquito net]],Table_NFI[Mosquito net])</f>
        <v>0</v>
      </c>
      <c r="AC303" s="446">
        <f>IF(NFI_Expiration=1,IF($A303&lt;VLOOKUP(L$5,NFI,5,0),1,0)*Table_NFI[[#This Row],[Tarpaulin]],Table_NFI[[#This Row],[Tarpaulin]])</f>
        <v>0</v>
      </c>
      <c r="AD303" s="446">
        <f>IF(NFI_Expiration=1,IF($A303&lt;VLOOKUP(M$5,NFI,5,0),1,0)*Table_NFI[[#This Row],[Blanket]],Table_NFI[[#This Row],[Blanket]])</f>
        <v>0</v>
      </c>
      <c r="AE303" s="446">
        <f>IF(NFI_Expiration=1,IF($A303&lt;VLOOKUP(N$5,NFI,5,0),1,0)*Table_NFI[[#This Row],[Kitchen Set]],Table_NFI[Kitchen Set])</f>
        <v>0</v>
      </c>
      <c r="AF303" s="446">
        <f>IF(NFI_Expiration=1,IF($A303&lt;VLOOKUP(O$5,NFI,5,0),1,0)*Table_NFI[[#This Row],[Clothes Kit]],Table_NFI[Clothes Kit])</f>
        <v>0</v>
      </c>
      <c r="AG303" s="446">
        <f>IF(NFI_Expiration=1,IF($A303&lt;VLOOKUP(P$5,NFI,5,0),1,0)*Table_NFI[[#This Row],[Plastic Bucket]],Table_NFI[Plastic Bucket])</f>
        <v>0</v>
      </c>
      <c r="AH303" s="446">
        <f>IF(NFI_Expiration=1,IF($A303&lt;VLOOKUP(Q$5,NFI,5,0),1,0)*Table_NFI[[#This Row],[Plastic Mat]],Table_NFI[Plastic Mat])*IF(Table_NFI[[#This Row],[Distribution Date]]&gt;"2014-04-01",1,2.5)</f>
        <v>0</v>
      </c>
      <c r="AI303" s="446">
        <f>IF(NFI_Expiration=1,IF($A303&lt;VLOOKUP(R$5,NFI,5,0),1,0)*Table_NFI[[#This Row],[Winter Clothes Adult]],Table_NFI[Winter Clothes Adult])</f>
        <v>0</v>
      </c>
      <c r="AJ303" s="446">
        <f>IF(NFI_Expiration=1,IF($A303&lt;VLOOKUP(S$5,NFI,5,0),1,0)*Table_NFI[[#This Row],[Winter Clothes Children]],Table_NFI[Winter Clothes Children])</f>
        <v>0</v>
      </c>
      <c r="AK303" s="446">
        <f>IF(NFI_Expiration=1,IF($A303&lt;VLOOKUP(T$5,NFI,5,0),1,0)*Table_NFI[[#This Row],[Winter Items Other]],Table_NFI[Winter Items Other])</f>
        <v>0</v>
      </c>
      <c r="AL303" s="446">
        <f>IF(NFI_Expiration=1,IF($A303&lt;VLOOKUP(M$5,NFI,5,0),1,0)*Table_NFI[[#This Row],[Winter Blanket]],Table_NFI[[#This Row],[Winter Blanket]])</f>
        <v>0</v>
      </c>
      <c r="AM303" s="446">
        <f>IF(Table_NFI[[#This Row],[Winter Clothes Adult]]+Table_NFI[[#This Row],[Winter Clothes Children]]+Table_NFI[[#This Row],[Winter Items Other]]+Table_NFI[[#This Row],[Winter Blanket]]&gt;0,1,0)</f>
        <v>1</v>
      </c>
      <c r="AN303" s="439">
        <f>IF(NFI_Expiration=1,IF($A303&lt;VLOOKUP(V$5,NFI,5,0),1,0)*Table_NFI[[#This Row],[Jerry Can]],Table_NFI[Jerry Can])</f>
        <v>0</v>
      </c>
      <c r="AO303" s="783" t="str">
        <f>IFERROR(VLOOKUP(Table_NFI[[#This Row],[Camp Name]],CL,2,0),"")</f>
        <v>MMR001CMP221</v>
      </c>
      <c r="AP303" s="784">
        <f ca="1">IF(Table_NFI[[#This Row],[Pcode]]="","",IF(OFFSET(CampList[Opening Date],MATCH(Table_NFI[[#This Row],[Pcode]],CampList[CP_Pcode],0)-1,0,1,1)&gt;=NFI_Monitor_Date,1,0))</f>
        <v>0</v>
      </c>
      <c r="AQ303" s="783" t="str">
        <f>IFERROR(VLOOKUP(Table_NFI[[#This Row],[Camp Name]],CL,3,0),"")</f>
        <v>Closed</v>
      </c>
      <c r="AR303" s="446" t="str">
        <f ca="1">IF(Table_NFI[[#This Row],[Pcode]]="","",OFFSET(CampList[Priority],MATCH(Table_NFI[[#This Row],[Pcode]],CampList[CP_Pcode],0)-1,0,1,1))</f>
        <v>P3</v>
      </c>
      <c r="AS303" s="447" t="str">
        <f>IFERROR(Table_NFI[[#This Row],[Kitchen Set]]/VLOOKUP(Table_NFI[[#This Row],[Camp Name]],CL,4,0),"")</f>
        <v/>
      </c>
      <c r="AT303" s="785"/>
      <c r="AU303" s="773"/>
    </row>
    <row r="304" spans="1:47" s="774" customFormat="1" x14ac:dyDescent="0.25">
      <c r="A304" s="451">
        <f t="shared" si="4"/>
        <v>23.7</v>
      </c>
      <c r="B304" s="768">
        <v>41659</v>
      </c>
      <c r="C304" s="769" t="s">
        <v>455</v>
      </c>
      <c r="D304" s="769" t="s">
        <v>508</v>
      </c>
      <c r="E304" s="769" t="s">
        <v>380</v>
      </c>
      <c r="F304" s="769" t="s">
        <v>310</v>
      </c>
      <c r="G304" s="769" t="s">
        <v>322</v>
      </c>
      <c r="H304" s="436"/>
      <c r="I304" s="436"/>
      <c r="J304" s="436"/>
      <c r="K304" s="436"/>
      <c r="L304" s="437"/>
      <c r="M304" s="437"/>
      <c r="N304" s="437"/>
      <c r="O304" s="437"/>
      <c r="P304" s="439"/>
      <c r="Q304" s="439"/>
      <c r="R304" s="436">
        <v>1497</v>
      </c>
      <c r="S304" s="436">
        <v>925</v>
      </c>
      <c r="T304" s="436"/>
      <c r="U304" s="436"/>
      <c r="V304" s="436"/>
      <c r="W304" s="436"/>
      <c r="X304" s="436"/>
      <c r="Y304" s="436">
        <f>IF(NFI_Expiration=1,IF($A304&lt;VLOOKUP(H$5,NFI,5,0),1,0)*Table_NFI[[#This Row],[Hygiene Kit]],Table_NFI[Hygiene Kit])</f>
        <v>0</v>
      </c>
      <c r="Z304" s="436">
        <f>IF(NFI_Expiration=1,IF($A304&lt;VLOOKUP(I$5,NFI,5,0),1,0)*Table_NFI[[#This Row],[NFI Core Kit]],Table_NFI[NFI Core Kit])</f>
        <v>0</v>
      </c>
      <c r="AA304" s="436">
        <f>IF(NFI_Expiration=1,IF($A304&lt;VLOOKUP(J$5,NFI,5,0),1,0)*Table_NFI[[#This Row],[Sanitary Kit]],Table_NFI[Sanitary Kit])</f>
        <v>0</v>
      </c>
      <c r="AB304" s="436">
        <f>IF(NFI_Expiration=1,IF($A304&lt;VLOOKUP(K$5,NFI,5,0),1,0)*Table_NFI[[#This Row],[Mosquito net]],Table_NFI[Mosquito net])</f>
        <v>0</v>
      </c>
      <c r="AC304" s="436">
        <f>IF(NFI_Expiration=1,IF($A304&lt;VLOOKUP(L$5,NFI,5,0),1,0)*Table_NFI[[#This Row],[Tarpaulin]],Table_NFI[[#This Row],[Tarpaulin]])</f>
        <v>0</v>
      </c>
      <c r="AD304" s="436">
        <f>IF(NFI_Expiration=1,IF($A304&lt;VLOOKUP(M$5,NFI,5,0),1,0)*Table_NFI[[#This Row],[Blanket]],Table_NFI[[#This Row],[Blanket]])</f>
        <v>0</v>
      </c>
      <c r="AE304" s="436">
        <f>IF(NFI_Expiration=1,IF($A304&lt;VLOOKUP(N$5,NFI,5,0),1,0)*Table_NFI[[#This Row],[Kitchen Set]],Table_NFI[Kitchen Set])</f>
        <v>0</v>
      </c>
      <c r="AF304" s="436">
        <f>IF(NFI_Expiration=1,IF($A304&lt;VLOOKUP(O$5,NFI,5,0),1,0)*Table_NFI[[#This Row],[Clothes Kit]],Table_NFI[Clothes Kit])</f>
        <v>0</v>
      </c>
      <c r="AG304" s="436">
        <f>IF(NFI_Expiration=1,IF($A304&lt;VLOOKUP(P$5,NFI,5,0),1,0)*Table_NFI[[#This Row],[Plastic Bucket]],Table_NFI[Plastic Bucket])</f>
        <v>0</v>
      </c>
      <c r="AH304" s="436">
        <f>IF(NFI_Expiration=1,IF($A304&lt;VLOOKUP(Q$5,NFI,5,0),1,0)*Table_NFI[[#This Row],[Plastic Mat]],Table_NFI[Plastic Mat])*IF(Table_NFI[[#This Row],[Distribution Date]]&gt;"2014-04-01",1,2.5)</f>
        <v>0</v>
      </c>
      <c r="AI304" s="436">
        <f>IF(NFI_Expiration=1,IF($A304&lt;VLOOKUP(R$5,NFI,5,0),1,0)*Table_NFI[[#This Row],[Winter Clothes Adult]],Table_NFI[Winter Clothes Adult])</f>
        <v>0</v>
      </c>
      <c r="AJ304" s="436">
        <f>IF(NFI_Expiration=1,IF($A304&lt;VLOOKUP(S$5,NFI,5,0),1,0)*Table_NFI[[#This Row],[Winter Clothes Children]],Table_NFI[Winter Clothes Children])</f>
        <v>0</v>
      </c>
      <c r="AK304" s="436">
        <f>IF(NFI_Expiration=1,IF($A304&lt;VLOOKUP(T$5,NFI,5,0),1,0)*Table_NFI[[#This Row],[Winter Items Other]],Table_NFI[Winter Items Other])</f>
        <v>0</v>
      </c>
      <c r="AL304" s="436">
        <f>IF(NFI_Expiration=1,IF($A304&lt;VLOOKUP(M$5,NFI,5,0),1,0)*Table_NFI[[#This Row],[Winter Blanket]],Table_NFI[[#This Row],[Winter Blanket]])</f>
        <v>0</v>
      </c>
      <c r="AM304" s="436">
        <f>IF(Table_NFI[[#This Row],[Winter Clothes Adult]]+Table_NFI[[#This Row],[Winter Clothes Children]]+Table_NFI[[#This Row],[Winter Items Other]]+Table_NFI[[#This Row],[Winter Blanket]]&gt;0,1,0)</f>
        <v>1</v>
      </c>
      <c r="AN304" s="439">
        <f>IF(NFI_Expiration=1,IF($A304&lt;VLOOKUP(V$5,NFI,5,0),1,0)*Table_NFI[[#This Row],[Jerry Can]],Table_NFI[Jerry Can])</f>
        <v>0</v>
      </c>
      <c r="AO304" s="771" t="str">
        <f>IFERROR(VLOOKUP(Table_NFI[[#This Row],[Camp Name]],CL,2,0),"")</f>
        <v>MMR001CMP119</v>
      </c>
      <c r="AP304" s="772">
        <f ca="1">IF(Table_NFI[[#This Row],[Pcode]]="","",IF(OFFSET(CampList[Opening Date],MATCH(Table_NFI[[#This Row],[Pcode]],CampList[CP_Pcode],0)-1,0,1,1)&gt;=NFI_Monitor_Date,1,0))</f>
        <v>0</v>
      </c>
      <c r="AQ304" s="771" t="str">
        <f>IFERROR(VLOOKUP(Table_NFI[[#This Row],[Camp Name]],CL,3,0),"")</f>
        <v>Open</v>
      </c>
      <c r="AR304" s="436" t="str">
        <f ca="1">IF(Table_NFI[[#This Row],[Pcode]]="","",OFFSET(CampList[Priority],MATCH(Table_NFI[[#This Row],[Pcode]],CampList[CP_Pcode],0)-1,0,1,1))</f>
        <v>P2</v>
      </c>
      <c r="AS304" s="438">
        <f>IFERROR(Table_NFI[[#This Row],[Kitchen Set]]/VLOOKUP(Table_NFI[[#This Row],[Camp Name]],CL,4,0),"")</f>
        <v>0</v>
      </c>
      <c r="AT304" s="769" t="s">
        <v>1099</v>
      </c>
      <c r="AU304" s="773"/>
    </row>
    <row r="305" spans="1:47" s="774" customFormat="1" x14ac:dyDescent="0.25">
      <c r="A305" s="451">
        <f t="shared" si="4"/>
        <v>23.7</v>
      </c>
      <c r="B305" s="768">
        <v>41659</v>
      </c>
      <c r="C305" s="769" t="s">
        <v>1101</v>
      </c>
      <c r="D305" s="769" t="s">
        <v>907</v>
      </c>
      <c r="E305" s="769" t="s">
        <v>380</v>
      </c>
      <c r="F305" s="769" t="s">
        <v>300</v>
      </c>
      <c r="G305" s="769" t="s">
        <v>897</v>
      </c>
      <c r="H305" s="436"/>
      <c r="I305" s="436"/>
      <c r="J305" s="436"/>
      <c r="K305" s="436">
        <v>17</v>
      </c>
      <c r="L305" s="437">
        <v>34</v>
      </c>
      <c r="M305" s="437">
        <v>34</v>
      </c>
      <c r="N305" s="437">
        <v>17</v>
      </c>
      <c r="O305" s="437"/>
      <c r="P305" s="439"/>
      <c r="Q305" s="439"/>
      <c r="R305" s="436">
        <v>31</v>
      </c>
      <c r="S305" s="436">
        <v>28</v>
      </c>
      <c r="T305" s="436"/>
      <c r="U305" s="436"/>
      <c r="V305" s="436"/>
      <c r="W305" s="436"/>
      <c r="X305" s="436"/>
      <c r="Y305" s="446">
        <f>IF(NFI_Expiration=1,IF($A305&lt;VLOOKUP(H$5,NFI,5,0),1,0)*Table_NFI[[#This Row],[Hygiene Kit]],Table_NFI[Hygiene Kit])</f>
        <v>0</v>
      </c>
      <c r="Z305" s="446">
        <f>IF(NFI_Expiration=1,IF($A305&lt;VLOOKUP(I$5,NFI,5,0),1,0)*Table_NFI[[#This Row],[NFI Core Kit]],Table_NFI[NFI Core Kit])</f>
        <v>0</v>
      </c>
      <c r="AA305" s="446">
        <f>IF(NFI_Expiration=1,IF($A305&lt;VLOOKUP(J$5,NFI,5,0),1,0)*Table_NFI[[#This Row],[Sanitary Kit]],Table_NFI[Sanitary Kit])</f>
        <v>0</v>
      </c>
      <c r="AB305" s="446">
        <f>IF(NFI_Expiration=1,IF($A305&lt;VLOOKUP(K$5,NFI,5,0),1,0)*Table_NFI[[#This Row],[Mosquito net]],Table_NFI[Mosquito net])</f>
        <v>0</v>
      </c>
      <c r="AC305" s="446">
        <f>IF(NFI_Expiration=1,IF($A305&lt;VLOOKUP(L$5,NFI,5,0),1,0)*Table_NFI[[#This Row],[Tarpaulin]],Table_NFI[[#This Row],[Tarpaulin]])</f>
        <v>0</v>
      </c>
      <c r="AD305" s="446">
        <f>IF(NFI_Expiration=1,IF($A305&lt;VLOOKUP(M$5,NFI,5,0),1,0)*Table_NFI[[#This Row],[Blanket]],Table_NFI[[#This Row],[Blanket]])</f>
        <v>0</v>
      </c>
      <c r="AE305" s="446">
        <f>IF(NFI_Expiration=1,IF($A305&lt;VLOOKUP(N$5,NFI,5,0),1,0)*Table_NFI[[#This Row],[Kitchen Set]],Table_NFI[Kitchen Set])</f>
        <v>0</v>
      </c>
      <c r="AF305" s="446">
        <f>IF(NFI_Expiration=1,IF($A305&lt;VLOOKUP(O$5,NFI,5,0),1,0)*Table_NFI[[#This Row],[Clothes Kit]],Table_NFI[Clothes Kit])</f>
        <v>0</v>
      </c>
      <c r="AG305" s="446">
        <f>IF(NFI_Expiration=1,IF($A305&lt;VLOOKUP(P$5,NFI,5,0),1,0)*Table_NFI[[#This Row],[Plastic Bucket]],Table_NFI[Plastic Bucket])</f>
        <v>0</v>
      </c>
      <c r="AH305" s="446">
        <f>IF(NFI_Expiration=1,IF($A305&lt;VLOOKUP(Q$5,NFI,5,0),1,0)*Table_NFI[[#This Row],[Plastic Mat]],Table_NFI[Plastic Mat])*IF(Table_NFI[[#This Row],[Distribution Date]]&gt;"2014-04-01",1,2.5)</f>
        <v>0</v>
      </c>
      <c r="AI305" s="446">
        <f>IF(NFI_Expiration=1,IF($A305&lt;VLOOKUP(R$5,NFI,5,0),1,0)*Table_NFI[[#This Row],[Winter Clothes Adult]],Table_NFI[Winter Clothes Adult])</f>
        <v>0</v>
      </c>
      <c r="AJ305" s="446">
        <f>IF(NFI_Expiration=1,IF($A305&lt;VLOOKUP(S$5,NFI,5,0),1,0)*Table_NFI[[#This Row],[Winter Clothes Children]],Table_NFI[Winter Clothes Children])</f>
        <v>0</v>
      </c>
      <c r="AK305" s="446">
        <f>IF(NFI_Expiration=1,IF($A305&lt;VLOOKUP(T$5,NFI,5,0),1,0)*Table_NFI[[#This Row],[Winter Items Other]],Table_NFI[Winter Items Other])</f>
        <v>0</v>
      </c>
      <c r="AL305" s="446">
        <f>IF(NFI_Expiration=1,IF($A305&lt;VLOOKUP(M$5,NFI,5,0),1,0)*Table_NFI[[#This Row],[Winter Blanket]],Table_NFI[[#This Row],[Winter Blanket]])</f>
        <v>0</v>
      </c>
      <c r="AM305" s="446">
        <f>IF(Table_NFI[[#This Row],[Winter Clothes Adult]]+Table_NFI[[#This Row],[Winter Clothes Children]]+Table_NFI[[#This Row],[Winter Items Other]]+Table_NFI[[#This Row],[Winter Blanket]]&gt;0,1,0)</f>
        <v>1</v>
      </c>
      <c r="AN305" s="439">
        <f>IF(NFI_Expiration=1,IF($A305&lt;VLOOKUP(V$5,NFI,5,0),1,0)*Table_NFI[[#This Row],[Jerry Can]],Table_NFI[Jerry Can])</f>
        <v>0</v>
      </c>
      <c r="AO305" s="783" t="str">
        <f>IFERROR(VLOOKUP(Table_NFI[[#This Row],[Camp Name]],CL,2,0),"")</f>
        <v>MMR001CMP220</v>
      </c>
      <c r="AP305" s="784">
        <f ca="1">IF(Table_NFI[[#This Row],[Pcode]]="","",IF(OFFSET(CampList[Opening Date],MATCH(Table_NFI[[#This Row],[Pcode]],CampList[CP_Pcode],0)-1,0,1,1)&gt;=NFI_Monitor_Date,1,0))</f>
        <v>0</v>
      </c>
      <c r="AQ305" s="783" t="str">
        <f>IFERROR(VLOOKUP(Table_NFI[[#This Row],[Camp Name]],CL,3,0),"")</f>
        <v>Closed</v>
      </c>
      <c r="AR305" s="446" t="str">
        <f ca="1">IF(Table_NFI[[#This Row],[Pcode]]="","",OFFSET(CampList[Priority],MATCH(Table_NFI[[#This Row],[Pcode]],CampList[CP_Pcode],0)-1,0,1,1))</f>
        <v>P3</v>
      </c>
      <c r="AS305" s="447" t="str">
        <f>IFERROR(Table_NFI[[#This Row],[Kitchen Set]]/VLOOKUP(Table_NFI[[#This Row],[Camp Name]],CL,4,0),"")</f>
        <v/>
      </c>
      <c r="AT305" s="785"/>
      <c r="AU305" s="773"/>
    </row>
    <row r="306" spans="1:47" s="774" customFormat="1" x14ac:dyDescent="0.25">
      <c r="A306" s="451">
        <f t="shared" si="4"/>
        <v>23.7</v>
      </c>
      <c r="B306" s="768">
        <v>41659</v>
      </c>
      <c r="C306" s="769" t="s">
        <v>455</v>
      </c>
      <c r="D306" s="769" t="s">
        <v>508</v>
      </c>
      <c r="E306" s="769" t="s">
        <v>380</v>
      </c>
      <c r="F306" s="769" t="s">
        <v>310</v>
      </c>
      <c r="G306" s="769" t="s">
        <v>355</v>
      </c>
      <c r="H306" s="436"/>
      <c r="I306" s="436"/>
      <c r="J306" s="436"/>
      <c r="K306" s="436"/>
      <c r="L306" s="437"/>
      <c r="M306" s="437"/>
      <c r="N306" s="437"/>
      <c r="O306" s="437">
        <v>127</v>
      </c>
      <c r="P306" s="439"/>
      <c r="Q306" s="439"/>
      <c r="R306" s="436"/>
      <c r="S306" s="436"/>
      <c r="T306" s="436"/>
      <c r="U306" s="436"/>
      <c r="V306" s="436"/>
      <c r="W306" s="436"/>
      <c r="X306" s="436"/>
      <c r="Y306" s="436">
        <f>IF(NFI_Expiration=1,IF($A306&lt;VLOOKUP(H$5,NFI,5,0),1,0)*Table_NFI[[#This Row],[Hygiene Kit]],Table_NFI[Hygiene Kit])</f>
        <v>0</v>
      </c>
      <c r="Z306" s="436">
        <f>IF(NFI_Expiration=1,IF($A306&lt;VLOOKUP(I$5,NFI,5,0),1,0)*Table_NFI[[#This Row],[NFI Core Kit]],Table_NFI[NFI Core Kit])</f>
        <v>0</v>
      </c>
      <c r="AA306" s="436">
        <f>IF(NFI_Expiration=1,IF($A306&lt;VLOOKUP(J$5,NFI,5,0),1,0)*Table_NFI[[#This Row],[Sanitary Kit]],Table_NFI[Sanitary Kit])</f>
        <v>0</v>
      </c>
      <c r="AB306" s="436">
        <f>IF(NFI_Expiration=1,IF($A306&lt;VLOOKUP(K$5,NFI,5,0),1,0)*Table_NFI[[#This Row],[Mosquito net]],Table_NFI[Mosquito net])</f>
        <v>0</v>
      </c>
      <c r="AC306" s="436">
        <f>IF(NFI_Expiration=1,IF($A306&lt;VLOOKUP(L$5,NFI,5,0),1,0)*Table_NFI[[#This Row],[Tarpaulin]],Table_NFI[[#This Row],[Tarpaulin]])</f>
        <v>0</v>
      </c>
      <c r="AD306" s="436">
        <f>IF(NFI_Expiration=1,IF($A306&lt;VLOOKUP(M$5,NFI,5,0),1,0)*Table_NFI[[#This Row],[Blanket]],Table_NFI[[#This Row],[Blanket]])</f>
        <v>0</v>
      </c>
      <c r="AE306" s="436">
        <f>IF(NFI_Expiration=1,IF($A306&lt;VLOOKUP(N$5,NFI,5,0),1,0)*Table_NFI[[#This Row],[Kitchen Set]],Table_NFI[Kitchen Set])</f>
        <v>0</v>
      </c>
      <c r="AF306" s="436">
        <f>IF(NFI_Expiration=1,IF($A306&lt;VLOOKUP(O$5,NFI,5,0),1,0)*Table_NFI[[#This Row],[Clothes Kit]],Table_NFI[Clothes Kit])</f>
        <v>0</v>
      </c>
      <c r="AG306" s="436">
        <f>IF(NFI_Expiration=1,IF($A306&lt;VLOOKUP(P$5,NFI,5,0),1,0)*Table_NFI[[#This Row],[Plastic Bucket]],Table_NFI[Plastic Bucket])</f>
        <v>0</v>
      </c>
      <c r="AH306" s="436">
        <f>IF(NFI_Expiration=1,IF($A306&lt;VLOOKUP(Q$5,NFI,5,0),1,0)*Table_NFI[[#This Row],[Plastic Mat]],Table_NFI[Plastic Mat])*IF(Table_NFI[[#This Row],[Distribution Date]]&gt;"2014-04-01",1,2.5)</f>
        <v>0</v>
      </c>
      <c r="AI306" s="436">
        <f>IF(NFI_Expiration=1,IF($A306&lt;VLOOKUP(R$5,NFI,5,0),1,0)*Table_NFI[[#This Row],[Winter Clothes Adult]],Table_NFI[Winter Clothes Adult])</f>
        <v>0</v>
      </c>
      <c r="AJ306" s="436">
        <f>IF(NFI_Expiration=1,IF($A306&lt;VLOOKUP(S$5,NFI,5,0),1,0)*Table_NFI[[#This Row],[Winter Clothes Children]],Table_NFI[Winter Clothes Children])</f>
        <v>0</v>
      </c>
      <c r="AK306" s="436">
        <f>IF(NFI_Expiration=1,IF($A306&lt;VLOOKUP(T$5,NFI,5,0),1,0)*Table_NFI[[#This Row],[Winter Items Other]],Table_NFI[Winter Items Other])</f>
        <v>0</v>
      </c>
      <c r="AL306" s="436">
        <f>IF(NFI_Expiration=1,IF($A306&lt;VLOOKUP(M$5,NFI,5,0),1,0)*Table_NFI[[#This Row],[Winter Blanket]],Table_NFI[[#This Row],[Winter Blanket]])</f>
        <v>0</v>
      </c>
      <c r="AM306" s="436">
        <f>IF(Table_NFI[[#This Row],[Winter Clothes Adult]]+Table_NFI[[#This Row],[Winter Clothes Children]]+Table_NFI[[#This Row],[Winter Items Other]]+Table_NFI[[#This Row],[Winter Blanket]]&gt;0,1,0)</f>
        <v>0</v>
      </c>
      <c r="AN306" s="439">
        <f>IF(NFI_Expiration=1,IF($A306&lt;VLOOKUP(V$5,NFI,5,0),1,0)*Table_NFI[[#This Row],[Jerry Can]],Table_NFI[Jerry Can])</f>
        <v>0</v>
      </c>
      <c r="AO306" s="771" t="str">
        <f>IFERROR(VLOOKUP(Table_NFI[[#This Row],[Camp Name]],CL,2,0),"")</f>
        <v>MMR001CMP160</v>
      </c>
      <c r="AP306" s="772">
        <f ca="1">IF(Table_NFI[[#This Row],[Pcode]]="","",IF(OFFSET(CampList[Opening Date],MATCH(Table_NFI[[#This Row],[Pcode]],CampList[CP_Pcode],0)-1,0,1,1)&gt;=NFI_Monitor_Date,1,0))</f>
        <v>0</v>
      </c>
      <c r="AQ306" s="771" t="str">
        <f>IFERROR(VLOOKUP(Table_NFI[[#This Row],[Camp Name]],CL,3,0),"")</f>
        <v>Open</v>
      </c>
      <c r="AR306" s="436" t="str">
        <f ca="1">IF(Table_NFI[[#This Row],[Pcode]]="","",OFFSET(CampList[Priority],MATCH(Table_NFI[[#This Row],[Pcode]],CampList[CP_Pcode],0)-1,0,1,1))</f>
        <v>P1</v>
      </c>
      <c r="AS306" s="438">
        <f>IFERROR(Table_NFI[[#This Row],[Kitchen Set]]/VLOOKUP(Table_NFI[[#This Row],[Camp Name]],CL,4,0),"")</f>
        <v>0</v>
      </c>
      <c r="AT306" s="769" t="s">
        <v>1099</v>
      </c>
      <c r="AU306" s="773"/>
    </row>
    <row r="307" spans="1:47" s="774" customFormat="1" x14ac:dyDescent="0.25">
      <c r="A307" s="451">
        <f t="shared" si="4"/>
        <v>23.7</v>
      </c>
      <c r="B307" s="768">
        <v>41659</v>
      </c>
      <c r="C307" s="769" t="s">
        <v>455</v>
      </c>
      <c r="D307" s="769" t="s">
        <v>508</v>
      </c>
      <c r="E307" s="769" t="s">
        <v>380</v>
      </c>
      <c r="F307" s="769" t="s">
        <v>310</v>
      </c>
      <c r="G307" s="769" t="s">
        <v>355</v>
      </c>
      <c r="H307" s="436"/>
      <c r="I307" s="436"/>
      <c r="J307" s="436"/>
      <c r="K307" s="436"/>
      <c r="L307" s="437"/>
      <c r="M307" s="437"/>
      <c r="N307" s="437"/>
      <c r="O307" s="437"/>
      <c r="P307" s="439"/>
      <c r="Q307" s="439"/>
      <c r="R307" s="436">
        <v>443</v>
      </c>
      <c r="S307" s="436">
        <v>218</v>
      </c>
      <c r="T307" s="436"/>
      <c r="U307" s="436"/>
      <c r="V307" s="436"/>
      <c r="W307" s="436"/>
      <c r="X307" s="436"/>
      <c r="Y307" s="436">
        <f>IF(NFI_Expiration=1,IF($A307&lt;VLOOKUP(H$5,NFI,5,0),1,0)*Table_NFI[[#This Row],[Hygiene Kit]],Table_NFI[Hygiene Kit])</f>
        <v>0</v>
      </c>
      <c r="Z307" s="436">
        <f>IF(NFI_Expiration=1,IF($A307&lt;VLOOKUP(I$5,NFI,5,0),1,0)*Table_NFI[[#This Row],[NFI Core Kit]],Table_NFI[NFI Core Kit])</f>
        <v>0</v>
      </c>
      <c r="AA307" s="436">
        <f>IF(NFI_Expiration=1,IF($A307&lt;VLOOKUP(J$5,NFI,5,0),1,0)*Table_NFI[[#This Row],[Sanitary Kit]],Table_NFI[Sanitary Kit])</f>
        <v>0</v>
      </c>
      <c r="AB307" s="436">
        <f>IF(NFI_Expiration=1,IF($A307&lt;VLOOKUP(K$5,NFI,5,0),1,0)*Table_NFI[[#This Row],[Mosquito net]],Table_NFI[Mosquito net])</f>
        <v>0</v>
      </c>
      <c r="AC307" s="436">
        <f>IF(NFI_Expiration=1,IF($A307&lt;VLOOKUP(L$5,NFI,5,0),1,0)*Table_NFI[[#This Row],[Tarpaulin]],Table_NFI[[#This Row],[Tarpaulin]])</f>
        <v>0</v>
      </c>
      <c r="AD307" s="436">
        <f>IF(NFI_Expiration=1,IF($A307&lt;VLOOKUP(M$5,NFI,5,0),1,0)*Table_NFI[[#This Row],[Blanket]],Table_NFI[[#This Row],[Blanket]])</f>
        <v>0</v>
      </c>
      <c r="AE307" s="436">
        <f>IF(NFI_Expiration=1,IF($A307&lt;VLOOKUP(N$5,NFI,5,0),1,0)*Table_NFI[[#This Row],[Kitchen Set]],Table_NFI[Kitchen Set])</f>
        <v>0</v>
      </c>
      <c r="AF307" s="436">
        <f>IF(NFI_Expiration=1,IF($A307&lt;VLOOKUP(O$5,NFI,5,0),1,0)*Table_NFI[[#This Row],[Clothes Kit]],Table_NFI[Clothes Kit])</f>
        <v>0</v>
      </c>
      <c r="AG307" s="436">
        <f>IF(NFI_Expiration=1,IF($A307&lt;VLOOKUP(P$5,NFI,5,0),1,0)*Table_NFI[[#This Row],[Plastic Bucket]],Table_NFI[Plastic Bucket])</f>
        <v>0</v>
      </c>
      <c r="AH307" s="436">
        <f>IF(NFI_Expiration=1,IF($A307&lt;VLOOKUP(Q$5,NFI,5,0),1,0)*Table_NFI[[#This Row],[Plastic Mat]],Table_NFI[Plastic Mat])*IF(Table_NFI[[#This Row],[Distribution Date]]&gt;"2014-04-01",1,2.5)</f>
        <v>0</v>
      </c>
      <c r="AI307" s="436">
        <f>IF(NFI_Expiration=1,IF($A307&lt;VLOOKUP(R$5,NFI,5,0),1,0)*Table_NFI[[#This Row],[Winter Clothes Adult]],Table_NFI[Winter Clothes Adult])</f>
        <v>0</v>
      </c>
      <c r="AJ307" s="436">
        <f>IF(NFI_Expiration=1,IF($A307&lt;VLOOKUP(S$5,NFI,5,0),1,0)*Table_NFI[[#This Row],[Winter Clothes Children]],Table_NFI[Winter Clothes Children])</f>
        <v>0</v>
      </c>
      <c r="AK307" s="436">
        <f>IF(NFI_Expiration=1,IF($A307&lt;VLOOKUP(T$5,NFI,5,0),1,0)*Table_NFI[[#This Row],[Winter Items Other]],Table_NFI[Winter Items Other])</f>
        <v>0</v>
      </c>
      <c r="AL307" s="436">
        <f>IF(NFI_Expiration=1,IF($A307&lt;VLOOKUP(M$5,NFI,5,0),1,0)*Table_NFI[[#This Row],[Winter Blanket]],Table_NFI[[#This Row],[Winter Blanket]])</f>
        <v>0</v>
      </c>
      <c r="AM307" s="436">
        <f>IF(Table_NFI[[#This Row],[Winter Clothes Adult]]+Table_NFI[[#This Row],[Winter Clothes Children]]+Table_NFI[[#This Row],[Winter Items Other]]+Table_NFI[[#This Row],[Winter Blanket]]&gt;0,1,0)</f>
        <v>1</v>
      </c>
      <c r="AN307" s="439">
        <f>IF(NFI_Expiration=1,IF($A307&lt;VLOOKUP(V$5,NFI,5,0),1,0)*Table_NFI[[#This Row],[Jerry Can]],Table_NFI[Jerry Can])</f>
        <v>0</v>
      </c>
      <c r="AO307" s="771" t="str">
        <f>IFERROR(VLOOKUP(Table_NFI[[#This Row],[Camp Name]],CL,2,0),"")</f>
        <v>MMR001CMP160</v>
      </c>
      <c r="AP307" s="772">
        <f ca="1">IF(Table_NFI[[#This Row],[Pcode]]="","",IF(OFFSET(CampList[Opening Date],MATCH(Table_NFI[[#This Row],[Pcode]],CampList[CP_Pcode],0)-1,0,1,1)&gt;=NFI_Monitor_Date,1,0))</f>
        <v>0</v>
      </c>
      <c r="AQ307" s="771" t="str">
        <f>IFERROR(VLOOKUP(Table_NFI[[#This Row],[Camp Name]],CL,3,0),"")</f>
        <v>Open</v>
      </c>
      <c r="AR307" s="436" t="str">
        <f ca="1">IF(Table_NFI[[#This Row],[Pcode]]="","",OFFSET(CampList[Priority],MATCH(Table_NFI[[#This Row],[Pcode]],CampList[CP_Pcode],0)-1,0,1,1))</f>
        <v>P1</v>
      </c>
      <c r="AS307" s="438">
        <f>IFERROR(Table_NFI[[#This Row],[Kitchen Set]]/VLOOKUP(Table_NFI[[#This Row],[Camp Name]],CL,4,0),"")</f>
        <v>0</v>
      </c>
      <c r="AT307" s="769" t="s">
        <v>1099</v>
      </c>
      <c r="AU307" s="773"/>
    </row>
    <row r="308" spans="1:47" s="774" customFormat="1" x14ac:dyDescent="0.25">
      <c r="A308" s="451">
        <f t="shared" si="4"/>
        <v>23.7</v>
      </c>
      <c r="B308" s="768">
        <v>41659</v>
      </c>
      <c r="C308" s="769" t="s">
        <v>1101</v>
      </c>
      <c r="D308" s="769" t="s">
        <v>907</v>
      </c>
      <c r="E308" s="769" t="s">
        <v>380</v>
      </c>
      <c r="F308" s="769" t="s">
        <v>300</v>
      </c>
      <c r="G308" s="769" t="s">
        <v>301</v>
      </c>
      <c r="H308" s="436"/>
      <c r="I308" s="436"/>
      <c r="J308" s="436"/>
      <c r="K308" s="436">
        <v>18</v>
      </c>
      <c r="L308" s="437">
        <v>36</v>
      </c>
      <c r="M308" s="437">
        <v>36</v>
      </c>
      <c r="N308" s="437">
        <v>18</v>
      </c>
      <c r="O308" s="437"/>
      <c r="P308" s="439"/>
      <c r="Q308" s="439"/>
      <c r="R308" s="436">
        <v>53</v>
      </c>
      <c r="S308" s="436">
        <v>42</v>
      </c>
      <c r="T308" s="436"/>
      <c r="U308" s="436"/>
      <c r="V308" s="436"/>
      <c r="W308" s="436"/>
      <c r="X308" s="436"/>
      <c r="Y308" s="446">
        <f>IF(NFI_Expiration=1,IF($A308&lt;VLOOKUP(H$5,NFI,5,0),1,0)*Table_NFI[[#This Row],[Hygiene Kit]],Table_NFI[Hygiene Kit])</f>
        <v>0</v>
      </c>
      <c r="Z308" s="446">
        <f>IF(NFI_Expiration=1,IF($A308&lt;VLOOKUP(I$5,NFI,5,0),1,0)*Table_NFI[[#This Row],[NFI Core Kit]],Table_NFI[NFI Core Kit])</f>
        <v>0</v>
      </c>
      <c r="AA308" s="446">
        <f>IF(NFI_Expiration=1,IF($A308&lt;VLOOKUP(J$5,NFI,5,0),1,0)*Table_NFI[[#This Row],[Sanitary Kit]],Table_NFI[Sanitary Kit])</f>
        <v>0</v>
      </c>
      <c r="AB308" s="446">
        <f>IF(NFI_Expiration=1,IF($A308&lt;VLOOKUP(K$5,NFI,5,0),1,0)*Table_NFI[[#This Row],[Mosquito net]],Table_NFI[Mosquito net])</f>
        <v>0</v>
      </c>
      <c r="AC308" s="446">
        <f>IF(NFI_Expiration=1,IF($A308&lt;VLOOKUP(L$5,NFI,5,0),1,0)*Table_NFI[[#This Row],[Tarpaulin]],Table_NFI[[#This Row],[Tarpaulin]])</f>
        <v>0</v>
      </c>
      <c r="AD308" s="446">
        <f>IF(NFI_Expiration=1,IF($A308&lt;VLOOKUP(M$5,NFI,5,0),1,0)*Table_NFI[[#This Row],[Blanket]],Table_NFI[[#This Row],[Blanket]])</f>
        <v>0</v>
      </c>
      <c r="AE308" s="446">
        <f>IF(NFI_Expiration=1,IF($A308&lt;VLOOKUP(N$5,NFI,5,0),1,0)*Table_NFI[[#This Row],[Kitchen Set]],Table_NFI[Kitchen Set])</f>
        <v>0</v>
      </c>
      <c r="AF308" s="446">
        <f>IF(NFI_Expiration=1,IF($A308&lt;VLOOKUP(O$5,NFI,5,0),1,0)*Table_NFI[[#This Row],[Clothes Kit]],Table_NFI[Clothes Kit])</f>
        <v>0</v>
      </c>
      <c r="AG308" s="446">
        <f>IF(NFI_Expiration=1,IF($A308&lt;VLOOKUP(P$5,NFI,5,0),1,0)*Table_NFI[[#This Row],[Plastic Bucket]],Table_NFI[Plastic Bucket])</f>
        <v>0</v>
      </c>
      <c r="AH308" s="446">
        <f>IF(NFI_Expiration=1,IF($A308&lt;VLOOKUP(Q$5,NFI,5,0),1,0)*Table_NFI[[#This Row],[Plastic Mat]],Table_NFI[Plastic Mat])*IF(Table_NFI[[#This Row],[Distribution Date]]&gt;"2014-04-01",1,2.5)</f>
        <v>0</v>
      </c>
      <c r="AI308" s="446">
        <f>IF(NFI_Expiration=1,IF($A308&lt;VLOOKUP(R$5,NFI,5,0),1,0)*Table_NFI[[#This Row],[Winter Clothes Adult]],Table_NFI[Winter Clothes Adult])</f>
        <v>0</v>
      </c>
      <c r="AJ308" s="446">
        <f>IF(NFI_Expiration=1,IF($A308&lt;VLOOKUP(S$5,NFI,5,0),1,0)*Table_NFI[[#This Row],[Winter Clothes Children]],Table_NFI[Winter Clothes Children])</f>
        <v>0</v>
      </c>
      <c r="AK308" s="446">
        <f>IF(NFI_Expiration=1,IF($A308&lt;VLOOKUP(T$5,NFI,5,0),1,0)*Table_NFI[[#This Row],[Winter Items Other]],Table_NFI[Winter Items Other])</f>
        <v>0</v>
      </c>
      <c r="AL308" s="446">
        <f>IF(NFI_Expiration=1,IF($A308&lt;VLOOKUP(M$5,NFI,5,0),1,0)*Table_NFI[[#This Row],[Winter Blanket]],Table_NFI[[#This Row],[Winter Blanket]])</f>
        <v>0</v>
      </c>
      <c r="AM308" s="446">
        <f>IF(Table_NFI[[#This Row],[Winter Clothes Adult]]+Table_NFI[[#This Row],[Winter Clothes Children]]+Table_NFI[[#This Row],[Winter Items Other]]+Table_NFI[[#This Row],[Winter Blanket]]&gt;0,1,0)</f>
        <v>1</v>
      </c>
      <c r="AN308" s="439">
        <f>IF(NFI_Expiration=1,IF($A308&lt;VLOOKUP(V$5,NFI,5,0),1,0)*Table_NFI[[#This Row],[Jerry Can]],Table_NFI[Jerry Can])</f>
        <v>0</v>
      </c>
      <c r="AO308" s="783" t="str">
        <f>IFERROR(VLOOKUP(Table_NFI[[#This Row],[Camp Name]],CL,2,0),"")</f>
        <v>MMR001CMP075</v>
      </c>
      <c r="AP308" s="784">
        <f ca="1">IF(Table_NFI[[#This Row],[Pcode]]="","",IF(OFFSET(CampList[Opening Date],MATCH(Table_NFI[[#This Row],[Pcode]],CampList[CP_Pcode],0)-1,0,1,1)&gt;=NFI_Monitor_Date,1,0))</f>
        <v>0</v>
      </c>
      <c r="AQ308" s="783" t="str">
        <f>IFERROR(VLOOKUP(Table_NFI[[#This Row],[Camp Name]],CL,3,0),"")</f>
        <v>Open</v>
      </c>
      <c r="AR308" s="446" t="str">
        <f ca="1">IF(Table_NFI[[#This Row],[Pcode]]="","",OFFSET(CampList[Priority],MATCH(Table_NFI[[#This Row],[Pcode]],CampList[CP_Pcode],0)-1,0,1,1))</f>
        <v>P3</v>
      </c>
      <c r="AS308" s="447">
        <f>IFERROR(Table_NFI[[#This Row],[Kitchen Set]]/VLOOKUP(Table_NFI[[#This Row],[Camp Name]],CL,4,0),"")</f>
        <v>1.2857142857142858</v>
      </c>
      <c r="AT308" s="785"/>
      <c r="AU308" s="773"/>
    </row>
    <row r="309" spans="1:47" s="774" customFormat="1" x14ac:dyDescent="0.25">
      <c r="A309" s="451">
        <f t="shared" si="4"/>
        <v>23.833333333333332</v>
      </c>
      <c r="B309" s="768">
        <v>41655</v>
      </c>
      <c r="C309" s="769" t="s">
        <v>454</v>
      </c>
      <c r="D309" s="442" t="s">
        <v>454</v>
      </c>
      <c r="E309" s="775" t="s">
        <v>380</v>
      </c>
      <c r="F309" s="435" t="s">
        <v>151</v>
      </c>
      <c r="G309" s="435" t="s">
        <v>188</v>
      </c>
      <c r="H309" s="442"/>
      <c r="I309" s="442"/>
      <c r="J309" s="442"/>
      <c r="K309" s="775">
        <v>45</v>
      </c>
      <c r="L309" s="776">
        <v>30</v>
      </c>
      <c r="M309" s="443">
        <v>45</v>
      </c>
      <c r="N309" s="443">
        <v>30</v>
      </c>
      <c r="O309" s="443"/>
      <c r="P309" s="776">
        <v>30</v>
      </c>
      <c r="Q309" s="443">
        <v>150</v>
      </c>
      <c r="R309" s="442"/>
      <c r="S309" s="442"/>
      <c r="T309" s="442"/>
      <c r="U309" s="442"/>
      <c r="V309" s="442"/>
      <c r="W309" s="442"/>
      <c r="X309" s="442"/>
      <c r="Y309" s="436">
        <f>IF(NFI_Expiration=1,IF($A309&lt;VLOOKUP(H$5,NFI,5,0),1,0)*Table_NFI[[#This Row],[Hygiene Kit]],Table_NFI[Hygiene Kit])</f>
        <v>0</v>
      </c>
      <c r="Z309" s="436">
        <f>IF(NFI_Expiration=1,IF($A309&lt;VLOOKUP(I$5,NFI,5,0),1,0)*Table_NFI[[#This Row],[NFI Core Kit]],Table_NFI[NFI Core Kit])</f>
        <v>0</v>
      </c>
      <c r="AA309" s="436">
        <f>IF(NFI_Expiration=1,IF($A309&lt;VLOOKUP(J$5,NFI,5,0),1,0)*Table_NFI[[#This Row],[Sanitary Kit]],Table_NFI[Sanitary Kit])</f>
        <v>0</v>
      </c>
      <c r="AB309" s="436">
        <f>IF(NFI_Expiration=1,IF($A309&lt;VLOOKUP(K$5,NFI,5,0),1,0)*Table_NFI[[#This Row],[Mosquito net]],Table_NFI[Mosquito net])</f>
        <v>0</v>
      </c>
      <c r="AC309" s="436">
        <f>IF(NFI_Expiration=1,IF($A309&lt;VLOOKUP(L$5,NFI,5,0),1,0)*Table_NFI[[#This Row],[Tarpaulin]],Table_NFI[[#This Row],[Tarpaulin]])</f>
        <v>0</v>
      </c>
      <c r="AD309" s="436">
        <f>IF(NFI_Expiration=1,IF($A309&lt;VLOOKUP(M$5,NFI,5,0),1,0)*Table_NFI[[#This Row],[Blanket]],Table_NFI[[#This Row],[Blanket]])</f>
        <v>0</v>
      </c>
      <c r="AE309" s="436">
        <f>IF(NFI_Expiration=1,IF($A309&lt;VLOOKUP(N$5,NFI,5,0),1,0)*Table_NFI[[#This Row],[Kitchen Set]],Table_NFI[Kitchen Set])</f>
        <v>0</v>
      </c>
      <c r="AF309" s="436">
        <f>IF(NFI_Expiration=1,IF($A309&lt;VLOOKUP(O$5,NFI,5,0),1,0)*Table_NFI[[#This Row],[Clothes Kit]],Table_NFI[Clothes Kit])</f>
        <v>0</v>
      </c>
      <c r="AG309" s="436">
        <f>IF(NFI_Expiration=1,IF($A309&lt;VLOOKUP(P$5,NFI,5,0),1,0)*Table_NFI[[#This Row],[Plastic Bucket]],Table_NFI[Plastic Bucket])</f>
        <v>0</v>
      </c>
      <c r="AH309" s="436">
        <f>IF(NFI_Expiration=1,IF($A309&lt;VLOOKUP(Q$5,NFI,5,0),1,0)*Table_NFI[[#This Row],[Plastic Mat]],Table_NFI[Plastic Mat])*IF(Table_NFI[[#This Row],[Distribution Date]]&gt;"2014-04-01",1,2.5)</f>
        <v>0</v>
      </c>
      <c r="AI309" s="436">
        <f>IF(NFI_Expiration=1,IF($A309&lt;VLOOKUP(R$5,NFI,5,0),1,0)*Table_NFI[[#This Row],[Winter Clothes Adult]],Table_NFI[Winter Clothes Adult])</f>
        <v>0</v>
      </c>
      <c r="AJ309" s="436">
        <f>IF(NFI_Expiration=1,IF($A309&lt;VLOOKUP(S$5,NFI,5,0),1,0)*Table_NFI[[#This Row],[Winter Clothes Children]],Table_NFI[Winter Clothes Children])</f>
        <v>0</v>
      </c>
      <c r="AK309" s="436">
        <f>IF(NFI_Expiration=1,IF($A309&lt;VLOOKUP(T$5,NFI,5,0),1,0)*Table_NFI[[#This Row],[Winter Items Other]],Table_NFI[Winter Items Other])</f>
        <v>0</v>
      </c>
      <c r="AL309" s="436">
        <f>IF(NFI_Expiration=1,IF($A309&lt;VLOOKUP(M$5,NFI,5,0),1,0)*Table_NFI[[#This Row],[Winter Blanket]],Table_NFI[[#This Row],[Winter Blanket]])</f>
        <v>0</v>
      </c>
      <c r="AM309" s="436">
        <f>IF(Table_NFI[[#This Row],[Winter Clothes Adult]]+Table_NFI[[#This Row],[Winter Clothes Children]]+Table_NFI[[#This Row],[Winter Items Other]]+Table_NFI[[#This Row],[Winter Blanket]]&gt;0,1,0)</f>
        <v>0</v>
      </c>
      <c r="AN309" s="439">
        <f>IF(NFI_Expiration=1,IF($A309&lt;VLOOKUP(V$5,NFI,5,0),1,0)*Table_NFI[[#This Row],[Jerry Can]],Table_NFI[Jerry Can])</f>
        <v>0</v>
      </c>
      <c r="AO309" s="771" t="str">
        <f>IFERROR(VLOOKUP(Table_NFI[[#This Row],[Camp Name]],CL,2,0),"")</f>
        <v>MMR001CMP129</v>
      </c>
      <c r="AP309" s="772">
        <f ca="1">IF(Table_NFI[[#This Row],[Pcode]]="","",IF(OFFSET(CampList[Opening Date],MATCH(Table_NFI[[#This Row],[Pcode]],CampList[CP_Pcode],0)-1,0,1,1)&gt;=NFI_Monitor_Date,1,0))</f>
        <v>0</v>
      </c>
      <c r="AQ309" s="781" t="str">
        <f>IFERROR(VLOOKUP(Table_NFI[[#This Row],[Camp Name]],CL,3,0),"")</f>
        <v>Open</v>
      </c>
      <c r="AR309" s="439" t="str">
        <f ca="1">IF(Table_NFI[[#This Row],[Pcode]]="","",OFFSET(CampList[Priority],MATCH(Table_NFI[[#This Row],[Pcode]],CampList[CP_Pcode],0)-1,0,1,1))</f>
        <v>P2</v>
      </c>
      <c r="AS309" s="438">
        <f>IFERROR(Table_NFI[[#This Row],[Kitchen Set]]/VLOOKUP(Table_NFI[[#This Row],[Camp Name]],CL,4,0),"")</f>
        <v>0.12244897959183673</v>
      </c>
      <c r="AT309" s="769" t="s">
        <v>1099</v>
      </c>
      <c r="AU309" s="773"/>
    </row>
    <row r="310" spans="1:47" s="774" customFormat="1" x14ac:dyDescent="0.25">
      <c r="A310" s="451">
        <f t="shared" si="4"/>
        <v>23.833333333333332</v>
      </c>
      <c r="B310" s="768">
        <v>41655</v>
      </c>
      <c r="C310" s="769" t="s">
        <v>455</v>
      </c>
      <c r="D310" s="769" t="s">
        <v>508</v>
      </c>
      <c r="E310" s="769" t="s">
        <v>380</v>
      </c>
      <c r="F310" s="769" t="s">
        <v>310</v>
      </c>
      <c r="G310" s="769" t="s">
        <v>322</v>
      </c>
      <c r="H310" s="436"/>
      <c r="I310" s="436"/>
      <c r="J310" s="436"/>
      <c r="K310" s="436"/>
      <c r="L310" s="437"/>
      <c r="M310" s="437"/>
      <c r="N310" s="437"/>
      <c r="O310" s="437">
        <v>600</v>
      </c>
      <c r="P310" s="439"/>
      <c r="Q310" s="439"/>
      <c r="R310" s="436"/>
      <c r="S310" s="436"/>
      <c r="T310" s="436"/>
      <c r="U310" s="436"/>
      <c r="V310" s="436"/>
      <c r="W310" s="436"/>
      <c r="X310" s="436"/>
      <c r="Y310" s="436">
        <f>IF(NFI_Expiration=1,IF($A310&lt;VLOOKUP(H$5,NFI,5,0),1,0)*Table_NFI[[#This Row],[Hygiene Kit]],Table_NFI[Hygiene Kit])</f>
        <v>0</v>
      </c>
      <c r="Z310" s="436">
        <f>IF(NFI_Expiration=1,IF($A310&lt;VLOOKUP(I$5,NFI,5,0),1,0)*Table_NFI[[#This Row],[NFI Core Kit]],Table_NFI[NFI Core Kit])</f>
        <v>0</v>
      </c>
      <c r="AA310" s="436">
        <f>IF(NFI_Expiration=1,IF($A310&lt;VLOOKUP(J$5,NFI,5,0),1,0)*Table_NFI[[#This Row],[Sanitary Kit]],Table_NFI[Sanitary Kit])</f>
        <v>0</v>
      </c>
      <c r="AB310" s="436">
        <f>IF(NFI_Expiration=1,IF($A310&lt;VLOOKUP(K$5,NFI,5,0),1,0)*Table_NFI[[#This Row],[Mosquito net]],Table_NFI[Mosquito net])</f>
        <v>0</v>
      </c>
      <c r="AC310" s="436">
        <f>IF(NFI_Expiration=1,IF($A310&lt;VLOOKUP(L$5,NFI,5,0),1,0)*Table_NFI[[#This Row],[Tarpaulin]],Table_NFI[[#This Row],[Tarpaulin]])</f>
        <v>0</v>
      </c>
      <c r="AD310" s="436">
        <f>IF(NFI_Expiration=1,IF($A310&lt;VLOOKUP(M$5,NFI,5,0),1,0)*Table_NFI[[#This Row],[Blanket]],Table_NFI[[#This Row],[Blanket]])</f>
        <v>0</v>
      </c>
      <c r="AE310" s="436">
        <f>IF(NFI_Expiration=1,IF($A310&lt;VLOOKUP(N$5,NFI,5,0),1,0)*Table_NFI[[#This Row],[Kitchen Set]],Table_NFI[Kitchen Set])</f>
        <v>0</v>
      </c>
      <c r="AF310" s="436">
        <f>IF(NFI_Expiration=1,IF($A310&lt;VLOOKUP(O$5,NFI,5,0),1,0)*Table_NFI[[#This Row],[Clothes Kit]],Table_NFI[Clothes Kit])</f>
        <v>0</v>
      </c>
      <c r="AG310" s="436">
        <f>IF(NFI_Expiration=1,IF($A310&lt;VLOOKUP(P$5,NFI,5,0),1,0)*Table_NFI[[#This Row],[Plastic Bucket]],Table_NFI[Plastic Bucket])</f>
        <v>0</v>
      </c>
      <c r="AH310" s="436">
        <f>IF(NFI_Expiration=1,IF($A310&lt;VLOOKUP(Q$5,NFI,5,0),1,0)*Table_NFI[[#This Row],[Plastic Mat]],Table_NFI[Plastic Mat])*IF(Table_NFI[[#This Row],[Distribution Date]]&gt;"2014-04-01",1,2.5)</f>
        <v>0</v>
      </c>
      <c r="AI310" s="436">
        <f>IF(NFI_Expiration=1,IF($A310&lt;VLOOKUP(R$5,NFI,5,0),1,0)*Table_NFI[[#This Row],[Winter Clothes Adult]],Table_NFI[Winter Clothes Adult])</f>
        <v>0</v>
      </c>
      <c r="AJ310" s="436">
        <f>IF(NFI_Expiration=1,IF($A310&lt;VLOOKUP(S$5,NFI,5,0),1,0)*Table_NFI[[#This Row],[Winter Clothes Children]],Table_NFI[Winter Clothes Children])</f>
        <v>0</v>
      </c>
      <c r="AK310" s="436">
        <f>IF(NFI_Expiration=1,IF($A310&lt;VLOOKUP(T$5,NFI,5,0),1,0)*Table_NFI[[#This Row],[Winter Items Other]],Table_NFI[Winter Items Other])</f>
        <v>0</v>
      </c>
      <c r="AL310" s="436">
        <f>IF(NFI_Expiration=1,IF($A310&lt;VLOOKUP(M$5,NFI,5,0),1,0)*Table_NFI[[#This Row],[Winter Blanket]],Table_NFI[[#This Row],[Winter Blanket]])</f>
        <v>0</v>
      </c>
      <c r="AM310" s="436">
        <f>IF(Table_NFI[[#This Row],[Winter Clothes Adult]]+Table_NFI[[#This Row],[Winter Clothes Children]]+Table_NFI[[#This Row],[Winter Items Other]]+Table_NFI[[#This Row],[Winter Blanket]]&gt;0,1,0)</f>
        <v>0</v>
      </c>
      <c r="AN310" s="439">
        <f>IF(NFI_Expiration=1,IF($A310&lt;VLOOKUP(V$5,NFI,5,0),1,0)*Table_NFI[[#This Row],[Jerry Can]],Table_NFI[Jerry Can])</f>
        <v>0</v>
      </c>
      <c r="AO310" s="771" t="str">
        <f>IFERROR(VLOOKUP(Table_NFI[[#This Row],[Camp Name]],CL,2,0),"")</f>
        <v>MMR001CMP119</v>
      </c>
      <c r="AP310" s="772">
        <f ca="1">IF(Table_NFI[[#This Row],[Pcode]]="","",IF(OFFSET(CampList[Opening Date],MATCH(Table_NFI[[#This Row],[Pcode]],CampList[CP_Pcode],0)-1,0,1,1)&gt;=NFI_Monitor_Date,1,0))</f>
        <v>0</v>
      </c>
      <c r="AQ310" s="771" t="str">
        <f>IFERROR(VLOOKUP(Table_NFI[[#This Row],[Camp Name]],CL,3,0),"")</f>
        <v>Open</v>
      </c>
      <c r="AR310" s="436" t="str">
        <f ca="1">IF(Table_NFI[[#This Row],[Pcode]]="","",OFFSET(CampList[Priority],MATCH(Table_NFI[[#This Row],[Pcode]],CampList[CP_Pcode],0)-1,0,1,1))</f>
        <v>P2</v>
      </c>
      <c r="AS310" s="438">
        <f>IFERROR(Table_NFI[[#This Row],[Kitchen Set]]/VLOOKUP(Table_NFI[[#This Row],[Camp Name]],CL,4,0),"")</f>
        <v>0</v>
      </c>
      <c r="AT310" s="769" t="s">
        <v>1099</v>
      </c>
      <c r="AU310" s="773"/>
    </row>
    <row r="311" spans="1:47" s="774" customFormat="1" x14ac:dyDescent="0.25">
      <c r="A311" s="451">
        <f t="shared" si="4"/>
        <v>23.9</v>
      </c>
      <c r="B311" s="768">
        <v>41653</v>
      </c>
      <c r="C311" s="769" t="s">
        <v>455</v>
      </c>
      <c r="D311" s="769" t="s">
        <v>508</v>
      </c>
      <c r="E311" s="769" t="s">
        <v>380</v>
      </c>
      <c r="F311" s="769" t="s">
        <v>310</v>
      </c>
      <c r="G311" s="769" t="s">
        <v>334</v>
      </c>
      <c r="H311" s="436"/>
      <c r="I311" s="436"/>
      <c r="J311" s="436"/>
      <c r="K311" s="436"/>
      <c r="L311" s="437"/>
      <c r="M311" s="437"/>
      <c r="N311" s="437"/>
      <c r="O311" s="437">
        <v>180</v>
      </c>
      <c r="P311" s="439"/>
      <c r="Q311" s="439"/>
      <c r="R311" s="436"/>
      <c r="S311" s="436"/>
      <c r="T311" s="436"/>
      <c r="U311" s="436"/>
      <c r="V311" s="436"/>
      <c r="W311" s="436"/>
      <c r="X311" s="436"/>
      <c r="Y311" s="436">
        <f>IF(NFI_Expiration=1,IF($A311&lt;VLOOKUP(H$5,NFI,5,0),1,0)*Table_NFI[[#This Row],[Hygiene Kit]],Table_NFI[Hygiene Kit])</f>
        <v>0</v>
      </c>
      <c r="Z311" s="436">
        <f>IF(NFI_Expiration=1,IF($A311&lt;VLOOKUP(I$5,NFI,5,0),1,0)*Table_NFI[[#This Row],[NFI Core Kit]],Table_NFI[NFI Core Kit])</f>
        <v>0</v>
      </c>
      <c r="AA311" s="436">
        <f>IF(NFI_Expiration=1,IF($A311&lt;VLOOKUP(J$5,NFI,5,0),1,0)*Table_NFI[[#This Row],[Sanitary Kit]],Table_NFI[Sanitary Kit])</f>
        <v>0</v>
      </c>
      <c r="AB311" s="436">
        <f>IF(NFI_Expiration=1,IF($A311&lt;VLOOKUP(K$5,NFI,5,0),1,0)*Table_NFI[[#This Row],[Mosquito net]],Table_NFI[Mosquito net])</f>
        <v>0</v>
      </c>
      <c r="AC311" s="436">
        <f>IF(NFI_Expiration=1,IF($A311&lt;VLOOKUP(L$5,NFI,5,0),1,0)*Table_NFI[[#This Row],[Tarpaulin]],Table_NFI[[#This Row],[Tarpaulin]])</f>
        <v>0</v>
      </c>
      <c r="AD311" s="436">
        <f>IF(NFI_Expiration=1,IF($A311&lt;VLOOKUP(M$5,NFI,5,0),1,0)*Table_NFI[[#This Row],[Blanket]],Table_NFI[[#This Row],[Blanket]])</f>
        <v>0</v>
      </c>
      <c r="AE311" s="436">
        <f>IF(NFI_Expiration=1,IF($A311&lt;VLOOKUP(N$5,NFI,5,0),1,0)*Table_NFI[[#This Row],[Kitchen Set]],Table_NFI[Kitchen Set])</f>
        <v>0</v>
      </c>
      <c r="AF311" s="436">
        <f>IF(NFI_Expiration=1,IF($A311&lt;VLOOKUP(O$5,NFI,5,0),1,0)*Table_NFI[[#This Row],[Clothes Kit]],Table_NFI[Clothes Kit])</f>
        <v>0</v>
      </c>
      <c r="AG311" s="436">
        <f>IF(NFI_Expiration=1,IF($A311&lt;VLOOKUP(P$5,NFI,5,0),1,0)*Table_NFI[[#This Row],[Plastic Bucket]],Table_NFI[Plastic Bucket])</f>
        <v>0</v>
      </c>
      <c r="AH311" s="436">
        <f>IF(NFI_Expiration=1,IF($A311&lt;VLOOKUP(Q$5,NFI,5,0),1,0)*Table_NFI[[#This Row],[Plastic Mat]],Table_NFI[Plastic Mat])*IF(Table_NFI[[#This Row],[Distribution Date]]&gt;"2014-04-01",1,2.5)</f>
        <v>0</v>
      </c>
      <c r="AI311" s="436">
        <f>IF(NFI_Expiration=1,IF($A311&lt;VLOOKUP(R$5,NFI,5,0),1,0)*Table_NFI[[#This Row],[Winter Clothes Adult]],Table_NFI[Winter Clothes Adult])</f>
        <v>0</v>
      </c>
      <c r="AJ311" s="436">
        <f>IF(NFI_Expiration=1,IF($A311&lt;VLOOKUP(S$5,NFI,5,0),1,0)*Table_NFI[[#This Row],[Winter Clothes Children]],Table_NFI[Winter Clothes Children])</f>
        <v>0</v>
      </c>
      <c r="AK311" s="436">
        <f>IF(NFI_Expiration=1,IF($A311&lt;VLOOKUP(T$5,NFI,5,0),1,0)*Table_NFI[[#This Row],[Winter Items Other]],Table_NFI[Winter Items Other])</f>
        <v>0</v>
      </c>
      <c r="AL311" s="436">
        <f>IF(NFI_Expiration=1,IF($A311&lt;VLOOKUP(M$5,NFI,5,0),1,0)*Table_NFI[[#This Row],[Winter Blanket]],Table_NFI[[#This Row],[Winter Blanket]])</f>
        <v>0</v>
      </c>
      <c r="AM311" s="436">
        <f>IF(Table_NFI[[#This Row],[Winter Clothes Adult]]+Table_NFI[[#This Row],[Winter Clothes Children]]+Table_NFI[[#This Row],[Winter Items Other]]+Table_NFI[[#This Row],[Winter Blanket]]&gt;0,1,0)</f>
        <v>0</v>
      </c>
      <c r="AN311" s="439">
        <f>IF(NFI_Expiration=1,IF($A311&lt;VLOOKUP(V$5,NFI,5,0),1,0)*Table_NFI[[#This Row],[Jerry Can]],Table_NFI[Jerry Can])</f>
        <v>0</v>
      </c>
      <c r="AO311" s="771" t="str">
        <f>IFERROR(VLOOKUP(Table_NFI[[#This Row],[Camp Name]],CL,2,0),"")</f>
        <v>MMR001CMP113</v>
      </c>
      <c r="AP311" s="772">
        <f ca="1">IF(Table_NFI[[#This Row],[Pcode]]="","",IF(OFFSET(CampList[Opening Date],MATCH(Table_NFI[[#This Row],[Pcode]],CampList[CP_Pcode],0)-1,0,1,1)&gt;=NFI_Monitor_Date,1,0))</f>
        <v>0</v>
      </c>
      <c r="AQ311" s="771" t="str">
        <f>IFERROR(VLOOKUP(Table_NFI[[#This Row],[Camp Name]],CL,3,0),"")</f>
        <v>Open</v>
      </c>
      <c r="AR311" s="436" t="str">
        <f ca="1">IF(Table_NFI[[#This Row],[Pcode]]="","",OFFSET(CampList[Priority],MATCH(Table_NFI[[#This Row],[Pcode]],CampList[CP_Pcode],0)-1,0,1,1))</f>
        <v>P1</v>
      </c>
      <c r="AS311" s="438">
        <f>IFERROR(Table_NFI[[#This Row],[Kitchen Set]]/VLOOKUP(Table_NFI[[#This Row],[Camp Name]],CL,4,0),"")</f>
        <v>0</v>
      </c>
      <c r="AT311" s="769" t="s">
        <v>1099</v>
      </c>
      <c r="AU311" s="773"/>
    </row>
    <row r="312" spans="1:47" s="774" customFormat="1" x14ac:dyDescent="0.25">
      <c r="A312" s="451">
        <f t="shared" si="4"/>
        <v>23.9</v>
      </c>
      <c r="B312" s="768">
        <v>41653</v>
      </c>
      <c r="C312" s="769" t="s">
        <v>455</v>
      </c>
      <c r="D312" s="769" t="s">
        <v>508</v>
      </c>
      <c r="E312" s="769" t="s">
        <v>380</v>
      </c>
      <c r="F312" s="769" t="s">
        <v>310</v>
      </c>
      <c r="G312" s="769" t="s">
        <v>334</v>
      </c>
      <c r="H312" s="436"/>
      <c r="I312" s="436"/>
      <c r="J312" s="436"/>
      <c r="K312" s="436"/>
      <c r="L312" s="437"/>
      <c r="M312" s="437"/>
      <c r="N312" s="437"/>
      <c r="O312" s="437"/>
      <c r="P312" s="439"/>
      <c r="Q312" s="439"/>
      <c r="R312" s="436">
        <v>501</v>
      </c>
      <c r="S312" s="436">
        <v>335</v>
      </c>
      <c r="T312" s="436"/>
      <c r="U312" s="436"/>
      <c r="V312" s="436"/>
      <c r="W312" s="436"/>
      <c r="X312" s="436"/>
      <c r="Y312" s="436">
        <f>IF(NFI_Expiration=1,IF($A312&lt;VLOOKUP(H$5,NFI,5,0),1,0)*Table_NFI[[#This Row],[Hygiene Kit]],Table_NFI[Hygiene Kit])</f>
        <v>0</v>
      </c>
      <c r="Z312" s="436">
        <f>IF(NFI_Expiration=1,IF($A312&lt;VLOOKUP(I$5,NFI,5,0),1,0)*Table_NFI[[#This Row],[NFI Core Kit]],Table_NFI[NFI Core Kit])</f>
        <v>0</v>
      </c>
      <c r="AA312" s="436">
        <f>IF(NFI_Expiration=1,IF($A312&lt;VLOOKUP(J$5,NFI,5,0),1,0)*Table_NFI[[#This Row],[Sanitary Kit]],Table_NFI[Sanitary Kit])</f>
        <v>0</v>
      </c>
      <c r="AB312" s="436">
        <f>IF(NFI_Expiration=1,IF($A312&lt;VLOOKUP(K$5,NFI,5,0),1,0)*Table_NFI[[#This Row],[Mosquito net]],Table_NFI[Mosquito net])</f>
        <v>0</v>
      </c>
      <c r="AC312" s="436">
        <f>IF(NFI_Expiration=1,IF($A312&lt;VLOOKUP(L$5,NFI,5,0),1,0)*Table_NFI[[#This Row],[Tarpaulin]],Table_NFI[[#This Row],[Tarpaulin]])</f>
        <v>0</v>
      </c>
      <c r="AD312" s="436">
        <f>IF(NFI_Expiration=1,IF($A312&lt;VLOOKUP(M$5,NFI,5,0),1,0)*Table_NFI[[#This Row],[Blanket]],Table_NFI[[#This Row],[Blanket]])</f>
        <v>0</v>
      </c>
      <c r="AE312" s="436">
        <f>IF(NFI_Expiration=1,IF($A312&lt;VLOOKUP(N$5,NFI,5,0),1,0)*Table_NFI[[#This Row],[Kitchen Set]],Table_NFI[Kitchen Set])</f>
        <v>0</v>
      </c>
      <c r="AF312" s="436">
        <f>IF(NFI_Expiration=1,IF($A312&lt;VLOOKUP(O$5,NFI,5,0),1,0)*Table_NFI[[#This Row],[Clothes Kit]],Table_NFI[Clothes Kit])</f>
        <v>0</v>
      </c>
      <c r="AG312" s="436">
        <f>IF(NFI_Expiration=1,IF($A312&lt;VLOOKUP(P$5,NFI,5,0),1,0)*Table_NFI[[#This Row],[Plastic Bucket]],Table_NFI[Plastic Bucket])</f>
        <v>0</v>
      </c>
      <c r="AH312" s="436">
        <f>IF(NFI_Expiration=1,IF($A312&lt;VLOOKUP(Q$5,NFI,5,0),1,0)*Table_NFI[[#This Row],[Plastic Mat]],Table_NFI[Plastic Mat])*IF(Table_NFI[[#This Row],[Distribution Date]]&gt;"2014-04-01",1,2.5)</f>
        <v>0</v>
      </c>
      <c r="AI312" s="436">
        <f>IF(NFI_Expiration=1,IF($A312&lt;VLOOKUP(R$5,NFI,5,0),1,0)*Table_NFI[[#This Row],[Winter Clothes Adult]],Table_NFI[Winter Clothes Adult])</f>
        <v>0</v>
      </c>
      <c r="AJ312" s="436">
        <f>IF(NFI_Expiration=1,IF($A312&lt;VLOOKUP(S$5,NFI,5,0),1,0)*Table_NFI[[#This Row],[Winter Clothes Children]],Table_NFI[Winter Clothes Children])</f>
        <v>0</v>
      </c>
      <c r="AK312" s="436">
        <f>IF(NFI_Expiration=1,IF($A312&lt;VLOOKUP(T$5,NFI,5,0),1,0)*Table_NFI[[#This Row],[Winter Items Other]],Table_NFI[Winter Items Other])</f>
        <v>0</v>
      </c>
      <c r="AL312" s="436">
        <f>IF(NFI_Expiration=1,IF($A312&lt;VLOOKUP(M$5,NFI,5,0),1,0)*Table_NFI[[#This Row],[Winter Blanket]],Table_NFI[[#This Row],[Winter Blanket]])</f>
        <v>0</v>
      </c>
      <c r="AM312" s="436">
        <f>IF(Table_NFI[[#This Row],[Winter Clothes Adult]]+Table_NFI[[#This Row],[Winter Clothes Children]]+Table_NFI[[#This Row],[Winter Items Other]]+Table_NFI[[#This Row],[Winter Blanket]]&gt;0,1,0)</f>
        <v>1</v>
      </c>
      <c r="AN312" s="439">
        <f>IF(NFI_Expiration=1,IF($A312&lt;VLOOKUP(V$5,NFI,5,0),1,0)*Table_NFI[[#This Row],[Jerry Can]],Table_NFI[Jerry Can])</f>
        <v>0</v>
      </c>
      <c r="AO312" s="771" t="str">
        <f>IFERROR(VLOOKUP(Table_NFI[[#This Row],[Camp Name]],CL,2,0),"")</f>
        <v>MMR001CMP113</v>
      </c>
      <c r="AP312" s="772">
        <f ca="1">IF(Table_NFI[[#This Row],[Pcode]]="","",IF(OFFSET(CampList[Opening Date],MATCH(Table_NFI[[#This Row],[Pcode]],CampList[CP_Pcode],0)-1,0,1,1)&gt;=NFI_Monitor_Date,1,0))</f>
        <v>0</v>
      </c>
      <c r="AQ312" s="771" t="str">
        <f>IFERROR(VLOOKUP(Table_NFI[[#This Row],[Camp Name]],CL,3,0),"")</f>
        <v>Open</v>
      </c>
      <c r="AR312" s="436" t="str">
        <f ca="1">IF(Table_NFI[[#This Row],[Pcode]]="","",OFFSET(CampList[Priority],MATCH(Table_NFI[[#This Row],[Pcode]],CampList[CP_Pcode],0)-1,0,1,1))</f>
        <v>P1</v>
      </c>
      <c r="AS312" s="438">
        <f>IFERROR(Table_NFI[[#This Row],[Kitchen Set]]/VLOOKUP(Table_NFI[[#This Row],[Camp Name]],CL,4,0),"")</f>
        <v>0</v>
      </c>
      <c r="AT312" s="769" t="s">
        <v>1099</v>
      </c>
      <c r="AU312" s="773"/>
    </row>
    <row r="313" spans="1:47" s="774" customFormat="1" x14ac:dyDescent="0.25">
      <c r="A313" s="451">
        <f t="shared" si="4"/>
        <v>23.9</v>
      </c>
      <c r="B313" s="768">
        <v>41653</v>
      </c>
      <c r="C313" s="769" t="s">
        <v>454</v>
      </c>
      <c r="D313" s="442" t="s">
        <v>454</v>
      </c>
      <c r="E313" s="769" t="s">
        <v>380</v>
      </c>
      <c r="F313" s="435" t="s">
        <v>151</v>
      </c>
      <c r="G313" s="435" t="s">
        <v>198</v>
      </c>
      <c r="H313" s="442"/>
      <c r="I313" s="442"/>
      <c r="J313" s="442"/>
      <c r="K313" s="775">
        <v>140</v>
      </c>
      <c r="L313" s="776">
        <v>70</v>
      </c>
      <c r="M313" s="443">
        <v>140</v>
      </c>
      <c r="N313" s="443">
        <v>70</v>
      </c>
      <c r="O313" s="443"/>
      <c r="P313" s="776">
        <v>70</v>
      </c>
      <c r="Q313" s="443">
        <v>350</v>
      </c>
      <c r="R313" s="442"/>
      <c r="S313" s="442"/>
      <c r="T313" s="442"/>
      <c r="U313" s="442"/>
      <c r="V313" s="442"/>
      <c r="W313" s="442"/>
      <c r="X313" s="442"/>
      <c r="Y313" s="436">
        <f>IF(NFI_Expiration=1,IF($A313&lt;VLOOKUP(H$5,NFI,5,0),1,0)*Table_NFI[[#This Row],[Hygiene Kit]],Table_NFI[Hygiene Kit])</f>
        <v>0</v>
      </c>
      <c r="Z313" s="436">
        <f>IF(NFI_Expiration=1,IF($A313&lt;VLOOKUP(I$5,NFI,5,0),1,0)*Table_NFI[[#This Row],[NFI Core Kit]],Table_NFI[NFI Core Kit])</f>
        <v>0</v>
      </c>
      <c r="AA313" s="436">
        <f>IF(NFI_Expiration=1,IF($A313&lt;VLOOKUP(J$5,NFI,5,0),1,0)*Table_NFI[[#This Row],[Sanitary Kit]],Table_NFI[Sanitary Kit])</f>
        <v>0</v>
      </c>
      <c r="AB313" s="436">
        <f>IF(NFI_Expiration=1,IF($A313&lt;VLOOKUP(K$5,NFI,5,0),1,0)*Table_NFI[[#This Row],[Mosquito net]],Table_NFI[Mosquito net])</f>
        <v>0</v>
      </c>
      <c r="AC313" s="436">
        <f>IF(NFI_Expiration=1,IF($A313&lt;VLOOKUP(L$5,NFI,5,0),1,0)*Table_NFI[[#This Row],[Tarpaulin]],Table_NFI[[#This Row],[Tarpaulin]])</f>
        <v>0</v>
      </c>
      <c r="AD313" s="436">
        <f>IF(NFI_Expiration=1,IF($A313&lt;VLOOKUP(M$5,NFI,5,0),1,0)*Table_NFI[[#This Row],[Blanket]],Table_NFI[[#This Row],[Blanket]])</f>
        <v>0</v>
      </c>
      <c r="AE313" s="436">
        <f>IF(NFI_Expiration=1,IF($A313&lt;VLOOKUP(N$5,NFI,5,0),1,0)*Table_NFI[[#This Row],[Kitchen Set]],Table_NFI[Kitchen Set])</f>
        <v>0</v>
      </c>
      <c r="AF313" s="436">
        <f>IF(NFI_Expiration=1,IF($A313&lt;VLOOKUP(O$5,NFI,5,0),1,0)*Table_NFI[[#This Row],[Clothes Kit]],Table_NFI[Clothes Kit])</f>
        <v>0</v>
      </c>
      <c r="AG313" s="436">
        <f>IF(NFI_Expiration=1,IF($A313&lt;VLOOKUP(P$5,NFI,5,0),1,0)*Table_NFI[[#This Row],[Plastic Bucket]],Table_NFI[Plastic Bucket])</f>
        <v>0</v>
      </c>
      <c r="AH313" s="436">
        <f>IF(NFI_Expiration=1,IF($A313&lt;VLOOKUP(Q$5,NFI,5,0),1,0)*Table_NFI[[#This Row],[Plastic Mat]],Table_NFI[Plastic Mat])*IF(Table_NFI[[#This Row],[Distribution Date]]&gt;"2014-04-01",1,2.5)</f>
        <v>0</v>
      </c>
      <c r="AI313" s="436">
        <f>IF(NFI_Expiration=1,IF($A313&lt;VLOOKUP(R$5,NFI,5,0),1,0)*Table_NFI[[#This Row],[Winter Clothes Adult]],Table_NFI[Winter Clothes Adult])</f>
        <v>0</v>
      </c>
      <c r="AJ313" s="436">
        <f>IF(NFI_Expiration=1,IF($A313&lt;VLOOKUP(S$5,NFI,5,0),1,0)*Table_NFI[[#This Row],[Winter Clothes Children]],Table_NFI[Winter Clothes Children])</f>
        <v>0</v>
      </c>
      <c r="AK313" s="436">
        <f>IF(NFI_Expiration=1,IF($A313&lt;VLOOKUP(T$5,NFI,5,0),1,0)*Table_NFI[[#This Row],[Winter Items Other]],Table_NFI[Winter Items Other])</f>
        <v>0</v>
      </c>
      <c r="AL313" s="436">
        <f>IF(NFI_Expiration=1,IF($A313&lt;VLOOKUP(M$5,NFI,5,0),1,0)*Table_NFI[[#This Row],[Winter Blanket]],Table_NFI[[#This Row],[Winter Blanket]])</f>
        <v>0</v>
      </c>
      <c r="AM313" s="436">
        <f>IF(Table_NFI[[#This Row],[Winter Clothes Adult]]+Table_NFI[[#This Row],[Winter Clothes Children]]+Table_NFI[[#This Row],[Winter Items Other]]+Table_NFI[[#This Row],[Winter Blanket]]&gt;0,1,0)</f>
        <v>0</v>
      </c>
      <c r="AN313" s="439">
        <f>IF(NFI_Expiration=1,IF($A313&lt;VLOOKUP(V$5,NFI,5,0),1,0)*Table_NFI[[#This Row],[Jerry Can]],Table_NFI[Jerry Can])</f>
        <v>0</v>
      </c>
      <c r="AO313" s="771" t="str">
        <f>IFERROR(VLOOKUP(Table_NFI[[#This Row],[Camp Name]],CL,2,0),"")</f>
        <v>MMR001CMP128</v>
      </c>
      <c r="AP313" s="772">
        <f ca="1">IF(Table_NFI[[#This Row],[Pcode]]="","",IF(OFFSET(CampList[Opening Date],MATCH(Table_NFI[[#This Row],[Pcode]],CampList[CP_Pcode],0)-1,0,1,1)&gt;=NFI_Monitor_Date,1,0))</f>
        <v>0</v>
      </c>
      <c r="AQ313" s="781" t="str">
        <f>IFERROR(VLOOKUP(Table_NFI[[#This Row],[Camp Name]],CL,3,0),"")</f>
        <v>Open</v>
      </c>
      <c r="AR313" s="439" t="str">
        <f ca="1">IF(Table_NFI[[#This Row],[Pcode]]="","",OFFSET(CampList[Priority],MATCH(Table_NFI[[#This Row],[Pcode]],CampList[CP_Pcode],0)-1,0,1,1))</f>
        <v>P2</v>
      </c>
      <c r="AS313" s="438">
        <f>IFERROR(Table_NFI[[#This Row],[Kitchen Set]]/VLOOKUP(Table_NFI[[#This Row],[Camp Name]],CL,4,0),"")</f>
        <v>0.12844036697247707</v>
      </c>
      <c r="AT313" s="769" t="s">
        <v>1099</v>
      </c>
      <c r="AU313" s="773"/>
    </row>
    <row r="314" spans="1:47" s="774" customFormat="1" x14ac:dyDescent="0.25">
      <c r="A314" s="451">
        <f t="shared" si="4"/>
        <v>23.966666666666665</v>
      </c>
      <c r="B314" s="768">
        <v>41651</v>
      </c>
      <c r="C314" s="769" t="s">
        <v>455</v>
      </c>
      <c r="D314" s="769" t="s">
        <v>508</v>
      </c>
      <c r="E314" s="769" t="s">
        <v>380</v>
      </c>
      <c r="F314" s="769" t="s">
        <v>185</v>
      </c>
      <c r="G314" s="769" t="s">
        <v>192</v>
      </c>
      <c r="H314" s="436"/>
      <c r="I314" s="436"/>
      <c r="J314" s="436"/>
      <c r="K314" s="436"/>
      <c r="L314" s="437"/>
      <c r="M314" s="437"/>
      <c r="N314" s="437"/>
      <c r="O314" s="437">
        <v>125</v>
      </c>
      <c r="P314" s="439"/>
      <c r="Q314" s="439"/>
      <c r="R314" s="436"/>
      <c r="S314" s="436"/>
      <c r="T314" s="436"/>
      <c r="U314" s="436"/>
      <c r="V314" s="436"/>
      <c r="W314" s="436"/>
      <c r="X314" s="436"/>
      <c r="Y314" s="436">
        <f>IF(NFI_Expiration=1,IF($A314&lt;VLOOKUP(H$5,NFI,5,0),1,0)*Table_NFI[[#This Row],[Hygiene Kit]],Table_NFI[Hygiene Kit])</f>
        <v>0</v>
      </c>
      <c r="Z314" s="436">
        <f>IF(NFI_Expiration=1,IF($A314&lt;VLOOKUP(I$5,NFI,5,0),1,0)*Table_NFI[[#This Row],[NFI Core Kit]],Table_NFI[NFI Core Kit])</f>
        <v>0</v>
      </c>
      <c r="AA314" s="436">
        <f>IF(NFI_Expiration=1,IF($A314&lt;VLOOKUP(J$5,NFI,5,0),1,0)*Table_NFI[[#This Row],[Sanitary Kit]],Table_NFI[Sanitary Kit])</f>
        <v>0</v>
      </c>
      <c r="AB314" s="436">
        <f>IF(NFI_Expiration=1,IF($A314&lt;VLOOKUP(K$5,NFI,5,0),1,0)*Table_NFI[[#This Row],[Mosquito net]],Table_NFI[Mosquito net])</f>
        <v>0</v>
      </c>
      <c r="AC314" s="436">
        <f>IF(NFI_Expiration=1,IF($A314&lt;VLOOKUP(L$5,NFI,5,0),1,0)*Table_NFI[[#This Row],[Tarpaulin]],Table_NFI[[#This Row],[Tarpaulin]])</f>
        <v>0</v>
      </c>
      <c r="AD314" s="436">
        <f>IF(NFI_Expiration=1,IF($A314&lt;VLOOKUP(M$5,NFI,5,0),1,0)*Table_NFI[[#This Row],[Blanket]],Table_NFI[[#This Row],[Blanket]])</f>
        <v>0</v>
      </c>
      <c r="AE314" s="436">
        <f>IF(NFI_Expiration=1,IF($A314&lt;VLOOKUP(N$5,NFI,5,0),1,0)*Table_NFI[[#This Row],[Kitchen Set]],Table_NFI[Kitchen Set])</f>
        <v>0</v>
      </c>
      <c r="AF314" s="436">
        <f>IF(NFI_Expiration=1,IF($A314&lt;VLOOKUP(O$5,NFI,5,0),1,0)*Table_NFI[[#This Row],[Clothes Kit]],Table_NFI[Clothes Kit])</f>
        <v>0</v>
      </c>
      <c r="AG314" s="436">
        <f>IF(NFI_Expiration=1,IF($A314&lt;VLOOKUP(P$5,NFI,5,0),1,0)*Table_NFI[[#This Row],[Plastic Bucket]],Table_NFI[Plastic Bucket])</f>
        <v>0</v>
      </c>
      <c r="AH314" s="436">
        <f>IF(NFI_Expiration=1,IF($A314&lt;VLOOKUP(Q$5,NFI,5,0),1,0)*Table_NFI[[#This Row],[Plastic Mat]],Table_NFI[Plastic Mat])*IF(Table_NFI[[#This Row],[Distribution Date]]&gt;"2014-04-01",1,2.5)</f>
        <v>0</v>
      </c>
      <c r="AI314" s="436">
        <f>IF(NFI_Expiration=1,IF($A314&lt;VLOOKUP(R$5,NFI,5,0),1,0)*Table_NFI[[#This Row],[Winter Clothes Adult]],Table_NFI[Winter Clothes Adult])</f>
        <v>0</v>
      </c>
      <c r="AJ314" s="436">
        <f>IF(NFI_Expiration=1,IF($A314&lt;VLOOKUP(S$5,NFI,5,0),1,0)*Table_NFI[[#This Row],[Winter Clothes Children]],Table_NFI[Winter Clothes Children])</f>
        <v>0</v>
      </c>
      <c r="AK314" s="436">
        <f>IF(NFI_Expiration=1,IF($A314&lt;VLOOKUP(T$5,NFI,5,0),1,0)*Table_NFI[[#This Row],[Winter Items Other]],Table_NFI[Winter Items Other])</f>
        <v>0</v>
      </c>
      <c r="AL314" s="436">
        <f>IF(NFI_Expiration=1,IF($A314&lt;VLOOKUP(M$5,NFI,5,0),1,0)*Table_NFI[[#This Row],[Winter Blanket]],Table_NFI[[#This Row],[Winter Blanket]])</f>
        <v>0</v>
      </c>
      <c r="AM314" s="436">
        <f>IF(Table_NFI[[#This Row],[Winter Clothes Adult]]+Table_NFI[[#This Row],[Winter Clothes Children]]+Table_NFI[[#This Row],[Winter Items Other]]+Table_NFI[[#This Row],[Winter Blanket]]&gt;0,1,0)</f>
        <v>0</v>
      </c>
      <c r="AN314" s="439">
        <f>IF(NFI_Expiration=1,IF($A314&lt;VLOOKUP(V$5,NFI,5,0),1,0)*Table_NFI[[#This Row],[Jerry Can]],Table_NFI[Jerry Can])</f>
        <v>0</v>
      </c>
      <c r="AO314" s="771" t="str">
        <f>IFERROR(VLOOKUP(Table_NFI[[#This Row],[Camp Name]],CL,2,0),"")</f>
        <v>MMR001CMP123</v>
      </c>
      <c r="AP314" s="772">
        <f ca="1">IF(Table_NFI[[#This Row],[Pcode]]="","",IF(OFFSET(CampList[Opening Date],MATCH(Table_NFI[[#This Row],[Pcode]],CampList[CP_Pcode],0)-1,0,1,1)&gt;=NFI_Monitor_Date,1,0))</f>
        <v>0</v>
      </c>
      <c r="AQ314" s="771" t="str">
        <f>IFERROR(VLOOKUP(Table_NFI[[#This Row],[Camp Name]],CL,3,0),"")</f>
        <v>Open</v>
      </c>
      <c r="AR314" s="436" t="str">
        <f ca="1">IF(Table_NFI[[#This Row],[Pcode]]="","",OFFSET(CampList[Priority],MATCH(Table_NFI[[#This Row],[Pcode]],CampList[CP_Pcode],0)-1,0,1,1))</f>
        <v>P2</v>
      </c>
      <c r="AS314" s="438">
        <f>IFERROR(Table_NFI[[#This Row],[Kitchen Set]]/VLOOKUP(Table_NFI[[#This Row],[Camp Name]],CL,4,0),"")</f>
        <v>0</v>
      </c>
      <c r="AT314" s="769" t="s">
        <v>1099</v>
      </c>
      <c r="AU314" s="773"/>
    </row>
    <row r="315" spans="1:47" s="774" customFormat="1" x14ac:dyDescent="0.25">
      <c r="A315" s="451">
        <f t="shared" si="4"/>
        <v>23.966666666666665</v>
      </c>
      <c r="B315" s="768">
        <v>41651</v>
      </c>
      <c r="C315" s="769" t="s">
        <v>455</v>
      </c>
      <c r="D315" s="769" t="s">
        <v>508</v>
      </c>
      <c r="E315" s="769" t="s">
        <v>380</v>
      </c>
      <c r="F315" s="769" t="s">
        <v>185</v>
      </c>
      <c r="G315" s="769" t="s">
        <v>192</v>
      </c>
      <c r="H315" s="436"/>
      <c r="I315" s="436"/>
      <c r="J315" s="436"/>
      <c r="K315" s="436"/>
      <c r="L315" s="437"/>
      <c r="M315" s="437"/>
      <c r="N315" s="437"/>
      <c r="O315" s="437"/>
      <c r="P315" s="439"/>
      <c r="Q315" s="439"/>
      <c r="R315" s="436">
        <v>393</v>
      </c>
      <c r="S315" s="436">
        <v>232</v>
      </c>
      <c r="T315" s="436"/>
      <c r="U315" s="436"/>
      <c r="V315" s="436"/>
      <c r="W315" s="436"/>
      <c r="X315" s="436"/>
      <c r="Y315" s="436">
        <f>IF(NFI_Expiration=1,IF($A315&lt;VLOOKUP(H$5,NFI,5,0),1,0)*Table_NFI[[#This Row],[Hygiene Kit]],Table_NFI[Hygiene Kit])</f>
        <v>0</v>
      </c>
      <c r="Z315" s="436">
        <f>IF(NFI_Expiration=1,IF($A315&lt;VLOOKUP(I$5,NFI,5,0),1,0)*Table_NFI[[#This Row],[NFI Core Kit]],Table_NFI[NFI Core Kit])</f>
        <v>0</v>
      </c>
      <c r="AA315" s="436">
        <f>IF(NFI_Expiration=1,IF($A315&lt;VLOOKUP(J$5,NFI,5,0),1,0)*Table_NFI[[#This Row],[Sanitary Kit]],Table_NFI[Sanitary Kit])</f>
        <v>0</v>
      </c>
      <c r="AB315" s="436">
        <f>IF(NFI_Expiration=1,IF($A315&lt;VLOOKUP(K$5,NFI,5,0),1,0)*Table_NFI[[#This Row],[Mosquito net]],Table_NFI[Mosquito net])</f>
        <v>0</v>
      </c>
      <c r="AC315" s="436">
        <f>IF(NFI_Expiration=1,IF($A315&lt;VLOOKUP(L$5,NFI,5,0),1,0)*Table_NFI[[#This Row],[Tarpaulin]],Table_NFI[[#This Row],[Tarpaulin]])</f>
        <v>0</v>
      </c>
      <c r="AD315" s="436">
        <f>IF(NFI_Expiration=1,IF($A315&lt;VLOOKUP(M$5,NFI,5,0),1,0)*Table_NFI[[#This Row],[Blanket]],Table_NFI[[#This Row],[Blanket]])</f>
        <v>0</v>
      </c>
      <c r="AE315" s="436">
        <f>IF(NFI_Expiration=1,IF($A315&lt;VLOOKUP(N$5,NFI,5,0),1,0)*Table_NFI[[#This Row],[Kitchen Set]],Table_NFI[Kitchen Set])</f>
        <v>0</v>
      </c>
      <c r="AF315" s="436">
        <f>IF(NFI_Expiration=1,IF($A315&lt;VLOOKUP(O$5,NFI,5,0),1,0)*Table_NFI[[#This Row],[Clothes Kit]],Table_NFI[Clothes Kit])</f>
        <v>0</v>
      </c>
      <c r="AG315" s="436">
        <f>IF(NFI_Expiration=1,IF($A315&lt;VLOOKUP(P$5,NFI,5,0),1,0)*Table_NFI[[#This Row],[Plastic Bucket]],Table_NFI[Plastic Bucket])</f>
        <v>0</v>
      </c>
      <c r="AH315" s="436">
        <f>IF(NFI_Expiration=1,IF($A315&lt;VLOOKUP(Q$5,NFI,5,0),1,0)*Table_NFI[[#This Row],[Plastic Mat]],Table_NFI[Plastic Mat])*IF(Table_NFI[[#This Row],[Distribution Date]]&gt;"2014-04-01",1,2.5)</f>
        <v>0</v>
      </c>
      <c r="AI315" s="436">
        <f>IF(NFI_Expiration=1,IF($A315&lt;VLOOKUP(R$5,NFI,5,0),1,0)*Table_NFI[[#This Row],[Winter Clothes Adult]],Table_NFI[Winter Clothes Adult])</f>
        <v>0</v>
      </c>
      <c r="AJ315" s="436">
        <f>IF(NFI_Expiration=1,IF($A315&lt;VLOOKUP(S$5,NFI,5,0),1,0)*Table_NFI[[#This Row],[Winter Clothes Children]],Table_NFI[Winter Clothes Children])</f>
        <v>0</v>
      </c>
      <c r="AK315" s="436">
        <f>IF(NFI_Expiration=1,IF($A315&lt;VLOOKUP(T$5,NFI,5,0),1,0)*Table_NFI[[#This Row],[Winter Items Other]],Table_NFI[Winter Items Other])</f>
        <v>0</v>
      </c>
      <c r="AL315" s="436">
        <f>IF(NFI_Expiration=1,IF($A315&lt;VLOOKUP(M$5,NFI,5,0),1,0)*Table_NFI[[#This Row],[Winter Blanket]],Table_NFI[[#This Row],[Winter Blanket]])</f>
        <v>0</v>
      </c>
      <c r="AM315" s="436">
        <f>IF(Table_NFI[[#This Row],[Winter Clothes Adult]]+Table_NFI[[#This Row],[Winter Clothes Children]]+Table_NFI[[#This Row],[Winter Items Other]]+Table_NFI[[#This Row],[Winter Blanket]]&gt;0,1,0)</f>
        <v>1</v>
      </c>
      <c r="AN315" s="439">
        <f>IF(NFI_Expiration=1,IF($A315&lt;VLOOKUP(V$5,NFI,5,0),1,0)*Table_NFI[[#This Row],[Jerry Can]],Table_NFI[Jerry Can])</f>
        <v>0</v>
      </c>
      <c r="AO315" s="771" t="str">
        <f>IFERROR(VLOOKUP(Table_NFI[[#This Row],[Camp Name]],CL,2,0),"")</f>
        <v>MMR001CMP123</v>
      </c>
      <c r="AP315" s="772">
        <f ca="1">IF(Table_NFI[[#This Row],[Pcode]]="","",IF(OFFSET(CampList[Opening Date],MATCH(Table_NFI[[#This Row],[Pcode]],CampList[CP_Pcode],0)-1,0,1,1)&gt;=NFI_Monitor_Date,1,0))</f>
        <v>0</v>
      </c>
      <c r="AQ315" s="771" t="str">
        <f>IFERROR(VLOOKUP(Table_NFI[[#This Row],[Camp Name]],CL,3,0),"")</f>
        <v>Open</v>
      </c>
      <c r="AR315" s="436" t="str">
        <f ca="1">IF(Table_NFI[[#This Row],[Pcode]]="","",OFFSET(CampList[Priority],MATCH(Table_NFI[[#This Row],[Pcode]],CampList[CP_Pcode],0)-1,0,1,1))</f>
        <v>P2</v>
      </c>
      <c r="AS315" s="438">
        <f>IFERROR(Table_NFI[[#This Row],[Kitchen Set]]/VLOOKUP(Table_NFI[[#This Row],[Camp Name]],CL,4,0),"")</f>
        <v>0</v>
      </c>
      <c r="AT315" s="769" t="s">
        <v>1099</v>
      </c>
      <c r="AU315" s="773"/>
    </row>
    <row r="316" spans="1:47" s="774" customFormat="1" x14ac:dyDescent="0.25">
      <c r="A316" s="451">
        <f t="shared" si="4"/>
        <v>24</v>
      </c>
      <c r="B316" s="768">
        <v>41650</v>
      </c>
      <c r="C316" s="779" t="s">
        <v>454</v>
      </c>
      <c r="D316" s="779"/>
      <c r="E316" s="779" t="s">
        <v>380</v>
      </c>
      <c r="F316" s="779" t="s">
        <v>5</v>
      </c>
      <c r="G316" s="779" t="s">
        <v>366</v>
      </c>
      <c r="H316" s="437"/>
      <c r="I316" s="437"/>
      <c r="J316" s="437"/>
      <c r="K316" s="437"/>
      <c r="L316" s="437">
        <v>10</v>
      </c>
      <c r="M316" s="437"/>
      <c r="N316" s="437"/>
      <c r="O316" s="437"/>
      <c r="P316" s="439"/>
      <c r="Q316" s="439"/>
      <c r="R316" s="439"/>
      <c r="S316" s="439"/>
      <c r="T316" s="439"/>
      <c r="U316" s="439"/>
      <c r="V316" s="439"/>
      <c r="W316" s="439"/>
      <c r="X316" s="439"/>
      <c r="Y316" s="439">
        <f>IF(NFI_Expiration=1,IF($A316&lt;VLOOKUP(H$5,NFI,5,0),1,0)*Table_NFI[[#This Row],[Hygiene Kit]],Table_NFI[Hygiene Kit])</f>
        <v>0</v>
      </c>
      <c r="Z316" s="439">
        <f>IF(NFI_Expiration=1,IF($A316&lt;VLOOKUP(I$5,NFI,5,0),1,0)*Table_NFI[[#This Row],[NFI Core Kit]],Table_NFI[NFI Core Kit])</f>
        <v>0</v>
      </c>
      <c r="AA316" s="439">
        <f>IF(NFI_Expiration=1,IF($A316&lt;VLOOKUP(J$5,NFI,5,0),1,0)*Table_NFI[[#This Row],[Sanitary Kit]],Table_NFI[Sanitary Kit])</f>
        <v>0</v>
      </c>
      <c r="AB316" s="439">
        <f>IF(NFI_Expiration=1,IF($A316&lt;VLOOKUP(K$5,NFI,5,0),1,0)*Table_NFI[[#This Row],[Mosquito net]],Table_NFI[Mosquito net])</f>
        <v>0</v>
      </c>
      <c r="AC316" s="439">
        <f>IF(NFI_Expiration=1,IF($A316&lt;VLOOKUP(L$5,NFI,5,0),1,0)*Table_NFI[[#This Row],[Tarpaulin]],Table_NFI[[#This Row],[Tarpaulin]])</f>
        <v>0</v>
      </c>
      <c r="AD316" s="439">
        <f>IF(NFI_Expiration=1,IF($A316&lt;VLOOKUP(M$5,NFI,5,0),1,0)*Table_NFI[[#This Row],[Blanket]],Table_NFI[[#This Row],[Blanket]])</f>
        <v>0</v>
      </c>
      <c r="AE316" s="439">
        <f>IF(NFI_Expiration=1,IF($A316&lt;VLOOKUP(N$5,NFI,5,0),1,0)*Table_NFI[[#This Row],[Kitchen Set]],Table_NFI[Kitchen Set])</f>
        <v>0</v>
      </c>
      <c r="AF316" s="439">
        <f>IF(NFI_Expiration=1,IF($A316&lt;VLOOKUP(O$5,NFI,5,0),1,0)*Table_NFI[[#This Row],[Clothes Kit]],Table_NFI[Clothes Kit])</f>
        <v>0</v>
      </c>
      <c r="AG316" s="439">
        <f>IF(NFI_Expiration=1,IF($A316&lt;VLOOKUP(P$5,NFI,5,0),1,0)*Table_NFI[[#This Row],[Plastic Bucket]],Table_NFI[Plastic Bucket])</f>
        <v>0</v>
      </c>
      <c r="AH316" s="439">
        <f>IF(NFI_Expiration=1,IF($A316&lt;VLOOKUP(Q$5,NFI,5,0),1,0)*Table_NFI[[#This Row],[Plastic Mat]],Table_NFI[Plastic Mat])*IF(Table_NFI[[#This Row],[Distribution Date]]&gt;"2014-04-01",1,2.5)</f>
        <v>0</v>
      </c>
      <c r="AI316" s="439">
        <f>IF(NFI_Expiration=1,IF($A316&lt;VLOOKUP(R$5,NFI,5,0),1,0)*Table_NFI[[#This Row],[Winter Clothes Adult]],Table_NFI[Winter Clothes Adult])</f>
        <v>0</v>
      </c>
      <c r="AJ316" s="439">
        <f>IF(NFI_Expiration=1,IF($A316&lt;VLOOKUP(S$5,NFI,5,0),1,0)*Table_NFI[[#This Row],[Winter Clothes Children]],Table_NFI[Winter Clothes Children])</f>
        <v>0</v>
      </c>
      <c r="AK316" s="439">
        <f>IF(NFI_Expiration=1,IF($A316&lt;VLOOKUP(T$5,NFI,5,0),1,0)*Table_NFI[[#This Row],[Winter Items Other]],Table_NFI[Winter Items Other])</f>
        <v>0</v>
      </c>
      <c r="AL316" s="439">
        <f>IF(NFI_Expiration=1,IF($A316&lt;VLOOKUP(M$5,NFI,5,0),1,0)*Table_NFI[[#This Row],[Winter Blanket]],Table_NFI[[#This Row],[Winter Blanket]])</f>
        <v>0</v>
      </c>
      <c r="AM316" s="439">
        <f>IF(Table_NFI[[#This Row],[Winter Clothes Adult]]+Table_NFI[[#This Row],[Winter Clothes Children]]+Table_NFI[[#This Row],[Winter Items Other]]+Table_NFI[[#This Row],[Winter Blanket]]&gt;0,1,0)</f>
        <v>0</v>
      </c>
      <c r="AN316" s="439">
        <f>IF(NFI_Expiration=1,IF($A316&lt;VLOOKUP(V$5,NFI,5,0),1,0)*Table_NFI[[#This Row],[Jerry Can]],Table_NFI[Jerry Can])</f>
        <v>0</v>
      </c>
      <c r="AO316" s="781" t="str">
        <f>IFERROR(VLOOKUP(Table_NFI[[#This Row],[Camp Name]],CL,2,0),"")</f>
        <v>MMR001CMP193</v>
      </c>
      <c r="AP316" s="772">
        <f ca="1">IF(Table_NFI[[#This Row],[Pcode]]="","",IF(OFFSET(CampList[Opening Date],MATCH(Table_NFI[[#This Row],[Pcode]],CampList[CP_Pcode],0)-1,0,1,1)&gt;=NFI_Monitor_Date,1,0))</f>
        <v>0</v>
      </c>
      <c r="AQ316" s="781" t="str">
        <f>IFERROR(VLOOKUP(Table_NFI[[#This Row],[Camp Name]],CL,3,0),"")</f>
        <v>Open</v>
      </c>
      <c r="AR316" s="439" t="str">
        <f ca="1">IF(Table_NFI[[#This Row],[Pcode]]="","",OFFSET(CampList[Priority],MATCH(Table_NFI[[#This Row],[Pcode]],CampList[CP_Pcode],0)-1,0,1,1))</f>
        <v>P4</v>
      </c>
      <c r="AS316" s="438">
        <f>IFERROR(Table_NFI[[#This Row],[Kitchen Set]]/VLOOKUP(Table_NFI[[#This Row],[Camp Name]],CL,4,0),"")</f>
        <v>0</v>
      </c>
      <c r="AT316" s="779"/>
      <c r="AU316" s="782"/>
    </row>
    <row r="317" spans="1:47" s="774" customFormat="1" x14ac:dyDescent="0.25">
      <c r="A317" s="451">
        <f t="shared" si="4"/>
        <v>24.066666666666666</v>
      </c>
      <c r="B317" s="768">
        <v>41648</v>
      </c>
      <c r="C317" s="769" t="s">
        <v>912</v>
      </c>
      <c r="D317" s="769" t="s">
        <v>462</v>
      </c>
      <c r="E317" s="769" t="s">
        <v>380</v>
      </c>
      <c r="F317" s="769" t="s">
        <v>151</v>
      </c>
      <c r="G317" s="769" t="s">
        <v>890</v>
      </c>
      <c r="H317" s="436"/>
      <c r="I317" s="436"/>
      <c r="J317" s="436"/>
      <c r="K317" s="436"/>
      <c r="L317" s="437"/>
      <c r="M317" s="437"/>
      <c r="N317" s="437"/>
      <c r="O317" s="437"/>
      <c r="P317" s="439"/>
      <c r="Q317" s="439"/>
      <c r="R317" s="436">
        <v>142</v>
      </c>
      <c r="S317" s="436">
        <v>284</v>
      </c>
      <c r="T317" s="436">
        <v>852</v>
      </c>
      <c r="U317" s="436">
        <v>426</v>
      </c>
      <c r="V317" s="436"/>
      <c r="W317" s="436"/>
      <c r="X317" s="436"/>
      <c r="Y317" s="436">
        <f>IF(NFI_Expiration=1,IF($A317&lt;VLOOKUP(H$5,NFI,5,0),1,0)*Table_NFI[[#This Row],[Hygiene Kit]],Table_NFI[Hygiene Kit])</f>
        <v>0</v>
      </c>
      <c r="Z317" s="436">
        <f>IF(NFI_Expiration=1,IF($A317&lt;VLOOKUP(I$5,NFI,5,0),1,0)*Table_NFI[[#This Row],[NFI Core Kit]],Table_NFI[NFI Core Kit])</f>
        <v>0</v>
      </c>
      <c r="AA317" s="436">
        <f>IF(NFI_Expiration=1,IF($A317&lt;VLOOKUP(J$5,NFI,5,0),1,0)*Table_NFI[[#This Row],[Sanitary Kit]],Table_NFI[Sanitary Kit])</f>
        <v>0</v>
      </c>
      <c r="AB317" s="436">
        <f>IF(NFI_Expiration=1,IF($A317&lt;VLOOKUP(K$5,NFI,5,0),1,0)*Table_NFI[[#This Row],[Mosquito net]],Table_NFI[Mosquito net])</f>
        <v>0</v>
      </c>
      <c r="AC317" s="436">
        <f>IF(NFI_Expiration=1,IF($A317&lt;VLOOKUP(L$5,NFI,5,0),1,0)*Table_NFI[[#This Row],[Tarpaulin]],Table_NFI[[#This Row],[Tarpaulin]])</f>
        <v>0</v>
      </c>
      <c r="AD317" s="436">
        <f>IF(NFI_Expiration=1,IF($A317&lt;VLOOKUP(M$5,NFI,5,0),1,0)*Table_NFI[[#This Row],[Blanket]],Table_NFI[[#This Row],[Blanket]])</f>
        <v>0</v>
      </c>
      <c r="AE317" s="436">
        <f>IF(NFI_Expiration=1,IF($A317&lt;VLOOKUP(N$5,NFI,5,0),1,0)*Table_NFI[[#This Row],[Kitchen Set]],Table_NFI[Kitchen Set])</f>
        <v>0</v>
      </c>
      <c r="AF317" s="436">
        <f>IF(NFI_Expiration=1,IF($A317&lt;VLOOKUP(O$5,NFI,5,0),1,0)*Table_NFI[[#This Row],[Clothes Kit]],Table_NFI[Clothes Kit])</f>
        <v>0</v>
      </c>
      <c r="AG317" s="436">
        <f>IF(NFI_Expiration=1,IF($A317&lt;VLOOKUP(P$5,NFI,5,0),1,0)*Table_NFI[[#This Row],[Plastic Bucket]],Table_NFI[Plastic Bucket])</f>
        <v>0</v>
      </c>
      <c r="AH317" s="436">
        <f>IF(NFI_Expiration=1,IF($A317&lt;VLOOKUP(Q$5,NFI,5,0),1,0)*Table_NFI[[#This Row],[Plastic Mat]],Table_NFI[Plastic Mat])*IF(Table_NFI[[#This Row],[Distribution Date]]&gt;"2014-04-01",1,2.5)</f>
        <v>0</v>
      </c>
      <c r="AI317" s="436">
        <f>IF(NFI_Expiration=1,IF($A317&lt;VLOOKUP(R$5,NFI,5,0),1,0)*Table_NFI[[#This Row],[Winter Clothes Adult]],Table_NFI[Winter Clothes Adult])</f>
        <v>0</v>
      </c>
      <c r="AJ317" s="436">
        <f>IF(NFI_Expiration=1,IF($A317&lt;VLOOKUP(S$5,NFI,5,0),1,0)*Table_NFI[[#This Row],[Winter Clothes Children]],Table_NFI[Winter Clothes Children])</f>
        <v>0</v>
      </c>
      <c r="AK317" s="436">
        <f>IF(NFI_Expiration=1,IF($A317&lt;VLOOKUP(T$5,NFI,5,0),1,0)*Table_NFI[[#This Row],[Winter Items Other]],Table_NFI[Winter Items Other])</f>
        <v>0</v>
      </c>
      <c r="AL317" s="436">
        <f>IF(NFI_Expiration=1,IF($A317&lt;VLOOKUP(M$5,NFI,5,0),1,0)*Table_NFI[[#This Row],[Winter Blanket]],Table_NFI[[#This Row],[Winter Blanket]])</f>
        <v>0</v>
      </c>
      <c r="AM317" s="436">
        <f>IF(Table_NFI[[#This Row],[Winter Clothes Adult]]+Table_NFI[[#This Row],[Winter Clothes Children]]+Table_NFI[[#This Row],[Winter Items Other]]+Table_NFI[[#This Row],[Winter Blanket]]&gt;0,1,0)</f>
        <v>1</v>
      </c>
      <c r="AN317" s="439">
        <f>IF(NFI_Expiration=1,IF($A317&lt;VLOOKUP(V$5,NFI,5,0),1,0)*Table_NFI[[#This Row],[Jerry Can]],Table_NFI[Jerry Can])</f>
        <v>0</v>
      </c>
      <c r="AO317" s="771" t="str">
        <f>IFERROR(VLOOKUP(Table_NFI[[#This Row],[Camp Name]],CL,2,0),"")</f>
        <v>MMR001CMP217</v>
      </c>
      <c r="AP317" s="772">
        <f ca="1">IF(Table_NFI[[#This Row],[Pcode]]="","",IF(OFFSET(CampList[Opening Date],MATCH(Table_NFI[[#This Row],[Pcode]],CampList[CP_Pcode],0)-1,0,1,1)&gt;=NFI_Monitor_Date,1,0))</f>
        <v>0</v>
      </c>
      <c r="AQ317" s="771" t="str">
        <f>IFERROR(VLOOKUP(Table_NFI[[#This Row],[Camp Name]],CL,3,0),"")</f>
        <v>Closed</v>
      </c>
      <c r="AR317" s="436" t="str">
        <f ca="1">IF(Table_NFI[[#This Row],[Pcode]]="","",OFFSET(CampList[Priority],MATCH(Table_NFI[[#This Row],[Pcode]],CampList[CP_Pcode],0)-1,0,1,1))</f>
        <v/>
      </c>
      <c r="AS317" s="438" t="str">
        <f>IFERROR(Table_NFI[[#This Row],[Kitchen Set]]/VLOOKUP(Table_NFI[[#This Row],[Camp Name]],CL,4,0),"")</f>
        <v/>
      </c>
      <c r="AT317" s="769"/>
      <c r="AU317" s="773"/>
    </row>
    <row r="318" spans="1:47" s="774" customFormat="1" x14ac:dyDescent="0.25">
      <c r="A318" s="451">
        <f t="shared" si="4"/>
        <v>24.133333333333333</v>
      </c>
      <c r="B318" s="768">
        <v>41646</v>
      </c>
      <c r="C318" s="769" t="s">
        <v>454</v>
      </c>
      <c r="D318" s="442" t="s">
        <v>454</v>
      </c>
      <c r="E318" s="769" t="s">
        <v>380</v>
      </c>
      <c r="F318" s="435" t="s">
        <v>5</v>
      </c>
      <c r="G318" s="435" t="s">
        <v>22</v>
      </c>
      <c r="H318" s="442"/>
      <c r="I318" s="442"/>
      <c r="J318" s="442"/>
      <c r="K318" s="775">
        <v>44</v>
      </c>
      <c r="L318" s="776">
        <v>30</v>
      </c>
      <c r="M318" s="443">
        <v>44</v>
      </c>
      <c r="N318" s="443">
        <v>20</v>
      </c>
      <c r="O318" s="443">
        <v>20</v>
      </c>
      <c r="P318" s="776"/>
      <c r="Q318" s="443"/>
      <c r="R318" s="442"/>
      <c r="S318" s="442"/>
      <c r="T318" s="442"/>
      <c r="U318" s="442"/>
      <c r="V318" s="442"/>
      <c r="W318" s="442"/>
      <c r="X318" s="442"/>
      <c r="Y318" s="436">
        <f>IF(NFI_Expiration=1,IF($A318&lt;VLOOKUP(H$5,NFI,5,0),1,0)*Table_NFI[[#This Row],[Hygiene Kit]],Table_NFI[Hygiene Kit])</f>
        <v>0</v>
      </c>
      <c r="Z318" s="436">
        <f>IF(NFI_Expiration=1,IF($A318&lt;VLOOKUP(I$5,NFI,5,0),1,0)*Table_NFI[[#This Row],[NFI Core Kit]],Table_NFI[NFI Core Kit])</f>
        <v>0</v>
      </c>
      <c r="AA318" s="436">
        <f>IF(NFI_Expiration=1,IF($A318&lt;VLOOKUP(J$5,NFI,5,0),1,0)*Table_NFI[[#This Row],[Sanitary Kit]],Table_NFI[Sanitary Kit])</f>
        <v>0</v>
      </c>
      <c r="AB318" s="436">
        <f>IF(NFI_Expiration=1,IF($A318&lt;VLOOKUP(K$5,NFI,5,0),1,0)*Table_NFI[[#This Row],[Mosquito net]],Table_NFI[Mosquito net])</f>
        <v>0</v>
      </c>
      <c r="AC318" s="436">
        <f>IF(NFI_Expiration=1,IF($A318&lt;VLOOKUP(L$5,NFI,5,0),1,0)*Table_NFI[[#This Row],[Tarpaulin]],Table_NFI[[#This Row],[Tarpaulin]])</f>
        <v>0</v>
      </c>
      <c r="AD318" s="436">
        <f>IF(NFI_Expiration=1,IF($A318&lt;VLOOKUP(M$5,NFI,5,0),1,0)*Table_NFI[[#This Row],[Blanket]],Table_NFI[[#This Row],[Blanket]])</f>
        <v>0</v>
      </c>
      <c r="AE318" s="436">
        <f>IF(NFI_Expiration=1,IF($A318&lt;VLOOKUP(N$5,NFI,5,0),1,0)*Table_NFI[[#This Row],[Kitchen Set]],Table_NFI[Kitchen Set])</f>
        <v>0</v>
      </c>
      <c r="AF318" s="436">
        <f>IF(NFI_Expiration=1,IF($A318&lt;VLOOKUP(O$5,NFI,5,0),1,0)*Table_NFI[[#This Row],[Clothes Kit]],Table_NFI[Clothes Kit])</f>
        <v>0</v>
      </c>
      <c r="AG318" s="436">
        <f>IF(NFI_Expiration=1,IF($A318&lt;VLOOKUP(P$5,NFI,5,0),1,0)*Table_NFI[[#This Row],[Plastic Bucket]],Table_NFI[Plastic Bucket])</f>
        <v>0</v>
      </c>
      <c r="AH318" s="436">
        <f>IF(NFI_Expiration=1,IF($A318&lt;VLOOKUP(Q$5,NFI,5,0),1,0)*Table_NFI[[#This Row],[Plastic Mat]],Table_NFI[Plastic Mat])*IF(Table_NFI[[#This Row],[Distribution Date]]&gt;"2014-04-01",1,2.5)</f>
        <v>0</v>
      </c>
      <c r="AI318" s="436">
        <f>IF(NFI_Expiration=1,IF($A318&lt;VLOOKUP(R$5,NFI,5,0),1,0)*Table_NFI[[#This Row],[Winter Clothes Adult]],Table_NFI[Winter Clothes Adult])</f>
        <v>0</v>
      </c>
      <c r="AJ318" s="436">
        <f>IF(NFI_Expiration=1,IF($A318&lt;VLOOKUP(S$5,NFI,5,0),1,0)*Table_NFI[[#This Row],[Winter Clothes Children]],Table_NFI[Winter Clothes Children])</f>
        <v>0</v>
      </c>
      <c r="AK318" s="436">
        <f>IF(NFI_Expiration=1,IF($A318&lt;VLOOKUP(T$5,NFI,5,0),1,0)*Table_NFI[[#This Row],[Winter Items Other]],Table_NFI[Winter Items Other])</f>
        <v>0</v>
      </c>
      <c r="AL318" s="436">
        <f>IF(NFI_Expiration=1,IF($A318&lt;VLOOKUP(M$5,NFI,5,0),1,0)*Table_NFI[[#This Row],[Winter Blanket]],Table_NFI[[#This Row],[Winter Blanket]])</f>
        <v>0</v>
      </c>
      <c r="AM318" s="436">
        <f>IF(Table_NFI[[#This Row],[Winter Clothes Adult]]+Table_NFI[[#This Row],[Winter Clothes Children]]+Table_NFI[[#This Row],[Winter Items Other]]+Table_NFI[[#This Row],[Winter Blanket]]&gt;0,1,0)</f>
        <v>0</v>
      </c>
      <c r="AN318" s="439">
        <f>IF(NFI_Expiration=1,IF($A318&lt;VLOOKUP(V$5,NFI,5,0),1,0)*Table_NFI[[#This Row],[Jerry Can]],Table_NFI[Jerry Can])</f>
        <v>0</v>
      </c>
      <c r="AO318" s="771" t="str">
        <f>IFERROR(VLOOKUP(Table_NFI[[#This Row],[Camp Name]],CL,2,0),"")</f>
        <v>MMR001CMP047</v>
      </c>
      <c r="AP318" s="772">
        <f ca="1">IF(Table_NFI[[#This Row],[Pcode]]="","",IF(OFFSET(CampList[Opening Date],MATCH(Table_NFI[[#This Row],[Pcode]],CampList[CP_Pcode],0)-1,0,1,1)&gt;=NFI_Monitor_Date,1,0))</f>
        <v>0</v>
      </c>
      <c r="AQ318" s="781" t="str">
        <f>IFERROR(VLOOKUP(Table_NFI[[#This Row],[Camp Name]],CL,3,0),"")</f>
        <v>Open</v>
      </c>
      <c r="AR318" s="439" t="str">
        <f ca="1">IF(Table_NFI[[#This Row],[Pcode]]="","",OFFSET(CampList[Priority],MATCH(Table_NFI[[#This Row],[Pcode]],CampList[CP_Pcode],0)-1,0,1,1))</f>
        <v>P4</v>
      </c>
      <c r="AS318" s="438">
        <f>IFERROR(Table_NFI[[#This Row],[Kitchen Set]]/VLOOKUP(Table_NFI[[#This Row],[Camp Name]],CL,4,0),"")</f>
        <v>3.0674846625766871E-2</v>
      </c>
      <c r="AT318" s="769" t="s">
        <v>1099</v>
      </c>
      <c r="AU318" s="773"/>
    </row>
    <row r="319" spans="1:47" s="774" customFormat="1" x14ac:dyDescent="0.25">
      <c r="A319" s="451">
        <f t="shared" si="4"/>
        <v>24.333333333333332</v>
      </c>
      <c r="B319" s="768">
        <v>41640</v>
      </c>
      <c r="C319" s="769" t="s">
        <v>1044</v>
      </c>
      <c r="D319" s="769" t="s">
        <v>907</v>
      </c>
      <c r="E319" s="769" t="s">
        <v>380</v>
      </c>
      <c r="F319" s="769" t="s">
        <v>173</v>
      </c>
      <c r="G319" s="769" t="s">
        <v>176</v>
      </c>
      <c r="H319" s="436"/>
      <c r="I319" s="436"/>
      <c r="J319" s="436"/>
      <c r="K319" s="436"/>
      <c r="L319" s="437"/>
      <c r="M319" s="437"/>
      <c r="N319" s="437">
        <v>14</v>
      </c>
      <c r="O319" s="437"/>
      <c r="P319" s="439"/>
      <c r="Q319" s="439"/>
      <c r="R319" s="436"/>
      <c r="S319" s="436"/>
      <c r="T319" s="436"/>
      <c r="U319" s="436"/>
      <c r="V319" s="436"/>
      <c r="W319" s="436"/>
      <c r="X319" s="436"/>
      <c r="Y319" s="436">
        <f>IF(NFI_Expiration=1,IF($A319&lt;VLOOKUP(H$5,NFI,5,0),1,0)*Table_NFI[[#This Row],[Hygiene Kit]],Table_NFI[Hygiene Kit])</f>
        <v>0</v>
      </c>
      <c r="Z319" s="436">
        <f>IF(NFI_Expiration=1,IF($A319&lt;VLOOKUP(I$5,NFI,5,0),1,0)*Table_NFI[[#This Row],[NFI Core Kit]],Table_NFI[NFI Core Kit])</f>
        <v>0</v>
      </c>
      <c r="AA319" s="436">
        <f>IF(NFI_Expiration=1,IF($A319&lt;VLOOKUP(J$5,NFI,5,0),1,0)*Table_NFI[[#This Row],[Sanitary Kit]],Table_NFI[Sanitary Kit])</f>
        <v>0</v>
      </c>
      <c r="AB319" s="436">
        <f>IF(NFI_Expiration=1,IF($A319&lt;VLOOKUP(K$5,NFI,5,0),1,0)*Table_NFI[[#This Row],[Mosquito net]],Table_NFI[Mosquito net])</f>
        <v>0</v>
      </c>
      <c r="AC319" s="436">
        <f>IF(NFI_Expiration=1,IF($A319&lt;VLOOKUP(L$5,NFI,5,0),1,0)*Table_NFI[[#This Row],[Tarpaulin]],Table_NFI[[#This Row],[Tarpaulin]])</f>
        <v>0</v>
      </c>
      <c r="AD319" s="436">
        <f>IF(NFI_Expiration=1,IF($A319&lt;VLOOKUP(M$5,NFI,5,0),1,0)*Table_NFI[[#This Row],[Blanket]],Table_NFI[[#This Row],[Blanket]])</f>
        <v>0</v>
      </c>
      <c r="AE319" s="436">
        <f>IF(NFI_Expiration=1,IF($A319&lt;VLOOKUP(N$5,NFI,5,0),1,0)*Table_NFI[[#This Row],[Kitchen Set]],Table_NFI[Kitchen Set])</f>
        <v>0</v>
      </c>
      <c r="AF319" s="436">
        <f>IF(NFI_Expiration=1,IF($A319&lt;VLOOKUP(O$5,NFI,5,0),1,0)*Table_NFI[[#This Row],[Clothes Kit]],Table_NFI[Clothes Kit])</f>
        <v>0</v>
      </c>
      <c r="AG319" s="436">
        <f>IF(NFI_Expiration=1,IF($A319&lt;VLOOKUP(P$5,NFI,5,0),1,0)*Table_NFI[[#This Row],[Plastic Bucket]],Table_NFI[Plastic Bucket])</f>
        <v>0</v>
      </c>
      <c r="AH319" s="436">
        <f>IF(NFI_Expiration=1,IF($A319&lt;VLOOKUP(Q$5,NFI,5,0),1,0)*Table_NFI[[#This Row],[Plastic Mat]],Table_NFI[Plastic Mat])*IF(Table_NFI[[#This Row],[Distribution Date]]&gt;"2014-04-01",1,2.5)</f>
        <v>0</v>
      </c>
      <c r="AI319" s="436">
        <f>IF(NFI_Expiration=1,IF($A319&lt;VLOOKUP(R$5,NFI,5,0),1,0)*Table_NFI[[#This Row],[Winter Clothes Adult]],Table_NFI[Winter Clothes Adult])</f>
        <v>0</v>
      </c>
      <c r="AJ319" s="436">
        <f>IF(NFI_Expiration=1,IF($A319&lt;VLOOKUP(S$5,NFI,5,0),1,0)*Table_NFI[[#This Row],[Winter Clothes Children]],Table_NFI[Winter Clothes Children])</f>
        <v>0</v>
      </c>
      <c r="AK319" s="436">
        <f>IF(NFI_Expiration=1,IF($A319&lt;VLOOKUP(T$5,NFI,5,0),1,0)*Table_NFI[[#This Row],[Winter Items Other]],Table_NFI[Winter Items Other])</f>
        <v>0</v>
      </c>
      <c r="AL319" s="436">
        <f>IF(NFI_Expiration=1,IF($A319&lt;VLOOKUP(M$5,NFI,5,0),1,0)*Table_NFI[[#This Row],[Winter Blanket]],Table_NFI[[#This Row],[Winter Blanket]])</f>
        <v>0</v>
      </c>
      <c r="AM319" s="436">
        <f>IF(Table_NFI[[#This Row],[Winter Clothes Adult]]+Table_NFI[[#This Row],[Winter Clothes Children]]+Table_NFI[[#This Row],[Winter Items Other]]+Table_NFI[[#This Row],[Winter Blanket]]&gt;0,1,0)</f>
        <v>0</v>
      </c>
      <c r="AN319" s="439">
        <f>IF(NFI_Expiration=1,IF($A319&lt;VLOOKUP(V$5,NFI,5,0),1,0)*Table_NFI[[#This Row],[Jerry Can]],Table_NFI[Jerry Can])</f>
        <v>0</v>
      </c>
      <c r="AO319" s="771" t="str">
        <f>IFERROR(VLOOKUP(Table_NFI[[#This Row],[Camp Name]],CL,2,0),"")</f>
        <v>MMR001CMP077</v>
      </c>
      <c r="AP319" s="772">
        <f ca="1">IF(Table_NFI[[#This Row],[Pcode]]="","",IF(OFFSET(CampList[Opening Date],MATCH(Table_NFI[[#This Row],[Pcode]],CampList[CP_Pcode],0)-1,0,1,1)&gt;=NFI_Monitor_Date,1,0))</f>
        <v>0</v>
      </c>
      <c r="AQ319" s="771" t="str">
        <f>IFERROR(VLOOKUP(Table_NFI[[#This Row],[Camp Name]],CL,3,0),"")</f>
        <v>Open</v>
      </c>
      <c r="AR319" s="436" t="str">
        <f ca="1">IF(Table_NFI[[#This Row],[Pcode]]="","",OFFSET(CampList[Priority],MATCH(Table_NFI[[#This Row],[Pcode]],CampList[CP_Pcode],0)-1,0,1,1))</f>
        <v>P4</v>
      </c>
      <c r="AS319" s="438">
        <f>IFERROR(Table_NFI[[#This Row],[Kitchen Set]]/VLOOKUP(Table_NFI[[#This Row],[Camp Name]],CL,4,0),"")</f>
        <v>0.77777777777777779</v>
      </c>
      <c r="AT319" s="769" t="s">
        <v>1099</v>
      </c>
      <c r="AU319" s="773"/>
    </row>
    <row r="320" spans="1:47" s="774" customFormat="1" x14ac:dyDescent="0.25">
      <c r="A320" s="451">
        <f t="shared" si="4"/>
        <v>24.333333333333332</v>
      </c>
      <c r="B320" s="768">
        <v>41640</v>
      </c>
      <c r="C320" s="769" t="s">
        <v>1044</v>
      </c>
      <c r="D320" s="769" t="s">
        <v>907</v>
      </c>
      <c r="E320" s="769" t="s">
        <v>380</v>
      </c>
      <c r="F320" s="435" t="s">
        <v>180</v>
      </c>
      <c r="G320" s="769" t="s">
        <v>183</v>
      </c>
      <c r="H320" s="436"/>
      <c r="I320" s="436"/>
      <c r="J320" s="436"/>
      <c r="K320" s="436"/>
      <c r="L320" s="437"/>
      <c r="M320" s="437"/>
      <c r="N320" s="437">
        <v>12</v>
      </c>
      <c r="O320" s="437"/>
      <c r="P320" s="439"/>
      <c r="Q320" s="439"/>
      <c r="R320" s="436"/>
      <c r="S320" s="436"/>
      <c r="T320" s="436"/>
      <c r="U320" s="436"/>
      <c r="V320" s="436"/>
      <c r="W320" s="436"/>
      <c r="X320" s="436"/>
      <c r="Y320" s="436">
        <f>IF(NFI_Expiration=1,IF($A320&lt;VLOOKUP(H$5,NFI,5,0),1,0)*Table_NFI[[#This Row],[Hygiene Kit]],Table_NFI[Hygiene Kit])</f>
        <v>0</v>
      </c>
      <c r="Z320" s="436">
        <f>IF(NFI_Expiration=1,IF($A320&lt;VLOOKUP(I$5,NFI,5,0),1,0)*Table_NFI[[#This Row],[NFI Core Kit]],Table_NFI[NFI Core Kit])</f>
        <v>0</v>
      </c>
      <c r="AA320" s="436">
        <f>IF(NFI_Expiration=1,IF($A320&lt;VLOOKUP(J$5,NFI,5,0),1,0)*Table_NFI[[#This Row],[Sanitary Kit]],Table_NFI[Sanitary Kit])</f>
        <v>0</v>
      </c>
      <c r="AB320" s="436">
        <f>IF(NFI_Expiration=1,IF($A320&lt;VLOOKUP(K$5,NFI,5,0),1,0)*Table_NFI[[#This Row],[Mosquito net]],Table_NFI[Mosquito net])</f>
        <v>0</v>
      </c>
      <c r="AC320" s="436">
        <f>IF(NFI_Expiration=1,IF($A320&lt;VLOOKUP(L$5,NFI,5,0),1,0)*Table_NFI[[#This Row],[Tarpaulin]],Table_NFI[[#This Row],[Tarpaulin]])</f>
        <v>0</v>
      </c>
      <c r="AD320" s="436">
        <f>IF(NFI_Expiration=1,IF($A320&lt;VLOOKUP(M$5,NFI,5,0),1,0)*Table_NFI[[#This Row],[Blanket]],Table_NFI[[#This Row],[Blanket]])</f>
        <v>0</v>
      </c>
      <c r="AE320" s="436">
        <f>IF(NFI_Expiration=1,IF($A320&lt;VLOOKUP(N$5,NFI,5,0),1,0)*Table_NFI[[#This Row],[Kitchen Set]],Table_NFI[Kitchen Set])</f>
        <v>0</v>
      </c>
      <c r="AF320" s="436">
        <f>IF(NFI_Expiration=1,IF($A320&lt;VLOOKUP(O$5,NFI,5,0),1,0)*Table_NFI[[#This Row],[Clothes Kit]],Table_NFI[Clothes Kit])</f>
        <v>0</v>
      </c>
      <c r="AG320" s="436">
        <f>IF(NFI_Expiration=1,IF($A320&lt;VLOOKUP(P$5,NFI,5,0),1,0)*Table_NFI[[#This Row],[Plastic Bucket]],Table_NFI[Plastic Bucket])</f>
        <v>0</v>
      </c>
      <c r="AH320" s="436">
        <f>IF(NFI_Expiration=1,IF($A320&lt;VLOOKUP(Q$5,NFI,5,0),1,0)*Table_NFI[[#This Row],[Plastic Mat]],Table_NFI[Plastic Mat])*IF(Table_NFI[[#This Row],[Distribution Date]]&gt;"2014-04-01",1,2.5)</f>
        <v>0</v>
      </c>
      <c r="AI320" s="436">
        <f>IF(NFI_Expiration=1,IF($A320&lt;VLOOKUP(R$5,NFI,5,0),1,0)*Table_NFI[[#This Row],[Winter Clothes Adult]],Table_NFI[Winter Clothes Adult])</f>
        <v>0</v>
      </c>
      <c r="AJ320" s="436">
        <f>IF(NFI_Expiration=1,IF($A320&lt;VLOOKUP(S$5,NFI,5,0),1,0)*Table_NFI[[#This Row],[Winter Clothes Children]],Table_NFI[Winter Clothes Children])</f>
        <v>0</v>
      </c>
      <c r="AK320" s="436">
        <f>IF(NFI_Expiration=1,IF($A320&lt;VLOOKUP(T$5,NFI,5,0),1,0)*Table_NFI[[#This Row],[Winter Items Other]],Table_NFI[Winter Items Other])</f>
        <v>0</v>
      </c>
      <c r="AL320" s="436">
        <f>IF(NFI_Expiration=1,IF($A320&lt;VLOOKUP(M$5,NFI,5,0),1,0)*Table_NFI[[#This Row],[Winter Blanket]],Table_NFI[[#This Row],[Winter Blanket]])</f>
        <v>0</v>
      </c>
      <c r="AM320" s="436">
        <f>IF(Table_NFI[[#This Row],[Winter Clothes Adult]]+Table_NFI[[#This Row],[Winter Clothes Children]]+Table_NFI[[#This Row],[Winter Items Other]]+Table_NFI[[#This Row],[Winter Blanket]]&gt;0,1,0)</f>
        <v>0</v>
      </c>
      <c r="AN320" s="439">
        <f>IF(NFI_Expiration=1,IF($A320&lt;VLOOKUP(V$5,NFI,5,0),1,0)*Table_NFI[[#This Row],[Jerry Can]],Table_NFI[Jerry Can])</f>
        <v>0</v>
      </c>
      <c r="AO320" s="771" t="str">
        <f>IFERROR(VLOOKUP(Table_NFI[[#This Row],[Camp Name]],CL,2,0),"")</f>
        <v>MMR001CMP081</v>
      </c>
      <c r="AP320" s="772">
        <f ca="1">IF(Table_NFI[[#This Row],[Pcode]]="","",IF(OFFSET(CampList[Opening Date],MATCH(Table_NFI[[#This Row],[Pcode]],CampList[CP_Pcode],0)-1,0,1,1)&gt;=NFI_Monitor_Date,1,0))</f>
        <v>0</v>
      </c>
      <c r="AQ320" s="771" t="str">
        <f>IFERROR(VLOOKUP(Table_NFI[[#This Row],[Camp Name]],CL,3,0),"")</f>
        <v>Closed</v>
      </c>
      <c r="AR320" s="436" t="str">
        <f ca="1">IF(Table_NFI[[#This Row],[Pcode]]="","",OFFSET(CampList[Priority],MATCH(Table_NFI[[#This Row],[Pcode]],CampList[CP_Pcode],0)-1,0,1,1))</f>
        <v>P4</v>
      </c>
      <c r="AS320" s="438" t="str">
        <f>IFERROR(Table_NFI[[#This Row],[Kitchen Set]]/VLOOKUP(Table_NFI[[#This Row],[Camp Name]],CL,4,0),"")</f>
        <v/>
      </c>
      <c r="AT320" s="769" t="s">
        <v>1099</v>
      </c>
      <c r="AU320" s="773"/>
    </row>
    <row r="321" spans="1:47" s="774" customFormat="1" x14ac:dyDescent="0.25">
      <c r="A321" s="451">
        <f t="shared" si="4"/>
        <v>24.333333333333332</v>
      </c>
      <c r="B321" s="768">
        <v>41640</v>
      </c>
      <c r="C321" s="769" t="s">
        <v>1044</v>
      </c>
      <c r="D321" s="769" t="s">
        <v>907</v>
      </c>
      <c r="E321" s="769" t="s">
        <v>380</v>
      </c>
      <c r="F321" s="769" t="s">
        <v>173</v>
      </c>
      <c r="G321" s="769" t="s">
        <v>178</v>
      </c>
      <c r="H321" s="436"/>
      <c r="I321" s="436"/>
      <c r="J321" s="436"/>
      <c r="K321" s="436"/>
      <c r="L321" s="437"/>
      <c r="M321" s="437"/>
      <c r="N321" s="437">
        <v>13</v>
      </c>
      <c r="O321" s="437"/>
      <c r="P321" s="439"/>
      <c r="Q321" s="439"/>
      <c r="R321" s="436"/>
      <c r="S321" s="436"/>
      <c r="T321" s="436"/>
      <c r="U321" s="436"/>
      <c r="V321" s="436"/>
      <c r="W321" s="436"/>
      <c r="X321" s="436"/>
      <c r="Y321" s="436">
        <f>IF(NFI_Expiration=1,IF($A321&lt;VLOOKUP(H$5,NFI,5,0),1,0)*Table_NFI[[#This Row],[Hygiene Kit]],Table_NFI[Hygiene Kit])</f>
        <v>0</v>
      </c>
      <c r="Z321" s="436">
        <f>IF(NFI_Expiration=1,IF($A321&lt;VLOOKUP(I$5,NFI,5,0),1,0)*Table_NFI[[#This Row],[NFI Core Kit]],Table_NFI[NFI Core Kit])</f>
        <v>0</v>
      </c>
      <c r="AA321" s="436">
        <f>IF(NFI_Expiration=1,IF($A321&lt;VLOOKUP(J$5,NFI,5,0),1,0)*Table_NFI[[#This Row],[Sanitary Kit]],Table_NFI[Sanitary Kit])</f>
        <v>0</v>
      </c>
      <c r="AB321" s="436">
        <f>IF(NFI_Expiration=1,IF($A321&lt;VLOOKUP(K$5,NFI,5,0),1,0)*Table_NFI[[#This Row],[Mosquito net]],Table_NFI[Mosquito net])</f>
        <v>0</v>
      </c>
      <c r="AC321" s="436">
        <f>IF(NFI_Expiration=1,IF($A321&lt;VLOOKUP(L$5,NFI,5,0),1,0)*Table_NFI[[#This Row],[Tarpaulin]],Table_NFI[[#This Row],[Tarpaulin]])</f>
        <v>0</v>
      </c>
      <c r="AD321" s="436">
        <f>IF(NFI_Expiration=1,IF($A321&lt;VLOOKUP(M$5,NFI,5,0),1,0)*Table_NFI[[#This Row],[Blanket]],Table_NFI[[#This Row],[Blanket]])</f>
        <v>0</v>
      </c>
      <c r="AE321" s="436">
        <f>IF(NFI_Expiration=1,IF($A321&lt;VLOOKUP(N$5,NFI,5,0),1,0)*Table_NFI[[#This Row],[Kitchen Set]],Table_NFI[Kitchen Set])</f>
        <v>0</v>
      </c>
      <c r="AF321" s="436">
        <f>IF(NFI_Expiration=1,IF($A321&lt;VLOOKUP(O$5,NFI,5,0),1,0)*Table_NFI[[#This Row],[Clothes Kit]],Table_NFI[Clothes Kit])</f>
        <v>0</v>
      </c>
      <c r="AG321" s="436">
        <f>IF(NFI_Expiration=1,IF($A321&lt;VLOOKUP(P$5,NFI,5,0),1,0)*Table_NFI[[#This Row],[Plastic Bucket]],Table_NFI[Plastic Bucket])</f>
        <v>0</v>
      </c>
      <c r="AH321" s="436">
        <f>IF(NFI_Expiration=1,IF($A321&lt;VLOOKUP(Q$5,NFI,5,0),1,0)*Table_NFI[[#This Row],[Plastic Mat]],Table_NFI[Plastic Mat])*IF(Table_NFI[[#This Row],[Distribution Date]]&gt;"2014-04-01",1,2.5)</f>
        <v>0</v>
      </c>
      <c r="AI321" s="436">
        <f>IF(NFI_Expiration=1,IF($A321&lt;VLOOKUP(R$5,NFI,5,0),1,0)*Table_NFI[[#This Row],[Winter Clothes Adult]],Table_NFI[Winter Clothes Adult])</f>
        <v>0</v>
      </c>
      <c r="AJ321" s="436">
        <f>IF(NFI_Expiration=1,IF($A321&lt;VLOOKUP(S$5,NFI,5,0),1,0)*Table_NFI[[#This Row],[Winter Clothes Children]],Table_NFI[Winter Clothes Children])</f>
        <v>0</v>
      </c>
      <c r="AK321" s="436">
        <f>IF(NFI_Expiration=1,IF($A321&lt;VLOOKUP(T$5,NFI,5,0),1,0)*Table_NFI[[#This Row],[Winter Items Other]],Table_NFI[Winter Items Other])</f>
        <v>0</v>
      </c>
      <c r="AL321" s="436">
        <f>IF(NFI_Expiration=1,IF($A321&lt;VLOOKUP(M$5,NFI,5,0),1,0)*Table_NFI[[#This Row],[Winter Blanket]],Table_NFI[[#This Row],[Winter Blanket]])</f>
        <v>0</v>
      </c>
      <c r="AM321" s="436">
        <f>IF(Table_NFI[[#This Row],[Winter Clothes Adult]]+Table_NFI[[#This Row],[Winter Clothes Children]]+Table_NFI[[#This Row],[Winter Items Other]]+Table_NFI[[#This Row],[Winter Blanket]]&gt;0,1,0)</f>
        <v>0</v>
      </c>
      <c r="AN321" s="439">
        <f>IF(NFI_Expiration=1,IF($A321&lt;VLOOKUP(V$5,NFI,5,0),1,0)*Table_NFI[[#This Row],[Jerry Can]],Table_NFI[Jerry Can])</f>
        <v>0</v>
      </c>
      <c r="AO321" s="771" t="str">
        <f>IFERROR(VLOOKUP(Table_NFI[[#This Row],[Camp Name]],CL,2,0),"")</f>
        <v>MMR001CMP079</v>
      </c>
      <c r="AP321" s="772">
        <f ca="1">IF(Table_NFI[[#This Row],[Pcode]]="","",IF(OFFSET(CampList[Opening Date],MATCH(Table_NFI[[#This Row],[Pcode]],CampList[CP_Pcode],0)-1,0,1,1)&gt;=NFI_Monitor_Date,1,0))</f>
        <v>0</v>
      </c>
      <c r="AQ321" s="771" t="str">
        <f>IFERROR(VLOOKUP(Table_NFI[[#This Row],[Camp Name]],CL,3,0),"")</f>
        <v>Open</v>
      </c>
      <c r="AR321" s="436" t="str">
        <f ca="1">IF(Table_NFI[[#This Row],[Pcode]]="","",OFFSET(CampList[Priority],MATCH(Table_NFI[[#This Row],[Pcode]],CampList[CP_Pcode],0)-1,0,1,1))</f>
        <v>P4</v>
      </c>
      <c r="AS321" s="438">
        <f>IFERROR(Table_NFI[[#This Row],[Kitchen Set]]/VLOOKUP(Table_NFI[[#This Row],[Camp Name]],CL,4,0),"")</f>
        <v>0.9285714285714286</v>
      </c>
      <c r="AT321" s="769" t="s">
        <v>1099</v>
      </c>
      <c r="AU321" s="773"/>
    </row>
    <row r="322" spans="1:47" s="774" customFormat="1" x14ac:dyDescent="0.25">
      <c r="A322" s="451">
        <f t="shared" si="4"/>
        <v>24.333333333333332</v>
      </c>
      <c r="B322" s="768">
        <v>41640</v>
      </c>
      <c r="C322" s="769" t="s">
        <v>1044</v>
      </c>
      <c r="D322" s="769" t="s">
        <v>907</v>
      </c>
      <c r="E322" s="769" t="s">
        <v>380</v>
      </c>
      <c r="F322" s="769" t="s">
        <v>27</v>
      </c>
      <c r="G322" s="769" t="s">
        <v>870</v>
      </c>
      <c r="H322" s="436"/>
      <c r="I322" s="436"/>
      <c r="J322" s="436"/>
      <c r="K322" s="436"/>
      <c r="L322" s="437"/>
      <c r="M322" s="437"/>
      <c r="N322" s="437">
        <v>92</v>
      </c>
      <c r="O322" s="437"/>
      <c r="P322" s="439"/>
      <c r="Q322" s="439"/>
      <c r="R322" s="436"/>
      <c r="S322" s="436"/>
      <c r="T322" s="436"/>
      <c r="U322" s="436"/>
      <c r="V322" s="436"/>
      <c r="W322" s="436"/>
      <c r="X322" s="436"/>
      <c r="Y322" s="436">
        <f>IF(NFI_Expiration=1,IF($A322&lt;VLOOKUP(H$5,NFI,5,0),1,0)*Table_NFI[[#This Row],[Hygiene Kit]],Table_NFI[Hygiene Kit])</f>
        <v>0</v>
      </c>
      <c r="Z322" s="436">
        <f>IF(NFI_Expiration=1,IF($A322&lt;VLOOKUP(I$5,NFI,5,0),1,0)*Table_NFI[[#This Row],[NFI Core Kit]],Table_NFI[NFI Core Kit])</f>
        <v>0</v>
      </c>
      <c r="AA322" s="436">
        <f>IF(NFI_Expiration=1,IF($A322&lt;VLOOKUP(J$5,NFI,5,0),1,0)*Table_NFI[[#This Row],[Sanitary Kit]],Table_NFI[Sanitary Kit])</f>
        <v>0</v>
      </c>
      <c r="AB322" s="436">
        <f>IF(NFI_Expiration=1,IF($A322&lt;VLOOKUP(K$5,NFI,5,0),1,0)*Table_NFI[[#This Row],[Mosquito net]],Table_NFI[Mosquito net])</f>
        <v>0</v>
      </c>
      <c r="AC322" s="436">
        <f>IF(NFI_Expiration=1,IF($A322&lt;VLOOKUP(L$5,NFI,5,0),1,0)*Table_NFI[[#This Row],[Tarpaulin]],Table_NFI[[#This Row],[Tarpaulin]])</f>
        <v>0</v>
      </c>
      <c r="AD322" s="436">
        <f>IF(NFI_Expiration=1,IF($A322&lt;VLOOKUP(M$5,NFI,5,0),1,0)*Table_NFI[[#This Row],[Blanket]],Table_NFI[[#This Row],[Blanket]])</f>
        <v>0</v>
      </c>
      <c r="AE322" s="436">
        <f>IF(NFI_Expiration=1,IF($A322&lt;VLOOKUP(N$5,NFI,5,0),1,0)*Table_NFI[[#This Row],[Kitchen Set]],Table_NFI[Kitchen Set])</f>
        <v>0</v>
      </c>
      <c r="AF322" s="436">
        <f>IF(NFI_Expiration=1,IF($A322&lt;VLOOKUP(O$5,NFI,5,0),1,0)*Table_NFI[[#This Row],[Clothes Kit]],Table_NFI[Clothes Kit])</f>
        <v>0</v>
      </c>
      <c r="AG322" s="436">
        <f>IF(NFI_Expiration=1,IF($A322&lt;VLOOKUP(P$5,NFI,5,0),1,0)*Table_NFI[[#This Row],[Plastic Bucket]],Table_NFI[Plastic Bucket])</f>
        <v>0</v>
      </c>
      <c r="AH322" s="436">
        <f>IF(NFI_Expiration=1,IF($A322&lt;VLOOKUP(Q$5,NFI,5,0),1,0)*Table_NFI[[#This Row],[Plastic Mat]],Table_NFI[Plastic Mat])*IF(Table_NFI[[#This Row],[Distribution Date]]&gt;"2014-04-01",1,2.5)</f>
        <v>0</v>
      </c>
      <c r="AI322" s="436">
        <f>IF(NFI_Expiration=1,IF($A322&lt;VLOOKUP(R$5,NFI,5,0),1,0)*Table_NFI[[#This Row],[Winter Clothes Adult]],Table_NFI[Winter Clothes Adult])</f>
        <v>0</v>
      </c>
      <c r="AJ322" s="436">
        <f>IF(NFI_Expiration=1,IF($A322&lt;VLOOKUP(S$5,NFI,5,0),1,0)*Table_NFI[[#This Row],[Winter Clothes Children]],Table_NFI[Winter Clothes Children])</f>
        <v>0</v>
      </c>
      <c r="AK322" s="436">
        <f>IF(NFI_Expiration=1,IF($A322&lt;VLOOKUP(T$5,NFI,5,0),1,0)*Table_NFI[[#This Row],[Winter Items Other]],Table_NFI[Winter Items Other])</f>
        <v>0</v>
      </c>
      <c r="AL322" s="436">
        <f>IF(NFI_Expiration=1,IF($A322&lt;VLOOKUP(M$5,NFI,5,0),1,0)*Table_NFI[[#This Row],[Winter Blanket]],Table_NFI[[#This Row],[Winter Blanket]])</f>
        <v>0</v>
      </c>
      <c r="AM322" s="436">
        <f>IF(Table_NFI[[#This Row],[Winter Clothes Adult]]+Table_NFI[[#This Row],[Winter Clothes Children]]+Table_NFI[[#This Row],[Winter Items Other]]+Table_NFI[[#This Row],[Winter Blanket]]&gt;0,1,0)</f>
        <v>0</v>
      </c>
      <c r="AN322" s="439">
        <f>IF(NFI_Expiration=1,IF($A322&lt;VLOOKUP(V$5,NFI,5,0),1,0)*Table_NFI[[#This Row],[Jerry Can]],Table_NFI[Jerry Can])</f>
        <v>0</v>
      </c>
      <c r="AO322" s="771" t="str">
        <f>IFERROR(VLOOKUP(Table_NFI[[#This Row],[Camp Name]],CL,2,0),"")</f>
        <v>MMR001CMP210</v>
      </c>
      <c r="AP322" s="772">
        <f ca="1">IF(Table_NFI[[#This Row],[Pcode]]="","",IF(OFFSET(CampList[Opening Date],MATCH(Table_NFI[[#This Row],[Pcode]],CampList[CP_Pcode],0)-1,0,1,1)&gt;=NFI_Monitor_Date,1,0))</f>
        <v>0</v>
      </c>
      <c r="AQ322" s="771" t="str">
        <f>IFERROR(VLOOKUP(Table_NFI[[#This Row],[Camp Name]],CL,3,0),"")</f>
        <v>Open</v>
      </c>
      <c r="AR322" s="436" t="str">
        <f ca="1">IF(Table_NFI[[#This Row],[Pcode]]="","",OFFSET(CampList[Priority],MATCH(Table_NFI[[#This Row],[Pcode]],CampList[CP_Pcode],0)-1,0,1,1))</f>
        <v>P1</v>
      </c>
      <c r="AS322" s="438">
        <f>IFERROR(Table_NFI[[#This Row],[Kitchen Set]]/VLOOKUP(Table_NFI[[#This Row],[Camp Name]],CL,4,0),"")</f>
        <v>1.4153846153846155</v>
      </c>
      <c r="AT322" s="769" t="s">
        <v>1099</v>
      </c>
      <c r="AU322" s="773"/>
    </row>
    <row r="323" spans="1:47" s="774" customFormat="1" x14ac:dyDescent="0.25">
      <c r="A323" s="451">
        <f t="shared" si="4"/>
        <v>24.633333333333333</v>
      </c>
      <c r="B323" s="768">
        <v>41631</v>
      </c>
      <c r="C323" s="769" t="s">
        <v>454</v>
      </c>
      <c r="D323" s="442" t="s">
        <v>454</v>
      </c>
      <c r="E323" s="769" t="s">
        <v>380</v>
      </c>
      <c r="F323" s="435" t="s">
        <v>5</v>
      </c>
      <c r="G323" s="435" t="s">
        <v>6</v>
      </c>
      <c r="H323" s="442"/>
      <c r="I323" s="442"/>
      <c r="J323" s="442">
        <v>10</v>
      </c>
      <c r="K323" s="775">
        <v>10</v>
      </c>
      <c r="L323" s="776">
        <v>7</v>
      </c>
      <c r="M323" s="443">
        <v>10</v>
      </c>
      <c r="N323" s="443">
        <v>7</v>
      </c>
      <c r="O323" s="443">
        <v>7</v>
      </c>
      <c r="P323" s="776"/>
      <c r="Q323" s="443"/>
      <c r="R323" s="442"/>
      <c r="S323" s="442"/>
      <c r="T323" s="442"/>
      <c r="U323" s="442"/>
      <c r="V323" s="442"/>
      <c r="W323" s="442"/>
      <c r="X323" s="442"/>
      <c r="Y323" s="436">
        <f>IF(NFI_Expiration=1,IF($A323&lt;VLOOKUP(H$5,NFI,5,0),1,0)*Table_NFI[[#This Row],[Hygiene Kit]],Table_NFI[Hygiene Kit])</f>
        <v>0</v>
      </c>
      <c r="Z323" s="436">
        <f>IF(NFI_Expiration=1,IF($A323&lt;VLOOKUP(I$5,NFI,5,0),1,0)*Table_NFI[[#This Row],[NFI Core Kit]],Table_NFI[NFI Core Kit])</f>
        <v>0</v>
      </c>
      <c r="AA323" s="436">
        <f>IF(NFI_Expiration=1,IF($A323&lt;VLOOKUP(J$5,NFI,5,0),1,0)*Table_NFI[[#This Row],[Sanitary Kit]],Table_NFI[Sanitary Kit])</f>
        <v>0</v>
      </c>
      <c r="AB323" s="436">
        <f>IF(NFI_Expiration=1,IF($A323&lt;VLOOKUP(K$5,NFI,5,0),1,0)*Table_NFI[[#This Row],[Mosquito net]],Table_NFI[Mosquito net])</f>
        <v>0</v>
      </c>
      <c r="AC323" s="436">
        <f>IF(NFI_Expiration=1,IF($A323&lt;VLOOKUP(L$5,NFI,5,0),1,0)*Table_NFI[[#This Row],[Tarpaulin]],Table_NFI[[#This Row],[Tarpaulin]])</f>
        <v>0</v>
      </c>
      <c r="AD323" s="436">
        <f>IF(NFI_Expiration=1,IF($A323&lt;VLOOKUP(M$5,NFI,5,0),1,0)*Table_NFI[[#This Row],[Blanket]],Table_NFI[[#This Row],[Blanket]])</f>
        <v>0</v>
      </c>
      <c r="AE323" s="436">
        <f>IF(NFI_Expiration=1,IF($A323&lt;VLOOKUP(N$5,NFI,5,0),1,0)*Table_NFI[[#This Row],[Kitchen Set]],Table_NFI[Kitchen Set])</f>
        <v>0</v>
      </c>
      <c r="AF323" s="436">
        <f>IF(NFI_Expiration=1,IF($A323&lt;VLOOKUP(O$5,NFI,5,0),1,0)*Table_NFI[[#This Row],[Clothes Kit]],Table_NFI[Clothes Kit])</f>
        <v>0</v>
      </c>
      <c r="AG323" s="436">
        <f>IF(NFI_Expiration=1,IF($A323&lt;VLOOKUP(P$5,NFI,5,0),1,0)*Table_NFI[[#This Row],[Plastic Bucket]],Table_NFI[Plastic Bucket])</f>
        <v>0</v>
      </c>
      <c r="AH323" s="436">
        <f>IF(NFI_Expiration=1,IF($A323&lt;VLOOKUP(Q$5,NFI,5,0),1,0)*Table_NFI[[#This Row],[Plastic Mat]],Table_NFI[Plastic Mat])*IF(Table_NFI[[#This Row],[Distribution Date]]&gt;"2014-04-01",1,2.5)</f>
        <v>0</v>
      </c>
      <c r="AI323" s="436">
        <f>IF(NFI_Expiration=1,IF($A323&lt;VLOOKUP(R$5,NFI,5,0),1,0)*Table_NFI[[#This Row],[Winter Clothes Adult]],Table_NFI[Winter Clothes Adult])</f>
        <v>0</v>
      </c>
      <c r="AJ323" s="436">
        <f>IF(NFI_Expiration=1,IF($A323&lt;VLOOKUP(S$5,NFI,5,0),1,0)*Table_NFI[[#This Row],[Winter Clothes Children]],Table_NFI[Winter Clothes Children])</f>
        <v>0</v>
      </c>
      <c r="AK323" s="436">
        <f>IF(NFI_Expiration=1,IF($A323&lt;VLOOKUP(T$5,NFI,5,0),1,0)*Table_NFI[[#This Row],[Winter Items Other]],Table_NFI[Winter Items Other])</f>
        <v>0</v>
      </c>
      <c r="AL323" s="436">
        <f>IF(NFI_Expiration=1,IF($A323&lt;VLOOKUP(M$5,NFI,5,0),1,0)*Table_NFI[[#This Row],[Winter Blanket]],Table_NFI[[#This Row],[Winter Blanket]])</f>
        <v>0</v>
      </c>
      <c r="AM323" s="436">
        <f>IF(Table_NFI[[#This Row],[Winter Clothes Adult]]+Table_NFI[[#This Row],[Winter Clothes Children]]+Table_NFI[[#This Row],[Winter Items Other]]+Table_NFI[[#This Row],[Winter Blanket]]&gt;0,1,0)</f>
        <v>0</v>
      </c>
      <c r="AN323" s="439">
        <f>IF(NFI_Expiration=1,IF($A323&lt;VLOOKUP(V$5,NFI,5,0),1,0)*Table_NFI[[#This Row],[Jerry Can]],Table_NFI[Jerry Can])</f>
        <v>0</v>
      </c>
      <c r="AO323" s="771" t="str">
        <f>IFERROR(VLOOKUP(Table_NFI[[#This Row],[Camp Name]],CL,2,0),"")</f>
        <v>MMR001CMP050</v>
      </c>
      <c r="AP323" s="772">
        <f ca="1">IF(Table_NFI[[#This Row],[Pcode]]="","",IF(OFFSET(CampList[Opening Date],MATCH(Table_NFI[[#This Row],[Pcode]],CampList[CP_Pcode],0)-1,0,1,1)&gt;=NFI_Monitor_Date,1,0))</f>
        <v>0</v>
      </c>
      <c r="AQ323" s="781" t="str">
        <f>IFERROR(VLOOKUP(Table_NFI[[#This Row],[Camp Name]],CL,3,0),"")</f>
        <v>Open</v>
      </c>
      <c r="AR323" s="439" t="str">
        <f ca="1">IF(Table_NFI[[#This Row],[Pcode]]="","",OFFSET(CampList[Priority],MATCH(Table_NFI[[#This Row],[Pcode]],CampList[CP_Pcode],0)-1,0,1,1))</f>
        <v>P4</v>
      </c>
      <c r="AS323" s="438">
        <f>IFERROR(Table_NFI[[#This Row],[Kitchen Set]]/VLOOKUP(Table_NFI[[#This Row],[Camp Name]],CL,4,0),"")</f>
        <v>2.5547445255474453E-2</v>
      </c>
      <c r="AT323" s="769" t="s">
        <v>1099</v>
      </c>
      <c r="AU323" s="773"/>
    </row>
    <row r="324" spans="1:47" s="774" customFormat="1" x14ac:dyDescent="0.25">
      <c r="A324" s="451">
        <f t="shared" si="4"/>
        <v>24.633333333333333</v>
      </c>
      <c r="B324" s="768">
        <v>41631</v>
      </c>
      <c r="C324" s="769" t="s">
        <v>912</v>
      </c>
      <c r="D324" s="769" t="s">
        <v>462</v>
      </c>
      <c r="E324" s="769" t="s">
        <v>380</v>
      </c>
      <c r="F324" s="769" t="s">
        <v>310</v>
      </c>
      <c r="G324" s="769" t="s">
        <v>818</v>
      </c>
      <c r="H324" s="436"/>
      <c r="I324" s="436"/>
      <c r="J324" s="436"/>
      <c r="K324" s="436"/>
      <c r="L324" s="437"/>
      <c r="M324" s="437"/>
      <c r="N324" s="437"/>
      <c r="O324" s="437"/>
      <c r="P324" s="439"/>
      <c r="Q324" s="439"/>
      <c r="R324" s="436">
        <v>2</v>
      </c>
      <c r="S324" s="436">
        <v>111</v>
      </c>
      <c r="T324" s="436">
        <v>226</v>
      </c>
      <c r="U324" s="436">
        <v>113</v>
      </c>
      <c r="V324" s="436"/>
      <c r="W324" s="436"/>
      <c r="X324" s="436"/>
      <c r="Y324" s="436">
        <f>IF(NFI_Expiration=1,IF($A324&lt;VLOOKUP(H$5,NFI,5,0),1,0)*Table_NFI[[#This Row],[Hygiene Kit]],Table_NFI[Hygiene Kit])</f>
        <v>0</v>
      </c>
      <c r="Z324" s="436">
        <f>IF(NFI_Expiration=1,IF($A324&lt;VLOOKUP(I$5,NFI,5,0),1,0)*Table_NFI[[#This Row],[NFI Core Kit]],Table_NFI[NFI Core Kit])</f>
        <v>0</v>
      </c>
      <c r="AA324" s="436">
        <f>IF(NFI_Expiration=1,IF($A324&lt;VLOOKUP(J$5,NFI,5,0),1,0)*Table_NFI[[#This Row],[Sanitary Kit]],Table_NFI[Sanitary Kit])</f>
        <v>0</v>
      </c>
      <c r="AB324" s="436">
        <f>IF(NFI_Expiration=1,IF($A324&lt;VLOOKUP(K$5,NFI,5,0),1,0)*Table_NFI[[#This Row],[Mosquito net]],Table_NFI[Mosquito net])</f>
        <v>0</v>
      </c>
      <c r="AC324" s="436">
        <f>IF(NFI_Expiration=1,IF($A324&lt;VLOOKUP(L$5,NFI,5,0),1,0)*Table_NFI[[#This Row],[Tarpaulin]],Table_NFI[[#This Row],[Tarpaulin]])</f>
        <v>0</v>
      </c>
      <c r="AD324" s="436">
        <f>IF(NFI_Expiration=1,IF($A324&lt;VLOOKUP(M$5,NFI,5,0),1,0)*Table_NFI[[#This Row],[Blanket]],Table_NFI[[#This Row],[Blanket]])</f>
        <v>0</v>
      </c>
      <c r="AE324" s="436">
        <f>IF(NFI_Expiration=1,IF($A324&lt;VLOOKUP(N$5,NFI,5,0),1,0)*Table_NFI[[#This Row],[Kitchen Set]],Table_NFI[Kitchen Set])</f>
        <v>0</v>
      </c>
      <c r="AF324" s="436">
        <f>IF(NFI_Expiration=1,IF($A324&lt;VLOOKUP(O$5,NFI,5,0),1,0)*Table_NFI[[#This Row],[Clothes Kit]],Table_NFI[Clothes Kit])</f>
        <v>0</v>
      </c>
      <c r="AG324" s="436">
        <f>IF(NFI_Expiration=1,IF($A324&lt;VLOOKUP(P$5,NFI,5,0),1,0)*Table_NFI[[#This Row],[Plastic Bucket]],Table_NFI[Plastic Bucket])</f>
        <v>0</v>
      </c>
      <c r="AH324" s="436">
        <f>IF(NFI_Expiration=1,IF($A324&lt;VLOOKUP(Q$5,NFI,5,0),1,0)*Table_NFI[[#This Row],[Plastic Mat]],Table_NFI[Plastic Mat])*IF(Table_NFI[[#This Row],[Distribution Date]]&gt;"2014-04-01",1,2.5)</f>
        <v>0</v>
      </c>
      <c r="AI324" s="436">
        <f>IF(NFI_Expiration=1,IF($A324&lt;VLOOKUP(R$5,NFI,5,0),1,0)*Table_NFI[[#This Row],[Winter Clothes Adult]],Table_NFI[Winter Clothes Adult])</f>
        <v>0</v>
      </c>
      <c r="AJ324" s="436">
        <f>IF(NFI_Expiration=1,IF($A324&lt;VLOOKUP(S$5,NFI,5,0),1,0)*Table_NFI[[#This Row],[Winter Clothes Children]],Table_NFI[Winter Clothes Children])</f>
        <v>0</v>
      </c>
      <c r="AK324" s="436">
        <f>IF(NFI_Expiration=1,IF($A324&lt;VLOOKUP(T$5,NFI,5,0),1,0)*Table_NFI[[#This Row],[Winter Items Other]],Table_NFI[Winter Items Other])</f>
        <v>0</v>
      </c>
      <c r="AL324" s="436">
        <f>IF(NFI_Expiration=1,IF($A324&lt;VLOOKUP(M$5,NFI,5,0),1,0)*Table_NFI[[#This Row],[Winter Blanket]],Table_NFI[[#This Row],[Winter Blanket]])</f>
        <v>0</v>
      </c>
      <c r="AM324" s="436">
        <f>IF(Table_NFI[[#This Row],[Winter Clothes Adult]]+Table_NFI[[#This Row],[Winter Clothes Children]]+Table_NFI[[#This Row],[Winter Items Other]]+Table_NFI[[#This Row],[Winter Blanket]]&gt;0,1,0)</f>
        <v>1</v>
      </c>
      <c r="AN324" s="439">
        <f>IF(NFI_Expiration=1,IF($A324&lt;VLOOKUP(V$5,NFI,5,0),1,0)*Table_NFI[[#This Row],[Jerry Can]],Table_NFI[Jerry Can])</f>
        <v>0</v>
      </c>
      <c r="AO324" s="771" t="str">
        <f>IFERROR(VLOOKUP(Table_NFI[[#This Row],[Camp Name]],CL,2,0),"")</f>
        <v>MMR001CMP208</v>
      </c>
      <c r="AP324" s="772">
        <f ca="1">IF(Table_NFI[[#This Row],[Pcode]]="","",IF(OFFSET(CampList[Opening Date],MATCH(Table_NFI[[#This Row],[Pcode]],CampList[CP_Pcode],0)-1,0,1,1)&gt;=NFI_Monitor_Date,1,0))</f>
        <v>0</v>
      </c>
      <c r="AQ324" s="771" t="str">
        <f>IFERROR(VLOOKUP(Table_NFI[[#This Row],[Camp Name]],CL,3,0),"")</f>
        <v>Open</v>
      </c>
      <c r="AR324" s="436" t="str">
        <f ca="1">IF(Table_NFI[[#This Row],[Pcode]]="","",OFFSET(CampList[Priority],MATCH(Table_NFI[[#This Row],[Pcode]],CampList[CP_Pcode],0)-1,0,1,1))</f>
        <v>P2</v>
      </c>
      <c r="AS324" s="438" t="str">
        <f>IFERROR(Table_NFI[[#This Row],[Kitchen Set]]/VLOOKUP(Table_NFI[[#This Row],[Camp Name]],CL,4,0),"")</f>
        <v/>
      </c>
      <c r="AT324" s="769"/>
      <c r="AU324" s="773"/>
    </row>
    <row r="325" spans="1:47" s="774" customFormat="1" x14ac:dyDescent="0.25">
      <c r="A325" s="451">
        <f t="shared" si="4"/>
        <v>24.633333333333333</v>
      </c>
      <c r="B325" s="768">
        <v>41631</v>
      </c>
      <c r="C325" s="769" t="s">
        <v>912</v>
      </c>
      <c r="D325" s="769" t="s">
        <v>462</v>
      </c>
      <c r="E325" s="769" t="s">
        <v>380</v>
      </c>
      <c r="F325" s="769" t="s">
        <v>310</v>
      </c>
      <c r="G325" s="769" t="s">
        <v>318</v>
      </c>
      <c r="H325" s="436"/>
      <c r="I325" s="436"/>
      <c r="J325" s="436"/>
      <c r="K325" s="436"/>
      <c r="L325" s="437"/>
      <c r="M325" s="437"/>
      <c r="N325" s="437"/>
      <c r="O325" s="437"/>
      <c r="P325" s="439"/>
      <c r="Q325" s="439"/>
      <c r="R325" s="436">
        <v>59</v>
      </c>
      <c r="S325" s="436">
        <v>196</v>
      </c>
      <c r="T325" s="436">
        <v>510</v>
      </c>
      <c r="U325" s="436">
        <v>255</v>
      </c>
      <c r="V325" s="436"/>
      <c r="W325" s="436"/>
      <c r="X325" s="436"/>
      <c r="Y325" s="436">
        <f>IF(NFI_Expiration=1,IF($A325&lt;VLOOKUP(H$5,NFI,5,0),1,0)*Table_NFI[[#This Row],[Hygiene Kit]],Table_NFI[Hygiene Kit])</f>
        <v>0</v>
      </c>
      <c r="Z325" s="436">
        <f>IF(NFI_Expiration=1,IF($A325&lt;VLOOKUP(I$5,NFI,5,0),1,0)*Table_NFI[[#This Row],[NFI Core Kit]],Table_NFI[NFI Core Kit])</f>
        <v>0</v>
      </c>
      <c r="AA325" s="436">
        <f>IF(NFI_Expiration=1,IF($A325&lt;VLOOKUP(J$5,NFI,5,0),1,0)*Table_NFI[[#This Row],[Sanitary Kit]],Table_NFI[Sanitary Kit])</f>
        <v>0</v>
      </c>
      <c r="AB325" s="436">
        <f>IF(NFI_Expiration=1,IF($A325&lt;VLOOKUP(K$5,NFI,5,0),1,0)*Table_NFI[[#This Row],[Mosquito net]],Table_NFI[Mosquito net])</f>
        <v>0</v>
      </c>
      <c r="AC325" s="436">
        <f>IF(NFI_Expiration=1,IF($A325&lt;VLOOKUP(L$5,NFI,5,0),1,0)*Table_NFI[[#This Row],[Tarpaulin]],Table_NFI[[#This Row],[Tarpaulin]])</f>
        <v>0</v>
      </c>
      <c r="AD325" s="436">
        <f>IF(NFI_Expiration=1,IF($A325&lt;VLOOKUP(M$5,NFI,5,0),1,0)*Table_NFI[[#This Row],[Blanket]],Table_NFI[[#This Row],[Blanket]])</f>
        <v>0</v>
      </c>
      <c r="AE325" s="436">
        <f>IF(NFI_Expiration=1,IF($A325&lt;VLOOKUP(N$5,NFI,5,0),1,0)*Table_NFI[[#This Row],[Kitchen Set]],Table_NFI[Kitchen Set])</f>
        <v>0</v>
      </c>
      <c r="AF325" s="436">
        <f>IF(NFI_Expiration=1,IF($A325&lt;VLOOKUP(O$5,NFI,5,0),1,0)*Table_NFI[[#This Row],[Clothes Kit]],Table_NFI[Clothes Kit])</f>
        <v>0</v>
      </c>
      <c r="AG325" s="436">
        <f>IF(NFI_Expiration=1,IF($A325&lt;VLOOKUP(P$5,NFI,5,0),1,0)*Table_NFI[[#This Row],[Plastic Bucket]],Table_NFI[Plastic Bucket])</f>
        <v>0</v>
      </c>
      <c r="AH325" s="436">
        <f>IF(NFI_Expiration=1,IF($A325&lt;VLOOKUP(Q$5,NFI,5,0),1,0)*Table_NFI[[#This Row],[Plastic Mat]],Table_NFI[Plastic Mat])*IF(Table_NFI[[#This Row],[Distribution Date]]&gt;"2014-04-01",1,2.5)</f>
        <v>0</v>
      </c>
      <c r="AI325" s="436">
        <f>IF(NFI_Expiration=1,IF($A325&lt;VLOOKUP(R$5,NFI,5,0),1,0)*Table_NFI[[#This Row],[Winter Clothes Adult]],Table_NFI[Winter Clothes Adult])</f>
        <v>0</v>
      </c>
      <c r="AJ325" s="436">
        <f>IF(NFI_Expiration=1,IF($A325&lt;VLOOKUP(S$5,NFI,5,0),1,0)*Table_NFI[[#This Row],[Winter Clothes Children]],Table_NFI[Winter Clothes Children])</f>
        <v>0</v>
      </c>
      <c r="AK325" s="436">
        <f>IF(NFI_Expiration=1,IF($A325&lt;VLOOKUP(T$5,NFI,5,0),1,0)*Table_NFI[[#This Row],[Winter Items Other]],Table_NFI[Winter Items Other])</f>
        <v>0</v>
      </c>
      <c r="AL325" s="436">
        <f>IF(NFI_Expiration=1,IF($A325&lt;VLOOKUP(M$5,NFI,5,0),1,0)*Table_NFI[[#This Row],[Winter Blanket]],Table_NFI[[#This Row],[Winter Blanket]])</f>
        <v>0</v>
      </c>
      <c r="AM325" s="436">
        <f>IF(Table_NFI[[#This Row],[Winter Clothes Adult]]+Table_NFI[[#This Row],[Winter Clothes Children]]+Table_NFI[[#This Row],[Winter Items Other]]+Table_NFI[[#This Row],[Winter Blanket]]&gt;0,1,0)</f>
        <v>1</v>
      </c>
      <c r="AN325" s="439">
        <f>IF(NFI_Expiration=1,IF($A325&lt;VLOOKUP(V$5,NFI,5,0),1,0)*Table_NFI[[#This Row],[Jerry Can]],Table_NFI[Jerry Can])</f>
        <v>0</v>
      </c>
      <c r="AO325" s="771" t="str">
        <f>IFERROR(VLOOKUP(Table_NFI[[#This Row],[Camp Name]],CL,2,0),"")</f>
        <v>MMR001CMP032</v>
      </c>
      <c r="AP325" s="772">
        <f ca="1">IF(Table_NFI[[#This Row],[Pcode]]="","",IF(OFFSET(CampList[Opening Date],MATCH(Table_NFI[[#This Row],[Pcode]],CampList[CP_Pcode],0)-1,0,1,1)&gt;=NFI_Monitor_Date,1,0))</f>
        <v>0</v>
      </c>
      <c r="AQ325" s="771" t="str">
        <f>IFERROR(VLOOKUP(Table_NFI[[#This Row],[Camp Name]],CL,3,0),"")</f>
        <v>Open</v>
      </c>
      <c r="AR325" s="436" t="str">
        <f ca="1">IF(Table_NFI[[#This Row],[Pcode]]="","",OFFSET(CampList[Priority],MATCH(Table_NFI[[#This Row],[Pcode]],CampList[CP_Pcode],0)-1,0,1,1))</f>
        <v>P4</v>
      </c>
      <c r="AS325" s="438">
        <f>IFERROR(Table_NFI[[#This Row],[Kitchen Set]]/VLOOKUP(Table_NFI[[#This Row],[Camp Name]],CL,4,0),"")</f>
        <v>0</v>
      </c>
      <c r="AT325" s="769"/>
      <c r="AU325" s="773"/>
    </row>
    <row r="326" spans="1:47" s="774" customFormat="1" x14ac:dyDescent="0.25">
      <c r="A326" s="451">
        <f t="shared" ref="A326:A389" si="5">IF(ISBLANK(B326),"",(Report_Date-B326)/30)</f>
        <v>24.7</v>
      </c>
      <c r="B326" s="768">
        <v>41629</v>
      </c>
      <c r="C326" s="769" t="s">
        <v>912</v>
      </c>
      <c r="D326" s="769" t="s">
        <v>462</v>
      </c>
      <c r="E326" s="769" t="s">
        <v>380</v>
      </c>
      <c r="F326" s="769" t="s">
        <v>310</v>
      </c>
      <c r="G326" s="769" t="s">
        <v>349</v>
      </c>
      <c r="H326" s="436"/>
      <c r="I326" s="436"/>
      <c r="J326" s="436"/>
      <c r="K326" s="436"/>
      <c r="L326" s="437"/>
      <c r="M326" s="437"/>
      <c r="N326" s="437"/>
      <c r="O326" s="437"/>
      <c r="P326" s="439"/>
      <c r="Q326" s="439"/>
      <c r="R326" s="436">
        <v>75</v>
      </c>
      <c r="S326" s="436">
        <v>139</v>
      </c>
      <c r="T326" s="436">
        <v>428</v>
      </c>
      <c r="U326" s="436">
        <v>214</v>
      </c>
      <c r="V326" s="436"/>
      <c r="W326" s="436"/>
      <c r="X326" s="436"/>
      <c r="Y326" s="436">
        <f>IF(NFI_Expiration=1,IF($A326&lt;VLOOKUP(H$5,NFI,5,0),1,0)*Table_NFI[[#This Row],[Hygiene Kit]],Table_NFI[Hygiene Kit])</f>
        <v>0</v>
      </c>
      <c r="Z326" s="436">
        <f>IF(NFI_Expiration=1,IF($A326&lt;VLOOKUP(I$5,NFI,5,0),1,0)*Table_NFI[[#This Row],[NFI Core Kit]],Table_NFI[NFI Core Kit])</f>
        <v>0</v>
      </c>
      <c r="AA326" s="436">
        <f>IF(NFI_Expiration=1,IF($A326&lt;VLOOKUP(J$5,NFI,5,0),1,0)*Table_NFI[[#This Row],[Sanitary Kit]],Table_NFI[Sanitary Kit])</f>
        <v>0</v>
      </c>
      <c r="AB326" s="436">
        <f>IF(NFI_Expiration=1,IF($A326&lt;VLOOKUP(K$5,NFI,5,0),1,0)*Table_NFI[[#This Row],[Mosquito net]],Table_NFI[Mosquito net])</f>
        <v>0</v>
      </c>
      <c r="AC326" s="436">
        <f>IF(NFI_Expiration=1,IF($A326&lt;VLOOKUP(L$5,NFI,5,0),1,0)*Table_NFI[[#This Row],[Tarpaulin]],Table_NFI[[#This Row],[Tarpaulin]])</f>
        <v>0</v>
      </c>
      <c r="AD326" s="436">
        <f>IF(NFI_Expiration=1,IF($A326&lt;VLOOKUP(M$5,NFI,5,0),1,0)*Table_NFI[[#This Row],[Blanket]],Table_NFI[[#This Row],[Blanket]])</f>
        <v>0</v>
      </c>
      <c r="AE326" s="436">
        <f>IF(NFI_Expiration=1,IF($A326&lt;VLOOKUP(N$5,NFI,5,0),1,0)*Table_NFI[[#This Row],[Kitchen Set]],Table_NFI[Kitchen Set])</f>
        <v>0</v>
      </c>
      <c r="AF326" s="436">
        <f>IF(NFI_Expiration=1,IF($A326&lt;VLOOKUP(O$5,NFI,5,0),1,0)*Table_NFI[[#This Row],[Clothes Kit]],Table_NFI[Clothes Kit])</f>
        <v>0</v>
      </c>
      <c r="AG326" s="436">
        <f>IF(NFI_Expiration=1,IF($A326&lt;VLOOKUP(P$5,NFI,5,0),1,0)*Table_NFI[[#This Row],[Plastic Bucket]],Table_NFI[Plastic Bucket])</f>
        <v>0</v>
      </c>
      <c r="AH326" s="436">
        <f>IF(NFI_Expiration=1,IF($A326&lt;VLOOKUP(Q$5,NFI,5,0),1,0)*Table_NFI[[#This Row],[Plastic Mat]],Table_NFI[Plastic Mat])*IF(Table_NFI[[#This Row],[Distribution Date]]&gt;"2014-04-01",1,2.5)</f>
        <v>0</v>
      </c>
      <c r="AI326" s="436">
        <f>IF(NFI_Expiration=1,IF($A326&lt;VLOOKUP(R$5,NFI,5,0),1,0)*Table_NFI[[#This Row],[Winter Clothes Adult]],Table_NFI[Winter Clothes Adult])</f>
        <v>0</v>
      </c>
      <c r="AJ326" s="436">
        <f>IF(NFI_Expiration=1,IF($A326&lt;VLOOKUP(S$5,NFI,5,0),1,0)*Table_NFI[[#This Row],[Winter Clothes Children]],Table_NFI[Winter Clothes Children])</f>
        <v>0</v>
      </c>
      <c r="AK326" s="436">
        <f>IF(NFI_Expiration=1,IF($A326&lt;VLOOKUP(T$5,NFI,5,0),1,0)*Table_NFI[[#This Row],[Winter Items Other]],Table_NFI[Winter Items Other])</f>
        <v>0</v>
      </c>
      <c r="AL326" s="436">
        <f>IF(NFI_Expiration=1,IF($A326&lt;VLOOKUP(M$5,NFI,5,0),1,0)*Table_NFI[[#This Row],[Winter Blanket]],Table_NFI[[#This Row],[Winter Blanket]])</f>
        <v>0</v>
      </c>
      <c r="AM326" s="436">
        <f>IF(Table_NFI[[#This Row],[Winter Clothes Adult]]+Table_NFI[[#This Row],[Winter Clothes Children]]+Table_NFI[[#This Row],[Winter Items Other]]+Table_NFI[[#This Row],[Winter Blanket]]&gt;0,1,0)</f>
        <v>1</v>
      </c>
      <c r="AN326" s="439">
        <f>IF(NFI_Expiration=1,IF($A326&lt;VLOOKUP(V$5,NFI,5,0),1,0)*Table_NFI[[#This Row],[Jerry Can]],Table_NFI[Jerry Can])</f>
        <v>0</v>
      </c>
      <c r="AO326" s="771" t="str">
        <f>IFERROR(VLOOKUP(Table_NFI[[#This Row],[Camp Name]],CL,2,0),"")</f>
        <v>MMR001CMP037</v>
      </c>
      <c r="AP326" s="772">
        <f ca="1">IF(Table_NFI[[#This Row],[Pcode]]="","",IF(OFFSET(CampList[Opening Date],MATCH(Table_NFI[[#This Row],[Pcode]],CampList[CP_Pcode],0)-1,0,1,1)&gt;=NFI_Monitor_Date,1,0))</f>
        <v>0</v>
      </c>
      <c r="AQ326" s="771" t="str">
        <f>IFERROR(VLOOKUP(Table_NFI[[#This Row],[Camp Name]],CL,3,0),"")</f>
        <v>Open</v>
      </c>
      <c r="AR326" s="436" t="str">
        <f ca="1">IF(Table_NFI[[#This Row],[Pcode]]="","",OFFSET(CampList[Priority],MATCH(Table_NFI[[#This Row],[Pcode]],CampList[CP_Pcode],0)-1,0,1,1))</f>
        <v>P4</v>
      </c>
      <c r="AS326" s="438">
        <f>IFERROR(Table_NFI[[#This Row],[Kitchen Set]]/VLOOKUP(Table_NFI[[#This Row],[Camp Name]],CL,4,0),"")</f>
        <v>0</v>
      </c>
      <c r="AT326" s="769"/>
      <c r="AU326" s="773"/>
    </row>
    <row r="327" spans="1:47" s="774" customFormat="1" x14ac:dyDescent="0.25">
      <c r="A327" s="451">
        <f t="shared" si="5"/>
        <v>24.733333333333334</v>
      </c>
      <c r="B327" s="768">
        <v>41628</v>
      </c>
      <c r="C327" s="769" t="s">
        <v>912</v>
      </c>
      <c r="D327" s="769" t="s">
        <v>462</v>
      </c>
      <c r="E327" s="769" t="s">
        <v>380</v>
      </c>
      <c r="F327" s="769" t="s">
        <v>310</v>
      </c>
      <c r="G327" s="769" t="s">
        <v>328</v>
      </c>
      <c r="H327" s="436"/>
      <c r="I327" s="436"/>
      <c r="J327" s="436"/>
      <c r="K327" s="436"/>
      <c r="L327" s="437"/>
      <c r="M327" s="437"/>
      <c r="N327" s="437"/>
      <c r="O327" s="437"/>
      <c r="P327" s="439"/>
      <c r="Q327" s="439"/>
      <c r="R327" s="436">
        <v>141</v>
      </c>
      <c r="S327" s="436">
        <v>265</v>
      </c>
      <c r="T327" s="436">
        <v>812</v>
      </c>
      <c r="U327" s="436">
        <v>406</v>
      </c>
      <c r="V327" s="436"/>
      <c r="W327" s="436"/>
      <c r="X327" s="436"/>
      <c r="Y327" s="436">
        <f>IF(NFI_Expiration=1,IF($A327&lt;VLOOKUP(H$5,NFI,5,0),1,0)*Table_NFI[[#This Row],[Hygiene Kit]],Table_NFI[Hygiene Kit])</f>
        <v>0</v>
      </c>
      <c r="Z327" s="436">
        <f>IF(NFI_Expiration=1,IF($A327&lt;VLOOKUP(I$5,NFI,5,0),1,0)*Table_NFI[[#This Row],[NFI Core Kit]],Table_NFI[NFI Core Kit])</f>
        <v>0</v>
      </c>
      <c r="AA327" s="436">
        <f>IF(NFI_Expiration=1,IF($A327&lt;VLOOKUP(J$5,NFI,5,0),1,0)*Table_NFI[[#This Row],[Sanitary Kit]],Table_NFI[Sanitary Kit])</f>
        <v>0</v>
      </c>
      <c r="AB327" s="436">
        <f>IF(NFI_Expiration=1,IF($A327&lt;VLOOKUP(K$5,NFI,5,0),1,0)*Table_NFI[[#This Row],[Mosquito net]],Table_NFI[Mosquito net])</f>
        <v>0</v>
      </c>
      <c r="AC327" s="436">
        <f>IF(NFI_Expiration=1,IF($A327&lt;VLOOKUP(L$5,NFI,5,0),1,0)*Table_NFI[[#This Row],[Tarpaulin]],Table_NFI[[#This Row],[Tarpaulin]])</f>
        <v>0</v>
      </c>
      <c r="AD327" s="436">
        <f>IF(NFI_Expiration=1,IF($A327&lt;VLOOKUP(M$5,NFI,5,0),1,0)*Table_NFI[[#This Row],[Blanket]],Table_NFI[[#This Row],[Blanket]])</f>
        <v>0</v>
      </c>
      <c r="AE327" s="436">
        <f>IF(NFI_Expiration=1,IF($A327&lt;VLOOKUP(N$5,NFI,5,0),1,0)*Table_NFI[[#This Row],[Kitchen Set]],Table_NFI[Kitchen Set])</f>
        <v>0</v>
      </c>
      <c r="AF327" s="436">
        <f>IF(NFI_Expiration=1,IF($A327&lt;VLOOKUP(O$5,NFI,5,0),1,0)*Table_NFI[[#This Row],[Clothes Kit]],Table_NFI[Clothes Kit])</f>
        <v>0</v>
      </c>
      <c r="AG327" s="436">
        <f>IF(NFI_Expiration=1,IF($A327&lt;VLOOKUP(P$5,NFI,5,0),1,0)*Table_NFI[[#This Row],[Plastic Bucket]],Table_NFI[Plastic Bucket])</f>
        <v>0</v>
      </c>
      <c r="AH327" s="436">
        <f>IF(NFI_Expiration=1,IF($A327&lt;VLOOKUP(Q$5,NFI,5,0),1,0)*Table_NFI[[#This Row],[Plastic Mat]],Table_NFI[Plastic Mat])*IF(Table_NFI[[#This Row],[Distribution Date]]&gt;"2014-04-01",1,2.5)</f>
        <v>0</v>
      </c>
      <c r="AI327" s="436">
        <f>IF(NFI_Expiration=1,IF($A327&lt;VLOOKUP(R$5,NFI,5,0),1,0)*Table_NFI[[#This Row],[Winter Clothes Adult]],Table_NFI[Winter Clothes Adult])</f>
        <v>0</v>
      </c>
      <c r="AJ327" s="436">
        <f>IF(NFI_Expiration=1,IF($A327&lt;VLOOKUP(S$5,NFI,5,0),1,0)*Table_NFI[[#This Row],[Winter Clothes Children]],Table_NFI[Winter Clothes Children])</f>
        <v>0</v>
      </c>
      <c r="AK327" s="436">
        <f>IF(NFI_Expiration=1,IF($A327&lt;VLOOKUP(T$5,NFI,5,0),1,0)*Table_NFI[[#This Row],[Winter Items Other]],Table_NFI[Winter Items Other])</f>
        <v>0</v>
      </c>
      <c r="AL327" s="436">
        <f>IF(NFI_Expiration=1,IF($A327&lt;VLOOKUP(M$5,NFI,5,0),1,0)*Table_NFI[[#This Row],[Winter Blanket]],Table_NFI[[#This Row],[Winter Blanket]])</f>
        <v>0</v>
      </c>
      <c r="AM327" s="436">
        <f>IF(Table_NFI[[#This Row],[Winter Clothes Adult]]+Table_NFI[[#This Row],[Winter Clothes Children]]+Table_NFI[[#This Row],[Winter Items Other]]+Table_NFI[[#This Row],[Winter Blanket]]&gt;0,1,0)</f>
        <v>1</v>
      </c>
      <c r="AN327" s="439">
        <f>IF(NFI_Expiration=1,IF($A327&lt;VLOOKUP(V$5,NFI,5,0),1,0)*Table_NFI[[#This Row],[Jerry Can]],Table_NFI[Jerry Can])</f>
        <v>0</v>
      </c>
      <c r="AO327" s="771" t="str">
        <f>IFERROR(VLOOKUP(Table_NFI[[#This Row],[Camp Name]],CL,2,0),"")</f>
        <v>MMR001CMP031</v>
      </c>
      <c r="AP327" s="772">
        <f ca="1">IF(Table_NFI[[#This Row],[Pcode]]="","",IF(OFFSET(CampList[Opening Date],MATCH(Table_NFI[[#This Row],[Pcode]],CampList[CP_Pcode],0)-1,0,1,1)&gt;=NFI_Monitor_Date,1,0))</f>
        <v>0</v>
      </c>
      <c r="AQ327" s="771" t="str">
        <f>IFERROR(VLOOKUP(Table_NFI[[#This Row],[Camp Name]],CL,3,0),"")</f>
        <v>Open</v>
      </c>
      <c r="AR327" s="436" t="str">
        <f ca="1">IF(Table_NFI[[#This Row],[Pcode]]="","",OFFSET(CampList[Priority],MATCH(Table_NFI[[#This Row],[Pcode]],CampList[CP_Pcode],0)-1,0,1,1))</f>
        <v>P4</v>
      </c>
      <c r="AS327" s="438">
        <f>IFERROR(Table_NFI[[#This Row],[Kitchen Set]]/VLOOKUP(Table_NFI[[#This Row],[Camp Name]],CL,4,0),"")</f>
        <v>0</v>
      </c>
      <c r="AT327" s="769"/>
      <c r="AU327" s="773"/>
    </row>
    <row r="328" spans="1:47" s="774" customFormat="1" x14ac:dyDescent="0.25">
      <c r="A328" s="451">
        <f t="shared" si="5"/>
        <v>24.733333333333334</v>
      </c>
      <c r="B328" s="768">
        <v>41628</v>
      </c>
      <c r="C328" s="769" t="s">
        <v>912</v>
      </c>
      <c r="D328" s="769" t="s">
        <v>462</v>
      </c>
      <c r="E328" s="769" t="s">
        <v>380</v>
      </c>
      <c r="F328" s="769" t="s">
        <v>310</v>
      </c>
      <c r="G328" s="769" t="s">
        <v>326</v>
      </c>
      <c r="H328" s="436"/>
      <c r="I328" s="436"/>
      <c r="J328" s="436"/>
      <c r="K328" s="436"/>
      <c r="L328" s="437"/>
      <c r="M328" s="437"/>
      <c r="N328" s="437"/>
      <c r="O328" s="437"/>
      <c r="P328" s="439"/>
      <c r="Q328" s="439"/>
      <c r="R328" s="436">
        <v>47</v>
      </c>
      <c r="S328" s="436">
        <v>85</v>
      </c>
      <c r="T328" s="436">
        <v>264</v>
      </c>
      <c r="U328" s="436">
        <v>132</v>
      </c>
      <c r="V328" s="436"/>
      <c r="W328" s="436"/>
      <c r="X328" s="436"/>
      <c r="Y328" s="436">
        <f>IF(NFI_Expiration=1,IF($A328&lt;VLOOKUP(H$5,NFI,5,0),1,0)*Table_NFI[[#This Row],[Hygiene Kit]],Table_NFI[Hygiene Kit])</f>
        <v>0</v>
      </c>
      <c r="Z328" s="436">
        <f>IF(NFI_Expiration=1,IF($A328&lt;VLOOKUP(I$5,NFI,5,0),1,0)*Table_NFI[[#This Row],[NFI Core Kit]],Table_NFI[NFI Core Kit])</f>
        <v>0</v>
      </c>
      <c r="AA328" s="436">
        <f>IF(NFI_Expiration=1,IF($A328&lt;VLOOKUP(J$5,NFI,5,0),1,0)*Table_NFI[[#This Row],[Sanitary Kit]],Table_NFI[Sanitary Kit])</f>
        <v>0</v>
      </c>
      <c r="AB328" s="436">
        <f>IF(NFI_Expiration=1,IF($A328&lt;VLOOKUP(K$5,NFI,5,0),1,0)*Table_NFI[[#This Row],[Mosquito net]],Table_NFI[Mosquito net])</f>
        <v>0</v>
      </c>
      <c r="AC328" s="436">
        <f>IF(NFI_Expiration=1,IF($A328&lt;VLOOKUP(L$5,NFI,5,0),1,0)*Table_NFI[[#This Row],[Tarpaulin]],Table_NFI[[#This Row],[Tarpaulin]])</f>
        <v>0</v>
      </c>
      <c r="AD328" s="436">
        <f>IF(NFI_Expiration=1,IF($A328&lt;VLOOKUP(M$5,NFI,5,0),1,0)*Table_NFI[[#This Row],[Blanket]],Table_NFI[[#This Row],[Blanket]])</f>
        <v>0</v>
      </c>
      <c r="AE328" s="436">
        <f>IF(NFI_Expiration=1,IF($A328&lt;VLOOKUP(N$5,NFI,5,0),1,0)*Table_NFI[[#This Row],[Kitchen Set]],Table_NFI[Kitchen Set])</f>
        <v>0</v>
      </c>
      <c r="AF328" s="436">
        <f>IF(NFI_Expiration=1,IF($A328&lt;VLOOKUP(O$5,NFI,5,0),1,0)*Table_NFI[[#This Row],[Clothes Kit]],Table_NFI[Clothes Kit])</f>
        <v>0</v>
      </c>
      <c r="AG328" s="436">
        <f>IF(NFI_Expiration=1,IF($A328&lt;VLOOKUP(P$5,NFI,5,0),1,0)*Table_NFI[[#This Row],[Plastic Bucket]],Table_NFI[Plastic Bucket])</f>
        <v>0</v>
      </c>
      <c r="AH328" s="436">
        <f>IF(NFI_Expiration=1,IF($A328&lt;VLOOKUP(Q$5,NFI,5,0),1,0)*Table_NFI[[#This Row],[Plastic Mat]],Table_NFI[Plastic Mat])*IF(Table_NFI[[#This Row],[Distribution Date]]&gt;"2014-04-01",1,2.5)</f>
        <v>0</v>
      </c>
      <c r="AI328" s="436">
        <f>IF(NFI_Expiration=1,IF($A328&lt;VLOOKUP(R$5,NFI,5,0),1,0)*Table_NFI[[#This Row],[Winter Clothes Adult]],Table_NFI[Winter Clothes Adult])</f>
        <v>0</v>
      </c>
      <c r="AJ328" s="436">
        <f>IF(NFI_Expiration=1,IF($A328&lt;VLOOKUP(S$5,NFI,5,0),1,0)*Table_NFI[[#This Row],[Winter Clothes Children]],Table_NFI[Winter Clothes Children])</f>
        <v>0</v>
      </c>
      <c r="AK328" s="436">
        <f>IF(NFI_Expiration=1,IF($A328&lt;VLOOKUP(T$5,NFI,5,0),1,0)*Table_NFI[[#This Row],[Winter Items Other]],Table_NFI[Winter Items Other])</f>
        <v>0</v>
      </c>
      <c r="AL328" s="436">
        <f>IF(NFI_Expiration=1,IF($A328&lt;VLOOKUP(M$5,NFI,5,0),1,0)*Table_NFI[[#This Row],[Winter Blanket]],Table_NFI[[#This Row],[Winter Blanket]])</f>
        <v>0</v>
      </c>
      <c r="AM328" s="436">
        <f>IF(Table_NFI[[#This Row],[Winter Clothes Adult]]+Table_NFI[[#This Row],[Winter Clothes Children]]+Table_NFI[[#This Row],[Winter Items Other]]+Table_NFI[[#This Row],[Winter Blanket]]&gt;0,1,0)</f>
        <v>1</v>
      </c>
      <c r="AN328" s="439">
        <f>IF(NFI_Expiration=1,IF($A328&lt;VLOOKUP(V$5,NFI,5,0),1,0)*Table_NFI[[#This Row],[Jerry Can]],Table_NFI[Jerry Can])</f>
        <v>0</v>
      </c>
      <c r="AO328" s="771" t="str">
        <f>IFERROR(VLOOKUP(Table_NFI[[#This Row],[Camp Name]],CL,2,0),"")</f>
        <v>MMR001CMP039</v>
      </c>
      <c r="AP328" s="772">
        <f ca="1">IF(Table_NFI[[#This Row],[Pcode]]="","",IF(OFFSET(CampList[Opening Date],MATCH(Table_NFI[[#This Row],[Pcode]],CampList[CP_Pcode],0)-1,0,1,1)&gt;=NFI_Monitor_Date,1,0))</f>
        <v>0</v>
      </c>
      <c r="AQ328" s="771" t="str">
        <f>IFERROR(VLOOKUP(Table_NFI[[#This Row],[Camp Name]],CL,3,0),"")</f>
        <v>Open</v>
      </c>
      <c r="AR328" s="436" t="str">
        <f ca="1">IF(Table_NFI[[#This Row],[Pcode]]="","",OFFSET(CampList[Priority],MATCH(Table_NFI[[#This Row],[Pcode]],CampList[CP_Pcode],0)-1,0,1,1))</f>
        <v>P4</v>
      </c>
      <c r="AS328" s="438">
        <f>IFERROR(Table_NFI[[#This Row],[Kitchen Set]]/VLOOKUP(Table_NFI[[#This Row],[Camp Name]],CL,4,0),"")</f>
        <v>0</v>
      </c>
      <c r="AT328" s="769"/>
      <c r="AU328" s="773"/>
    </row>
    <row r="329" spans="1:47" s="774" customFormat="1" x14ac:dyDescent="0.25">
      <c r="A329" s="451">
        <f t="shared" si="5"/>
        <v>24.733333333333334</v>
      </c>
      <c r="B329" s="768">
        <v>41628</v>
      </c>
      <c r="C329" s="769" t="s">
        <v>912</v>
      </c>
      <c r="D329" s="769" t="s">
        <v>462</v>
      </c>
      <c r="E329" s="769" t="s">
        <v>380</v>
      </c>
      <c r="F329" s="769" t="s">
        <v>310</v>
      </c>
      <c r="G329" s="769" t="s">
        <v>351</v>
      </c>
      <c r="H329" s="436"/>
      <c r="I329" s="436"/>
      <c r="J329" s="436"/>
      <c r="K329" s="436"/>
      <c r="L329" s="437"/>
      <c r="M329" s="437"/>
      <c r="N329" s="437"/>
      <c r="O329" s="437"/>
      <c r="P329" s="439"/>
      <c r="Q329" s="439"/>
      <c r="R329" s="436">
        <v>102</v>
      </c>
      <c r="S329" s="436">
        <v>188</v>
      </c>
      <c r="T329" s="436">
        <v>580</v>
      </c>
      <c r="U329" s="436">
        <v>290</v>
      </c>
      <c r="V329" s="436"/>
      <c r="W329" s="436"/>
      <c r="X329" s="436"/>
      <c r="Y329" s="436">
        <f>IF(NFI_Expiration=1,IF($A329&lt;VLOOKUP(H$5,NFI,5,0),1,0)*Table_NFI[[#This Row],[Hygiene Kit]],Table_NFI[Hygiene Kit])</f>
        <v>0</v>
      </c>
      <c r="Z329" s="436">
        <f>IF(NFI_Expiration=1,IF($A329&lt;VLOOKUP(I$5,NFI,5,0),1,0)*Table_NFI[[#This Row],[NFI Core Kit]],Table_NFI[NFI Core Kit])</f>
        <v>0</v>
      </c>
      <c r="AA329" s="436">
        <f>IF(NFI_Expiration=1,IF($A329&lt;VLOOKUP(J$5,NFI,5,0),1,0)*Table_NFI[[#This Row],[Sanitary Kit]],Table_NFI[Sanitary Kit])</f>
        <v>0</v>
      </c>
      <c r="AB329" s="436">
        <f>IF(NFI_Expiration=1,IF($A329&lt;VLOOKUP(K$5,NFI,5,0),1,0)*Table_NFI[[#This Row],[Mosquito net]],Table_NFI[Mosquito net])</f>
        <v>0</v>
      </c>
      <c r="AC329" s="436">
        <f>IF(NFI_Expiration=1,IF($A329&lt;VLOOKUP(L$5,NFI,5,0),1,0)*Table_NFI[[#This Row],[Tarpaulin]],Table_NFI[[#This Row],[Tarpaulin]])</f>
        <v>0</v>
      </c>
      <c r="AD329" s="436">
        <f>IF(NFI_Expiration=1,IF($A329&lt;VLOOKUP(M$5,NFI,5,0),1,0)*Table_NFI[[#This Row],[Blanket]],Table_NFI[[#This Row],[Blanket]])</f>
        <v>0</v>
      </c>
      <c r="AE329" s="436">
        <f>IF(NFI_Expiration=1,IF($A329&lt;VLOOKUP(N$5,NFI,5,0),1,0)*Table_NFI[[#This Row],[Kitchen Set]],Table_NFI[Kitchen Set])</f>
        <v>0</v>
      </c>
      <c r="AF329" s="436">
        <f>IF(NFI_Expiration=1,IF($A329&lt;VLOOKUP(O$5,NFI,5,0),1,0)*Table_NFI[[#This Row],[Clothes Kit]],Table_NFI[Clothes Kit])</f>
        <v>0</v>
      </c>
      <c r="AG329" s="436">
        <f>IF(NFI_Expiration=1,IF($A329&lt;VLOOKUP(P$5,NFI,5,0),1,0)*Table_NFI[[#This Row],[Plastic Bucket]],Table_NFI[Plastic Bucket])</f>
        <v>0</v>
      </c>
      <c r="AH329" s="436">
        <f>IF(NFI_Expiration=1,IF($A329&lt;VLOOKUP(Q$5,NFI,5,0),1,0)*Table_NFI[[#This Row],[Plastic Mat]],Table_NFI[Plastic Mat])*IF(Table_NFI[[#This Row],[Distribution Date]]&gt;"2014-04-01",1,2.5)</f>
        <v>0</v>
      </c>
      <c r="AI329" s="436">
        <f>IF(NFI_Expiration=1,IF($A329&lt;VLOOKUP(R$5,NFI,5,0),1,0)*Table_NFI[[#This Row],[Winter Clothes Adult]],Table_NFI[Winter Clothes Adult])</f>
        <v>0</v>
      </c>
      <c r="AJ329" s="436">
        <f>IF(NFI_Expiration=1,IF($A329&lt;VLOOKUP(S$5,NFI,5,0),1,0)*Table_NFI[[#This Row],[Winter Clothes Children]],Table_NFI[Winter Clothes Children])</f>
        <v>0</v>
      </c>
      <c r="AK329" s="436">
        <f>IF(NFI_Expiration=1,IF($A329&lt;VLOOKUP(T$5,NFI,5,0),1,0)*Table_NFI[[#This Row],[Winter Items Other]],Table_NFI[Winter Items Other])</f>
        <v>0</v>
      </c>
      <c r="AL329" s="436">
        <f>IF(NFI_Expiration=1,IF($A329&lt;VLOOKUP(M$5,NFI,5,0),1,0)*Table_NFI[[#This Row],[Winter Blanket]],Table_NFI[[#This Row],[Winter Blanket]])</f>
        <v>0</v>
      </c>
      <c r="AM329" s="436">
        <f>IF(Table_NFI[[#This Row],[Winter Clothes Adult]]+Table_NFI[[#This Row],[Winter Clothes Children]]+Table_NFI[[#This Row],[Winter Items Other]]+Table_NFI[[#This Row],[Winter Blanket]]&gt;0,1,0)</f>
        <v>1</v>
      </c>
      <c r="AN329" s="439">
        <f>IF(NFI_Expiration=1,IF($A329&lt;VLOOKUP(V$5,NFI,5,0),1,0)*Table_NFI[[#This Row],[Jerry Can]],Table_NFI[Jerry Can])</f>
        <v>0</v>
      </c>
      <c r="AO329" s="771" t="str">
        <f>IFERROR(VLOOKUP(Table_NFI[[#This Row],[Camp Name]],CL,2,0),"")</f>
        <v>MMR001CMP026</v>
      </c>
      <c r="AP329" s="772">
        <f ca="1">IF(Table_NFI[[#This Row],[Pcode]]="","",IF(OFFSET(CampList[Opening Date],MATCH(Table_NFI[[#This Row],[Pcode]],CampList[CP_Pcode],0)-1,0,1,1)&gt;=NFI_Monitor_Date,1,0))</f>
        <v>0</v>
      </c>
      <c r="AQ329" s="771" t="str">
        <f>IFERROR(VLOOKUP(Table_NFI[[#This Row],[Camp Name]],CL,3,0),"")</f>
        <v>Open</v>
      </c>
      <c r="AR329" s="436" t="str">
        <f ca="1">IF(Table_NFI[[#This Row],[Pcode]]="","",OFFSET(CampList[Priority],MATCH(Table_NFI[[#This Row],[Pcode]],CampList[CP_Pcode],0)-1,0,1,1))</f>
        <v>P4</v>
      </c>
      <c r="AS329" s="438">
        <f>IFERROR(Table_NFI[[#This Row],[Kitchen Set]]/VLOOKUP(Table_NFI[[#This Row],[Camp Name]],CL,4,0),"")</f>
        <v>0</v>
      </c>
      <c r="AT329" s="769"/>
      <c r="AU329" s="773"/>
    </row>
    <row r="330" spans="1:47" s="774" customFormat="1" x14ac:dyDescent="0.25">
      <c r="A330" s="451">
        <f t="shared" si="5"/>
        <v>24.766666666666666</v>
      </c>
      <c r="B330" s="768">
        <v>41627</v>
      </c>
      <c r="C330" s="769" t="s">
        <v>912</v>
      </c>
      <c r="D330" s="769" t="s">
        <v>462</v>
      </c>
      <c r="E330" s="769" t="s">
        <v>380</v>
      </c>
      <c r="F330" s="769" t="s">
        <v>310</v>
      </c>
      <c r="G330" s="769" t="s">
        <v>324</v>
      </c>
      <c r="H330" s="436"/>
      <c r="I330" s="436"/>
      <c r="J330" s="436"/>
      <c r="K330" s="436"/>
      <c r="L330" s="437"/>
      <c r="M330" s="437"/>
      <c r="N330" s="437"/>
      <c r="O330" s="437"/>
      <c r="P330" s="439"/>
      <c r="Q330" s="439"/>
      <c r="R330" s="436">
        <v>414</v>
      </c>
      <c r="S330" s="436">
        <v>764</v>
      </c>
      <c r="T330" s="436">
        <v>2356</v>
      </c>
      <c r="U330" s="436">
        <v>1178</v>
      </c>
      <c r="V330" s="436"/>
      <c r="W330" s="436"/>
      <c r="X330" s="436"/>
      <c r="Y330" s="436">
        <f>IF(NFI_Expiration=1,IF($A330&lt;VLOOKUP(H$5,NFI,5,0),1,0)*Table_NFI[[#This Row],[Hygiene Kit]],Table_NFI[Hygiene Kit])</f>
        <v>0</v>
      </c>
      <c r="Z330" s="436">
        <f>IF(NFI_Expiration=1,IF($A330&lt;VLOOKUP(I$5,NFI,5,0),1,0)*Table_NFI[[#This Row],[NFI Core Kit]],Table_NFI[NFI Core Kit])</f>
        <v>0</v>
      </c>
      <c r="AA330" s="436">
        <f>IF(NFI_Expiration=1,IF($A330&lt;VLOOKUP(J$5,NFI,5,0),1,0)*Table_NFI[[#This Row],[Sanitary Kit]],Table_NFI[Sanitary Kit])</f>
        <v>0</v>
      </c>
      <c r="AB330" s="436">
        <f>IF(NFI_Expiration=1,IF($A330&lt;VLOOKUP(K$5,NFI,5,0),1,0)*Table_NFI[[#This Row],[Mosquito net]],Table_NFI[Mosquito net])</f>
        <v>0</v>
      </c>
      <c r="AC330" s="436">
        <f>IF(NFI_Expiration=1,IF($A330&lt;VLOOKUP(L$5,NFI,5,0),1,0)*Table_NFI[[#This Row],[Tarpaulin]],Table_NFI[[#This Row],[Tarpaulin]])</f>
        <v>0</v>
      </c>
      <c r="AD330" s="436">
        <f>IF(NFI_Expiration=1,IF($A330&lt;VLOOKUP(M$5,NFI,5,0),1,0)*Table_NFI[[#This Row],[Blanket]],Table_NFI[[#This Row],[Blanket]])</f>
        <v>0</v>
      </c>
      <c r="AE330" s="436">
        <f>IF(NFI_Expiration=1,IF($A330&lt;VLOOKUP(N$5,NFI,5,0),1,0)*Table_NFI[[#This Row],[Kitchen Set]],Table_NFI[Kitchen Set])</f>
        <v>0</v>
      </c>
      <c r="AF330" s="436">
        <f>IF(NFI_Expiration=1,IF($A330&lt;VLOOKUP(O$5,NFI,5,0),1,0)*Table_NFI[[#This Row],[Clothes Kit]],Table_NFI[Clothes Kit])</f>
        <v>0</v>
      </c>
      <c r="AG330" s="436">
        <f>IF(NFI_Expiration=1,IF($A330&lt;VLOOKUP(P$5,NFI,5,0),1,0)*Table_NFI[[#This Row],[Plastic Bucket]],Table_NFI[Plastic Bucket])</f>
        <v>0</v>
      </c>
      <c r="AH330" s="436">
        <f>IF(NFI_Expiration=1,IF($A330&lt;VLOOKUP(Q$5,NFI,5,0),1,0)*Table_NFI[[#This Row],[Plastic Mat]],Table_NFI[Plastic Mat])*IF(Table_NFI[[#This Row],[Distribution Date]]&gt;"2014-04-01",1,2.5)</f>
        <v>0</v>
      </c>
      <c r="AI330" s="436">
        <f>IF(NFI_Expiration=1,IF($A330&lt;VLOOKUP(R$5,NFI,5,0),1,0)*Table_NFI[[#This Row],[Winter Clothes Adult]],Table_NFI[Winter Clothes Adult])</f>
        <v>0</v>
      </c>
      <c r="AJ330" s="436">
        <f>IF(NFI_Expiration=1,IF($A330&lt;VLOOKUP(S$5,NFI,5,0),1,0)*Table_NFI[[#This Row],[Winter Clothes Children]],Table_NFI[Winter Clothes Children])</f>
        <v>0</v>
      </c>
      <c r="AK330" s="436">
        <f>IF(NFI_Expiration=1,IF($A330&lt;VLOOKUP(T$5,NFI,5,0),1,0)*Table_NFI[[#This Row],[Winter Items Other]],Table_NFI[Winter Items Other])</f>
        <v>0</v>
      </c>
      <c r="AL330" s="436">
        <f>IF(NFI_Expiration=1,IF($A330&lt;VLOOKUP(M$5,NFI,5,0),1,0)*Table_NFI[[#This Row],[Winter Blanket]],Table_NFI[[#This Row],[Winter Blanket]])</f>
        <v>0</v>
      </c>
      <c r="AM330" s="436">
        <f>IF(Table_NFI[[#This Row],[Winter Clothes Adult]]+Table_NFI[[#This Row],[Winter Clothes Children]]+Table_NFI[[#This Row],[Winter Items Other]]+Table_NFI[[#This Row],[Winter Blanket]]&gt;0,1,0)</f>
        <v>1</v>
      </c>
      <c r="AN330" s="439">
        <f>IF(NFI_Expiration=1,IF($A330&lt;VLOOKUP(V$5,NFI,5,0),1,0)*Table_NFI[[#This Row],[Jerry Can]],Table_NFI[Jerry Can])</f>
        <v>0</v>
      </c>
      <c r="AO330" s="771" t="str">
        <f>IFERROR(VLOOKUP(Table_NFI[[#This Row],[Camp Name]],CL,2,0),"")</f>
        <v>MMR001CMP040</v>
      </c>
      <c r="AP330" s="772">
        <f ca="1">IF(Table_NFI[[#This Row],[Pcode]]="","",IF(OFFSET(CampList[Opening Date],MATCH(Table_NFI[[#This Row],[Pcode]],CampList[CP_Pcode],0)-1,0,1,1)&gt;=NFI_Monitor_Date,1,0))</f>
        <v>0</v>
      </c>
      <c r="AQ330" s="771" t="str">
        <f>IFERROR(VLOOKUP(Table_NFI[[#This Row],[Camp Name]],CL,3,0),"")</f>
        <v>Open</v>
      </c>
      <c r="AR330" s="436" t="str">
        <f ca="1">IF(Table_NFI[[#This Row],[Pcode]]="","",OFFSET(CampList[Priority],MATCH(Table_NFI[[#This Row],[Pcode]],CampList[CP_Pcode],0)-1,0,1,1))</f>
        <v>P4</v>
      </c>
      <c r="AS330" s="438">
        <f>IFERROR(Table_NFI[[#This Row],[Kitchen Set]]/VLOOKUP(Table_NFI[[#This Row],[Camp Name]],CL,4,0),"")</f>
        <v>0</v>
      </c>
      <c r="AT330" s="769"/>
      <c r="AU330" s="773"/>
    </row>
    <row r="331" spans="1:47" s="774" customFormat="1" x14ac:dyDescent="0.25">
      <c r="A331" s="451">
        <f t="shared" si="5"/>
        <v>24.8</v>
      </c>
      <c r="B331" s="768">
        <v>41626</v>
      </c>
      <c r="C331" s="769" t="s">
        <v>912</v>
      </c>
      <c r="D331" s="769" t="s">
        <v>462</v>
      </c>
      <c r="E331" s="769" t="s">
        <v>380</v>
      </c>
      <c r="F331" s="769" t="s">
        <v>310</v>
      </c>
      <c r="G331" s="769" t="s">
        <v>313</v>
      </c>
      <c r="H331" s="436"/>
      <c r="I331" s="436"/>
      <c r="J331" s="436"/>
      <c r="K331" s="436"/>
      <c r="L331" s="437"/>
      <c r="M331" s="437"/>
      <c r="N331" s="437"/>
      <c r="O331" s="437"/>
      <c r="P331" s="439"/>
      <c r="Q331" s="439"/>
      <c r="R331" s="436">
        <v>134</v>
      </c>
      <c r="S331" s="436">
        <v>238</v>
      </c>
      <c r="T331" s="436">
        <v>744</v>
      </c>
      <c r="U331" s="436">
        <v>372</v>
      </c>
      <c r="V331" s="436"/>
      <c r="W331" s="436"/>
      <c r="X331" s="436"/>
      <c r="Y331" s="436">
        <f>IF(NFI_Expiration=1,IF($A331&lt;VLOOKUP(H$5,NFI,5,0),1,0)*Table_NFI[[#This Row],[Hygiene Kit]],Table_NFI[Hygiene Kit])</f>
        <v>0</v>
      </c>
      <c r="Z331" s="436">
        <f>IF(NFI_Expiration=1,IF($A331&lt;VLOOKUP(I$5,NFI,5,0),1,0)*Table_NFI[[#This Row],[NFI Core Kit]],Table_NFI[NFI Core Kit])</f>
        <v>0</v>
      </c>
      <c r="AA331" s="436">
        <f>IF(NFI_Expiration=1,IF($A331&lt;VLOOKUP(J$5,NFI,5,0),1,0)*Table_NFI[[#This Row],[Sanitary Kit]],Table_NFI[Sanitary Kit])</f>
        <v>0</v>
      </c>
      <c r="AB331" s="436">
        <f>IF(NFI_Expiration=1,IF($A331&lt;VLOOKUP(K$5,NFI,5,0),1,0)*Table_NFI[[#This Row],[Mosquito net]],Table_NFI[Mosquito net])</f>
        <v>0</v>
      </c>
      <c r="AC331" s="436">
        <f>IF(NFI_Expiration=1,IF($A331&lt;VLOOKUP(L$5,NFI,5,0),1,0)*Table_NFI[[#This Row],[Tarpaulin]],Table_NFI[[#This Row],[Tarpaulin]])</f>
        <v>0</v>
      </c>
      <c r="AD331" s="436">
        <f>IF(NFI_Expiration=1,IF($A331&lt;VLOOKUP(M$5,NFI,5,0),1,0)*Table_NFI[[#This Row],[Blanket]],Table_NFI[[#This Row],[Blanket]])</f>
        <v>0</v>
      </c>
      <c r="AE331" s="436">
        <f>IF(NFI_Expiration=1,IF($A331&lt;VLOOKUP(N$5,NFI,5,0),1,0)*Table_NFI[[#This Row],[Kitchen Set]],Table_NFI[Kitchen Set])</f>
        <v>0</v>
      </c>
      <c r="AF331" s="436">
        <f>IF(NFI_Expiration=1,IF($A331&lt;VLOOKUP(O$5,NFI,5,0),1,0)*Table_NFI[[#This Row],[Clothes Kit]],Table_NFI[Clothes Kit])</f>
        <v>0</v>
      </c>
      <c r="AG331" s="436">
        <f>IF(NFI_Expiration=1,IF($A331&lt;VLOOKUP(P$5,NFI,5,0),1,0)*Table_NFI[[#This Row],[Plastic Bucket]],Table_NFI[Plastic Bucket])</f>
        <v>0</v>
      </c>
      <c r="AH331" s="436">
        <f>IF(NFI_Expiration=1,IF($A331&lt;VLOOKUP(Q$5,NFI,5,0),1,0)*Table_NFI[[#This Row],[Plastic Mat]],Table_NFI[Plastic Mat])*IF(Table_NFI[[#This Row],[Distribution Date]]&gt;"2014-04-01",1,2.5)</f>
        <v>0</v>
      </c>
      <c r="AI331" s="436">
        <f>IF(NFI_Expiration=1,IF($A331&lt;VLOOKUP(R$5,NFI,5,0),1,0)*Table_NFI[[#This Row],[Winter Clothes Adult]],Table_NFI[Winter Clothes Adult])</f>
        <v>0</v>
      </c>
      <c r="AJ331" s="436">
        <f>IF(NFI_Expiration=1,IF($A331&lt;VLOOKUP(S$5,NFI,5,0),1,0)*Table_NFI[[#This Row],[Winter Clothes Children]],Table_NFI[Winter Clothes Children])</f>
        <v>0</v>
      </c>
      <c r="AK331" s="436">
        <f>IF(NFI_Expiration=1,IF($A331&lt;VLOOKUP(T$5,NFI,5,0),1,0)*Table_NFI[[#This Row],[Winter Items Other]],Table_NFI[Winter Items Other])</f>
        <v>0</v>
      </c>
      <c r="AL331" s="436">
        <f>IF(NFI_Expiration=1,IF($A331&lt;VLOOKUP(M$5,NFI,5,0),1,0)*Table_NFI[[#This Row],[Winter Blanket]],Table_NFI[[#This Row],[Winter Blanket]])</f>
        <v>0</v>
      </c>
      <c r="AM331" s="436">
        <f>IF(Table_NFI[[#This Row],[Winter Clothes Adult]]+Table_NFI[[#This Row],[Winter Clothes Children]]+Table_NFI[[#This Row],[Winter Items Other]]+Table_NFI[[#This Row],[Winter Blanket]]&gt;0,1,0)</f>
        <v>1</v>
      </c>
      <c r="AN331" s="439">
        <f>IF(NFI_Expiration=1,IF($A331&lt;VLOOKUP(V$5,NFI,5,0),1,0)*Table_NFI[[#This Row],[Jerry Can]],Table_NFI[Jerry Can])</f>
        <v>0</v>
      </c>
      <c r="AO331" s="771" t="str">
        <f>IFERROR(VLOOKUP(Table_NFI[[#This Row],[Camp Name]],CL,2,0),"")</f>
        <v>MMR001CMP028</v>
      </c>
      <c r="AP331" s="772">
        <f ca="1">IF(Table_NFI[[#This Row],[Pcode]]="","",IF(OFFSET(CampList[Opening Date],MATCH(Table_NFI[[#This Row],[Pcode]],CampList[CP_Pcode],0)-1,0,1,1)&gt;=NFI_Monitor_Date,1,0))</f>
        <v>0</v>
      </c>
      <c r="AQ331" s="771" t="str">
        <f>IFERROR(VLOOKUP(Table_NFI[[#This Row],[Camp Name]],CL,3,0),"")</f>
        <v>Open</v>
      </c>
      <c r="AR331" s="436" t="str">
        <f ca="1">IF(Table_NFI[[#This Row],[Pcode]]="","",OFFSET(CampList[Priority],MATCH(Table_NFI[[#This Row],[Pcode]],CampList[CP_Pcode],0)-1,0,1,1))</f>
        <v>P4</v>
      </c>
      <c r="AS331" s="438">
        <f>IFERROR(Table_NFI[[#This Row],[Kitchen Set]]/VLOOKUP(Table_NFI[[#This Row],[Camp Name]],CL,4,0),"")</f>
        <v>0</v>
      </c>
      <c r="AT331" s="769"/>
      <c r="AU331" s="773"/>
    </row>
    <row r="332" spans="1:47" s="774" customFormat="1" x14ac:dyDescent="0.25">
      <c r="A332" s="451">
        <f t="shared" si="5"/>
        <v>24.8</v>
      </c>
      <c r="B332" s="768">
        <v>41626</v>
      </c>
      <c r="C332" s="769" t="s">
        <v>454</v>
      </c>
      <c r="D332" s="442" t="s">
        <v>454</v>
      </c>
      <c r="E332" s="769" t="s">
        <v>380</v>
      </c>
      <c r="F332" s="435" t="s">
        <v>5</v>
      </c>
      <c r="G332" s="435" t="s">
        <v>12</v>
      </c>
      <c r="H332" s="442"/>
      <c r="I332" s="442"/>
      <c r="J332" s="442"/>
      <c r="K332" s="775"/>
      <c r="L332" s="776">
        <v>4</v>
      </c>
      <c r="M332" s="443"/>
      <c r="N332" s="443"/>
      <c r="O332" s="443"/>
      <c r="P332" s="776"/>
      <c r="Q332" s="443"/>
      <c r="R332" s="442"/>
      <c r="S332" s="442"/>
      <c r="T332" s="442"/>
      <c r="U332" s="442"/>
      <c r="V332" s="442"/>
      <c r="W332" s="442"/>
      <c r="X332" s="442"/>
      <c r="Y332" s="436">
        <f>IF(NFI_Expiration=1,IF($A332&lt;VLOOKUP(H$5,NFI,5,0),1,0)*Table_NFI[[#This Row],[Hygiene Kit]],Table_NFI[Hygiene Kit])</f>
        <v>0</v>
      </c>
      <c r="Z332" s="436">
        <f>IF(NFI_Expiration=1,IF($A332&lt;VLOOKUP(I$5,NFI,5,0),1,0)*Table_NFI[[#This Row],[NFI Core Kit]],Table_NFI[NFI Core Kit])</f>
        <v>0</v>
      </c>
      <c r="AA332" s="436">
        <f>IF(NFI_Expiration=1,IF($A332&lt;VLOOKUP(J$5,NFI,5,0),1,0)*Table_NFI[[#This Row],[Sanitary Kit]],Table_NFI[Sanitary Kit])</f>
        <v>0</v>
      </c>
      <c r="AB332" s="436">
        <f>IF(NFI_Expiration=1,IF($A332&lt;VLOOKUP(K$5,NFI,5,0),1,0)*Table_NFI[[#This Row],[Mosquito net]],Table_NFI[Mosquito net])</f>
        <v>0</v>
      </c>
      <c r="AC332" s="436">
        <f>IF(NFI_Expiration=1,IF($A332&lt;VLOOKUP(L$5,NFI,5,0),1,0)*Table_NFI[[#This Row],[Tarpaulin]],Table_NFI[[#This Row],[Tarpaulin]])</f>
        <v>0</v>
      </c>
      <c r="AD332" s="436">
        <f>IF(NFI_Expiration=1,IF($A332&lt;VLOOKUP(M$5,NFI,5,0),1,0)*Table_NFI[[#This Row],[Blanket]],Table_NFI[[#This Row],[Blanket]])</f>
        <v>0</v>
      </c>
      <c r="AE332" s="436">
        <f>IF(NFI_Expiration=1,IF($A332&lt;VLOOKUP(N$5,NFI,5,0),1,0)*Table_NFI[[#This Row],[Kitchen Set]],Table_NFI[Kitchen Set])</f>
        <v>0</v>
      </c>
      <c r="AF332" s="436">
        <f>IF(NFI_Expiration=1,IF($A332&lt;VLOOKUP(O$5,NFI,5,0),1,0)*Table_NFI[[#This Row],[Clothes Kit]],Table_NFI[Clothes Kit])</f>
        <v>0</v>
      </c>
      <c r="AG332" s="436">
        <f>IF(NFI_Expiration=1,IF($A332&lt;VLOOKUP(P$5,NFI,5,0),1,0)*Table_NFI[[#This Row],[Plastic Bucket]],Table_NFI[Plastic Bucket])</f>
        <v>0</v>
      </c>
      <c r="AH332" s="436">
        <f>IF(NFI_Expiration=1,IF($A332&lt;VLOOKUP(Q$5,NFI,5,0),1,0)*Table_NFI[[#This Row],[Plastic Mat]],Table_NFI[Plastic Mat])*IF(Table_NFI[[#This Row],[Distribution Date]]&gt;"2014-04-01",1,2.5)</f>
        <v>0</v>
      </c>
      <c r="AI332" s="436">
        <f>IF(NFI_Expiration=1,IF($A332&lt;VLOOKUP(R$5,NFI,5,0),1,0)*Table_NFI[[#This Row],[Winter Clothes Adult]],Table_NFI[Winter Clothes Adult])</f>
        <v>0</v>
      </c>
      <c r="AJ332" s="436">
        <f>IF(NFI_Expiration=1,IF($A332&lt;VLOOKUP(S$5,NFI,5,0),1,0)*Table_NFI[[#This Row],[Winter Clothes Children]],Table_NFI[Winter Clothes Children])</f>
        <v>0</v>
      </c>
      <c r="AK332" s="436">
        <f>IF(NFI_Expiration=1,IF($A332&lt;VLOOKUP(T$5,NFI,5,0),1,0)*Table_NFI[[#This Row],[Winter Items Other]],Table_NFI[Winter Items Other])</f>
        <v>0</v>
      </c>
      <c r="AL332" s="436">
        <f>IF(NFI_Expiration=1,IF($A332&lt;VLOOKUP(M$5,NFI,5,0),1,0)*Table_NFI[[#This Row],[Winter Blanket]],Table_NFI[[#This Row],[Winter Blanket]])</f>
        <v>0</v>
      </c>
      <c r="AM332" s="436">
        <f>IF(Table_NFI[[#This Row],[Winter Clothes Adult]]+Table_NFI[[#This Row],[Winter Clothes Children]]+Table_NFI[[#This Row],[Winter Items Other]]+Table_NFI[[#This Row],[Winter Blanket]]&gt;0,1,0)</f>
        <v>0</v>
      </c>
      <c r="AN332" s="439">
        <f>IF(NFI_Expiration=1,IF($A332&lt;VLOOKUP(V$5,NFI,5,0),1,0)*Table_NFI[[#This Row],[Jerry Can]],Table_NFI[Jerry Can])</f>
        <v>0</v>
      </c>
      <c r="AO332" s="771" t="str">
        <f>IFERROR(VLOOKUP(Table_NFI[[#This Row],[Camp Name]],CL,2,0),"")</f>
        <v>MMR001CMP163</v>
      </c>
      <c r="AP332" s="772">
        <f ca="1">IF(Table_NFI[[#This Row],[Pcode]]="","",IF(OFFSET(CampList[Opening Date],MATCH(Table_NFI[[#This Row],[Pcode]],CampList[CP_Pcode],0)-1,0,1,1)&gt;=NFI_Monitor_Date,1,0))</f>
        <v>0</v>
      </c>
      <c r="AQ332" s="781" t="str">
        <f>IFERROR(VLOOKUP(Table_NFI[[#This Row],[Camp Name]],CL,3,0),"")</f>
        <v>Open</v>
      </c>
      <c r="AR332" s="439" t="str">
        <f ca="1">IF(Table_NFI[[#This Row],[Pcode]]="","",OFFSET(CampList[Priority],MATCH(Table_NFI[[#This Row],[Pcode]],CampList[CP_Pcode],0)-1,0,1,1))</f>
        <v>P4</v>
      </c>
      <c r="AS332" s="438">
        <f>IFERROR(Table_NFI[[#This Row],[Kitchen Set]]/VLOOKUP(Table_NFI[[#This Row],[Camp Name]],CL,4,0),"")</f>
        <v>0</v>
      </c>
      <c r="AT332" s="769" t="s">
        <v>1099</v>
      </c>
      <c r="AU332" s="773"/>
    </row>
    <row r="333" spans="1:47" s="774" customFormat="1" x14ac:dyDescent="0.25">
      <c r="A333" s="451">
        <f t="shared" si="5"/>
        <v>24.8</v>
      </c>
      <c r="B333" s="768">
        <v>41626</v>
      </c>
      <c r="C333" s="769" t="s">
        <v>912</v>
      </c>
      <c r="D333" s="769" t="s">
        <v>462</v>
      </c>
      <c r="E333" s="769" t="s">
        <v>380</v>
      </c>
      <c r="F333" s="435" t="s">
        <v>310</v>
      </c>
      <c r="G333" s="769" t="s">
        <v>320</v>
      </c>
      <c r="H333" s="436"/>
      <c r="I333" s="436"/>
      <c r="J333" s="436"/>
      <c r="K333" s="436"/>
      <c r="L333" s="437"/>
      <c r="M333" s="437"/>
      <c r="N333" s="437"/>
      <c r="O333" s="437"/>
      <c r="P333" s="439"/>
      <c r="Q333" s="439"/>
      <c r="R333" s="436">
        <v>23</v>
      </c>
      <c r="S333" s="436">
        <v>45</v>
      </c>
      <c r="T333" s="436">
        <v>136</v>
      </c>
      <c r="U333" s="436">
        <v>68</v>
      </c>
      <c r="V333" s="436"/>
      <c r="W333" s="436"/>
      <c r="X333" s="436"/>
      <c r="Y333" s="436">
        <f>IF(NFI_Expiration=1,IF($A333&lt;VLOOKUP(H$5,NFI,5,0),1,0)*Table_NFI[[#This Row],[Hygiene Kit]],Table_NFI[Hygiene Kit])</f>
        <v>0</v>
      </c>
      <c r="Z333" s="436">
        <f>IF(NFI_Expiration=1,IF($A333&lt;VLOOKUP(I$5,NFI,5,0),1,0)*Table_NFI[[#This Row],[NFI Core Kit]],Table_NFI[NFI Core Kit])</f>
        <v>0</v>
      </c>
      <c r="AA333" s="436">
        <f>IF(NFI_Expiration=1,IF($A333&lt;VLOOKUP(J$5,NFI,5,0),1,0)*Table_NFI[[#This Row],[Sanitary Kit]],Table_NFI[Sanitary Kit])</f>
        <v>0</v>
      </c>
      <c r="AB333" s="436">
        <f>IF(NFI_Expiration=1,IF($A333&lt;VLOOKUP(K$5,NFI,5,0),1,0)*Table_NFI[[#This Row],[Mosquito net]],Table_NFI[Mosquito net])</f>
        <v>0</v>
      </c>
      <c r="AC333" s="436">
        <f>IF(NFI_Expiration=1,IF($A333&lt;VLOOKUP(L$5,NFI,5,0),1,0)*Table_NFI[[#This Row],[Tarpaulin]],Table_NFI[[#This Row],[Tarpaulin]])</f>
        <v>0</v>
      </c>
      <c r="AD333" s="436">
        <f>IF(NFI_Expiration=1,IF($A333&lt;VLOOKUP(M$5,NFI,5,0),1,0)*Table_NFI[[#This Row],[Blanket]],Table_NFI[[#This Row],[Blanket]])</f>
        <v>0</v>
      </c>
      <c r="AE333" s="436">
        <f>IF(NFI_Expiration=1,IF($A333&lt;VLOOKUP(N$5,NFI,5,0),1,0)*Table_NFI[[#This Row],[Kitchen Set]],Table_NFI[Kitchen Set])</f>
        <v>0</v>
      </c>
      <c r="AF333" s="436">
        <f>IF(NFI_Expiration=1,IF($A333&lt;VLOOKUP(O$5,NFI,5,0),1,0)*Table_NFI[[#This Row],[Clothes Kit]],Table_NFI[Clothes Kit])</f>
        <v>0</v>
      </c>
      <c r="AG333" s="436">
        <f>IF(NFI_Expiration=1,IF($A333&lt;VLOOKUP(P$5,NFI,5,0),1,0)*Table_NFI[[#This Row],[Plastic Bucket]],Table_NFI[Plastic Bucket])</f>
        <v>0</v>
      </c>
      <c r="AH333" s="436">
        <f>IF(NFI_Expiration=1,IF($A333&lt;VLOOKUP(Q$5,NFI,5,0),1,0)*Table_NFI[[#This Row],[Plastic Mat]],Table_NFI[Plastic Mat])*IF(Table_NFI[[#This Row],[Distribution Date]]&gt;"2014-04-01",1,2.5)</f>
        <v>0</v>
      </c>
      <c r="AI333" s="436">
        <f>IF(NFI_Expiration=1,IF($A333&lt;VLOOKUP(R$5,NFI,5,0),1,0)*Table_NFI[[#This Row],[Winter Clothes Adult]],Table_NFI[Winter Clothes Adult])</f>
        <v>0</v>
      </c>
      <c r="AJ333" s="436">
        <f>IF(NFI_Expiration=1,IF($A333&lt;VLOOKUP(S$5,NFI,5,0),1,0)*Table_NFI[[#This Row],[Winter Clothes Children]],Table_NFI[Winter Clothes Children])</f>
        <v>0</v>
      </c>
      <c r="AK333" s="436">
        <f>IF(NFI_Expiration=1,IF($A333&lt;VLOOKUP(T$5,NFI,5,0),1,0)*Table_NFI[[#This Row],[Winter Items Other]],Table_NFI[Winter Items Other])</f>
        <v>0</v>
      </c>
      <c r="AL333" s="436">
        <f>IF(NFI_Expiration=1,IF($A333&lt;VLOOKUP(M$5,NFI,5,0),1,0)*Table_NFI[[#This Row],[Winter Blanket]],Table_NFI[[#This Row],[Winter Blanket]])</f>
        <v>0</v>
      </c>
      <c r="AM333" s="436">
        <f>IF(Table_NFI[[#This Row],[Winter Clothes Adult]]+Table_NFI[[#This Row],[Winter Clothes Children]]+Table_NFI[[#This Row],[Winter Items Other]]+Table_NFI[[#This Row],[Winter Blanket]]&gt;0,1,0)</f>
        <v>1</v>
      </c>
      <c r="AN333" s="439">
        <f>IF(NFI_Expiration=1,IF($A333&lt;VLOOKUP(V$5,NFI,5,0),1,0)*Table_NFI[[#This Row],[Jerry Can]],Table_NFI[Jerry Can])</f>
        <v>0</v>
      </c>
      <c r="AO333" s="771" t="str">
        <f>IFERROR(VLOOKUP(Table_NFI[[#This Row],[Camp Name]],CL,2,0),"")</f>
        <v>MMR001CMP027</v>
      </c>
      <c r="AP333" s="772">
        <f ca="1">IF(Table_NFI[[#This Row],[Pcode]]="","",IF(OFFSET(CampList[Opening Date],MATCH(Table_NFI[[#This Row],[Pcode]],CampList[CP_Pcode],0)-1,0,1,1)&gt;=NFI_Monitor_Date,1,0))</f>
        <v>0</v>
      </c>
      <c r="AQ333" s="771" t="str">
        <f>IFERROR(VLOOKUP(Table_NFI[[#This Row],[Camp Name]],CL,3,0),"")</f>
        <v>Open</v>
      </c>
      <c r="AR333" s="436" t="str">
        <f ca="1">IF(Table_NFI[[#This Row],[Pcode]]="","",OFFSET(CampList[Priority],MATCH(Table_NFI[[#This Row],[Pcode]],CampList[CP_Pcode],0)-1,0,1,1))</f>
        <v>P4</v>
      </c>
      <c r="AS333" s="438">
        <f>IFERROR(Table_NFI[[#This Row],[Kitchen Set]]/VLOOKUP(Table_NFI[[#This Row],[Camp Name]],CL,4,0),"")</f>
        <v>0</v>
      </c>
      <c r="AT333" s="769"/>
      <c r="AU333" s="773"/>
    </row>
    <row r="334" spans="1:47" s="774" customFormat="1" x14ac:dyDescent="0.25">
      <c r="A334" s="451">
        <f t="shared" si="5"/>
        <v>24.8</v>
      </c>
      <c r="B334" s="768">
        <v>41626</v>
      </c>
      <c r="C334" s="769" t="s">
        <v>912</v>
      </c>
      <c r="D334" s="769" t="s">
        <v>462</v>
      </c>
      <c r="E334" s="769" t="s">
        <v>380</v>
      </c>
      <c r="F334" s="769" t="s">
        <v>310</v>
      </c>
      <c r="G334" s="769" t="s">
        <v>338</v>
      </c>
      <c r="H334" s="436"/>
      <c r="I334" s="436"/>
      <c r="J334" s="436"/>
      <c r="K334" s="436"/>
      <c r="L334" s="437"/>
      <c r="M334" s="437"/>
      <c r="N334" s="437"/>
      <c r="O334" s="437"/>
      <c r="P334" s="439"/>
      <c r="Q334" s="439"/>
      <c r="R334" s="436">
        <v>30</v>
      </c>
      <c r="S334" s="436">
        <v>57</v>
      </c>
      <c r="T334" s="436">
        <v>174</v>
      </c>
      <c r="U334" s="436">
        <v>87</v>
      </c>
      <c r="V334" s="436"/>
      <c r="W334" s="436"/>
      <c r="X334" s="436"/>
      <c r="Y334" s="436">
        <f>IF(NFI_Expiration=1,IF($A334&lt;VLOOKUP(H$5,NFI,5,0),1,0)*Table_NFI[[#This Row],[Hygiene Kit]],Table_NFI[Hygiene Kit])</f>
        <v>0</v>
      </c>
      <c r="Z334" s="436">
        <f>IF(NFI_Expiration=1,IF($A334&lt;VLOOKUP(I$5,NFI,5,0),1,0)*Table_NFI[[#This Row],[NFI Core Kit]],Table_NFI[NFI Core Kit])</f>
        <v>0</v>
      </c>
      <c r="AA334" s="436">
        <f>IF(NFI_Expiration=1,IF($A334&lt;VLOOKUP(J$5,NFI,5,0),1,0)*Table_NFI[[#This Row],[Sanitary Kit]],Table_NFI[Sanitary Kit])</f>
        <v>0</v>
      </c>
      <c r="AB334" s="436">
        <f>IF(NFI_Expiration=1,IF($A334&lt;VLOOKUP(K$5,NFI,5,0),1,0)*Table_NFI[[#This Row],[Mosquito net]],Table_NFI[Mosquito net])</f>
        <v>0</v>
      </c>
      <c r="AC334" s="436">
        <f>IF(NFI_Expiration=1,IF($A334&lt;VLOOKUP(L$5,NFI,5,0),1,0)*Table_NFI[[#This Row],[Tarpaulin]],Table_NFI[[#This Row],[Tarpaulin]])</f>
        <v>0</v>
      </c>
      <c r="AD334" s="436">
        <f>IF(NFI_Expiration=1,IF($A334&lt;VLOOKUP(M$5,NFI,5,0),1,0)*Table_NFI[[#This Row],[Blanket]],Table_NFI[[#This Row],[Blanket]])</f>
        <v>0</v>
      </c>
      <c r="AE334" s="436">
        <f>IF(NFI_Expiration=1,IF($A334&lt;VLOOKUP(N$5,NFI,5,0),1,0)*Table_NFI[[#This Row],[Kitchen Set]],Table_NFI[Kitchen Set])</f>
        <v>0</v>
      </c>
      <c r="AF334" s="436">
        <f>IF(NFI_Expiration=1,IF($A334&lt;VLOOKUP(O$5,NFI,5,0),1,0)*Table_NFI[[#This Row],[Clothes Kit]],Table_NFI[Clothes Kit])</f>
        <v>0</v>
      </c>
      <c r="AG334" s="436">
        <f>IF(NFI_Expiration=1,IF($A334&lt;VLOOKUP(P$5,NFI,5,0),1,0)*Table_NFI[[#This Row],[Plastic Bucket]],Table_NFI[Plastic Bucket])</f>
        <v>0</v>
      </c>
      <c r="AH334" s="436">
        <f>IF(NFI_Expiration=1,IF($A334&lt;VLOOKUP(Q$5,NFI,5,0),1,0)*Table_NFI[[#This Row],[Plastic Mat]],Table_NFI[Plastic Mat])*IF(Table_NFI[[#This Row],[Distribution Date]]&gt;"2014-04-01",1,2.5)</f>
        <v>0</v>
      </c>
      <c r="AI334" s="436">
        <f>IF(NFI_Expiration=1,IF($A334&lt;VLOOKUP(R$5,NFI,5,0),1,0)*Table_NFI[[#This Row],[Winter Clothes Adult]],Table_NFI[Winter Clothes Adult])</f>
        <v>0</v>
      </c>
      <c r="AJ334" s="436">
        <f>IF(NFI_Expiration=1,IF($A334&lt;VLOOKUP(S$5,NFI,5,0),1,0)*Table_NFI[[#This Row],[Winter Clothes Children]],Table_NFI[Winter Clothes Children])</f>
        <v>0</v>
      </c>
      <c r="AK334" s="436">
        <f>IF(NFI_Expiration=1,IF($A334&lt;VLOOKUP(T$5,NFI,5,0),1,0)*Table_NFI[[#This Row],[Winter Items Other]],Table_NFI[Winter Items Other])</f>
        <v>0</v>
      </c>
      <c r="AL334" s="436">
        <f>IF(NFI_Expiration=1,IF($A334&lt;VLOOKUP(M$5,NFI,5,0),1,0)*Table_NFI[[#This Row],[Winter Blanket]],Table_NFI[[#This Row],[Winter Blanket]])</f>
        <v>0</v>
      </c>
      <c r="AM334" s="436">
        <f>IF(Table_NFI[[#This Row],[Winter Clothes Adult]]+Table_NFI[[#This Row],[Winter Clothes Children]]+Table_NFI[[#This Row],[Winter Items Other]]+Table_NFI[[#This Row],[Winter Blanket]]&gt;0,1,0)</f>
        <v>1</v>
      </c>
      <c r="AN334" s="439">
        <f>IF(NFI_Expiration=1,IF($A334&lt;VLOOKUP(V$5,NFI,5,0),1,0)*Table_NFI[[#This Row],[Jerry Can]],Table_NFI[Jerry Can])</f>
        <v>0</v>
      </c>
      <c r="AO334" s="771" t="str">
        <f>IFERROR(VLOOKUP(Table_NFI[[#This Row],[Camp Name]],CL,2,0),"")</f>
        <v>MMR001CMP030</v>
      </c>
      <c r="AP334" s="772">
        <f ca="1">IF(Table_NFI[[#This Row],[Pcode]]="","",IF(OFFSET(CampList[Opening Date],MATCH(Table_NFI[[#This Row],[Pcode]],CampList[CP_Pcode],0)-1,0,1,1)&gt;=NFI_Monitor_Date,1,0))</f>
        <v>0</v>
      </c>
      <c r="AQ334" s="771" t="str">
        <f>IFERROR(VLOOKUP(Table_NFI[[#This Row],[Camp Name]],CL,3,0),"")</f>
        <v>Open</v>
      </c>
      <c r="AR334" s="436" t="str">
        <f ca="1">IF(Table_NFI[[#This Row],[Pcode]]="","",OFFSET(CampList[Priority],MATCH(Table_NFI[[#This Row],[Pcode]],CampList[CP_Pcode],0)-1,0,1,1))</f>
        <v>P4</v>
      </c>
      <c r="AS334" s="438">
        <f>IFERROR(Table_NFI[[#This Row],[Kitchen Set]]/VLOOKUP(Table_NFI[[#This Row],[Camp Name]],CL,4,0),"")</f>
        <v>0</v>
      </c>
      <c r="AT334" s="769"/>
      <c r="AU334" s="773"/>
    </row>
    <row r="335" spans="1:47" s="774" customFormat="1" x14ac:dyDescent="0.25">
      <c r="A335" s="451">
        <f t="shared" si="5"/>
        <v>24.833333333333332</v>
      </c>
      <c r="B335" s="768">
        <v>41625</v>
      </c>
      <c r="C335" s="769" t="s">
        <v>912</v>
      </c>
      <c r="D335" s="769" t="s">
        <v>462</v>
      </c>
      <c r="E335" s="769" t="s">
        <v>380</v>
      </c>
      <c r="F335" s="435" t="s">
        <v>310</v>
      </c>
      <c r="G335" s="769" t="s">
        <v>342</v>
      </c>
      <c r="H335" s="436"/>
      <c r="I335" s="436"/>
      <c r="J335" s="436"/>
      <c r="K335" s="436"/>
      <c r="L335" s="437"/>
      <c r="M335" s="437"/>
      <c r="N335" s="437"/>
      <c r="O335" s="437"/>
      <c r="P335" s="439"/>
      <c r="Q335" s="439"/>
      <c r="R335" s="436">
        <v>73</v>
      </c>
      <c r="S335" s="436">
        <v>146</v>
      </c>
      <c r="T335" s="436">
        <v>438</v>
      </c>
      <c r="U335" s="436">
        <v>219</v>
      </c>
      <c r="V335" s="436"/>
      <c r="W335" s="436"/>
      <c r="X335" s="436"/>
      <c r="Y335" s="436">
        <f>IF(NFI_Expiration=1,IF($A335&lt;VLOOKUP(H$5,NFI,5,0),1,0)*Table_NFI[[#This Row],[Hygiene Kit]],Table_NFI[Hygiene Kit])</f>
        <v>0</v>
      </c>
      <c r="Z335" s="436">
        <f>IF(NFI_Expiration=1,IF($A335&lt;VLOOKUP(I$5,NFI,5,0),1,0)*Table_NFI[[#This Row],[NFI Core Kit]],Table_NFI[NFI Core Kit])</f>
        <v>0</v>
      </c>
      <c r="AA335" s="436">
        <f>IF(NFI_Expiration=1,IF($A335&lt;VLOOKUP(J$5,NFI,5,0),1,0)*Table_NFI[[#This Row],[Sanitary Kit]],Table_NFI[Sanitary Kit])</f>
        <v>0</v>
      </c>
      <c r="AB335" s="436">
        <f>IF(NFI_Expiration=1,IF($A335&lt;VLOOKUP(K$5,NFI,5,0),1,0)*Table_NFI[[#This Row],[Mosquito net]],Table_NFI[Mosquito net])</f>
        <v>0</v>
      </c>
      <c r="AC335" s="436">
        <f>IF(NFI_Expiration=1,IF($A335&lt;VLOOKUP(L$5,NFI,5,0),1,0)*Table_NFI[[#This Row],[Tarpaulin]],Table_NFI[[#This Row],[Tarpaulin]])</f>
        <v>0</v>
      </c>
      <c r="AD335" s="436">
        <f>IF(NFI_Expiration=1,IF($A335&lt;VLOOKUP(M$5,NFI,5,0),1,0)*Table_NFI[[#This Row],[Blanket]],Table_NFI[[#This Row],[Blanket]])</f>
        <v>0</v>
      </c>
      <c r="AE335" s="436">
        <f>IF(NFI_Expiration=1,IF($A335&lt;VLOOKUP(N$5,NFI,5,0),1,0)*Table_NFI[[#This Row],[Kitchen Set]],Table_NFI[Kitchen Set])</f>
        <v>0</v>
      </c>
      <c r="AF335" s="436">
        <f>IF(NFI_Expiration=1,IF($A335&lt;VLOOKUP(O$5,NFI,5,0),1,0)*Table_NFI[[#This Row],[Clothes Kit]],Table_NFI[Clothes Kit])</f>
        <v>0</v>
      </c>
      <c r="AG335" s="436">
        <f>IF(NFI_Expiration=1,IF($A335&lt;VLOOKUP(P$5,NFI,5,0),1,0)*Table_NFI[[#This Row],[Plastic Bucket]],Table_NFI[Plastic Bucket])</f>
        <v>0</v>
      </c>
      <c r="AH335" s="436">
        <f>IF(NFI_Expiration=1,IF($A335&lt;VLOOKUP(Q$5,NFI,5,0),1,0)*Table_NFI[[#This Row],[Plastic Mat]],Table_NFI[Plastic Mat])*IF(Table_NFI[[#This Row],[Distribution Date]]&gt;"2014-04-01",1,2.5)</f>
        <v>0</v>
      </c>
      <c r="AI335" s="436">
        <f>IF(NFI_Expiration=1,IF($A335&lt;VLOOKUP(R$5,NFI,5,0),1,0)*Table_NFI[[#This Row],[Winter Clothes Adult]],Table_NFI[Winter Clothes Adult])</f>
        <v>0</v>
      </c>
      <c r="AJ335" s="436">
        <f>IF(NFI_Expiration=1,IF($A335&lt;VLOOKUP(S$5,NFI,5,0),1,0)*Table_NFI[[#This Row],[Winter Clothes Children]],Table_NFI[Winter Clothes Children])</f>
        <v>0</v>
      </c>
      <c r="AK335" s="436">
        <f>IF(NFI_Expiration=1,IF($A335&lt;VLOOKUP(T$5,NFI,5,0),1,0)*Table_NFI[[#This Row],[Winter Items Other]],Table_NFI[Winter Items Other])</f>
        <v>0</v>
      </c>
      <c r="AL335" s="436">
        <f>IF(NFI_Expiration=1,IF($A335&lt;VLOOKUP(M$5,NFI,5,0),1,0)*Table_NFI[[#This Row],[Winter Blanket]],Table_NFI[[#This Row],[Winter Blanket]])</f>
        <v>0</v>
      </c>
      <c r="AM335" s="436">
        <f>IF(Table_NFI[[#This Row],[Winter Clothes Adult]]+Table_NFI[[#This Row],[Winter Clothes Children]]+Table_NFI[[#This Row],[Winter Items Other]]+Table_NFI[[#This Row],[Winter Blanket]]&gt;0,1,0)</f>
        <v>1</v>
      </c>
      <c r="AN335" s="439">
        <f>IF(NFI_Expiration=1,IF($A335&lt;VLOOKUP(V$5,NFI,5,0),1,0)*Table_NFI[[#This Row],[Jerry Can]],Table_NFI[Jerry Can])</f>
        <v>0</v>
      </c>
      <c r="AO335" s="771" t="str">
        <f>IFERROR(VLOOKUP(Table_NFI[[#This Row],[Camp Name]],CL,2,0),"")</f>
        <v>MMR001CMP025</v>
      </c>
      <c r="AP335" s="772">
        <f ca="1">IF(Table_NFI[[#This Row],[Pcode]]="","",IF(OFFSET(CampList[Opening Date],MATCH(Table_NFI[[#This Row],[Pcode]],CampList[CP_Pcode],0)-1,0,1,1)&gt;=NFI_Monitor_Date,1,0))</f>
        <v>0</v>
      </c>
      <c r="AQ335" s="771" t="str">
        <f>IFERROR(VLOOKUP(Table_NFI[[#This Row],[Camp Name]],CL,3,0),"")</f>
        <v>Open</v>
      </c>
      <c r="AR335" s="436" t="str">
        <f ca="1">IF(Table_NFI[[#This Row],[Pcode]]="","",OFFSET(CampList[Priority],MATCH(Table_NFI[[#This Row],[Pcode]],CampList[CP_Pcode],0)-1,0,1,1))</f>
        <v>P4</v>
      </c>
      <c r="AS335" s="438">
        <f>IFERROR(Table_NFI[[#This Row],[Kitchen Set]]/VLOOKUP(Table_NFI[[#This Row],[Camp Name]],CL,4,0),"")</f>
        <v>0</v>
      </c>
      <c r="AT335" s="769"/>
      <c r="AU335" s="773"/>
    </row>
    <row r="336" spans="1:47" s="774" customFormat="1" x14ac:dyDescent="0.25">
      <c r="A336" s="451">
        <f t="shared" si="5"/>
        <v>24.833333333333332</v>
      </c>
      <c r="B336" s="768">
        <v>41625</v>
      </c>
      <c r="C336" s="769" t="s">
        <v>912</v>
      </c>
      <c r="D336" s="769" t="s">
        <v>462</v>
      </c>
      <c r="E336" s="769" t="s">
        <v>380</v>
      </c>
      <c r="F336" s="769" t="s">
        <v>310</v>
      </c>
      <c r="G336" s="769" t="s">
        <v>347</v>
      </c>
      <c r="H336" s="436"/>
      <c r="I336" s="436"/>
      <c r="J336" s="436"/>
      <c r="K336" s="436"/>
      <c r="L336" s="437"/>
      <c r="M336" s="437"/>
      <c r="N336" s="437"/>
      <c r="O336" s="437"/>
      <c r="P336" s="439"/>
      <c r="Q336" s="439"/>
      <c r="R336" s="436">
        <v>188</v>
      </c>
      <c r="S336" s="436">
        <v>343</v>
      </c>
      <c r="T336" s="436">
        <v>1062</v>
      </c>
      <c r="U336" s="436">
        <v>531</v>
      </c>
      <c r="V336" s="436"/>
      <c r="W336" s="436"/>
      <c r="X336" s="436"/>
      <c r="Y336" s="436">
        <f>IF(NFI_Expiration=1,IF($A336&lt;VLOOKUP(H$5,NFI,5,0),1,0)*Table_NFI[[#This Row],[Hygiene Kit]],Table_NFI[Hygiene Kit])</f>
        <v>0</v>
      </c>
      <c r="Z336" s="436">
        <f>IF(NFI_Expiration=1,IF($A336&lt;VLOOKUP(I$5,NFI,5,0),1,0)*Table_NFI[[#This Row],[NFI Core Kit]],Table_NFI[NFI Core Kit])</f>
        <v>0</v>
      </c>
      <c r="AA336" s="436">
        <f>IF(NFI_Expiration=1,IF($A336&lt;VLOOKUP(J$5,NFI,5,0),1,0)*Table_NFI[[#This Row],[Sanitary Kit]],Table_NFI[Sanitary Kit])</f>
        <v>0</v>
      </c>
      <c r="AB336" s="436">
        <f>IF(NFI_Expiration=1,IF($A336&lt;VLOOKUP(K$5,NFI,5,0),1,0)*Table_NFI[[#This Row],[Mosquito net]],Table_NFI[Mosquito net])</f>
        <v>0</v>
      </c>
      <c r="AC336" s="436">
        <f>IF(NFI_Expiration=1,IF($A336&lt;VLOOKUP(L$5,NFI,5,0),1,0)*Table_NFI[[#This Row],[Tarpaulin]],Table_NFI[[#This Row],[Tarpaulin]])</f>
        <v>0</v>
      </c>
      <c r="AD336" s="436">
        <f>IF(NFI_Expiration=1,IF($A336&lt;VLOOKUP(M$5,NFI,5,0),1,0)*Table_NFI[[#This Row],[Blanket]],Table_NFI[[#This Row],[Blanket]])</f>
        <v>0</v>
      </c>
      <c r="AE336" s="436">
        <f>IF(NFI_Expiration=1,IF($A336&lt;VLOOKUP(N$5,NFI,5,0),1,0)*Table_NFI[[#This Row],[Kitchen Set]],Table_NFI[Kitchen Set])</f>
        <v>0</v>
      </c>
      <c r="AF336" s="436">
        <f>IF(NFI_Expiration=1,IF($A336&lt;VLOOKUP(O$5,NFI,5,0),1,0)*Table_NFI[[#This Row],[Clothes Kit]],Table_NFI[Clothes Kit])</f>
        <v>0</v>
      </c>
      <c r="AG336" s="436">
        <f>IF(NFI_Expiration=1,IF($A336&lt;VLOOKUP(P$5,NFI,5,0),1,0)*Table_NFI[[#This Row],[Plastic Bucket]],Table_NFI[Plastic Bucket])</f>
        <v>0</v>
      </c>
      <c r="AH336" s="436">
        <f>IF(NFI_Expiration=1,IF($A336&lt;VLOOKUP(Q$5,NFI,5,0),1,0)*Table_NFI[[#This Row],[Plastic Mat]],Table_NFI[Plastic Mat])*IF(Table_NFI[[#This Row],[Distribution Date]]&gt;"2014-04-01",1,2.5)</f>
        <v>0</v>
      </c>
      <c r="AI336" s="436">
        <f>IF(NFI_Expiration=1,IF($A336&lt;VLOOKUP(R$5,NFI,5,0),1,0)*Table_NFI[[#This Row],[Winter Clothes Adult]],Table_NFI[Winter Clothes Adult])</f>
        <v>0</v>
      </c>
      <c r="AJ336" s="436">
        <f>IF(NFI_Expiration=1,IF($A336&lt;VLOOKUP(S$5,NFI,5,0),1,0)*Table_NFI[[#This Row],[Winter Clothes Children]],Table_NFI[Winter Clothes Children])</f>
        <v>0</v>
      </c>
      <c r="AK336" s="436">
        <f>IF(NFI_Expiration=1,IF($A336&lt;VLOOKUP(T$5,NFI,5,0),1,0)*Table_NFI[[#This Row],[Winter Items Other]],Table_NFI[Winter Items Other])</f>
        <v>0</v>
      </c>
      <c r="AL336" s="436">
        <f>IF(NFI_Expiration=1,IF($A336&lt;VLOOKUP(M$5,NFI,5,0),1,0)*Table_NFI[[#This Row],[Winter Blanket]],Table_NFI[[#This Row],[Winter Blanket]])</f>
        <v>0</v>
      </c>
      <c r="AM336" s="436">
        <f>IF(Table_NFI[[#This Row],[Winter Clothes Adult]]+Table_NFI[[#This Row],[Winter Clothes Children]]+Table_NFI[[#This Row],[Winter Items Other]]+Table_NFI[[#This Row],[Winter Blanket]]&gt;0,1,0)</f>
        <v>1</v>
      </c>
      <c r="AN336" s="439">
        <f>IF(NFI_Expiration=1,IF($A336&lt;VLOOKUP(V$5,NFI,5,0),1,0)*Table_NFI[[#This Row],[Jerry Can]],Table_NFI[Jerry Can])</f>
        <v>0</v>
      </c>
      <c r="AO336" s="771" t="str">
        <f>IFERROR(VLOOKUP(Table_NFI[[#This Row],[Camp Name]],CL,2,0),"")</f>
        <v>MMR001CMP041</v>
      </c>
      <c r="AP336" s="772">
        <f ca="1">IF(Table_NFI[[#This Row],[Pcode]]="","",IF(OFFSET(CampList[Opening Date],MATCH(Table_NFI[[#This Row],[Pcode]],CampList[CP_Pcode],0)-1,0,1,1)&gt;=NFI_Monitor_Date,1,0))</f>
        <v>0</v>
      </c>
      <c r="AQ336" s="771" t="str">
        <f>IFERROR(VLOOKUP(Table_NFI[[#This Row],[Camp Name]],CL,3,0),"")</f>
        <v>Open</v>
      </c>
      <c r="AR336" s="436" t="str">
        <f ca="1">IF(Table_NFI[[#This Row],[Pcode]]="","",OFFSET(CampList[Priority],MATCH(Table_NFI[[#This Row],[Pcode]],CampList[CP_Pcode],0)-1,0,1,1))</f>
        <v>P1</v>
      </c>
      <c r="AS336" s="438">
        <f>IFERROR(Table_NFI[[#This Row],[Kitchen Set]]/VLOOKUP(Table_NFI[[#This Row],[Camp Name]],CL,4,0),"")</f>
        <v>0</v>
      </c>
      <c r="AT336" s="769"/>
      <c r="AU336" s="773"/>
    </row>
    <row r="337" spans="1:47" s="774" customFormat="1" x14ac:dyDescent="0.25">
      <c r="A337" s="451">
        <f t="shared" si="5"/>
        <v>24.866666666666667</v>
      </c>
      <c r="B337" s="768">
        <v>41624</v>
      </c>
      <c r="C337" s="769" t="s">
        <v>912</v>
      </c>
      <c r="D337" s="769" t="s">
        <v>462</v>
      </c>
      <c r="E337" s="769" t="s">
        <v>380</v>
      </c>
      <c r="F337" s="769" t="s">
        <v>310</v>
      </c>
      <c r="G337" s="769" t="s">
        <v>316</v>
      </c>
      <c r="H337" s="436"/>
      <c r="I337" s="436"/>
      <c r="J337" s="436"/>
      <c r="K337" s="436"/>
      <c r="L337" s="437"/>
      <c r="M337" s="437"/>
      <c r="N337" s="437"/>
      <c r="O337" s="437"/>
      <c r="P337" s="439"/>
      <c r="Q337" s="439"/>
      <c r="R337" s="436">
        <v>77</v>
      </c>
      <c r="S337" s="436">
        <v>153</v>
      </c>
      <c r="T337" s="436">
        <v>460</v>
      </c>
      <c r="U337" s="436">
        <v>230</v>
      </c>
      <c r="V337" s="436"/>
      <c r="W337" s="436"/>
      <c r="X337" s="436"/>
      <c r="Y337" s="436">
        <f>IF(NFI_Expiration=1,IF($A337&lt;VLOOKUP(H$5,NFI,5,0),1,0)*Table_NFI[[#This Row],[Hygiene Kit]],Table_NFI[Hygiene Kit])</f>
        <v>0</v>
      </c>
      <c r="Z337" s="436">
        <f>IF(NFI_Expiration=1,IF($A337&lt;VLOOKUP(I$5,NFI,5,0),1,0)*Table_NFI[[#This Row],[NFI Core Kit]],Table_NFI[NFI Core Kit])</f>
        <v>0</v>
      </c>
      <c r="AA337" s="436">
        <f>IF(NFI_Expiration=1,IF($A337&lt;VLOOKUP(J$5,NFI,5,0),1,0)*Table_NFI[[#This Row],[Sanitary Kit]],Table_NFI[Sanitary Kit])</f>
        <v>0</v>
      </c>
      <c r="AB337" s="436">
        <f>IF(NFI_Expiration=1,IF($A337&lt;VLOOKUP(K$5,NFI,5,0),1,0)*Table_NFI[[#This Row],[Mosquito net]],Table_NFI[Mosquito net])</f>
        <v>0</v>
      </c>
      <c r="AC337" s="436">
        <f>IF(NFI_Expiration=1,IF($A337&lt;VLOOKUP(L$5,NFI,5,0),1,0)*Table_NFI[[#This Row],[Tarpaulin]],Table_NFI[[#This Row],[Tarpaulin]])</f>
        <v>0</v>
      </c>
      <c r="AD337" s="436">
        <f>IF(NFI_Expiration=1,IF($A337&lt;VLOOKUP(M$5,NFI,5,0),1,0)*Table_NFI[[#This Row],[Blanket]],Table_NFI[[#This Row],[Blanket]])</f>
        <v>0</v>
      </c>
      <c r="AE337" s="436">
        <f>IF(NFI_Expiration=1,IF($A337&lt;VLOOKUP(N$5,NFI,5,0),1,0)*Table_NFI[[#This Row],[Kitchen Set]],Table_NFI[Kitchen Set])</f>
        <v>0</v>
      </c>
      <c r="AF337" s="436">
        <f>IF(NFI_Expiration=1,IF($A337&lt;VLOOKUP(O$5,NFI,5,0),1,0)*Table_NFI[[#This Row],[Clothes Kit]],Table_NFI[Clothes Kit])</f>
        <v>0</v>
      </c>
      <c r="AG337" s="436">
        <f>IF(NFI_Expiration=1,IF($A337&lt;VLOOKUP(P$5,NFI,5,0),1,0)*Table_NFI[[#This Row],[Plastic Bucket]],Table_NFI[Plastic Bucket])</f>
        <v>0</v>
      </c>
      <c r="AH337" s="436">
        <f>IF(NFI_Expiration=1,IF($A337&lt;VLOOKUP(Q$5,NFI,5,0),1,0)*Table_NFI[[#This Row],[Plastic Mat]],Table_NFI[Plastic Mat])*IF(Table_NFI[[#This Row],[Distribution Date]]&gt;"2014-04-01",1,2.5)</f>
        <v>0</v>
      </c>
      <c r="AI337" s="436">
        <f>IF(NFI_Expiration=1,IF($A337&lt;VLOOKUP(R$5,NFI,5,0),1,0)*Table_NFI[[#This Row],[Winter Clothes Adult]],Table_NFI[Winter Clothes Adult])</f>
        <v>0</v>
      </c>
      <c r="AJ337" s="436">
        <f>IF(NFI_Expiration=1,IF($A337&lt;VLOOKUP(S$5,NFI,5,0),1,0)*Table_NFI[[#This Row],[Winter Clothes Children]],Table_NFI[Winter Clothes Children])</f>
        <v>0</v>
      </c>
      <c r="AK337" s="436">
        <f>IF(NFI_Expiration=1,IF($A337&lt;VLOOKUP(T$5,NFI,5,0),1,0)*Table_NFI[[#This Row],[Winter Items Other]],Table_NFI[Winter Items Other])</f>
        <v>0</v>
      </c>
      <c r="AL337" s="436">
        <f>IF(NFI_Expiration=1,IF($A337&lt;VLOOKUP(M$5,NFI,5,0),1,0)*Table_NFI[[#This Row],[Winter Blanket]],Table_NFI[[#This Row],[Winter Blanket]])</f>
        <v>0</v>
      </c>
      <c r="AM337" s="436">
        <f>IF(Table_NFI[[#This Row],[Winter Clothes Adult]]+Table_NFI[[#This Row],[Winter Clothes Children]]+Table_NFI[[#This Row],[Winter Items Other]]+Table_NFI[[#This Row],[Winter Blanket]]&gt;0,1,0)</f>
        <v>1</v>
      </c>
      <c r="AN337" s="439">
        <f>IF(NFI_Expiration=1,IF($A337&lt;VLOOKUP(V$5,NFI,5,0),1,0)*Table_NFI[[#This Row],[Jerry Can]],Table_NFI[Jerry Can])</f>
        <v>0</v>
      </c>
      <c r="AO337" s="771" t="str">
        <f>IFERROR(VLOOKUP(Table_NFI[[#This Row],[Camp Name]],CL,2,0),"")</f>
        <v>MMR001CMP038</v>
      </c>
      <c r="AP337" s="772">
        <f ca="1">IF(Table_NFI[[#This Row],[Pcode]]="","",IF(OFFSET(CampList[Opening Date],MATCH(Table_NFI[[#This Row],[Pcode]],CampList[CP_Pcode],0)-1,0,1,1)&gt;=NFI_Monitor_Date,1,0))</f>
        <v>0</v>
      </c>
      <c r="AQ337" s="771" t="str">
        <f>IFERROR(VLOOKUP(Table_NFI[[#This Row],[Camp Name]],CL,3,0),"")</f>
        <v>Open</v>
      </c>
      <c r="AR337" s="436" t="str">
        <f ca="1">IF(Table_NFI[[#This Row],[Pcode]]="","",OFFSET(CampList[Priority],MATCH(Table_NFI[[#This Row],[Pcode]],CampList[CP_Pcode],0)-1,0,1,1))</f>
        <v>P4</v>
      </c>
      <c r="AS337" s="438">
        <f>IFERROR(Table_NFI[[#This Row],[Kitchen Set]]/VLOOKUP(Table_NFI[[#This Row],[Camp Name]],CL,4,0),"")</f>
        <v>0</v>
      </c>
      <c r="AT337" s="769"/>
      <c r="AU337" s="773"/>
    </row>
    <row r="338" spans="1:47" s="774" customFormat="1" x14ac:dyDescent="0.25">
      <c r="A338" s="451">
        <f t="shared" si="5"/>
        <v>24.966666666666665</v>
      </c>
      <c r="B338" s="768">
        <v>41621</v>
      </c>
      <c r="C338" s="769" t="s">
        <v>912</v>
      </c>
      <c r="D338" s="769" t="s">
        <v>912</v>
      </c>
      <c r="E338" s="769" t="s">
        <v>380</v>
      </c>
      <c r="F338" s="769" t="s">
        <v>151</v>
      </c>
      <c r="G338" s="769" t="s">
        <v>152</v>
      </c>
      <c r="H338" s="436"/>
      <c r="I338" s="436"/>
      <c r="J338" s="436"/>
      <c r="K338" s="436"/>
      <c r="L338" s="437"/>
      <c r="M338" s="437"/>
      <c r="N338" s="437"/>
      <c r="O338" s="437"/>
      <c r="P338" s="439"/>
      <c r="Q338" s="439"/>
      <c r="R338" s="436">
        <v>13</v>
      </c>
      <c r="S338" s="436">
        <v>53</v>
      </c>
      <c r="T338" s="436">
        <v>132</v>
      </c>
      <c r="U338" s="436">
        <v>66</v>
      </c>
      <c r="V338" s="436"/>
      <c r="W338" s="436"/>
      <c r="X338" s="436"/>
      <c r="Y338" s="436">
        <f>IF(NFI_Expiration=1,IF($A338&lt;VLOOKUP(H$5,NFI,5,0),1,0)*Table_NFI[[#This Row],[Hygiene Kit]],Table_NFI[Hygiene Kit])</f>
        <v>0</v>
      </c>
      <c r="Z338" s="436">
        <f>IF(NFI_Expiration=1,IF($A338&lt;VLOOKUP(I$5,NFI,5,0),1,0)*Table_NFI[[#This Row],[NFI Core Kit]],Table_NFI[NFI Core Kit])</f>
        <v>0</v>
      </c>
      <c r="AA338" s="436">
        <f>IF(NFI_Expiration=1,IF($A338&lt;VLOOKUP(J$5,NFI,5,0),1,0)*Table_NFI[[#This Row],[Sanitary Kit]],Table_NFI[Sanitary Kit])</f>
        <v>0</v>
      </c>
      <c r="AB338" s="436">
        <f>IF(NFI_Expiration=1,IF($A338&lt;VLOOKUP(K$5,NFI,5,0),1,0)*Table_NFI[[#This Row],[Mosquito net]],Table_NFI[Mosquito net])</f>
        <v>0</v>
      </c>
      <c r="AC338" s="436">
        <f>IF(NFI_Expiration=1,IF($A338&lt;VLOOKUP(L$5,NFI,5,0),1,0)*Table_NFI[[#This Row],[Tarpaulin]],Table_NFI[[#This Row],[Tarpaulin]])</f>
        <v>0</v>
      </c>
      <c r="AD338" s="436">
        <f>IF(NFI_Expiration=1,IF($A338&lt;VLOOKUP(M$5,NFI,5,0),1,0)*Table_NFI[[#This Row],[Blanket]],Table_NFI[[#This Row],[Blanket]])</f>
        <v>0</v>
      </c>
      <c r="AE338" s="436">
        <f>IF(NFI_Expiration=1,IF($A338&lt;VLOOKUP(N$5,NFI,5,0),1,0)*Table_NFI[[#This Row],[Kitchen Set]],Table_NFI[Kitchen Set])</f>
        <v>0</v>
      </c>
      <c r="AF338" s="436">
        <f>IF(NFI_Expiration=1,IF($A338&lt;VLOOKUP(O$5,NFI,5,0),1,0)*Table_NFI[[#This Row],[Clothes Kit]],Table_NFI[Clothes Kit])</f>
        <v>0</v>
      </c>
      <c r="AG338" s="436">
        <f>IF(NFI_Expiration=1,IF($A338&lt;VLOOKUP(P$5,NFI,5,0),1,0)*Table_NFI[[#This Row],[Plastic Bucket]],Table_NFI[Plastic Bucket])</f>
        <v>0</v>
      </c>
      <c r="AH338" s="436">
        <f>IF(NFI_Expiration=1,IF($A338&lt;VLOOKUP(Q$5,NFI,5,0),1,0)*Table_NFI[[#This Row],[Plastic Mat]],Table_NFI[Plastic Mat])*IF(Table_NFI[[#This Row],[Distribution Date]]&gt;"2014-04-01",1,2.5)</f>
        <v>0</v>
      </c>
      <c r="AI338" s="436">
        <f>IF(NFI_Expiration=1,IF($A338&lt;VLOOKUP(R$5,NFI,5,0),1,0)*Table_NFI[[#This Row],[Winter Clothes Adult]],Table_NFI[Winter Clothes Adult])</f>
        <v>0</v>
      </c>
      <c r="AJ338" s="436">
        <f>IF(NFI_Expiration=1,IF($A338&lt;VLOOKUP(S$5,NFI,5,0),1,0)*Table_NFI[[#This Row],[Winter Clothes Children]],Table_NFI[Winter Clothes Children])</f>
        <v>0</v>
      </c>
      <c r="AK338" s="436">
        <f>IF(NFI_Expiration=1,IF($A338&lt;VLOOKUP(T$5,NFI,5,0),1,0)*Table_NFI[[#This Row],[Winter Items Other]],Table_NFI[Winter Items Other])</f>
        <v>0</v>
      </c>
      <c r="AL338" s="436">
        <f>IF(NFI_Expiration=1,IF($A338&lt;VLOOKUP(M$5,NFI,5,0),1,0)*Table_NFI[[#This Row],[Winter Blanket]],Table_NFI[[#This Row],[Winter Blanket]])</f>
        <v>0</v>
      </c>
      <c r="AM338" s="436">
        <f>IF(Table_NFI[[#This Row],[Winter Clothes Adult]]+Table_NFI[[#This Row],[Winter Clothes Children]]+Table_NFI[[#This Row],[Winter Items Other]]+Table_NFI[[#This Row],[Winter Blanket]]&gt;0,1,0)</f>
        <v>1</v>
      </c>
      <c r="AN338" s="439">
        <f>IF(NFI_Expiration=1,IF($A338&lt;VLOOKUP(V$5,NFI,5,0),1,0)*Table_NFI[[#This Row],[Jerry Can]],Table_NFI[Jerry Can])</f>
        <v>0</v>
      </c>
      <c r="AO338" s="771" t="str">
        <f>IFERROR(VLOOKUP(Table_NFI[[#This Row],[Camp Name]],CL,2,0),"")</f>
        <v>MMR001CMP066</v>
      </c>
      <c r="AP338" s="772">
        <f ca="1">IF(Table_NFI[[#This Row],[Pcode]]="","",IF(OFFSET(CampList[Opening Date],MATCH(Table_NFI[[#This Row],[Pcode]],CampList[CP_Pcode],0)-1,0,1,1)&gt;=NFI_Monitor_Date,1,0))</f>
        <v>0</v>
      </c>
      <c r="AQ338" s="771" t="str">
        <f>IFERROR(VLOOKUP(Table_NFI[[#This Row],[Camp Name]],CL,3,0),"")</f>
        <v>Open</v>
      </c>
      <c r="AR338" s="436" t="str">
        <f ca="1">IF(Table_NFI[[#This Row],[Pcode]]="","",OFFSET(CampList[Priority],MATCH(Table_NFI[[#This Row],[Pcode]],CampList[CP_Pcode],0)-1,0,1,1))</f>
        <v>P4</v>
      </c>
      <c r="AS338" s="438">
        <f>IFERROR(Table_NFI[[#This Row],[Kitchen Set]]/VLOOKUP(Table_NFI[[#This Row],[Camp Name]],CL,4,0),"")</f>
        <v>0</v>
      </c>
      <c r="AT338" s="769"/>
      <c r="AU338" s="773"/>
    </row>
    <row r="339" spans="1:47" s="774" customFormat="1" x14ac:dyDescent="0.25">
      <c r="A339" s="451">
        <f t="shared" si="5"/>
        <v>25.033333333333335</v>
      </c>
      <c r="B339" s="768">
        <v>41619</v>
      </c>
      <c r="C339" s="769" t="s">
        <v>1034</v>
      </c>
      <c r="D339" s="769" t="s">
        <v>1035</v>
      </c>
      <c r="E339" s="769" t="s">
        <v>380</v>
      </c>
      <c r="F339" s="435" t="s">
        <v>151</v>
      </c>
      <c r="G339" s="435" t="s">
        <v>188</v>
      </c>
      <c r="H339" s="436"/>
      <c r="I339" s="436"/>
      <c r="J339" s="436"/>
      <c r="K339" s="436"/>
      <c r="L339" s="437"/>
      <c r="M339" s="437">
        <v>278</v>
      </c>
      <c r="N339" s="437"/>
      <c r="O339" s="437"/>
      <c r="P339" s="439"/>
      <c r="Q339" s="439"/>
      <c r="R339" s="436"/>
      <c r="S339" s="436"/>
      <c r="T339" s="436"/>
      <c r="U339" s="436"/>
      <c r="V339" s="436"/>
      <c r="W339" s="436"/>
      <c r="X339" s="436"/>
      <c r="Y339" s="436">
        <f>IF(NFI_Expiration=1,IF($A339&lt;VLOOKUP(H$5,NFI,5,0),1,0)*Table_NFI[[#This Row],[Hygiene Kit]],Table_NFI[Hygiene Kit])</f>
        <v>0</v>
      </c>
      <c r="Z339" s="436">
        <f>IF(NFI_Expiration=1,IF($A339&lt;VLOOKUP(I$5,NFI,5,0),1,0)*Table_NFI[[#This Row],[NFI Core Kit]],Table_NFI[NFI Core Kit])</f>
        <v>0</v>
      </c>
      <c r="AA339" s="436">
        <f>IF(NFI_Expiration=1,IF($A339&lt;VLOOKUP(J$5,NFI,5,0),1,0)*Table_NFI[[#This Row],[Sanitary Kit]],Table_NFI[Sanitary Kit])</f>
        <v>0</v>
      </c>
      <c r="AB339" s="436">
        <f>IF(NFI_Expiration=1,IF($A339&lt;VLOOKUP(K$5,NFI,5,0),1,0)*Table_NFI[[#This Row],[Mosquito net]],Table_NFI[Mosquito net])</f>
        <v>0</v>
      </c>
      <c r="AC339" s="436">
        <f>IF(NFI_Expiration=1,IF($A339&lt;VLOOKUP(L$5,NFI,5,0),1,0)*Table_NFI[[#This Row],[Tarpaulin]],Table_NFI[[#This Row],[Tarpaulin]])</f>
        <v>0</v>
      </c>
      <c r="AD339" s="436">
        <f>IF(NFI_Expiration=1,IF($A339&lt;VLOOKUP(M$5,NFI,5,0),1,0)*Table_NFI[[#This Row],[Blanket]],Table_NFI[[#This Row],[Blanket]])</f>
        <v>0</v>
      </c>
      <c r="AE339" s="436">
        <f>IF(NFI_Expiration=1,IF($A339&lt;VLOOKUP(N$5,NFI,5,0),1,0)*Table_NFI[[#This Row],[Kitchen Set]],Table_NFI[Kitchen Set])</f>
        <v>0</v>
      </c>
      <c r="AF339" s="436">
        <f>IF(NFI_Expiration=1,IF($A339&lt;VLOOKUP(O$5,NFI,5,0),1,0)*Table_NFI[[#This Row],[Clothes Kit]],Table_NFI[Clothes Kit])</f>
        <v>0</v>
      </c>
      <c r="AG339" s="436">
        <f>IF(NFI_Expiration=1,IF($A339&lt;VLOOKUP(P$5,NFI,5,0),1,0)*Table_NFI[[#This Row],[Plastic Bucket]],Table_NFI[Plastic Bucket])</f>
        <v>0</v>
      </c>
      <c r="AH339" s="436">
        <f>IF(NFI_Expiration=1,IF($A339&lt;VLOOKUP(Q$5,NFI,5,0),1,0)*Table_NFI[[#This Row],[Plastic Mat]],Table_NFI[Plastic Mat])*IF(Table_NFI[[#This Row],[Distribution Date]]&gt;"2014-04-01",1,2.5)</f>
        <v>0</v>
      </c>
      <c r="AI339" s="436">
        <f>IF(NFI_Expiration=1,IF($A339&lt;VLOOKUP(R$5,NFI,5,0),1,0)*Table_NFI[[#This Row],[Winter Clothes Adult]],Table_NFI[Winter Clothes Adult])</f>
        <v>0</v>
      </c>
      <c r="AJ339" s="436">
        <f>IF(NFI_Expiration=1,IF($A339&lt;VLOOKUP(S$5,NFI,5,0),1,0)*Table_NFI[[#This Row],[Winter Clothes Children]],Table_NFI[Winter Clothes Children])</f>
        <v>0</v>
      </c>
      <c r="AK339" s="436">
        <f>IF(NFI_Expiration=1,IF($A339&lt;VLOOKUP(T$5,NFI,5,0),1,0)*Table_NFI[[#This Row],[Winter Items Other]],Table_NFI[Winter Items Other])</f>
        <v>0</v>
      </c>
      <c r="AL339" s="436">
        <f>IF(NFI_Expiration=1,IF($A339&lt;VLOOKUP(M$5,NFI,5,0),1,0)*Table_NFI[[#This Row],[Winter Blanket]],Table_NFI[[#This Row],[Winter Blanket]])</f>
        <v>0</v>
      </c>
      <c r="AM339" s="436">
        <f>IF(Table_NFI[[#This Row],[Winter Clothes Adult]]+Table_NFI[[#This Row],[Winter Clothes Children]]+Table_NFI[[#This Row],[Winter Items Other]]+Table_NFI[[#This Row],[Winter Blanket]]&gt;0,1,0)</f>
        <v>0</v>
      </c>
      <c r="AN339" s="439">
        <f>IF(NFI_Expiration=1,IF($A339&lt;VLOOKUP(V$5,NFI,5,0),1,0)*Table_NFI[[#This Row],[Jerry Can]],Table_NFI[Jerry Can])</f>
        <v>0</v>
      </c>
      <c r="AO339" s="771" t="str">
        <f>IFERROR(VLOOKUP(Table_NFI[[#This Row],[Camp Name]],CL,2,0),"")</f>
        <v>MMR001CMP129</v>
      </c>
      <c r="AP339" s="772">
        <f ca="1">IF(Table_NFI[[#This Row],[Pcode]]="","",IF(OFFSET(CampList[Opening Date],MATCH(Table_NFI[[#This Row],[Pcode]],CampList[CP_Pcode],0)-1,0,1,1)&gt;=NFI_Monitor_Date,1,0))</f>
        <v>0</v>
      </c>
      <c r="AQ339" s="771" t="str">
        <f>IFERROR(VLOOKUP(Table_NFI[[#This Row],[Camp Name]],CL,3,0),"")</f>
        <v>Open</v>
      </c>
      <c r="AR339" s="436" t="str">
        <f ca="1">IF(Table_NFI[[#This Row],[Pcode]]="","",OFFSET(CampList[Priority],MATCH(Table_NFI[[#This Row],[Pcode]],CampList[CP_Pcode],0)-1,0,1,1))</f>
        <v>P2</v>
      </c>
      <c r="AS339" s="438">
        <f>IFERROR(Table_NFI[[#This Row],[Kitchen Set]]/VLOOKUP(Table_NFI[[#This Row],[Camp Name]],CL,4,0),"")</f>
        <v>0</v>
      </c>
      <c r="AT339" s="769" t="s">
        <v>1099</v>
      </c>
      <c r="AU339" s="773"/>
    </row>
    <row r="340" spans="1:47" s="774" customFormat="1" x14ac:dyDescent="0.25">
      <c r="A340" s="451">
        <f t="shared" si="5"/>
        <v>25.033333333333335</v>
      </c>
      <c r="B340" s="768">
        <v>41619</v>
      </c>
      <c r="C340" s="769" t="s">
        <v>1034</v>
      </c>
      <c r="D340" s="769" t="s">
        <v>1035</v>
      </c>
      <c r="E340" s="769" t="s">
        <v>380</v>
      </c>
      <c r="F340" s="435" t="s">
        <v>151</v>
      </c>
      <c r="G340" s="769" t="s">
        <v>188</v>
      </c>
      <c r="H340" s="436"/>
      <c r="I340" s="436"/>
      <c r="J340" s="436"/>
      <c r="K340" s="436"/>
      <c r="L340" s="437"/>
      <c r="M340" s="437">
        <v>174</v>
      </c>
      <c r="N340" s="437"/>
      <c r="O340" s="437"/>
      <c r="P340" s="439"/>
      <c r="Q340" s="439"/>
      <c r="R340" s="436"/>
      <c r="S340" s="436"/>
      <c r="T340" s="436"/>
      <c r="U340" s="436"/>
      <c r="V340" s="436"/>
      <c r="W340" s="436"/>
      <c r="X340" s="436"/>
      <c r="Y340" s="436">
        <f>IF(NFI_Expiration=1,IF($A340&lt;VLOOKUP(H$5,NFI,5,0),1,0)*Table_NFI[[#This Row],[Hygiene Kit]],Table_NFI[Hygiene Kit])</f>
        <v>0</v>
      </c>
      <c r="Z340" s="436">
        <f>IF(NFI_Expiration=1,IF($A340&lt;VLOOKUP(I$5,NFI,5,0),1,0)*Table_NFI[[#This Row],[NFI Core Kit]],Table_NFI[NFI Core Kit])</f>
        <v>0</v>
      </c>
      <c r="AA340" s="436">
        <f>IF(NFI_Expiration=1,IF($A340&lt;VLOOKUP(J$5,NFI,5,0),1,0)*Table_NFI[[#This Row],[Sanitary Kit]],Table_NFI[Sanitary Kit])</f>
        <v>0</v>
      </c>
      <c r="AB340" s="436">
        <f>IF(NFI_Expiration=1,IF($A340&lt;VLOOKUP(K$5,NFI,5,0),1,0)*Table_NFI[[#This Row],[Mosquito net]],Table_NFI[Mosquito net])</f>
        <v>0</v>
      </c>
      <c r="AC340" s="436">
        <f>IF(NFI_Expiration=1,IF($A340&lt;VLOOKUP(L$5,NFI,5,0),1,0)*Table_NFI[[#This Row],[Tarpaulin]],Table_NFI[[#This Row],[Tarpaulin]])</f>
        <v>0</v>
      </c>
      <c r="AD340" s="436">
        <f>IF(NFI_Expiration=1,IF($A340&lt;VLOOKUP(M$5,NFI,5,0),1,0)*Table_NFI[[#This Row],[Blanket]],Table_NFI[[#This Row],[Blanket]])</f>
        <v>0</v>
      </c>
      <c r="AE340" s="436">
        <f>IF(NFI_Expiration=1,IF($A340&lt;VLOOKUP(N$5,NFI,5,0),1,0)*Table_NFI[[#This Row],[Kitchen Set]],Table_NFI[Kitchen Set])</f>
        <v>0</v>
      </c>
      <c r="AF340" s="436">
        <f>IF(NFI_Expiration=1,IF($A340&lt;VLOOKUP(O$5,NFI,5,0),1,0)*Table_NFI[[#This Row],[Clothes Kit]],Table_NFI[Clothes Kit])</f>
        <v>0</v>
      </c>
      <c r="AG340" s="436">
        <f>IF(NFI_Expiration=1,IF($A340&lt;VLOOKUP(P$5,NFI,5,0),1,0)*Table_NFI[[#This Row],[Plastic Bucket]],Table_NFI[Plastic Bucket])</f>
        <v>0</v>
      </c>
      <c r="AH340" s="436">
        <f>IF(NFI_Expiration=1,IF($A340&lt;VLOOKUP(Q$5,NFI,5,0),1,0)*Table_NFI[[#This Row],[Plastic Mat]],Table_NFI[Plastic Mat])*IF(Table_NFI[[#This Row],[Distribution Date]]&gt;"2014-04-01",1,2.5)</f>
        <v>0</v>
      </c>
      <c r="AI340" s="436">
        <f>IF(NFI_Expiration=1,IF($A340&lt;VLOOKUP(R$5,NFI,5,0),1,0)*Table_NFI[[#This Row],[Winter Clothes Adult]],Table_NFI[Winter Clothes Adult])</f>
        <v>0</v>
      </c>
      <c r="AJ340" s="436">
        <f>IF(NFI_Expiration=1,IF($A340&lt;VLOOKUP(S$5,NFI,5,0),1,0)*Table_NFI[[#This Row],[Winter Clothes Children]],Table_NFI[Winter Clothes Children])</f>
        <v>0</v>
      </c>
      <c r="AK340" s="436">
        <f>IF(NFI_Expiration=1,IF($A340&lt;VLOOKUP(T$5,NFI,5,0),1,0)*Table_NFI[[#This Row],[Winter Items Other]],Table_NFI[Winter Items Other])</f>
        <v>0</v>
      </c>
      <c r="AL340" s="436">
        <f>IF(NFI_Expiration=1,IF($A340&lt;VLOOKUP(M$5,NFI,5,0),1,0)*Table_NFI[[#This Row],[Winter Blanket]],Table_NFI[[#This Row],[Winter Blanket]])</f>
        <v>0</v>
      </c>
      <c r="AM340" s="436">
        <f>IF(Table_NFI[[#This Row],[Winter Clothes Adult]]+Table_NFI[[#This Row],[Winter Clothes Children]]+Table_NFI[[#This Row],[Winter Items Other]]+Table_NFI[[#This Row],[Winter Blanket]]&gt;0,1,0)</f>
        <v>0</v>
      </c>
      <c r="AN340" s="439">
        <f>IF(NFI_Expiration=1,IF($A340&lt;VLOOKUP(V$5,NFI,5,0),1,0)*Table_NFI[[#This Row],[Jerry Can]],Table_NFI[Jerry Can])</f>
        <v>0</v>
      </c>
      <c r="AO340" s="771" t="str">
        <f>IFERROR(VLOOKUP(Table_NFI[[#This Row],[Camp Name]],CL,2,0),"")</f>
        <v>MMR001CMP129</v>
      </c>
      <c r="AP340" s="772">
        <f ca="1">IF(Table_NFI[[#This Row],[Pcode]]="","",IF(OFFSET(CampList[Opening Date],MATCH(Table_NFI[[#This Row],[Pcode]],CampList[CP_Pcode],0)-1,0,1,1)&gt;=NFI_Monitor_Date,1,0))</f>
        <v>0</v>
      </c>
      <c r="AQ340" s="771" t="str">
        <f>IFERROR(VLOOKUP(Table_NFI[[#This Row],[Camp Name]],CL,3,0),"")</f>
        <v>Open</v>
      </c>
      <c r="AR340" s="436" t="str">
        <f ca="1">IF(Table_NFI[[#This Row],[Pcode]]="","",OFFSET(CampList[Priority],MATCH(Table_NFI[[#This Row],[Pcode]],CampList[CP_Pcode],0)-1,0,1,1))</f>
        <v>P2</v>
      </c>
      <c r="AS340" s="438">
        <f>IFERROR(Table_NFI[[#This Row],[Kitchen Set]]/VLOOKUP(Table_NFI[[#This Row],[Camp Name]],CL,4,0),"")</f>
        <v>0</v>
      </c>
      <c r="AT340" s="769" t="s">
        <v>1099</v>
      </c>
      <c r="AU340" s="773"/>
    </row>
    <row r="341" spans="1:47" s="774" customFormat="1" x14ac:dyDescent="0.25">
      <c r="A341" s="451">
        <f t="shared" si="5"/>
        <v>25.033333333333335</v>
      </c>
      <c r="B341" s="768">
        <v>41619</v>
      </c>
      <c r="C341" s="769" t="s">
        <v>1034</v>
      </c>
      <c r="D341" s="769" t="s">
        <v>1035</v>
      </c>
      <c r="E341" s="769" t="s">
        <v>380</v>
      </c>
      <c r="F341" s="435" t="s">
        <v>151</v>
      </c>
      <c r="G341" s="769" t="s">
        <v>198</v>
      </c>
      <c r="H341" s="436"/>
      <c r="I341" s="436"/>
      <c r="J341" s="436"/>
      <c r="K341" s="436"/>
      <c r="L341" s="437"/>
      <c r="M341" s="437">
        <v>543</v>
      </c>
      <c r="N341" s="437"/>
      <c r="O341" s="437"/>
      <c r="P341" s="439"/>
      <c r="Q341" s="439"/>
      <c r="R341" s="436"/>
      <c r="S341" s="436"/>
      <c r="T341" s="436"/>
      <c r="U341" s="436"/>
      <c r="V341" s="436"/>
      <c r="W341" s="436"/>
      <c r="X341" s="436"/>
      <c r="Y341" s="436">
        <f>IF(NFI_Expiration=1,IF($A341&lt;VLOOKUP(H$5,NFI,5,0),1,0)*Table_NFI[[#This Row],[Hygiene Kit]],Table_NFI[Hygiene Kit])</f>
        <v>0</v>
      </c>
      <c r="Z341" s="436">
        <f>IF(NFI_Expiration=1,IF($A341&lt;VLOOKUP(I$5,NFI,5,0),1,0)*Table_NFI[[#This Row],[NFI Core Kit]],Table_NFI[NFI Core Kit])</f>
        <v>0</v>
      </c>
      <c r="AA341" s="436">
        <f>IF(NFI_Expiration=1,IF($A341&lt;VLOOKUP(J$5,NFI,5,0),1,0)*Table_NFI[[#This Row],[Sanitary Kit]],Table_NFI[Sanitary Kit])</f>
        <v>0</v>
      </c>
      <c r="AB341" s="436">
        <f>IF(NFI_Expiration=1,IF($A341&lt;VLOOKUP(K$5,NFI,5,0),1,0)*Table_NFI[[#This Row],[Mosquito net]],Table_NFI[Mosquito net])</f>
        <v>0</v>
      </c>
      <c r="AC341" s="436">
        <f>IF(NFI_Expiration=1,IF($A341&lt;VLOOKUP(L$5,NFI,5,0),1,0)*Table_NFI[[#This Row],[Tarpaulin]],Table_NFI[[#This Row],[Tarpaulin]])</f>
        <v>0</v>
      </c>
      <c r="AD341" s="436">
        <f>IF(NFI_Expiration=1,IF($A341&lt;VLOOKUP(M$5,NFI,5,0),1,0)*Table_NFI[[#This Row],[Blanket]],Table_NFI[[#This Row],[Blanket]])</f>
        <v>0</v>
      </c>
      <c r="AE341" s="436">
        <f>IF(NFI_Expiration=1,IF($A341&lt;VLOOKUP(N$5,NFI,5,0),1,0)*Table_NFI[[#This Row],[Kitchen Set]],Table_NFI[Kitchen Set])</f>
        <v>0</v>
      </c>
      <c r="AF341" s="436">
        <f>IF(NFI_Expiration=1,IF($A341&lt;VLOOKUP(O$5,NFI,5,0),1,0)*Table_NFI[[#This Row],[Clothes Kit]],Table_NFI[Clothes Kit])</f>
        <v>0</v>
      </c>
      <c r="AG341" s="436">
        <f>IF(NFI_Expiration=1,IF($A341&lt;VLOOKUP(P$5,NFI,5,0),1,0)*Table_NFI[[#This Row],[Plastic Bucket]],Table_NFI[Plastic Bucket])</f>
        <v>0</v>
      </c>
      <c r="AH341" s="436">
        <f>IF(NFI_Expiration=1,IF($A341&lt;VLOOKUP(Q$5,NFI,5,0),1,0)*Table_NFI[[#This Row],[Plastic Mat]],Table_NFI[Plastic Mat])*IF(Table_NFI[[#This Row],[Distribution Date]]&gt;"2014-04-01",1,2.5)</f>
        <v>0</v>
      </c>
      <c r="AI341" s="436">
        <f>IF(NFI_Expiration=1,IF($A341&lt;VLOOKUP(R$5,NFI,5,0),1,0)*Table_NFI[[#This Row],[Winter Clothes Adult]],Table_NFI[Winter Clothes Adult])</f>
        <v>0</v>
      </c>
      <c r="AJ341" s="436">
        <f>IF(NFI_Expiration=1,IF($A341&lt;VLOOKUP(S$5,NFI,5,0),1,0)*Table_NFI[[#This Row],[Winter Clothes Children]],Table_NFI[Winter Clothes Children])</f>
        <v>0</v>
      </c>
      <c r="AK341" s="436">
        <f>IF(NFI_Expiration=1,IF($A341&lt;VLOOKUP(T$5,NFI,5,0),1,0)*Table_NFI[[#This Row],[Winter Items Other]],Table_NFI[Winter Items Other])</f>
        <v>0</v>
      </c>
      <c r="AL341" s="436">
        <f>IF(NFI_Expiration=1,IF($A341&lt;VLOOKUP(M$5,NFI,5,0),1,0)*Table_NFI[[#This Row],[Winter Blanket]],Table_NFI[[#This Row],[Winter Blanket]])</f>
        <v>0</v>
      </c>
      <c r="AM341" s="436">
        <f>IF(Table_NFI[[#This Row],[Winter Clothes Adult]]+Table_NFI[[#This Row],[Winter Clothes Children]]+Table_NFI[[#This Row],[Winter Items Other]]+Table_NFI[[#This Row],[Winter Blanket]]&gt;0,1,0)</f>
        <v>0</v>
      </c>
      <c r="AN341" s="439">
        <f>IF(NFI_Expiration=1,IF($A341&lt;VLOOKUP(V$5,NFI,5,0),1,0)*Table_NFI[[#This Row],[Jerry Can]],Table_NFI[Jerry Can])</f>
        <v>0</v>
      </c>
      <c r="AO341" s="771" t="str">
        <f>IFERROR(VLOOKUP(Table_NFI[[#This Row],[Camp Name]],CL,2,0),"")</f>
        <v>MMR001CMP128</v>
      </c>
      <c r="AP341" s="772">
        <f ca="1">IF(Table_NFI[[#This Row],[Pcode]]="","",IF(OFFSET(CampList[Opening Date],MATCH(Table_NFI[[#This Row],[Pcode]],CampList[CP_Pcode],0)-1,0,1,1)&gt;=NFI_Monitor_Date,1,0))</f>
        <v>0</v>
      </c>
      <c r="AQ341" s="771" t="str">
        <f>IFERROR(VLOOKUP(Table_NFI[[#This Row],[Camp Name]],CL,3,0),"")</f>
        <v>Open</v>
      </c>
      <c r="AR341" s="436" t="str">
        <f ca="1">IF(Table_NFI[[#This Row],[Pcode]]="","",OFFSET(CampList[Priority],MATCH(Table_NFI[[#This Row],[Pcode]],CampList[CP_Pcode],0)-1,0,1,1))</f>
        <v>P2</v>
      </c>
      <c r="AS341" s="438">
        <f>IFERROR(Table_NFI[[#This Row],[Kitchen Set]]/VLOOKUP(Table_NFI[[#This Row],[Camp Name]],CL,4,0),"")</f>
        <v>0</v>
      </c>
      <c r="AT341" s="769" t="s">
        <v>1099</v>
      </c>
      <c r="AU341" s="773"/>
    </row>
    <row r="342" spans="1:47" s="774" customFormat="1" x14ac:dyDescent="0.25">
      <c r="A342" s="451">
        <f t="shared" si="5"/>
        <v>25.033333333333335</v>
      </c>
      <c r="B342" s="768">
        <v>41619</v>
      </c>
      <c r="C342" s="769" t="s">
        <v>1034</v>
      </c>
      <c r="D342" s="769" t="s">
        <v>1035</v>
      </c>
      <c r="E342" s="769" t="s">
        <v>380</v>
      </c>
      <c r="F342" s="769" t="s">
        <v>151</v>
      </c>
      <c r="G342" s="769" t="s">
        <v>158</v>
      </c>
      <c r="H342" s="436"/>
      <c r="I342" s="436"/>
      <c r="J342" s="436"/>
      <c r="K342" s="436"/>
      <c r="L342" s="437"/>
      <c r="M342" s="437">
        <v>38</v>
      </c>
      <c r="N342" s="437"/>
      <c r="O342" s="437"/>
      <c r="P342" s="439"/>
      <c r="Q342" s="439"/>
      <c r="R342" s="436"/>
      <c r="S342" s="436"/>
      <c r="T342" s="436"/>
      <c r="U342" s="436"/>
      <c r="V342" s="436"/>
      <c r="W342" s="436"/>
      <c r="X342" s="436"/>
      <c r="Y342" s="436">
        <f>IF(NFI_Expiration=1,IF($A342&lt;VLOOKUP(H$5,NFI,5,0),1,0)*Table_NFI[[#This Row],[Hygiene Kit]],Table_NFI[Hygiene Kit])</f>
        <v>0</v>
      </c>
      <c r="Z342" s="436">
        <f>IF(NFI_Expiration=1,IF($A342&lt;VLOOKUP(I$5,NFI,5,0),1,0)*Table_NFI[[#This Row],[NFI Core Kit]],Table_NFI[NFI Core Kit])</f>
        <v>0</v>
      </c>
      <c r="AA342" s="436">
        <f>IF(NFI_Expiration=1,IF($A342&lt;VLOOKUP(J$5,NFI,5,0),1,0)*Table_NFI[[#This Row],[Sanitary Kit]],Table_NFI[Sanitary Kit])</f>
        <v>0</v>
      </c>
      <c r="AB342" s="436">
        <f>IF(NFI_Expiration=1,IF($A342&lt;VLOOKUP(K$5,NFI,5,0),1,0)*Table_NFI[[#This Row],[Mosquito net]],Table_NFI[Mosquito net])</f>
        <v>0</v>
      </c>
      <c r="AC342" s="436">
        <f>IF(NFI_Expiration=1,IF($A342&lt;VLOOKUP(L$5,NFI,5,0),1,0)*Table_NFI[[#This Row],[Tarpaulin]],Table_NFI[[#This Row],[Tarpaulin]])</f>
        <v>0</v>
      </c>
      <c r="AD342" s="436">
        <f>IF(NFI_Expiration=1,IF($A342&lt;VLOOKUP(M$5,NFI,5,0),1,0)*Table_NFI[[#This Row],[Blanket]],Table_NFI[[#This Row],[Blanket]])</f>
        <v>0</v>
      </c>
      <c r="AE342" s="436">
        <f>IF(NFI_Expiration=1,IF($A342&lt;VLOOKUP(N$5,NFI,5,0),1,0)*Table_NFI[[#This Row],[Kitchen Set]],Table_NFI[Kitchen Set])</f>
        <v>0</v>
      </c>
      <c r="AF342" s="436">
        <f>IF(NFI_Expiration=1,IF($A342&lt;VLOOKUP(O$5,NFI,5,0),1,0)*Table_NFI[[#This Row],[Clothes Kit]],Table_NFI[Clothes Kit])</f>
        <v>0</v>
      </c>
      <c r="AG342" s="436">
        <f>IF(NFI_Expiration=1,IF($A342&lt;VLOOKUP(P$5,NFI,5,0),1,0)*Table_NFI[[#This Row],[Plastic Bucket]],Table_NFI[Plastic Bucket])</f>
        <v>0</v>
      </c>
      <c r="AH342" s="436">
        <f>IF(NFI_Expiration=1,IF($A342&lt;VLOOKUP(Q$5,NFI,5,0),1,0)*Table_NFI[[#This Row],[Plastic Mat]],Table_NFI[Plastic Mat])*IF(Table_NFI[[#This Row],[Distribution Date]]&gt;"2014-04-01",1,2.5)</f>
        <v>0</v>
      </c>
      <c r="AI342" s="436">
        <f>IF(NFI_Expiration=1,IF($A342&lt;VLOOKUP(R$5,NFI,5,0),1,0)*Table_NFI[[#This Row],[Winter Clothes Adult]],Table_NFI[Winter Clothes Adult])</f>
        <v>0</v>
      </c>
      <c r="AJ342" s="436">
        <f>IF(NFI_Expiration=1,IF($A342&lt;VLOOKUP(S$5,NFI,5,0),1,0)*Table_NFI[[#This Row],[Winter Clothes Children]],Table_NFI[Winter Clothes Children])</f>
        <v>0</v>
      </c>
      <c r="AK342" s="436">
        <f>IF(NFI_Expiration=1,IF($A342&lt;VLOOKUP(T$5,NFI,5,0),1,0)*Table_NFI[[#This Row],[Winter Items Other]],Table_NFI[Winter Items Other])</f>
        <v>0</v>
      </c>
      <c r="AL342" s="436">
        <f>IF(NFI_Expiration=1,IF($A342&lt;VLOOKUP(M$5,NFI,5,0),1,0)*Table_NFI[[#This Row],[Winter Blanket]],Table_NFI[[#This Row],[Winter Blanket]])</f>
        <v>0</v>
      </c>
      <c r="AM342" s="436">
        <f>IF(Table_NFI[[#This Row],[Winter Clothes Adult]]+Table_NFI[[#This Row],[Winter Clothes Children]]+Table_NFI[[#This Row],[Winter Items Other]]+Table_NFI[[#This Row],[Winter Blanket]]&gt;0,1,0)</f>
        <v>0</v>
      </c>
      <c r="AN342" s="439">
        <f>IF(NFI_Expiration=1,IF($A342&lt;VLOOKUP(V$5,NFI,5,0),1,0)*Table_NFI[[#This Row],[Jerry Can]],Table_NFI[Jerry Can])</f>
        <v>0</v>
      </c>
      <c r="AO342" s="771" t="str">
        <f>IFERROR(VLOOKUP(Table_NFI[[#This Row],[Camp Name]],CL,2,0),"")</f>
        <v>MMR001CMP135</v>
      </c>
      <c r="AP342" s="772">
        <f ca="1">IF(Table_NFI[[#This Row],[Pcode]]="","",IF(OFFSET(CampList[Opening Date],MATCH(Table_NFI[[#This Row],[Pcode]],CampList[CP_Pcode],0)-1,0,1,1)&gt;=NFI_Monitor_Date,1,0))</f>
        <v>0</v>
      </c>
      <c r="AQ342" s="771" t="str">
        <f>IFERROR(VLOOKUP(Table_NFI[[#This Row],[Camp Name]],CL,3,0),"")</f>
        <v>Closed</v>
      </c>
      <c r="AR342" s="436" t="str">
        <f ca="1">IF(Table_NFI[[#This Row],[Pcode]]="","",OFFSET(CampList[Priority],MATCH(Table_NFI[[#This Row],[Pcode]],CampList[CP_Pcode],0)-1,0,1,1))</f>
        <v>P2</v>
      </c>
      <c r="AS342" s="438" t="str">
        <f>IFERROR(Table_NFI[[#This Row],[Kitchen Set]]/VLOOKUP(Table_NFI[[#This Row],[Camp Name]],CL,4,0),"")</f>
        <v/>
      </c>
      <c r="AT342" s="769" t="s">
        <v>1099</v>
      </c>
      <c r="AU342" s="773"/>
    </row>
    <row r="343" spans="1:47" s="774" customFormat="1" x14ac:dyDescent="0.25">
      <c r="A343" s="451">
        <f t="shared" si="5"/>
        <v>25.033333333333335</v>
      </c>
      <c r="B343" s="768">
        <v>41619</v>
      </c>
      <c r="C343" s="769" t="s">
        <v>1034</v>
      </c>
      <c r="D343" s="769" t="s">
        <v>1035</v>
      </c>
      <c r="E343" s="769" t="s">
        <v>380</v>
      </c>
      <c r="F343" s="769" t="s">
        <v>185</v>
      </c>
      <c r="G343" s="769" t="s">
        <v>215</v>
      </c>
      <c r="H343" s="436"/>
      <c r="I343" s="436"/>
      <c r="J343" s="436"/>
      <c r="K343" s="436"/>
      <c r="L343" s="437"/>
      <c r="M343" s="437">
        <v>350</v>
      </c>
      <c r="N343" s="437"/>
      <c r="O343" s="437"/>
      <c r="P343" s="439"/>
      <c r="Q343" s="439"/>
      <c r="R343" s="436"/>
      <c r="S343" s="436"/>
      <c r="T343" s="436"/>
      <c r="U343" s="436"/>
      <c r="V343" s="436"/>
      <c r="W343" s="436"/>
      <c r="X343" s="436"/>
      <c r="Y343" s="436">
        <f>IF(NFI_Expiration=1,IF($A343&lt;VLOOKUP(H$5,NFI,5,0),1,0)*Table_NFI[[#This Row],[Hygiene Kit]],Table_NFI[Hygiene Kit])</f>
        <v>0</v>
      </c>
      <c r="Z343" s="436">
        <f>IF(NFI_Expiration=1,IF($A343&lt;VLOOKUP(I$5,NFI,5,0),1,0)*Table_NFI[[#This Row],[NFI Core Kit]],Table_NFI[NFI Core Kit])</f>
        <v>0</v>
      </c>
      <c r="AA343" s="436">
        <f>IF(NFI_Expiration=1,IF($A343&lt;VLOOKUP(J$5,NFI,5,0),1,0)*Table_NFI[[#This Row],[Sanitary Kit]],Table_NFI[Sanitary Kit])</f>
        <v>0</v>
      </c>
      <c r="AB343" s="436">
        <f>IF(NFI_Expiration=1,IF($A343&lt;VLOOKUP(K$5,NFI,5,0),1,0)*Table_NFI[[#This Row],[Mosquito net]],Table_NFI[Mosquito net])</f>
        <v>0</v>
      </c>
      <c r="AC343" s="436">
        <f>IF(NFI_Expiration=1,IF($A343&lt;VLOOKUP(L$5,NFI,5,0),1,0)*Table_NFI[[#This Row],[Tarpaulin]],Table_NFI[[#This Row],[Tarpaulin]])</f>
        <v>0</v>
      </c>
      <c r="AD343" s="436">
        <f>IF(NFI_Expiration=1,IF($A343&lt;VLOOKUP(M$5,NFI,5,0),1,0)*Table_NFI[[#This Row],[Blanket]],Table_NFI[[#This Row],[Blanket]])</f>
        <v>0</v>
      </c>
      <c r="AE343" s="436">
        <f>IF(NFI_Expiration=1,IF($A343&lt;VLOOKUP(N$5,NFI,5,0),1,0)*Table_NFI[[#This Row],[Kitchen Set]],Table_NFI[Kitchen Set])</f>
        <v>0</v>
      </c>
      <c r="AF343" s="436">
        <f>IF(NFI_Expiration=1,IF($A343&lt;VLOOKUP(O$5,NFI,5,0),1,0)*Table_NFI[[#This Row],[Clothes Kit]],Table_NFI[Clothes Kit])</f>
        <v>0</v>
      </c>
      <c r="AG343" s="436">
        <f>IF(NFI_Expiration=1,IF($A343&lt;VLOOKUP(P$5,NFI,5,0),1,0)*Table_NFI[[#This Row],[Plastic Bucket]],Table_NFI[Plastic Bucket])</f>
        <v>0</v>
      </c>
      <c r="AH343" s="436">
        <f>IF(NFI_Expiration=1,IF($A343&lt;VLOOKUP(Q$5,NFI,5,0),1,0)*Table_NFI[[#This Row],[Plastic Mat]],Table_NFI[Plastic Mat])*IF(Table_NFI[[#This Row],[Distribution Date]]&gt;"2014-04-01",1,2.5)</f>
        <v>0</v>
      </c>
      <c r="AI343" s="436">
        <f>IF(NFI_Expiration=1,IF($A343&lt;VLOOKUP(R$5,NFI,5,0),1,0)*Table_NFI[[#This Row],[Winter Clothes Adult]],Table_NFI[Winter Clothes Adult])</f>
        <v>0</v>
      </c>
      <c r="AJ343" s="436">
        <f>IF(NFI_Expiration=1,IF($A343&lt;VLOOKUP(S$5,NFI,5,0),1,0)*Table_NFI[[#This Row],[Winter Clothes Children]],Table_NFI[Winter Clothes Children])</f>
        <v>0</v>
      </c>
      <c r="AK343" s="436">
        <f>IF(NFI_Expiration=1,IF($A343&lt;VLOOKUP(T$5,NFI,5,0),1,0)*Table_NFI[[#This Row],[Winter Items Other]],Table_NFI[Winter Items Other])</f>
        <v>0</v>
      </c>
      <c r="AL343" s="436">
        <f>IF(NFI_Expiration=1,IF($A343&lt;VLOOKUP(M$5,NFI,5,0),1,0)*Table_NFI[[#This Row],[Winter Blanket]],Table_NFI[[#This Row],[Winter Blanket]])</f>
        <v>0</v>
      </c>
      <c r="AM343" s="436">
        <f>IF(Table_NFI[[#This Row],[Winter Clothes Adult]]+Table_NFI[[#This Row],[Winter Clothes Children]]+Table_NFI[[#This Row],[Winter Items Other]]+Table_NFI[[#This Row],[Winter Blanket]]&gt;0,1,0)</f>
        <v>0</v>
      </c>
      <c r="AN343" s="439">
        <f>IF(NFI_Expiration=1,IF($A343&lt;VLOOKUP(V$5,NFI,5,0),1,0)*Table_NFI[[#This Row],[Jerry Can]],Table_NFI[Jerry Can])</f>
        <v>0</v>
      </c>
      <c r="AO343" s="771" t="str">
        <f>IFERROR(VLOOKUP(Table_NFI[[#This Row],[Camp Name]],CL,2,0),"")</f>
        <v>MMR001CMP131</v>
      </c>
      <c r="AP343" s="772">
        <f ca="1">IF(Table_NFI[[#This Row],[Pcode]]="","",IF(OFFSET(CampList[Opening Date],MATCH(Table_NFI[[#This Row],[Pcode]],CampList[CP_Pcode],0)-1,0,1,1)&gt;=NFI_Monitor_Date,1,0))</f>
        <v>0</v>
      </c>
      <c r="AQ343" s="771" t="str">
        <f>IFERROR(VLOOKUP(Table_NFI[[#This Row],[Camp Name]],CL,3,0),"")</f>
        <v>Open</v>
      </c>
      <c r="AR343" s="436" t="str">
        <f ca="1">IF(Table_NFI[[#This Row],[Pcode]]="","",OFFSET(CampList[Priority],MATCH(Table_NFI[[#This Row],[Pcode]],CampList[CP_Pcode],0)-1,0,1,1))</f>
        <v>P1</v>
      </c>
      <c r="AS343" s="438">
        <f>IFERROR(Table_NFI[[#This Row],[Kitchen Set]]/VLOOKUP(Table_NFI[[#This Row],[Camp Name]],CL,4,0),"")</f>
        <v>0</v>
      </c>
      <c r="AT343" s="769" t="s">
        <v>1099</v>
      </c>
      <c r="AU343" s="773"/>
    </row>
    <row r="344" spans="1:47" s="774" customFormat="1" x14ac:dyDescent="0.25">
      <c r="A344" s="451">
        <f t="shared" si="5"/>
        <v>25.033333333333335</v>
      </c>
      <c r="B344" s="768">
        <v>41619</v>
      </c>
      <c r="C344" s="769" t="s">
        <v>1034</v>
      </c>
      <c r="D344" s="769" t="s">
        <v>1035</v>
      </c>
      <c r="E344" s="769" t="s">
        <v>380</v>
      </c>
      <c r="F344" s="769" t="s">
        <v>185</v>
      </c>
      <c r="G344" s="769" t="s">
        <v>219</v>
      </c>
      <c r="H344" s="436"/>
      <c r="I344" s="436"/>
      <c r="J344" s="436"/>
      <c r="K344" s="436"/>
      <c r="L344" s="437"/>
      <c r="M344" s="437">
        <v>417</v>
      </c>
      <c r="N344" s="437"/>
      <c r="O344" s="437"/>
      <c r="P344" s="439"/>
      <c r="Q344" s="439"/>
      <c r="R344" s="436"/>
      <c r="S344" s="436"/>
      <c r="T344" s="436"/>
      <c r="U344" s="436"/>
      <c r="V344" s="436"/>
      <c r="W344" s="436"/>
      <c r="X344" s="436"/>
      <c r="Y344" s="436">
        <f>IF(NFI_Expiration=1,IF($A344&lt;VLOOKUP(H$5,NFI,5,0),1,0)*Table_NFI[[#This Row],[Hygiene Kit]],Table_NFI[Hygiene Kit])</f>
        <v>0</v>
      </c>
      <c r="Z344" s="436">
        <f>IF(NFI_Expiration=1,IF($A344&lt;VLOOKUP(I$5,NFI,5,0),1,0)*Table_NFI[[#This Row],[NFI Core Kit]],Table_NFI[NFI Core Kit])</f>
        <v>0</v>
      </c>
      <c r="AA344" s="436">
        <f>IF(NFI_Expiration=1,IF($A344&lt;VLOOKUP(J$5,NFI,5,0),1,0)*Table_NFI[[#This Row],[Sanitary Kit]],Table_NFI[Sanitary Kit])</f>
        <v>0</v>
      </c>
      <c r="AB344" s="436">
        <f>IF(NFI_Expiration=1,IF($A344&lt;VLOOKUP(K$5,NFI,5,0),1,0)*Table_NFI[[#This Row],[Mosquito net]],Table_NFI[Mosquito net])</f>
        <v>0</v>
      </c>
      <c r="AC344" s="436">
        <f>IF(NFI_Expiration=1,IF($A344&lt;VLOOKUP(L$5,NFI,5,0),1,0)*Table_NFI[[#This Row],[Tarpaulin]],Table_NFI[[#This Row],[Tarpaulin]])</f>
        <v>0</v>
      </c>
      <c r="AD344" s="436">
        <f>IF(NFI_Expiration=1,IF($A344&lt;VLOOKUP(M$5,NFI,5,0),1,0)*Table_NFI[[#This Row],[Blanket]],Table_NFI[[#This Row],[Blanket]])</f>
        <v>0</v>
      </c>
      <c r="AE344" s="436">
        <f>IF(NFI_Expiration=1,IF($A344&lt;VLOOKUP(N$5,NFI,5,0),1,0)*Table_NFI[[#This Row],[Kitchen Set]],Table_NFI[Kitchen Set])</f>
        <v>0</v>
      </c>
      <c r="AF344" s="436">
        <f>IF(NFI_Expiration=1,IF($A344&lt;VLOOKUP(O$5,NFI,5,0),1,0)*Table_NFI[[#This Row],[Clothes Kit]],Table_NFI[Clothes Kit])</f>
        <v>0</v>
      </c>
      <c r="AG344" s="436">
        <f>IF(NFI_Expiration=1,IF($A344&lt;VLOOKUP(P$5,NFI,5,0),1,0)*Table_NFI[[#This Row],[Plastic Bucket]],Table_NFI[Plastic Bucket])</f>
        <v>0</v>
      </c>
      <c r="AH344" s="436">
        <f>IF(NFI_Expiration=1,IF($A344&lt;VLOOKUP(Q$5,NFI,5,0),1,0)*Table_NFI[[#This Row],[Plastic Mat]],Table_NFI[Plastic Mat])*IF(Table_NFI[[#This Row],[Distribution Date]]&gt;"2014-04-01",1,2.5)</f>
        <v>0</v>
      </c>
      <c r="AI344" s="436">
        <f>IF(NFI_Expiration=1,IF($A344&lt;VLOOKUP(R$5,NFI,5,0),1,0)*Table_NFI[[#This Row],[Winter Clothes Adult]],Table_NFI[Winter Clothes Adult])</f>
        <v>0</v>
      </c>
      <c r="AJ344" s="436">
        <f>IF(NFI_Expiration=1,IF($A344&lt;VLOOKUP(S$5,NFI,5,0),1,0)*Table_NFI[[#This Row],[Winter Clothes Children]],Table_NFI[Winter Clothes Children])</f>
        <v>0</v>
      </c>
      <c r="AK344" s="436">
        <f>IF(NFI_Expiration=1,IF($A344&lt;VLOOKUP(T$5,NFI,5,0),1,0)*Table_NFI[[#This Row],[Winter Items Other]],Table_NFI[Winter Items Other])</f>
        <v>0</v>
      </c>
      <c r="AL344" s="436">
        <f>IF(NFI_Expiration=1,IF($A344&lt;VLOOKUP(M$5,NFI,5,0),1,0)*Table_NFI[[#This Row],[Winter Blanket]],Table_NFI[[#This Row],[Winter Blanket]])</f>
        <v>0</v>
      </c>
      <c r="AM344" s="436">
        <f>IF(Table_NFI[[#This Row],[Winter Clothes Adult]]+Table_NFI[[#This Row],[Winter Clothes Children]]+Table_NFI[[#This Row],[Winter Items Other]]+Table_NFI[[#This Row],[Winter Blanket]]&gt;0,1,0)</f>
        <v>0</v>
      </c>
      <c r="AN344" s="439">
        <f>IF(NFI_Expiration=1,IF($A344&lt;VLOOKUP(V$5,NFI,5,0),1,0)*Table_NFI[[#This Row],[Jerry Can]],Table_NFI[Jerry Can])</f>
        <v>0</v>
      </c>
      <c r="AO344" s="771" t="str">
        <f>IFERROR(VLOOKUP(Table_NFI[[#This Row],[Camp Name]],CL,2,0),"")</f>
        <v>MMR001CMP126</v>
      </c>
      <c r="AP344" s="772">
        <f ca="1">IF(Table_NFI[[#This Row],[Pcode]]="","",IF(OFFSET(CampList[Opening Date],MATCH(Table_NFI[[#This Row],[Pcode]],CampList[CP_Pcode],0)-1,0,1,1)&gt;=NFI_Monitor_Date,1,0))</f>
        <v>0</v>
      </c>
      <c r="AQ344" s="771" t="str">
        <f>IFERROR(VLOOKUP(Table_NFI[[#This Row],[Camp Name]],CL,3,0),"")</f>
        <v>Open</v>
      </c>
      <c r="AR344" s="436" t="str">
        <f ca="1">IF(Table_NFI[[#This Row],[Pcode]]="","",OFFSET(CampList[Priority],MATCH(Table_NFI[[#This Row],[Pcode]],CampList[CP_Pcode],0)-1,0,1,1))</f>
        <v>P2</v>
      </c>
      <c r="AS344" s="438">
        <f>IFERROR(Table_NFI[[#This Row],[Kitchen Set]]/VLOOKUP(Table_NFI[[#This Row],[Camp Name]],CL,4,0),"")</f>
        <v>0</v>
      </c>
      <c r="AT344" s="769" t="s">
        <v>1099</v>
      </c>
      <c r="AU344" s="773"/>
    </row>
    <row r="345" spans="1:47" s="774" customFormat="1" x14ac:dyDescent="0.25">
      <c r="A345" s="451">
        <f t="shared" si="5"/>
        <v>25.066666666666666</v>
      </c>
      <c r="B345" s="768">
        <v>41618</v>
      </c>
      <c r="C345" s="769" t="s">
        <v>455</v>
      </c>
      <c r="D345" s="769"/>
      <c r="E345" s="769" t="s">
        <v>380</v>
      </c>
      <c r="F345" s="769" t="s">
        <v>151</v>
      </c>
      <c r="G345" s="769" t="s">
        <v>154</v>
      </c>
      <c r="H345" s="436"/>
      <c r="I345" s="436"/>
      <c r="J345" s="436"/>
      <c r="K345" s="436"/>
      <c r="L345" s="437"/>
      <c r="M345" s="437"/>
      <c r="N345" s="437"/>
      <c r="O345" s="437"/>
      <c r="P345" s="439"/>
      <c r="Q345" s="439"/>
      <c r="R345" s="436"/>
      <c r="S345" s="436">
        <v>256</v>
      </c>
      <c r="T345" s="436"/>
      <c r="U345" s="436"/>
      <c r="V345" s="436"/>
      <c r="W345" s="436"/>
      <c r="X345" s="436"/>
      <c r="Y345" s="436">
        <f>IF(NFI_Expiration=1,IF($A345&lt;VLOOKUP(H$5,NFI,5,0),1,0)*Table_NFI[[#This Row],[Hygiene Kit]],Table_NFI[Hygiene Kit])</f>
        <v>0</v>
      </c>
      <c r="Z345" s="436">
        <f>IF(NFI_Expiration=1,IF($A345&lt;VLOOKUP(I$5,NFI,5,0),1,0)*Table_NFI[[#This Row],[NFI Core Kit]],Table_NFI[NFI Core Kit])</f>
        <v>0</v>
      </c>
      <c r="AA345" s="436">
        <f>IF(NFI_Expiration=1,IF($A345&lt;VLOOKUP(J$5,NFI,5,0),1,0)*Table_NFI[[#This Row],[Sanitary Kit]],Table_NFI[Sanitary Kit])</f>
        <v>0</v>
      </c>
      <c r="AB345" s="436">
        <f>IF(NFI_Expiration=1,IF($A345&lt;VLOOKUP(K$5,NFI,5,0),1,0)*Table_NFI[[#This Row],[Mosquito net]],Table_NFI[Mosquito net])</f>
        <v>0</v>
      </c>
      <c r="AC345" s="436">
        <f>IF(NFI_Expiration=1,IF($A345&lt;VLOOKUP(L$5,NFI,5,0),1,0)*Table_NFI[[#This Row],[Tarpaulin]],Table_NFI[[#This Row],[Tarpaulin]])</f>
        <v>0</v>
      </c>
      <c r="AD345" s="436">
        <f>IF(NFI_Expiration=1,IF($A345&lt;VLOOKUP(M$5,NFI,5,0),1,0)*Table_NFI[[#This Row],[Blanket]],Table_NFI[[#This Row],[Blanket]])</f>
        <v>0</v>
      </c>
      <c r="AE345" s="436">
        <f>IF(NFI_Expiration=1,IF($A345&lt;VLOOKUP(N$5,NFI,5,0),1,0)*Table_NFI[[#This Row],[Kitchen Set]],Table_NFI[Kitchen Set])</f>
        <v>0</v>
      </c>
      <c r="AF345" s="436">
        <f>IF(NFI_Expiration=1,IF($A345&lt;VLOOKUP(O$5,NFI,5,0),1,0)*Table_NFI[[#This Row],[Clothes Kit]],Table_NFI[Clothes Kit])</f>
        <v>0</v>
      </c>
      <c r="AG345" s="436">
        <f>IF(NFI_Expiration=1,IF($A345&lt;VLOOKUP(P$5,NFI,5,0),1,0)*Table_NFI[[#This Row],[Plastic Bucket]],Table_NFI[Plastic Bucket])</f>
        <v>0</v>
      </c>
      <c r="AH345" s="436">
        <f>IF(NFI_Expiration=1,IF($A345&lt;VLOOKUP(Q$5,NFI,5,0),1,0)*Table_NFI[[#This Row],[Plastic Mat]],Table_NFI[Plastic Mat])*IF(Table_NFI[[#This Row],[Distribution Date]]&gt;"2014-04-01",1,2.5)</f>
        <v>0</v>
      </c>
      <c r="AI345" s="436">
        <f>IF(NFI_Expiration=1,IF($A345&lt;VLOOKUP(R$5,NFI,5,0),1,0)*Table_NFI[[#This Row],[Winter Clothes Adult]],Table_NFI[Winter Clothes Adult])</f>
        <v>0</v>
      </c>
      <c r="AJ345" s="436">
        <f>IF(NFI_Expiration=1,IF($A345&lt;VLOOKUP(S$5,NFI,5,0),1,0)*Table_NFI[[#This Row],[Winter Clothes Children]],Table_NFI[Winter Clothes Children])</f>
        <v>0</v>
      </c>
      <c r="AK345" s="436">
        <f>IF(NFI_Expiration=1,IF($A345&lt;VLOOKUP(T$5,NFI,5,0),1,0)*Table_NFI[[#This Row],[Winter Items Other]],Table_NFI[Winter Items Other])</f>
        <v>0</v>
      </c>
      <c r="AL345" s="436">
        <f>IF(NFI_Expiration=1,IF($A345&lt;VLOOKUP(M$5,NFI,5,0),1,0)*Table_NFI[[#This Row],[Winter Blanket]],Table_NFI[[#This Row],[Winter Blanket]])</f>
        <v>0</v>
      </c>
      <c r="AM345" s="436">
        <f>IF(Table_NFI[[#This Row],[Winter Clothes Adult]]+Table_NFI[[#This Row],[Winter Clothes Children]]+Table_NFI[[#This Row],[Winter Items Other]]+Table_NFI[[#This Row],[Winter Blanket]]&gt;0,1,0)</f>
        <v>1</v>
      </c>
      <c r="AN345" s="439">
        <f>IF(NFI_Expiration=1,IF($A345&lt;VLOOKUP(V$5,NFI,5,0),1,0)*Table_NFI[[#This Row],[Jerry Can]],Table_NFI[Jerry Can])</f>
        <v>0</v>
      </c>
      <c r="AO345" s="771" t="str">
        <f>IFERROR(VLOOKUP(Table_NFI[[#This Row],[Camp Name]],CL,2,0),"")</f>
        <v>MMR001CMP132</v>
      </c>
      <c r="AP345" s="772">
        <f ca="1">IF(Table_NFI[[#This Row],[Pcode]]="","",IF(OFFSET(CampList[Opening Date],MATCH(Table_NFI[[#This Row],[Pcode]],CampList[CP_Pcode],0)-1,0,1,1)&gt;=NFI_Monitor_Date,1,0))</f>
        <v>0</v>
      </c>
      <c r="AQ345" s="771" t="str">
        <f>IFERROR(VLOOKUP(Table_NFI[[#This Row],[Camp Name]],CL,3,0),"")</f>
        <v>Open</v>
      </c>
      <c r="AR345" s="436" t="str">
        <f ca="1">IF(Table_NFI[[#This Row],[Pcode]]="","",OFFSET(CampList[Priority],MATCH(Table_NFI[[#This Row],[Pcode]],CampList[CP_Pcode],0)-1,0,1,1))</f>
        <v>P4</v>
      </c>
      <c r="AS345" s="438">
        <f>IFERROR(Table_NFI[[#This Row],[Kitchen Set]]/VLOOKUP(Table_NFI[[#This Row],[Camp Name]],CL,4,0),"")</f>
        <v>0</v>
      </c>
      <c r="AT345" s="769" t="s">
        <v>1099</v>
      </c>
      <c r="AU345" s="773"/>
    </row>
    <row r="346" spans="1:47" s="774" customFormat="1" x14ac:dyDescent="0.25">
      <c r="A346" s="451">
        <f t="shared" si="5"/>
        <v>25.233333333333334</v>
      </c>
      <c r="B346" s="768">
        <v>41613</v>
      </c>
      <c r="C346" s="769" t="s">
        <v>912</v>
      </c>
      <c r="D346" s="769" t="s">
        <v>462</v>
      </c>
      <c r="E346" s="769" t="s">
        <v>380</v>
      </c>
      <c r="F346" s="769" t="s">
        <v>185</v>
      </c>
      <c r="G346" s="769" t="s">
        <v>192</v>
      </c>
      <c r="H346" s="436"/>
      <c r="I346" s="436"/>
      <c r="J346" s="436"/>
      <c r="K346" s="436"/>
      <c r="L346" s="437"/>
      <c r="M346" s="437"/>
      <c r="N346" s="437"/>
      <c r="O346" s="437"/>
      <c r="P346" s="439"/>
      <c r="Q346" s="439"/>
      <c r="R346" s="436">
        <v>120</v>
      </c>
      <c r="S346" s="436">
        <v>240</v>
      </c>
      <c r="T346" s="436">
        <v>720</v>
      </c>
      <c r="U346" s="436">
        <v>360</v>
      </c>
      <c r="V346" s="436"/>
      <c r="W346" s="436"/>
      <c r="X346" s="436"/>
      <c r="Y346" s="436">
        <f>IF(NFI_Expiration=1,IF($A346&lt;VLOOKUP(H$5,NFI,5,0),1,0)*Table_NFI[[#This Row],[Hygiene Kit]],Table_NFI[Hygiene Kit])</f>
        <v>0</v>
      </c>
      <c r="Z346" s="436">
        <f>IF(NFI_Expiration=1,IF($A346&lt;VLOOKUP(I$5,NFI,5,0),1,0)*Table_NFI[[#This Row],[NFI Core Kit]],Table_NFI[NFI Core Kit])</f>
        <v>0</v>
      </c>
      <c r="AA346" s="436">
        <f>IF(NFI_Expiration=1,IF($A346&lt;VLOOKUP(J$5,NFI,5,0),1,0)*Table_NFI[[#This Row],[Sanitary Kit]],Table_NFI[Sanitary Kit])</f>
        <v>0</v>
      </c>
      <c r="AB346" s="436">
        <f>IF(NFI_Expiration=1,IF($A346&lt;VLOOKUP(K$5,NFI,5,0),1,0)*Table_NFI[[#This Row],[Mosquito net]],Table_NFI[Mosquito net])</f>
        <v>0</v>
      </c>
      <c r="AC346" s="436">
        <f>IF(NFI_Expiration=1,IF($A346&lt;VLOOKUP(L$5,NFI,5,0),1,0)*Table_NFI[[#This Row],[Tarpaulin]],Table_NFI[[#This Row],[Tarpaulin]])</f>
        <v>0</v>
      </c>
      <c r="AD346" s="436">
        <f>IF(NFI_Expiration=1,IF($A346&lt;VLOOKUP(M$5,NFI,5,0),1,0)*Table_NFI[[#This Row],[Blanket]],Table_NFI[[#This Row],[Blanket]])</f>
        <v>0</v>
      </c>
      <c r="AE346" s="436">
        <f>IF(NFI_Expiration=1,IF($A346&lt;VLOOKUP(N$5,NFI,5,0),1,0)*Table_NFI[[#This Row],[Kitchen Set]],Table_NFI[Kitchen Set])</f>
        <v>0</v>
      </c>
      <c r="AF346" s="436">
        <f>IF(NFI_Expiration=1,IF($A346&lt;VLOOKUP(O$5,NFI,5,0),1,0)*Table_NFI[[#This Row],[Clothes Kit]],Table_NFI[Clothes Kit])</f>
        <v>0</v>
      </c>
      <c r="AG346" s="436">
        <f>IF(NFI_Expiration=1,IF($A346&lt;VLOOKUP(P$5,NFI,5,0),1,0)*Table_NFI[[#This Row],[Plastic Bucket]],Table_NFI[Plastic Bucket])</f>
        <v>0</v>
      </c>
      <c r="AH346" s="436">
        <f>IF(NFI_Expiration=1,IF($A346&lt;VLOOKUP(Q$5,NFI,5,0),1,0)*Table_NFI[[#This Row],[Plastic Mat]],Table_NFI[Plastic Mat])*IF(Table_NFI[[#This Row],[Distribution Date]]&gt;"2014-04-01",1,2.5)</f>
        <v>0</v>
      </c>
      <c r="AI346" s="436">
        <f>IF(NFI_Expiration=1,IF($A346&lt;VLOOKUP(R$5,NFI,5,0),1,0)*Table_NFI[[#This Row],[Winter Clothes Adult]],Table_NFI[Winter Clothes Adult])</f>
        <v>0</v>
      </c>
      <c r="AJ346" s="436">
        <f>IF(NFI_Expiration=1,IF($A346&lt;VLOOKUP(S$5,NFI,5,0),1,0)*Table_NFI[[#This Row],[Winter Clothes Children]],Table_NFI[Winter Clothes Children])</f>
        <v>0</v>
      </c>
      <c r="AK346" s="436">
        <f>IF(NFI_Expiration=1,IF($A346&lt;VLOOKUP(T$5,NFI,5,0),1,0)*Table_NFI[[#This Row],[Winter Items Other]],Table_NFI[Winter Items Other])</f>
        <v>0</v>
      </c>
      <c r="AL346" s="436">
        <f>IF(NFI_Expiration=1,IF($A346&lt;VLOOKUP(M$5,NFI,5,0),1,0)*Table_NFI[[#This Row],[Winter Blanket]],Table_NFI[[#This Row],[Winter Blanket]])</f>
        <v>0</v>
      </c>
      <c r="AM346" s="436">
        <f>IF(Table_NFI[[#This Row],[Winter Clothes Adult]]+Table_NFI[[#This Row],[Winter Clothes Children]]+Table_NFI[[#This Row],[Winter Items Other]]+Table_NFI[[#This Row],[Winter Blanket]]&gt;0,1,0)</f>
        <v>1</v>
      </c>
      <c r="AN346" s="439">
        <f>IF(NFI_Expiration=1,IF($A346&lt;VLOOKUP(V$5,NFI,5,0),1,0)*Table_NFI[[#This Row],[Jerry Can]],Table_NFI[Jerry Can])</f>
        <v>0</v>
      </c>
      <c r="AO346" s="771" t="str">
        <f>IFERROR(VLOOKUP(Table_NFI[[#This Row],[Camp Name]],CL,2,0),"")</f>
        <v>MMR001CMP123</v>
      </c>
      <c r="AP346" s="772">
        <f ca="1">IF(Table_NFI[[#This Row],[Pcode]]="","",IF(OFFSET(CampList[Opening Date],MATCH(Table_NFI[[#This Row],[Pcode]],CampList[CP_Pcode],0)-1,0,1,1)&gt;=NFI_Monitor_Date,1,0))</f>
        <v>0</v>
      </c>
      <c r="AQ346" s="771" t="str">
        <f>IFERROR(VLOOKUP(Table_NFI[[#This Row],[Camp Name]],CL,3,0),"")</f>
        <v>Open</v>
      </c>
      <c r="AR346" s="436" t="str">
        <f ca="1">IF(Table_NFI[[#This Row],[Pcode]]="","",OFFSET(CampList[Priority],MATCH(Table_NFI[[#This Row],[Pcode]],CampList[CP_Pcode],0)-1,0,1,1))</f>
        <v>P2</v>
      </c>
      <c r="AS346" s="438">
        <f>IFERROR(Table_NFI[[#This Row],[Kitchen Set]]/VLOOKUP(Table_NFI[[#This Row],[Camp Name]],CL,4,0),"")</f>
        <v>0</v>
      </c>
      <c r="AT346" s="769"/>
      <c r="AU346" s="773"/>
    </row>
    <row r="347" spans="1:47" s="774" customFormat="1" x14ac:dyDescent="0.25">
      <c r="A347" s="451">
        <f t="shared" si="5"/>
        <v>25.266666666666666</v>
      </c>
      <c r="B347" s="768">
        <v>41612</v>
      </c>
      <c r="C347" s="769" t="s">
        <v>454</v>
      </c>
      <c r="D347" s="442" t="s">
        <v>454</v>
      </c>
      <c r="E347" s="769" t="s">
        <v>380</v>
      </c>
      <c r="F347" s="435" t="s">
        <v>5</v>
      </c>
      <c r="G347" s="435" t="s">
        <v>514</v>
      </c>
      <c r="H347" s="442"/>
      <c r="I347" s="442"/>
      <c r="J347" s="442"/>
      <c r="K347" s="775"/>
      <c r="L347" s="776"/>
      <c r="M347" s="443">
        <v>10</v>
      </c>
      <c r="N347" s="443">
        <v>5</v>
      </c>
      <c r="O347" s="443">
        <v>5</v>
      </c>
      <c r="P347" s="776"/>
      <c r="Q347" s="443"/>
      <c r="R347" s="442"/>
      <c r="S347" s="442"/>
      <c r="T347" s="442"/>
      <c r="U347" s="442"/>
      <c r="V347" s="442"/>
      <c r="W347" s="442"/>
      <c r="X347" s="442"/>
      <c r="Y347" s="436">
        <f>IF(NFI_Expiration=1,IF($A347&lt;VLOOKUP(H$5,NFI,5,0),1,0)*Table_NFI[[#This Row],[Hygiene Kit]],Table_NFI[Hygiene Kit])</f>
        <v>0</v>
      </c>
      <c r="Z347" s="436">
        <f>IF(NFI_Expiration=1,IF($A347&lt;VLOOKUP(I$5,NFI,5,0),1,0)*Table_NFI[[#This Row],[NFI Core Kit]],Table_NFI[NFI Core Kit])</f>
        <v>0</v>
      </c>
      <c r="AA347" s="436">
        <f>IF(NFI_Expiration=1,IF($A347&lt;VLOOKUP(J$5,NFI,5,0),1,0)*Table_NFI[[#This Row],[Sanitary Kit]],Table_NFI[Sanitary Kit])</f>
        <v>0</v>
      </c>
      <c r="AB347" s="436">
        <f>IF(NFI_Expiration=1,IF($A347&lt;VLOOKUP(K$5,NFI,5,0),1,0)*Table_NFI[[#This Row],[Mosquito net]],Table_NFI[Mosquito net])</f>
        <v>0</v>
      </c>
      <c r="AC347" s="436">
        <f>IF(NFI_Expiration=1,IF($A347&lt;VLOOKUP(L$5,NFI,5,0),1,0)*Table_NFI[[#This Row],[Tarpaulin]],Table_NFI[[#This Row],[Tarpaulin]])</f>
        <v>0</v>
      </c>
      <c r="AD347" s="436">
        <f>IF(NFI_Expiration=1,IF($A347&lt;VLOOKUP(M$5,NFI,5,0),1,0)*Table_NFI[[#This Row],[Blanket]],Table_NFI[[#This Row],[Blanket]])</f>
        <v>0</v>
      </c>
      <c r="AE347" s="436">
        <f>IF(NFI_Expiration=1,IF($A347&lt;VLOOKUP(N$5,NFI,5,0),1,0)*Table_NFI[[#This Row],[Kitchen Set]],Table_NFI[Kitchen Set])</f>
        <v>0</v>
      </c>
      <c r="AF347" s="436">
        <f>IF(NFI_Expiration=1,IF($A347&lt;VLOOKUP(O$5,NFI,5,0),1,0)*Table_NFI[[#This Row],[Clothes Kit]],Table_NFI[Clothes Kit])</f>
        <v>0</v>
      </c>
      <c r="AG347" s="436">
        <f>IF(NFI_Expiration=1,IF($A347&lt;VLOOKUP(P$5,NFI,5,0),1,0)*Table_NFI[[#This Row],[Plastic Bucket]],Table_NFI[Plastic Bucket])</f>
        <v>0</v>
      </c>
      <c r="AH347" s="436">
        <f>IF(NFI_Expiration=1,IF($A347&lt;VLOOKUP(Q$5,NFI,5,0),1,0)*Table_NFI[[#This Row],[Plastic Mat]],Table_NFI[Plastic Mat])*IF(Table_NFI[[#This Row],[Distribution Date]]&gt;"2014-04-01",1,2.5)</f>
        <v>0</v>
      </c>
      <c r="AI347" s="436">
        <f>IF(NFI_Expiration=1,IF($A347&lt;VLOOKUP(R$5,NFI,5,0),1,0)*Table_NFI[[#This Row],[Winter Clothes Adult]],Table_NFI[Winter Clothes Adult])</f>
        <v>0</v>
      </c>
      <c r="AJ347" s="436">
        <f>IF(NFI_Expiration=1,IF($A347&lt;VLOOKUP(S$5,NFI,5,0),1,0)*Table_NFI[[#This Row],[Winter Clothes Children]],Table_NFI[Winter Clothes Children])</f>
        <v>0</v>
      </c>
      <c r="AK347" s="436">
        <f>IF(NFI_Expiration=1,IF($A347&lt;VLOOKUP(T$5,NFI,5,0),1,0)*Table_NFI[[#This Row],[Winter Items Other]],Table_NFI[Winter Items Other])</f>
        <v>0</v>
      </c>
      <c r="AL347" s="436">
        <f>IF(NFI_Expiration=1,IF($A347&lt;VLOOKUP(M$5,NFI,5,0),1,0)*Table_NFI[[#This Row],[Winter Blanket]],Table_NFI[[#This Row],[Winter Blanket]])</f>
        <v>0</v>
      </c>
      <c r="AM347" s="436">
        <f>IF(Table_NFI[[#This Row],[Winter Clothes Adult]]+Table_NFI[[#This Row],[Winter Clothes Children]]+Table_NFI[[#This Row],[Winter Items Other]]+Table_NFI[[#This Row],[Winter Blanket]]&gt;0,1,0)</f>
        <v>0</v>
      </c>
      <c r="AN347" s="439">
        <f>IF(NFI_Expiration=1,IF($A347&lt;VLOOKUP(V$5,NFI,5,0),1,0)*Table_NFI[[#This Row],[Jerry Can]],Table_NFI[Jerry Can])</f>
        <v>0</v>
      </c>
      <c r="AO347" s="771" t="str">
        <f>IFERROR(VLOOKUP(Table_NFI[[#This Row],[Camp Name]],CL,2,0),"")</f>
        <v>MMR001CMP194</v>
      </c>
      <c r="AP347" s="772">
        <f ca="1">IF(Table_NFI[[#This Row],[Pcode]]="","",IF(OFFSET(CampList[Opening Date],MATCH(Table_NFI[[#This Row],[Pcode]],CampList[CP_Pcode],0)-1,0,1,1)&gt;=NFI_Monitor_Date,1,0))</f>
        <v>0</v>
      </c>
      <c r="AQ347" s="781" t="str">
        <f>IFERROR(VLOOKUP(Table_NFI[[#This Row],[Camp Name]],CL,3,0),"")</f>
        <v>Open</v>
      </c>
      <c r="AR347" s="439" t="str">
        <f ca="1">IF(Table_NFI[[#This Row],[Pcode]]="","",OFFSET(CampList[Priority],MATCH(Table_NFI[[#This Row],[Pcode]],CampList[CP_Pcode],0)-1,0,1,1))</f>
        <v>P4</v>
      </c>
      <c r="AS347" s="438">
        <f>IFERROR(Table_NFI[[#This Row],[Kitchen Set]]/VLOOKUP(Table_NFI[[#This Row],[Camp Name]],CL,4,0),"")</f>
        <v>0.41666666666666669</v>
      </c>
      <c r="AT347" s="769" t="s">
        <v>1099</v>
      </c>
      <c r="AU347" s="773"/>
    </row>
    <row r="348" spans="1:47" s="774" customFormat="1" x14ac:dyDescent="0.25">
      <c r="A348" s="451">
        <f t="shared" si="5"/>
        <v>25.266666666666666</v>
      </c>
      <c r="B348" s="768">
        <v>41612</v>
      </c>
      <c r="C348" s="769" t="s">
        <v>454</v>
      </c>
      <c r="D348" s="442" t="s">
        <v>454</v>
      </c>
      <c r="E348" s="769" t="s">
        <v>380</v>
      </c>
      <c r="F348" s="435" t="s">
        <v>5</v>
      </c>
      <c r="G348" s="435" t="s">
        <v>22</v>
      </c>
      <c r="H348" s="442"/>
      <c r="I348" s="442"/>
      <c r="J348" s="442"/>
      <c r="K348" s="775"/>
      <c r="L348" s="776"/>
      <c r="M348" s="443">
        <v>120</v>
      </c>
      <c r="N348" s="443"/>
      <c r="O348" s="443"/>
      <c r="P348" s="776"/>
      <c r="Q348" s="443"/>
      <c r="R348" s="442"/>
      <c r="S348" s="442"/>
      <c r="T348" s="442"/>
      <c r="U348" s="442"/>
      <c r="V348" s="442"/>
      <c r="W348" s="442"/>
      <c r="X348" s="442"/>
      <c r="Y348" s="436">
        <f>IF(NFI_Expiration=1,IF($A348&lt;VLOOKUP(H$5,NFI,5,0),1,0)*Table_NFI[[#This Row],[Hygiene Kit]],Table_NFI[Hygiene Kit])</f>
        <v>0</v>
      </c>
      <c r="Z348" s="436">
        <f>IF(NFI_Expiration=1,IF($A348&lt;VLOOKUP(I$5,NFI,5,0),1,0)*Table_NFI[[#This Row],[NFI Core Kit]],Table_NFI[NFI Core Kit])</f>
        <v>0</v>
      </c>
      <c r="AA348" s="436">
        <f>IF(NFI_Expiration=1,IF($A348&lt;VLOOKUP(J$5,NFI,5,0),1,0)*Table_NFI[[#This Row],[Sanitary Kit]],Table_NFI[Sanitary Kit])</f>
        <v>0</v>
      </c>
      <c r="AB348" s="436">
        <f>IF(NFI_Expiration=1,IF($A348&lt;VLOOKUP(K$5,NFI,5,0),1,0)*Table_NFI[[#This Row],[Mosquito net]],Table_NFI[Mosquito net])</f>
        <v>0</v>
      </c>
      <c r="AC348" s="436">
        <f>IF(NFI_Expiration=1,IF($A348&lt;VLOOKUP(L$5,NFI,5,0),1,0)*Table_NFI[[#This Row],[Tarpaulin]],Table_NFI[[#This Row],[Tarpaulin]])</f>
        <v>0</v>
      </c>
      <c r="AD348" s="436">
        <f>IF(NFI_Expiration=1,IF($A348&lt;VLOOKUP(M$5,NFI,5,0),1,0)*Table_NFI[[#This Row],[Blanket]],Table_NFI[[#This Row],[Blanket]])</f>
        <v>0</v>
      </c>
      <c r="AE348" s="436">
        <f>IF(NFI_Expiration=1,IF($A348&lt;VLOOKUP(N$5,NFI,5,0),1,0)*Table_NFI[[#This Row],[Kitchen Set]],Table_NFI[Kitchen Set])</f>
        <v>0</v>
      </c>
      <c r="AF348" s="436">
        <f>IF(NFI_Expiration=1,IF($A348&lt;VLOOKUP(O$5,NFI,5,0),1,0)*Table_NFI[[#This Row],[Clothes Kit]],Table_NFI[Clothes Kit])</f>
        <v>0</v>
      </c>
      <c r="AG348" s="436">
        <f>IF(NFI_Expiration=1,IF($A348&lt;VLOOKUP(P$5,NFI,5,0),1,0)*Table_NFI[[#This Row],[Plastic Bucket]],Table_NFI[Plastic Bucket])</f>
        <v>0</v>
      </c>
      <c r="AH348" s="436">
        <f>IF(NFI_Expiration=1,IF($A348&lt;VLOOKUP(Q$5,NFI,5,0),1,0)*Table_NFI[[#This Row],[Plastic Mat]],Table_NFI[Plastic Mat])*IF(Table_NFI[[#This Row],[Distribution Date]]&gt;"2014-04-01",1,2.5)</f>
        <v>0</v>
      </c>
      <c r="AI348" s="436">
        <f>IF(NFI_Expiration=1,IF($A348&lt;VLOOKUP(R$5,NFI,5,0),1,0)*Table_NFI[[#This Row],[Winter Clothes Adult]],Table_NFI[Winter Clothes Adult])</f>
        <v>0</v>
      </c>
      <c r="AJ348" s="436">
        <f>IF(NFI_Expiration=1,IF($A348&lt;VLOOKUP(S$5,NFI,5,0),1,0)*Table_NFI[[#This Row],[Winter Clothes Children]],Table_NFI[Winter Clothes Children])</f>
        <v>0</v>
      </c>
      <c r="AK348" s="436">
        <f>IF(NFI_Expiration=1,IF($A348&lt;VLOOKUP(T$5,NFI,5,0),1,0)*Table_NFI[[#This Row],[Winter Items Other]],Table_NFI[Winter Items Other])</f>
        <v>0</v>
      </c>
      <c r="AL348" s="436">
        <f>IF(NFI_Expiration=1,IF($A348&lt;VLOOKUP(M$5,NFI,5,0),1,0)*Table_NFI[[#This Row],[Winter Blanket]],Table_NFI[[#This Row],[Winter Blanket]])</f>
        <v>0</v>
      </c>
      <c r="AM348" s="436">
        <f>IF(Table_NFI[[#This Row],[Winter Clothes Adult]]+Table_NFI[[#This Row],[Winter Clothes Children]]+Table_NFI[[#This Row],[Winter Items Other]]+Table_NFI[[#This Row],[Winter Blanket]]&gt;0,1,0)</f>
        <v>0</v>
      </c>
      <c r="AN348" s="439">
        <f>IF(NFI_Expiration=1,IF($A348&lt;VLOOKUP(V$5,NFI,5,0),1,0)*Table_NFI[[#This Row],[Jerry Can]],Table_NFI[Jerry Can])</f>
        <v>0</v>
      </c>
      <c r="AO348" s="771" t="str">
        <f>IFERROR(VLOOKUP(Table_NFI[[#This Row],[Camp Name]],CL,2,0),"")</f>
        <v>MMR001CMP047</v>
      </c>
      <c r="AP348" s="772">
        <f ca="1">IF(Table_NFI[[#This Row],[Pcode]]="","",IF(OFFSET(CampList[Opening Date],MATCH(Table_NFI[[#This Row],[Pcode]],CampList[CP_Pcode],0)-1,0,1,1)&gt;=NFI_Monitor_Date,1,0))</f>
        <v>0</v>
      </c>
      <c r="AQ348" s="781" t="str">
        <f>IFERROR(VLOOKUP(Table_NFI[[#This Row],[Camp Name]],CL,3,0),"")</f>
        <v>Open</v>
      </c>
      <c r="AR348" s="439" t="str">
        <f ca="1">IF(Table_NFI[[#This Row],[Pcode]]="","",OFFSET(CampList[Priority],MATCH(Table_NFI[[#This Row],[Pcode]],CampList[CP_Pcode],0)-1,0,1,1))</f>
        <v>P4</v>
      </c>
      <c r="AS348" s="438">
        <f>IFERROR(Table_NFI[[#This Row],[Kitchen Set]]/VLOOKUP(Table_NFI[[#This Row],[Camp Name]],CL,4,0),"")</f>
        <v>0</v>
      </c>
      <c r="AT348" s="769" t="s">
        <v>1099</v>
      </c>
      <c r="AU348" s="773"/>
    </row>
    <row r="349" spans="1:47" s="774" customFormat="1" x14ac:dyDescent="0.25">
      <c r="A349" s="451">
        <f t="shared" si="5"/>
        <v>25.266666666666666</v>
      </c>
      <c r="B349" s="768">
        <v>41612</v>
      </c>
      <c r="C349" s="769" t="s">
        <v>454</v>
      </c>
      <c r="D349" s="442" t="s">
        <v>454</v>
      </c>
      <c r="E349" s="769" t="s">
        <v>380</v>
      </c>
      <c r="F349" s="435" t="s">
        <v>5</v>
      </c>
      <c r="G349" s="435" t="s">
        <v>22</v>
      </c>
      <c r="H349" s="442"/>
      <c r="I349" s="442"/>
      <c r="J349" s="442"/>
      <c r="K349" s="775"/>
      <c r="L349" s="776">
        <v>5</v>
      </c>
      <c r="M349" s="443"/>
      <c r="N349" s="443"/>
      <c r="O349" s="443"/>
      <c r="P349" s="776"/>
      <c r="Q349" s="443"/>
      <c r="R349" s="442"/>
      <c r="S349" s="442"/>
      <c r="T349" s="442"/>
      <c r="U349" s="442"/>
      <c r="V349" s="442"/>
      <c r="W349" s="442"/>
      <c r="X349" s="442"/>
      <c r="Y349" s="436">
        <f>IF(NFI_Expiration=1,IF($A349&lt;VLOOKUP(H$5,NFI,5,0),1,0)*Table_NFI[[#This Row],[Hygiene Kit]],Table_NFI[Hygiene Kit])</f>
        <v>0</v>
      </c>
      <c r="Z349" s="436">
        <f>IF(NFI_Expiration=1,IF($A349&lt;VLOOKUP(I$5,NFI,5,0),1,0)*Table_NFI[[#This Row],[NFI Core Kit]],Table_NFI[NFI Core Kit])</f>
        <v>0</v>
      </c>
      <c r="AA349" s="436">
        <f>IF(NFI_Expiration=1,IF($A349&lt;VLOOKUP(J$5,NFI,5,0),1,0)*Table_NFI[[#This Row],[Sanitary Kit]],Table_NFI[Sanitary Kit])</f>
        <v>0</v>
      </c>
      <c r="AB349" s="436">
        <f>IF(NFI_Expiration=1,IF($A349&lt;VLOOKUP(K$5,NFI,5,0),1,0)*Table_NFI[[#This Row],[Mosquito net]],Table_NFI[Mosquito net])</f>
        <v>0</v>
      </c>
      <c r="AC349" s="436">
        <f>IF(NFI_Expiration=1,IF($A349&lt;VLOOKUP(L$5,NFI,5,0),1,0)*Table_NFI[[#This Row],[Tarpaulin]],Table_NFI[[#This Row],[Tarpaulin]])</f>
        <v>0</v>
      </c>
      <c r="AD349" s="436">
        <f>IF(NFI_Expiration=1,IF($A349&lt;VLOOKUP(M$5,NFI,5,0),1,0)*Table_NFI[[#This Row],[Blanket]],Table_NFI[[#This Row],[Blanket]])</f>
        <v>0</v>
      </c>
      <c r="AE349" s="436">
        <f>IF(NFI_Expiration=1,IF($A349&lt;VLOOKUP(N$5,NFI,5,0),1,0)*Table_NFI[[#This Row],[Kitchen Set]],Table_NFI[Kitchen Set])</f>
        <v>0</v>
      </c>
      <c r="AF349" s="436">
        <f>IF(NFI_Expiration=1,IF($A349&lt;VLOOKUP(O$5,NFI,5,0),1,0)*Table_NFI[[#This Row],[Clothes Kit]],Table_NFI[Clothes Kit])</f>
        <v>0</v>
      </c>
      <c r="AG349" s="436">
        <f>IF(NFI_Expiration=1,IF($A349&lt;VLOOKUP(P$5,NFI,5,0),1,0)*Table_NFI[[#This Row],[Plastic Bucket]],Table_NFI[Plastic Bucket])</f>
        <v>0</v>
      </c>
      <c r="AH349" s="436">
        <f>IF(NFI_Expiration=1,IF($A349&lt;VLOOKUP(Q$5,NFI,5,0),1,0)*Table_NFI[[#This Row],[Plastic Mat]],Table_NFI[Plastic Mat])*IF(Table_NFI[[#This Row],[Distribution Date]]&gt;"2014-04-01",1,2.5)</f>
        <v>0</v>
      </c>
      <c r="AI349" s="436">
        <f>IF(NFI_Expiration=1,IF($A349&lt;VLOOKUP(R$5,NFI,5,0),1,0)*Table_NFI[[#This Row],[Winter Clothes Adult]],Table_NFI[Winter Clothes Adult])</f>
        <v>0</v>
      </c>
      <c r="AJ349" s="436">
        <f>IF(NFI_Expiration=1,IF($A349&lt;VLOOKUP(S$5,NFI,5,0),1,0)*Table_NFI[[#This Row],[Winter Clothes Children]],Table_NFI[Winter Clothes Children])</f>
        <v>0</v>
      </c>
      <c r="AK349" s="436">
        <f>IF(NFI_Expiration=1,IF($A349&lt;VLOOKUP(T$5,NFI,5,0),1,0)*Table_NFI[[#This Row],[Winter Items Other]],Table_NFI[Winter Items Other])</f>
        <v>0</v>
      </c>
      <c r="AL349" s="436">
        <f>IF(NFI_Expiration=1,IF($A349&lt;VLOOKUP(M$5,NFI,5,0),1,0)*Table_NFI[[#This Row],[Winter Blanket]],Table_NFI[[#This Row],[Winter Blanket]])</f>
        <v>0</v>
      </c>
      <c r="AM349" s="436">
        <f>IF(Table_NFI[[#This Row],[Winter Clothes Adult]]+Table_NFI[[#This Row],[Winter Clothes Children]]+Table_NFI[[#This Row],[Winter Items Other]]+Table_NFI[[#This Row],[Winter Blanket]]&gt;0,1,0)</f>
        <v>0</v>
      </c>
      <c r="AN349" s="439">
        <f>IF(NFI_Expiration=1,IF($A349&lt;VLOOKUP(V$5,NFI,5,0),1,0)*Table_NFI[[#This Row],[Jerry Can]],Table_NFI[Jerry Can])</f>
        <v>0</v>
      </c>
      <c r="AO349" s="771" t="str">
        <f>IFERROR(VLOOKUP(Table_NFI[[#This Row],[Camp Name]],CL,2,0),"")</f>
        <v>MMR001CMP047</v>
      </c>
      <c r="AP349" s="772">
        <f ca="1">IF(Table_NFI[[#This Row],[Pcode]]="","",IF(OFFSET(CampList[Opening Date],MATCH(Table_NFI[[#This Row],[Pcode]],CampList[CP_Pcode],0)-1,0,1,1)&gt;=NFI_Monitor_Date,1,0))</f>
        <v>0</v>
      </c>
      <c r="AQ349" s="781" t="str">
        <f>IFERROR(VLOOKUP(Table_NFI[[#This Row],[Camp Name]],CL,3,0),"")</f>
        <v>Open</v>
      </c>
      <c r="AR349" s="439" t="str">
        <f ca="1">IF(Table_NFI[[#This Row],[Pcode]]="","",OFFSET(CampList[Priority],MATCH(Table_NFI[[#This Row],[Pcode]],CampList[CP_Pcode],0)-1,0,1,1))</f>
        <v>P4</v>
      </c>
      <c r="AS349" s="438">
        <f>IFERROR(Table_NFI[[#This Row],[Kitchen Set]]/VLOOKUP(Table_NFI[[#This Row],[Camp Name]],CL,4,0),"")</f>
        <v>0</v>
      </c>
      <c r="AT349" s="769" t="s">
        <v>1099</v>
      </c>
      <c r="AU349" s="773"/>
    </row>
    <row r="350" spans="1:47" s="774" customFormat="1" x14ac:dyDescent="0.25">
      <c r="A350" s="451">
        <f t="shared" si="5"/>
        <v>25.3</v>
      </c>
      <c r="B350" s="768">
        <v>41611</v>
      </c>
      <c r="C350" s="769" t="s">
        <v>912</v>
      </c>
      <c r="D350" s="769" t="s">
        <v>462</v>
      </c>
      <c r="E350" s="769" t="s">
        <v>380</v>
      </c>
      <c r="F350" s="769" t="s">
        <v>310</v>
      </c>
      <c r="G350" s="769" t="s">
        <v>334</v>
      </c>
      <c r="H350" s="436"/>
      <c r="I350" s="436"/>
      <c r="J350" s="436"/>
      <c r="K350" s="436"/>
      <c r="L350" s="437"/>
      <c r="M350" s="437"/>
      <c r="N350" s="437"/>
      <c r="O350" s="437"/>
      <c r="P350" s="439"/>
      <c r="Q350" s="439"/>
      <c r="R350" s="436">
        <v>181</v>
      </c>
      <c r="S350" s="436">
        <v>362</v>
      </c>
      <c r="T350" s="436">
        <v>1086</v>
      </c>
      <c r="U350" s="436">
        <v>543</v>
      </c>
      <c r="V350" s="436"/>
      <c r="W350" s="436"/>
      <c r="X350" s="436"/>
      <c r="Y350" s="436">
        <f>IF(NFI_Expiration=1,IF($A350&lt;VLOOKUP(H$5,NFI,5,0),1,0)*Table_NFI[[#This Row],[Hygiene Kit]],Table_NFI[Hygiene Kit])</f>
        <v>0</v>
      </c>
      <c r="Z350" s="436">
        <f>IF(NFI_Expiration=1,IF($A350&lt;VLOOKUP(I$5,NFI,5,0),1,0)*Table_NFI[[#This Row],[NFI Core Kit]],Table_NFI[NFI Core Kit])</f>
        <v>0</v>
      </c>
      <c r="AA350" s="436">
        <f>IF(NFI_Expiration=1,IF($A350&lt;VLOOKUP(J$5,NFI,5,0),1,0)*Table_NFI[[#This Row],[Sanitary Kit]],Table_NFI[Sanitary Kit])</f>
        <v>0</v>
      </c>
      <c r="AB350" s="436">
        <f>IF(NFI_Expiration=1,IF($A350&lt;VLOOKUP(K$5,NFI,5,0),1,0)*Table_NFI[[#This Row],[Mosquito net]],Table_NFI[Mosquito net])</f>
        <v>0</v>
      </c>
      <c r="AC350" s="436">
        <f>IF(NFI_Expiration=1,IF($A350&lt;VLOOKUP(L$5,NFI,5,0),1,0)*Table_NFI[[#This Row],[Tarpaulin]],Table_NFI[[#This Row],[Tarpaulin]])</f>
        <v>0</v>
      </c>
      <c r="AD350" s="436">
        <f>IF(NFI_Expiration=1,IF($A350&lt;VLOOKUP(M$5,NFI,5,0),1,0)*Table_NFI[[#This Row],[Blanket]],Table_NFI[[#This Row],[Blanket]])</f>
        <v>0</v>
      </c>
      <c r="AE350" s="436">
        <f>IF(NFI_Expiration=1,IF($A350&lt;VLOOKUP(N$5,NFI,5,0),1,0)*Table_NFI[[#This Row],[Kitchen Set]],Table_NFI[Kitchen Set])</f>
        <v>0</v>
      </c>
      <c r="AF350" s="436">
        <f>IF(NFI_Expiration=1,IF($A350&lt;VLOOKUP(O$5,NFI,5,0),1,0)*Table_NFI[[#This Row],[Clothes Kit]],Table_NFI[Clothes Kit])</f>
        <v>0</v>
      </c>
      <c r="AG350" s="436">
        <f>IF(NFI_Expiration=1,IF($A350&lt;VLOOKUP(P$5,NFI,5,0),1,0)*Table_NFI[[#This Row],[Plastic Bucket]],Table_NFI[Plastic Bucket])</f>
        <v>0</v>
      </c>
      <c r="AH350" s="436">
        <f>IF(NFI_Expiration=1,IF($A350&lt;VLOOKUP(Q$5,NFI,5,0),1,0)*Table_NFI[[#This Row],[Plastic Mat]],Table_NFI[Plastic Mat])*IF(Table_NFI[[#This Row],[Distribution Date]]&gt;"2014-04-01",1,2.5)</f>
        <v>0</v>
      </c>
      <c r="AI350" s="436">
        <f>IF(NFI_Expiration=1,IF($A350&lt;VLOOKUP(R$5,NFI,5,0),1,0)*Table_NFI[[#This Row],[Winter Clothes Adult]],Table_NFI[Winter Clothes Adult])</f>
        <v>0</v>
      </c>
      <c r="AJ350" s="436">
        <f>IF(NFI_Expiration=1,IF($A350&lt;VLOOKUP(S$5,NFI,5,0),1,0)*Table_NFI[[#This Row],[Winter Clothes Children]],Table_NFI[Winter Clothes Children])</f>
        <v>0</v>
      </c>
      <c r="AK350" s="436">
        <f>IF(NFI_Expiration=1,IF($A350&lt;VLOOKUP(T$5,NFI,5,0),1,0)*Table_NFI[[#This Row],[Winter Items Other]],Table_NFI[Winter Items Other])</f>
        <v>0</v>
      </c>
      <c r="AL350" s="436">
        <f>IF(NFI_Expiration=1,IF($A350&lt;VLOOKUP(M$5,NFI,5,0),1,0)*Table_NFI[[#This Row],[Winter Blanket]],Table_NFI[[#This Row],[Winter Blanket]])</f>
        <v>0</v>
      </c>
      <c r="AM350" s="436">
        <f>IF(Table_NFI[[#This Row],[Winter Clothes Adult]]+Table_NFI[[#This Row],[Winter Clothes Children]]+Table_NFI[[#This Row],[Winter Items Other]]+Table_NFI[[#This Row],[Winter Blanket]]&gt;0,1,0)</f>
        <v>1</v>
      </c>
      <c r="AN350" s="439">
        <f>IF(NFI_Expiration=1,IF($A350&lt;VLOOKUP(V$5,NFI,5,0),1,0)*Table_NFI[[#This Row],[Jerry Can]],Table_NFI[Jerry Can])</f>
        <v>0</v>
      </c>
      <c r="AO350" s="771" t="str">
        <f>IFERROR(VLOOKUP(Table_NFI[[#This Row],[Camp Name]],CL,2,0),"")</f>
        <v>MMR001CMP113</v>
      </c>
      <c r="AP350" s="772">
        <f ca="1">IF(Table_NFI[[#This Row],[Pcode]]="","",IF(OFFSET(CampList[Opening Date],MATCH(Table_NFI[[#This Row],[Pcode]],CampList[CP_Pcode],0)-1,0,1,1)&gt;=NFI_Monitor_Date,1,0))</f>
        <v>0</v>
      </c>
      <c r="AQ350" s="771" t="str">
        <f>IFERROR(VLOOKUP(Table_NFI[[#This Row],[Camp Name]],CL,3,0),"")</f>
        <v>Open</v>
      </c>
      <c r="AR350" s="436" t="str">
        <f ca="1">IF(Table_NFI[[#This Row],[Pcode]]="","",OFFSET(CampList[Priority],MATCH(Table_NFI[[#This Row],[Pcode]],CampList[CP_Pcode],0)-1,0,1,1))</f>
        <v>P1</v>
      </c>
      <c r="AS350" s="438">
        <f>IFERROR(Table_NFI[[#This Row],[Kitchen Set]]/VLOOKUP(Table_NFI[[#This Row],[Camp Name]],CL,4,0),"")</f>
        <v>0</v>
      </c>
      <c r="AT350" s="769"/>
      <c r="AU350" s="773"/>
    </row>
    <row r="351" spans="1:47" s="774" customFormat="1" x14ac:dyDescent="0.25">
      <c r="A351" s="451">
        <f t="shared" si="5"/>
        <v>25.3</v>
      </c>
      <c r="B351" s="768">
        <v>41611</v>
      </c>
      <c r="C351" s="769" t="s">
        <v>454</v>
      </c>
      <c r="D351" s="442" t="s">
        <v>454</v>
      </c>
      <c r="E351" s="769" t="s">
        <v>380</v>
      </c>
      <c r="F351" s="435" t="s">
        <v>185</v>
      </c>
      <c r="G351" s="435" t="s">
        <v>209</v>
      </c>
      <c r="H351" s="442"/>
      <c r="I351" s="442"/>
      <c r="J351" s="442"/>
      <c r="K351" s="775">
        <v>25</v>
      </c>
      <c r="L351" s="776">
        <v>13</v>
      </c>
      <c r="M351" s="443">
        <v>25</v>
      </c>
      <c r="N351" s="443">
        <v>13</v>
      </c>
      <c r="O351" s="443">
        <v>13</v>
      </c>
      <c r="P351" s="776"/>
      <c r="Q351" s="443"/>
      <c r="R351" s="442"/>
      <c r="S351" s="442"/>
      <c r="T351" s="442"/>
      <c r="U351" s="442"/>
      <c r="V351" s="442"/>
      <c r="W351" s="442"/>
      <c r="X351" s="442"/>
      <c r="Y351" s="436">
        <f>IF(NFI_Expiration=1,IF($A351&lt;VLOOKUP(H$5,NFI,5,0),1,0)*Table_NFI[[#This Row],[Hygiene Kit]],Table_NFI[Hygiene Kit])</f>
        <v>0</v>
      </c>
      <c r="Z351" s="436">
        <f>IF(NFI_Expiration=1,IF($A351&lt;VLOOKUP(I$5,NFI,5,0),1,0)*Table_NFI[[#This Row],[NFI Core Kit]],Table_NFI[NFI Core Kit])</f>
        <v>0</v>
      </c>
      <c r="AA351" s="436">
        <f>IF(NFI_Expiration=1,IF($A351&lt;VLOOKUP(J$5,NFI,5,0),1,0)*Table_NFI[[#This Row],[Sanitary Kit]],Table_NFI[Sanitary Kit])</f>
        <v>0</v>
      </c>
      <c r="AB351" s="436">
        <f>IF(NFI_Expiration=1,IF($A351&lt;VLOOKUP(K$5,NFI,5,0),1,0)*Table_NFI[[#This Row],[Mosquito net]],Table_NFI[Mosquito net])</f>
        <v>0</v>
      </c>
      <c r="AC351" s="436">
        <f>IF(NFI_Expiration=1,IF($A351&lt;VLOOKUP(L$5,NFI,5,0),1,0)*Table_NFI[[#This Row],[Tarpaulin]],Table_NFI[[#This Row],[Tarpaulin]])</f>
        <v>0</v>
      </c>
      <c r="AD351" s="436">
        <f>IF(NFI_Expiration=1,IF($A351&lt;VLOOKUP(M$5,NFI,5,0),1,0)*Table_NFI[[#This Row],[Blanket]],Table_NFI[[#This Row],[Blanket]])</f>
        <v>0</v>
      </c>
      <c r="AE351" s="436">
        <f>IF(NFI_Expiration=1,IF($A351&lt;VLOOKUP(N$5,NFI,5,0),1,0)*Table_NFI[[#This Row],[Kitchen Set]],Table_NFI[Kitchen Set])</f>
        <v>0</v>
      </c>
      <c r="AF351" s="436">
        <f>IF(NFI_Expiration=1,IF($A351&lt;VLOOKUP(O$5,NFI,5,0),1,0)*Table_NFI[[#This Row],[Clothes Kit]],Table_NFI[Clothes Kit])</f>
        <v>0</v>
      </c>
      <c r="AG351" s="436">
        <f>IF(NFI_Expiration=1,IF($A351&lt;VLOOKUP(P$5,NFI,5,0),1,0)*Table_NFI[[#This Row],[Plastic Bucket]],Table_NFI[Plastic Bucket])</f>
        <v>0</v>
      </c>
      <c r="AH351" s="436">
        <f>IF(NFI_Expiration=1,IF($A351&lt;VLOOKUP(Q$5,NFI,5,0),1,0)*Table_NFI[[#This Row],[Plastic Mat]],Table_NFI[Plastic Mat])*IF(Table_NFI[[#This Row],[Distribution Date]]&gt;"2014-04-01",1,2.5)</f>
        <v>0</v>
      </c>
      <c r="AI351" s="436">
        <f>IF(NFI_Expiration=1,IF($A351&lt;VLOOKUP(R$5,NFI,5,0),1,0)*Table_NFI[[#This Row],[Winter Clothes Adult]],Table_NFI[Winter Clothes Adult])</f>
        <v>0</v>
      </c>
      <c r="AJ351" s="436">
        <f>IF(NFI_Expiration=1,IF($A351&lt;VLOOKUP(S$5,NFI,5,0),1,0)*Table_NFI[[#This Row],[Winter Clothes Children]],Table_NFI[Winter Clothes Children])</f>
        <v>0</v>
      </c>
      <c r="AK351" s="436">
        <f>IF(NFI_Expiration=1,IF($A351&lt;VLOOKUP(T$5,NFI,5,0),1,0)*Table_NFI[[#This Row],[Winter Items Other]],Table_NFI[Winter Items Other])</f>
        <v>0</v>
      </c>
      <c r="AL351" s="436">
        <f>IF(NFI_Expiration=1,IF($A351&lt;VLOOKUP(M$5,NFI,5,0),1,0)*Table_NFI[[#This Row],[Winter Blanket]],Table_NFI[[#This Row],[Winter Blanket]])</f>
        <v>0</v>
      </c>
      <c r="AM351" s="436">
        <f>IF(Table_NFI[[#This Row],[Winter Clothes Adult]]+Table_NFI[[#This Row],[Winter Clothes Children]]+Table_NFI[[#This Row],[Winter Items Other]]+Table_NFI[[#This Row],[Winter Blanket]]&gt;0,1,0)</f>
        <v>0</v>
      </c>
      <c r="AN351" s="439">
        <f>IF(NFI_Expiration=1,IF($A351&lt;VLOOKUP(V$5,NFI,5,0),1,0)*Table_NFI[[#This Row],[Jerry Can]],Table_NFI[Jerry Can])</f>
        <v>0</v>
      </c>
      <c r="AO351" s="771" t="str">
        <f>IFERROR(VLOOKUP(Table_NFI[[#This Row],[Camp Name]],CL,2,0),"")</f>
        <v>MMR001CMP056</v>
      </c>
      <c r="AP351" s="772">
        <f ca="1">IF(Table_NFI[[#This Row],[Pcode]]="","",IF(OFFSET(CampList[Opening Date],MATCH(Table_NFI[[#This Row],[Pcode]],CampList[CP_Pcode],0)-1,0,1,1)&gt;=NFI_Monitor_Date,1,0))</f>
        <v>0</v>
      </c>
      <c r="AQ351" s="781" t="str">
        <f>IFERROR(VLOOKUP(Table_NFI[[#This Row],[Camp Name]],CL,3,0),"")</f>
        <v>Open</v>
      </c>
      <c r="AR351" s="439" t="str">
        <f ca="1">IF(Table_NFI[[#This Row],[Pcode]]="","",OFFSET(CampList[Priority],MATCH(Table_NFI[[#This Row],[Pcode]],CampList[CP_Pcode],0)-1,0,1,1))</f>
        <v>P4</v>
      </c>
      <c r="AS351" s="438">
        <f>IFERROR(Table_NFI[[#This Row],[Kitchen Set]]/VLOOKUP(Table_NFI[[#This Row],[Camp Name]],CL,4,0),"")</f>
        <v>6.280193236714976E-2</v>
      </c>
      <c r="AT351" s="769" t="s">
        <v>1099</v>
      </c>
      <c r="AU351" s="773"/>
    </row>
    <row r="352" spans="1:47" s="774" customFormat="1" x14ac:dyDescent="0.25">
      <c r="A352" s="451">
        <f t="shared" si="5"/>
        <v>25.333333333333332</v>
      </c>
      <c r="B352" s="768">
        <v>41610</v>
      </c>
      <c r="C352" s="769" t="s">
        <v>912</v>
      </c>
      <c r="D352" s="769" t="s">
        <v>462</v>
      </c>
      <c r="E352" s="769" t="s">
        <v>380</v>
      </c>
      <c r="F352" s="769" t="s">
        <v>310</v>
      </c>
      <c r="G352" s="769" t="s">
        <v>355</v>
      </c>
      <c r="H352" s="436"/>
      <c r="I352" s="436"/>
      <c r="J352" s="436"/>
      <c r="K352" s="436"/>
      <c r="L352" s="437"/>
      <c r="M352" s="437"/>
      <c r="N352" s="437"/>
      <c r="O352" s="437"/>
      <c r="P352" s="439"/>
      <c r="Q352" s="439"/>
      <c r="R352" s="436">
        <v>124</v>
      </c>
      <c r="S352" s="436">
        <v>248</v>
      </c>
      <c r="T352" s="436">
        <v>744</v>
      </c>
      <c r="U352" s="436">
        <v>372</v>
      </c>
      <c r="V352" s="436"/>
      <c r="W352" s="436"/>
      <c r="X352" s="436"/>
      <c r="Y352" s="436">
        <f>IF(NFI_Expiration=1,IF($A352&lt;VLOOKUP(H$5,NFI,5,0),1,0)*Table_NFI[[#This Row],[Hygiene Kit]],Table_NFI[Hygiene Kit])</f>
        <v>0</v>
      </c>
      <c r="Z352" s="436">
        <f>IF(NFI_Expiration=1,IF($A352&lt;VLOOKUP(I$5,NFI,5,0),1,0)*Table_NFI[[#This Row],[NFI Core Kit]],Table_NFI[NFI Core Kit])</f>
        <v>0</v>
      </c>
      <c r="AA352" s="436">
        <f>IF(NFI_Expiration=1,IF($A352&lt;VLOOKUP(J$5,NFI,5,0),1,0)*Table_NFI[[#This Row],[Sanitary Kit]],Table_NFI[Sanitary Kit])</f>
        <v>0</v>
      </c>
      <c r="AB352" s="436">
        <f>IF(NFI_Expiration=1,IF($A352&lt;VLOOKUP(K$5,NFI,5,0),1,0)*Table_NFI[[#This Row],[Mosquito net]],Table_NFI[Mosquito net])</f>
        <v>0</v>
      </c>
      <c r="AC352" s="436">
        <f>IF(NFI_Expiration=1,IF($A352&lt;VLOOKUP(L$5,NFI,5,0),1,0)*Table_NFI[[#This Row],[Tarpaulin]],Table_NFI[[#This Row],[Tarpaulin]])</f>
        <v>0</v>
      </c>
      <c r="AD352" s="436">
        <f>IF(NFI_Expiration=1,IF($A352&lt;VLOOKUP(M$5,NFI,5,0),1,0)*Table_NFI[[#This Row],[Blanket]],Table_NFI[[#This Row],[Blanket]])</f>
        <v>0</v>
      </c>
      <c r="AE352" s="436">
        <f>IF(NFI_Expiration=1,IF($A352&lt;VLOOKUP(N$5,NFI,5,0),1,0)*Table_NFI[[#This Row],[Kitchen Set]],Table_NFI[Kitchen Set])</f>
        <v>0</v>
      </c>
      <c r="AF352" s="436">
        <f>IF(NFI_Expiration=1,IF($A352&lt;VLOOKUP(O$5,NFI,5,0),1,0)*Table_NFI[[#This Row],[Clothes Kit]],Table_NFI[Clothes Kit])</f>
        <v>0</v>
      </c>
      <c r="AG352" s="436">
        <f>IF(NFI_Expiration=1,IF($A352&lt;VLOOKUP(P$5,NFI,5,0),1,0)*Table_NFI[[#This Row],[Plastic Bucket]],Table_NFI[Plastic Bucket])</f>
        <v>0</v>
      </c>
      <c r="AH352" s="436">
        <f>IF(NFI_Expiration=1,IF($A352&lt;VLOOKUP(Q$5,NFI,5,0),1,0)*Table_NFI[[#This Row],[Plastic Mat]],Table_NFI[Plastic Mat])*IF(Table_NFI[[#This Row],[Distribution Date]]&gt;"2014-04-01",1,2.5)</f>
        <v>0</v>
      </c>
      <c r="AI352" s="436">
        <f>IF(NFI_Expiration=1,IF($A352&lt;VLOOKUP(R$5,NFI,5,0),1,0)*Table_NFI[[#This Row],[Winter Clothes Adult]],Table_NFI[Winter Clothes Adult])</f>
        <v>0</v>
      </c>
      <c r="AJ352" s="436">
        <f>IF(NFI_Expiration=1,IF($A352&lt;VLOOKUP(S$5,NFI,5,0),1,0)*Table_NFI[[#This Row],[Winter Clothes Children]],Table_NFI[Winter Clothes Children])</f>
        <v>0</v>
      </c>
      <c r="AK352" s="436">
        <f>IF(NFI_Expiration=1,IF($A352&lt;VLOOKUP(T$5,NFI,5,0),1,0)*Table_NFI[[#This Row],[Winter Items Other]],Table_NFI[Winter Items Other])</f>
        <v>0</v>
      </c>
      <c r="AL352" s="436">
        <f>IF(NFI_Expiration=1,IF($A352&lt;VLOOKUP(M$5,NFI,5,0),1,0)*Table_NFI[[#This Row],[Winter Blanket]],Table_NFI[[#This Row],[Winter Blanket]])</f>
        <v>0</v>
      </c>
      <c r="AM352" s="436">
        <f>IF(Table_NFI[[#This Row],[Winter Clothes Adult]]+Table_NFI[[#This Row],[Winter Clothes Children]]+Table_NFI[[#This Row],[Winter Items Other]]+Table_NFI[[#This Row],[Winter Blanket]]&gt;0,1,0)</f>
        <v>1</v>
      </c>
      <c r="AN352" s="439">
        <f>IF(NFI_Expiration=1,IF($A352&lt;VLOOKUP(V$5,NFI,5,0),1,0)*Table_NFI[[#This Row],[Jerry Can]],Table_NFI[Jerry Can])</f>
        <v>0</v>
      </c>
      <c r="AO352" s="771" t="str">
        <f>IFERROR(VLOOKUP(Table_NFI[[#This Row],[Camp Name]],CL,2,0),"")</f>
        <v>MMR001CMP160</v>
      </c>
      <c r="AP352" s="772">
        <f ca="1">IF(Table_NFI[[#This Row],[Pcode]]="","",IF(OFFSET(CampList[Opening Date],MATCH(Table_NFI[[#This Row],[Pcode]],CampList[CP_Pcode],0)-1,0,1,1)&gt;=NFI_Monitor_Date,1,0))</f>
        <v>0</v>
      </c>
      <c r="AQ352" s="771" t="str">
        <f>IFERROR(VLOOKUP(Table_NFI[[#This Row],[Camp Name]],CL,3,0),"")</f>
        <v>Open</v>
      </c>
      <c r="AR352" s="436" t="str">
        <f ca="1">IF(Table_NFI[[#This Row],[Pcode]]="","",OFFSET(CampList[Priority],MATCH(Table_NFI[[#This Row],[Pcode]],CampList[CP_Pcode],0)-1,0,1,1))</f>
        <v>P1</v>
      </c>
      <c r="AS352" s="438">
        <f>IFERROR(Table_NFI[[#This Row],[Kitchen Set]]/VLOOKUP(Table_NFI[[#This Row],[Camp Name]],CL,4,0),"")</f>
        <v>0</v>
      </c>
      <c r="AT352" s="769"/>
      <c r="AU352" s="773"/>
    </row>
    <row r="353" spans="1:47" s="774" customFormat="1" x14ac:dyDescent="0.25">
      <c r="A353" s="451">
        <f t="shared" si="5"/>
        <v>25.366666666666667</v>
      </c>
      <c r="B353" s="768">
        <v>41609</v>
      </c>
      <c r="C353" s="769" t="s">
        <v>454</v>
      </c>
      <c r="D353" s="442" t="s">
        <v>454</v>
      </c>
      <c r="E353" s="769" t="s">
        <v>380</v>
      </c>
      <c r="F353" s="435" t="s">
        <v>5</v>
      </c>
      <c r="G353" s="435" t="s">
        <v>22</v>
      </c>
      <c r="H353" s="442"/>
      <c r="I353" s="442"/>
      <c r="J353" s="442"/>
      <c r="K353" s="775"/>
      <c r="L353" s="776"/>
      <c r="M353" s="443">
        <v>30</v>
      </c>
      <c r="N353" s="443"/>
      <c r="O353" s="443"/>
      <c r="P353" s="776"/>
      <c r="Q353" s="443"/>
      <c r="R353" s="442"/>
      <c r="S353" s="442"/>
      <c r="T353" s="442"/>
      <c r="U353" s="442"/>
      <c r="V353" s="442"/>
      <c r="W353" s="442"/>
      <c r="X353" s="442"/>
      <c r="Y353" s="436">
        <f>IF(NFI_Expiration=1,IF($A353&lt;VLOOKUP(H$5,NFI,5,0),1,0)*Table_NFI[[#This Row],[Hygiene Kit]],Table_NFI[Hygiene Kit])</f>
        <v>0</v>
      </c>
      <c r="Z353" s="436">
        <f>IF(NFI_Expiration=1,IF($A353&lt;VLOOKUP(I$5,NFI,5,0),1,0)*Table_NFI[[#This Row],[NFI Core Kit]],Table_NFI[NFI Core Kit])</f>
        <v>0</v>
      </c>
      <c r="AA353" s="436">
        <f>IF(NFI_Expiration=1,IF($A353&lt;VLOOKUP(J$5,NFI,5,0),1,0)*Table_NFI[[#This Row],[Sanitary Kit]],Table_NFI[Sanitary Kit])</f>
        <v>0</v>
      </c>
      <c r="AB353" s="436">
        <f>IF(NFI_Expiration=1,IF($A353&lt;VLOOKUP(K$5,NFI,5,0),1,0)*Table_NFI[[#This Row],[Mosquito net]],Table_NFI[Mosquito net])</f>
        <v>0</v>
      </c>
      <c r="AC353" s="436">
        <f>IF(NFI_Expiration=1,IF($A353&lt;VLOOKUP(L$5,NFI,5,0),1,0)*Table_NFI[[#This Row],[Tarpaulin]],Table_NFI[[#This Row],[Tarpaulin]])</f>
        <v>0</v>
      </c>
      <c r="AD353" s="436">
        <f>IF(NFI_Expiration=1,IF($A353&lt;VLOOKUP(M$5,NFI,5,0),1,0)*Table_NFI[[#This Row],[Blanket]],Table_NFI[[#This Row],[Blanket]])</f>
        <v>0</v>
      </c>
      <c r="AE353" s="436">
        <f>IF(NFI_Expiration=1,IF($A353&lt;VLOOKUP(N$5,NFI,5,0),1,0)*Table_NFI[[#This Row],[Kitchen Set]],Table_NFI[Kitchen Set])</f>
        <v>0</v>
      </c>
      <c r="AF353" s="436">
        <f>IF(NFI_Expiration=1,IF($A353&lt;VLOOKUP(O$5,NFI,5,0),1,0)*Table_NFI[[#This Row],[Clothes Kit]],Table_NFI[Clothes Kit])</f>
        <v>0</v>
      </c>
      <c r="AG353" s="436">
        <f>IF(NFI_Expiration=1,IF($A353&lt;VLOOKUP(P$5,NFI,5,0),1,0)*Table_NFI[[#This Row],[Plastic Bucket]],Table_NFI[Plastic Bucket])</f>
        <v>0</v>
      </c>
      <c r="AH353" s="436">
        <f>IF(NFI_Expiration=1,IF($A353&lt;VLOOKUP(Q$5,NFI,5,0),1,0)*Table_NFI[[#This Row],[Plastic Mat]],Table_NFI[Plastic Mat])*IF(Table_NFI[[#This Row],[Distribution Date]]&gt;"2014-04-01",1,2.5)</f>
        <v>0</v>
      </c>
      <c r="AI353" s="436">
        <f>IF(NFI_Expiration=1,IF($A353&lt;VLOOKUP(R$5,NFI,5,0),1,0)*Table_NFI[[#This Row],[Winter Clothes Adult]],Table_NFI[Winter Clothes Adult])</f>
        <v>0</v>
      </c>
      <c r="AJ353" s="436">
        <f>IF(NFI_Expiration=1,IF($A353&lt;VLOOKUP(S$5,NFI,5,0),1,0)*Table_NFI[[#This Row],[Winter Clothes Children]],Table_NFI[Winter Clothes Children])</f>
        <v>0</v>
      </c>
      <c r="AK353" s="436">
        <f>IF(NFI_Expiration=1,IF($A353&lt;VLOOKUP(T$5,NFI,5,0),1,0)*Table_NFI[[#This Row],[Winter Items Other]],Table_NFI[Winter Items Other])</f>
        <v>0</v>
      </c>
      <c r="AL353" s="436">
        <f>IF(NFI_Expiration=1,IF($A353&lt;VLOOKUP(M$5,NFI,5,0),1,0)*Table_NFI[[#This Row],[Winter Blanket]],Table_NFI[[#This Row],[Winter Blanket]])</f>
        <v>0</v>
      </c>
      <c r="AM353" s="436">
        <f>IF(Table_NFI[[#This Row],[Winter Clothes Adult]]+Table_NFI[[#This Row],[Winter Clothes Children]]+Table_NFI[[#This Row],[Winter Items Other]]+Table_NFI[[#This Row],[Winter Blanket]]&gt;0,1,0)</f>
        <v>0</v>
      </c>
      <c r="AN353" s="439">
        <f>IF(NFI_Expiration=1,IF($A353&lt;VLOOKUP(V$5,NFI,5,0),1,0)*Table_NFI[[#This Row],[Jerry Can]],Table_NFI[Jerry Can])</f>
        <v>0</v>
      </c>
      <c r="AO353" s="771" t="str">
        <f>IFERROR(VLOOKUP(Table_NFI[[#This Row],[Camp Name]],CL,2,0),"")</f>
        <v>MMR001CMP047</v>
      </c>
      <c r="AP353" s="772">
        <f ca="1">IF(Table_NFI[[#This Row],[Pcode]]="","",IF(OFFSET(CampList[Opening Date],MATCH(Table_NFI[[#This Row],[Pcode]],CampList[CP_Pcode],0)-1,0,1,1)&gt;=NFI_Monitor_Date,1,0))</f>
        <v>0</v>
      </c>
      <c r="AQ353" s="781" t="str">
        <f>IFERROR(VLOOKUP(Table_NFI[[#This Row],[Camp Name]],CL,3,0),"")</f>
        <v>Open</v>
      </c>
      <c r="AR353" s="439" t="str">
        <f ca="1">IF(Table_NFI[[#This Row],[Pcode]]="","",OFFSET(CampList[Priority],MATCH(Table_NFI[[#This Row],[Pcode]],CampList[CP_Pcode],0)-1,0,1,1))</f>
        <v>P4</v>
      </c>
      <c r="AS353" s="438">
        <f>IFERROR(Table_NFI[[#This Row],[Kitchen Set]]/VLOOKUP(Table_NFI[[#This Row],[Camp Name]],CL,4,0),"")</f>
        <v>0</v>
      </c>
      <c r="AT353" s="769" t="s">
        <v>1099</v>
      </c>
      <c r="AU353" s="773"/>
    </row>
    <row r="354" spans="1:47" s="774" customFormat="1" x14ac:dyDescent="0.25">
      <c r="A354" s="451">
        <f t="shared" si="5"/>
        <v>25.4</v>
      </c>
      <c r="B354" s="768">
        <v>41608</v>
      </c>
      <c r="C354" s="769" t="s">
        <v>1104</v>
      </c>
      <c r="D354" s="442" t="s">
        <v>951</v>
      </c>
      <c r="E354" s="775" t="s">
        <v>380</v>
      </c>
      <c r="F354" s="435" t="s">
        <v>302</v>
      </c>
      <c r="G354" s="435" t="s">
        <v>306</v>
      </c>
      <c r="H354" s="442"/>
      <c r="I354" s="442"/>
      <c r="J354" s="442"/>
      <c r="K354" s="775"/>
      <c r="L354" s="776"/>
      <c r="M354" s="443">
        <v>197</v>
      </c>
      <c r="N354" s="443"/>
      <c r="O354" s="443"/>
      <c r="P354" s="776"/>
      <c r="Q354" s="443"/>
      <c r="R354" s="442">
        <v>226</v>
      </c>
      <c r="S354" s="442">
        <v>68</v>
      </c>
      <c r="T354" s="442">
        <v>0</v>
      </c>
      <c r="U354" s="442"/>
      <c r="V354" s="442"/>
      <c r="W354" s="442"/>
      <c r="X354" s="442"/>
      <c r="Y354" s="436">
        <f>IF(NFI_Expiration=1,IF($A354&lt;VLOOKUP(H$5,NFI,5,0),1,0)*Table_NFI[[#This Row],[Hygiene Kit]],Table_NFI[Hygiene Kit])</f>
        <v>0</v>
      </c>
      <c r="Z354" s="436">
        <f>IF(NFI_Expiration=1,IF($A354&lt;VLOOKUP(I$5,NFI,5,0),1,0)*Table_NFI[[#This Row],[NFI Core Kit]],Table_NFI[NFI Core Kit])</f>
        <v>0</v>
      </c>
      <c r="AA354" s="436">
        <f>IF(NFI_Expiration=1,IF($A354&lt;VLOOKUP(J$5,NFI,5,0),1,0)*Table_NFI[[#This Row],[Sanitary Kit]],Table_NFI[Sanitary Kit])</f>
        <v>0</v>
      </c>
      <c r="AB354" s="436">
        <f>IF(NFI_Expiration=1,IF($A354&lt;VLOOKUP(K$5,NFI,5,0),1,0)*Table_NFI[[#This Row],[Mosquito net]],Table_NFI[Mosquito net])</f>
        <v>0</v>
      </c>
      <c r="AC354" s="436">
        <f>IF(NFI_Expiration=1,IF($A354&lt;VLOOKUP(L$5,NFI,5,0),1,0)*Table_NFI[[#This Row],[Tarpaulin]],Table_NFI[[#This Row],[Tarpaulin]])</f>
        <v>0</v>
      </c>
      <c r="AD354" s="436">
        <f>IF(NFI_Expiration=1,IF($A354&lt;VLOOKUP(M$5,NFI,5,0),1,0)*Table_NFI[[#This Row],[Blanket]],Table_NFI[[#This Row],[Blanket]])</f>
        <v>0</v>
      </c>
      <c r="AE354" s="436">
        <f>IF(NFI_Expiration=1,IF($A354&lt;VLOOKUP(N$5,NFI,5,0),1,0)*Table_NFI[[#This Row],[Kitchen Set]],Table_NFI[Kitchen Set])</f>
        <v>0</v>
      </c>
      <c r="AF354" s="436">
        <f>IF(NFI_Expiration=1,IF($A354&lt;VLOOKUP(O$5,NFI,5,0),1,0)*Table_NFI[[#This Row],[Clothes Kit]],Table_NFI[Clothes Kit])</f>
        <v>0</v>
      </c>
      <c r="AG354" s="436">
        <f>IF(NFI_Expiration=1,IF($A354&lt;VLOOKUP(P$5,NFI,5,0),1,0)*Table_NFI[[#This Row],[Plastic Bucket]],Table_NFI[Plastic Bucket])</f>
        <v>0</v>
      </c>
      <c r="AH354" s="436">
        <f>IF(NFI_Expiration=1,IF($A354&lt;VLOOKUP(Q$5,NFI,5,0),1,0)*Table_NFI[[#This Row],[Plastic Mat]],Table_NFI[Plastic Mat])*IF(Table_NFI[[#This Row],[Distribution Date]]&gt;"2014-04-01",1,2.5)</f>
        <v>0</v>
      </c>
      <c r="AI354" s="436">
        <f>IF(NFI_Expiration=1,IF($A354&lt;VLOOKUP(R$5,NFI,5,0),1,0)*Table_NFI[[#This Row],[Winter Clothes Adult]],Table_NFI[Winter Clothes Adult])</f>
        <v>0</v>
      </c>
      <c r="AJ354" s="436">
        <f>IF(NFI_Expiration=1,IF($A354&lt;VLOOKUP(S$5,NFI,5,0),1,0)*Table_NFI[[#This Row],[Winter Clothes Children]],Table_NFI[Winter Clothes Children])</f>
        <v>0</v>
      </c>
      <c r="AK354" s="436">
        <f>IF(NFI_Expiration=1,IF($A354&lt;VLOOKUP(T$5,NFI,5,0),1,0)*Table_NFI[[#This Row],[Winter Items Other]],Table_NFI[Winter Items Other])</f>
        <v>0</v>
      </c>
      <c r="AL354" s="436">
        <f>IF(NFI_Expiration=1,IF($A354&lt;VLOOKUP(M$5,NFI,5,0),1,0)*Table_NFI[[#This Row],[Winter Blanket]],Table_NFI[[#This Row],[Winter Blanket]])</f>
        <v>0</v>
      </c>
      <c r="AM354" s="436">
        <f>IF(Table_NFI[[#This Row],[Winter Clothes Adult]]+Table_NFI[[#This Row],[Winter Clothes Children]]+Table_NFI[[#This Row],[Winter Items Other]]+Table_NFI[[#This Row],[Winter Blanket]]&gt;0,1,0)</f>
        <v>1</v>
      </c>
      <c r="AN354" s="439">
        <f>IF(NFI_Expiration=1,IF($A354&lt;VLOOKUP(V$5,NFI,5,0),1,0)*Table_NFI[[#This Row],[Jerry Can]],Table_NFI[Jerry Can])</f>
        <v>0</v>
      </c>
      <c r="AO354" s="771" t="str">
        <f>IFERROR(VLOOKUP(Table_NFI[[#This Row],[Camp Name]],CL,2,0),"")</f>
        <v>MMR001CMP067</v>
      </c>
      <c r="AP354" s="772">
        <f ca="1">IF(Table_NFI[[#This Row],[Pcode]]="","",IF(OFFSET(CampList[Opening Date],MATCH(Table_NFI[[#This Row],[Pcode]],CampList[CP_Pcode],0)-1,0,1,1)&gt;=NFI_Monitor_Date,1,0))</f>
        <v>0</v>
      </c>
      <c r="AQ354" s="771" t="str">
        <f>IFERROR(VLOOKUP(Table_NFI[[#This Row],[Camp Name]],CL,3,0),"")</f>
        <v>Open</v>
      </c>
      <c r="AR354" s="436" t="str">
        <f ca="1">IF(Table_NFI[[#This Row],[Pcode]]="","",OFFSET(CampList[Priority],MATCH(Table_NFI[[#This Row],[Pcode]],CampList[CP_Pcode],0)-1,0,1,1))</f>
        <v>P4</v>
      </c>
      <c r="AS354" s="438">
        <f>IFERROR(Table_NFI[[#This Row],[Kitchen Set]]/VLOOKUP(Table_NFI[[#This Row],[Camp Name]],CL,4,0),"")</f>
        <v>0</v>
      </c>
      <c r="AT354" s="769" t="s">
        <v>1099</v>
      </c>
      <c r="AU354" s="773"/>
    </row>
    <row r="355" spans="1:47" s="774" customFormat="1" x14ac:dyDescent="0.25">
      <c r="A355" s="451">
        <f t="shared" si="5"/>
        <v>25.4</v>
      </c>
      <c r="B355" s="768">
        <v>41608</v>
      </c>
      <c r="C355" s="769" t="s">
        <v>912</v>
      </c>
      <c r="D355" s="769"/>
      <c r="E355" s="769" t="s">
        <v>380</v>
      </c>
      <c r="F355" s="435" t="s">
        <v>302</v>
      </c>
      <c r="G355" s="435" t="s">
        <v>306</v>
      </c>
      <c r="H355" s="436"/>
      <c r="I355" s="436"/>
      <c r="J355" s="436"/>
      <c r="K355" s="436"/>
      <c r="L355" s="437"/>
      <c r="M355" s="437"/>
      <c r="N355" s="437"/>
      <c r="O355" s="437"/>
      <c r="P355" s="439"/>
      <c r="Q355" s="439">
        <v>204</v>
      </c>
      <c r="R355" s="436"/>
      <c r="S355" s="436"/>
      <c r="T355" s="436"/>
      <c r="U355" s="436"/>
      <c r="V355" s="436"/>
      <c r="W355" s="436"/>
      <c r="X355" s="436"/>
      <c r="Y355" s="436">
        <f>IF(NFI_Expiration=1,IF($A355&lt;VLOOKUP(H$5,NFI,5,0),1,0)*Table_NFI[[#This Row],[Hygiene Kit]],Table_NFI[Hygiene Kit])</f>
        <v>0</v>
      </c>
      <c r="Z355" s="436">
        <f>IF(NFI_Expiration=1,IF($A355&lt;VLOOKUP(I$5,NFI,5,0),1,0)*Table_NFI[[#This Row],[NFI Core Kit]],Table_NFI[NFI Core Kit])</f>
        <v>0</v>
      </c>
      <c r="AA355" s="436">
        <f>IF(NFI_Expiration=1,IF($A355&lt;VLOOKUP(J$5,NFI,5,0),1,0)*Table_NFI[[#This Row],[Sanitary Kit]],Table_NFI[Sanitary Kit])</f>
        <v>0</v>
      </c>
      <c r="AB355" s="436">
        <f>IF(NFI_Expiration=1,IF($A355&lt;VLOOKUP(K$5,NFI,5,0),1,0)*Table_NFI[[#This Row],[Mosquito net]],Table_NFI[Mosquito net])</f>
        <v>0</v>
      </c>
      <c r="AC355" s="436">
        <f>IF(NFI_Expiration=1,IF($A355&lt;VLOOKUP(L$5,NFI,5,0),1,0)*Table_NFI[[#This Row],[Tarpaulin]],Table_NFI[[#This Row],[Tarpaulin]])</f>
        <v>0</v>
      </c>
      <c r="AD355" s="436">
        <f>IF(NFI_Expiration=1,IF($A355&lt;VLOOKUP(M$5,NFI,5,0),1,0)*Table_NFI[[#This Row],[Blanket]],Table_NFI[[#This Row],[Blanket]])</f>
        <v>0</v>
      </c>
      <c r="AE355" s="436">
        <f>IF(NFI_Expiration=1,IF($A355&lt;VLOOKUP(N$5,NFI,5,0),1,0)*Table_NFI[[#This Row],[Kitchen Set]],Table_NFI[Kitchen Set])</f>
        <v>0</v>
      </c>
      <c r="AF355" s="436">
        <f>IF(NFI_Expiration=1,IF($A355&lt;VLOOKUP(O$5,NFI,5,0),1,0)*Table_NFI[[#This Row],[Clothes Kit]],Table_NFI[Clothes Kit])</f>
        <v>0</v>
      </c>
      <c r="AG355" s="436">
        <f>IF(NFI_Expiration=1,IF($A355&lt;VLOOKUP(P$5,NFI,5,0),1,0)*Table_NFI[[#This Row],[Plastic Bucket]],Table_NFI[Plastic Bucket])</f>
        <v>0</v>
      </c>
      <c r="AH355" s="436">
        <f>IF(NFI_Expiration=1,IF($A355&lt;VLOOKUP(Q$5,NFI,5,0),1,0)*Table_NFI[[#This Row],[Plastic Mat]],Table_NFI[Plastic Mat])*IF(Table_NFI[[#This Row],[Distribution Date]]&gt;"2014-04-01",1,2.5)</f>
        <v>0</v>
      </c>
      <c r="AI355" s="436">
        <f>IF(NFI_Expiration=1,IF($A355&lt;VLOOKUP(R$5,NFI,5,0),1,0)*Table_NFI[[#This Row],[Winter Clothes Adult]],Table_NFI[Winter Clothes Adult])</f>
        <v>0</v>
      </c>
      <c r="AJ355" s="436">
        <f>IF(NFI_Expiration=1,IF($A355&lt;VLOOKUP(S$5,NFI,5,0),1,0)*Table_NFI[[#This Row],[Winter Clothes Children]],Table_NFI[Winter Clothes Children])</f>
        <v>0</v>
      </c>
      <c r="AK355" s="436">
        <f>IF(NFI_Expiration=1,IF($A355&lt;VLOOKUP(T$5,NFI,5,0),1,0)*Table_NFI[[#This Row],[Winter Items Other]],Table_NFI[Winter Items Other])</f>
        <v>0</v>
      </c>
      <c r="AL355" s="436">
        <f>IF(NFI_Expiration=1,IF($A355&lt;VLOOKUP(M$5,NFI,5,0),1,0)*Table_NFI[[#This Row],[Winter Blanket]],Table_NFI[[#This Row],[Winter Blanket]])</f>
        <v>0</v>
      </c>
      <c r="AM355" s="436">
        <f>IF(Table_NFI[[#This Row],[Winter Clothes Adult]]+Table_NFI[[#This Row],[Winter Clothes Children]]+Table_NFI[[#This Row],[Winter Items Other]]+Table_NFI[[#This Row],[Winter Blanket]]&gt;0,1,0)</f>
        <v>0</v>
      </c>
      <c r="AN355" s="439">
        <f>IF(NFI_Expiration=1,IF($A355&lt;VLOOKUP(V$5,NFI,5,0),1,0)*Table_NFI[[#This Row],[Jerry Can]],Table_NFI[Jerry Can])</f>
        <v>0</v>
      </c>
      <c r="AO355" s="771" t="str">
        <f>IFERROR(VLOOKUP(Table_NFI[[#This Row],[Camp Name]],CL,2,0),"")</f>
        <v>MMR001CMP067</v>
      </c>
      <c r="AP355" s="772">
        <f ca="1">IF(Table_NFI[[#This Row],[Pcode]]="","",IF(OFFSET(CampList[Opening Date],MATCH(Table_NFI[[#This Row],[Pcode]],CampList[CP_Pcode],0)-1,0,1,1)&gt;=NFI_Monitor_Date,1,0))</f>
        <v>0</v>
      </c>
      <c r="AQ355" s="771" t="str">
        <f>IFERROR(VLOOKUP(Table_NFI[[#This Row],[Camp Name]],CL,3,0),"")</f>
        <v>Open</v>
      </c>
      <c r="AR355" s="436" t="str">
        <f ca="1">IF(Table_NFI[[#This Row],[Pcode]]="","",OFFSET(CampList[Priority],MATCH(Table_NFI[[#This Row],[Pcode]],CampList[CP_Pcode],0)-1,0,1,1))</f>
        <v>P4</v>
      </c>
      <c r="AS355" s="438">
        <f>IFERROR(Table_NFI[[#This Row],[Kitchen Set]]/VLOOKUP(Table_NFI[[#This Row],[Camp Name]],CL,4,0),"")</f>
        <v>0</v>
      </c>
      <c r="AT355" s="769" t="s">
        <v>1099</v>
      </c>
      <c r="AU355" s="773"/>
    </row>
    <row r="356" spans="1:47" s="774" customFormat="1" x14ac:dyDescent="0.25">
      <c r="A356" s="451">
        <f t="shared" si="5"/>
        <v>25.4</v>
      </c>
      <c r="B356" s="768">
        <v>41608</v>
      </c>
      <c r="C356" s="769" t="s">
        <v>1104</v>
      </c>
      <c r="D356" s="442" t="s">
        <v>951</v>
      </c>
      <c r="E356" s="775" t="s">
        <v>380</v>
      </c>
      <c r="F356" s="435" t="s">
        <v>302</v>
      </c>
      <c r="G356" s="435" t="s">
        <v>308</v>
      </c>
      <c r="H356" s="442"/>
      <c r="I356" s="442"/>
      <c r="J356" s="442"/>
      <c r="K356" s="775"/>
      <c r="L356" s="776"/>
      <c r="M356" s="443">
        <v>142</v>
      </c>
      <c r="N356" s="443"/>
      <c r="O356" s="443"/>
      <c r="P356" s="776"/>
      <c r="Q356" s="443"/>
      <c r="R356" s="442">
        <v>182</v>
      </c>
      <c r="S356" s="442">
        <v>60</v>
      </c>
      <c r="T356" s="442">
        <v>0</v>
      </c>
      <c r="U356" s="442"/>
      <c r="V356" s="442"/>
      <c r="W356" s="442"/>
      <c r="X356" s="442"/>
      <c r="Y356" s="436">
        <f>IF(NFI_Expiration=1,IF($A356&lt;VLOOKUP(H$5,NFI,5,0),1,0)*Table_NFI[[#This Row],[Hygiene Kit]],Table_NFI[Hygiene Kit])</f>
        <v>0</v>
      </c>
      <c r="Z356" s="436">
        <f>IF(NFI_Expiration=1,IF($A356&lt;VLOOKUP(I$5,NFI,5,0),1,0)*Table_NFI[[#This Row],[NFI Core Kit]],Table_NFI[NFI Core Kit])</f>
        <v>0</v>
      </c>
      <c r="AA356" s="436">
        <f>IF(NFI_Expiration=1,IF($A356&lt;VLOOKUP(J$5,NFI,5,0),1,0)*Table_NFI[[#This Row],[Sanitary Kit]],Table_NFI[Sanitary Kit])</f>
        <v>0</v>
      </c>
      <c r="AB356" s="436">
        <f>IF(NFI_Expiration=1,IF($A356&lt;VLOOKUP(K$5,NFI,5,0),1,0)*Table_NFI[[#This Row],[Mosquito net]],Table_NFI[Mosquito net])</f>
        <v>0</v>
      </c>
      <c r="AC356" s="436">
        <f>IF(NFI_Expiration=1,IF($A356&lt;VLOOKUP(L$5,NFI,5,0),1,0)*Table_NFI[[#This Row],[Tarpaulin]],Table_NFI[[#This Row],[Tarpaulin]])</f>
        <v>0</v>
      </c>
      <c r="AD356" s="436">
        <f>IF(NFI_Expiration=1,IF($A356&lt;VLOOKUP(M$5,NFI,5,0),1,0)*Table_NFI[[#This Row],[Blanket]],Table_NFI[[#This Row],[Blanket]])</f>
        <v>0</v>
      </c>
      <c r="AE356" s="436">
        <f>IF(NFI_Expiration=1,IF($A356&lt;VLOOKUP(N$5,NFI,5,0),1,0)*Table_NFI[[#This Row],[Kitchen Set]],Table_NFI[Kitchen Set])</f>
        <v>0</v>
      </c>
      <c r="AF356" s="436">
        <f>IF(NFI_Expiration=1,IF($A356&lt;VLOOKUP(O$5,NFI,5,0),1,0)*Table_NFI[[#This Row],[Clothes Kit]],Table_NFI[Clothes Kit])</f>
        <v>0</v>
      </c>
      <c r="AG356" s="436">
        <f>IF(NFI_Expiration=1,IF($A356&lt;VLOOKUP(P$5,NFI,5,0),1,0)*Table_NFI[[#This Row],[Plastic Bucket]],Table_NFI[Plastic Bucket])</f>
        <v>0</v>
      </c>
      <c r="AH356" s="436">
        <f>IF(NFI_Expiration=1,IF($A356&lt;VLOOKUP(Q$5,NFI,5,0),1,0)*Table_NFI[[#This Row],[Plastic Mat]],Table_NFI[Plastic Mat])*IF(Table_NFI[[#This Row],[Distribution Date]]&gt;"2014-04-01",1,2.5)</f>
        <v>0</v>
      </c>
      <c r="AI356" s="436">
        <f>IF(NFI_Expiration=1,IF($A356&lt;VLOOKUP(R$5,NFI,5,0),1,0)*Table_NFI[[#This Row],[Winter Clothes Adult]],Table_NFI[Winter Clothes Adult])</f>
        <v>0</v>
      </c>
      <c r="AJ356" s="436">
        <f>IF(NFI_Expiration=1,IF($A356&lt;VLOOKUP(S$5,NFI,5,0),1,0)*Table_NFI[[#This Row],[Winter Clothes Children]],Table_NFI[Winter Clothes Children])</f>
        <v>0</v>
      </c>
      <c r="AK356" s="436">
        <f>IF(NFI_Expiration=1,IF($A356&lt;VLOOKUP(T$5,NFI,5,0),1,0)*Table_NFI[[#This Row],[Winter Items Other]],Table_NFI[Winter Items Other])</f>
        <v>0</v>
      </c>
      <c r="AL356" s="436">
        <f>IF(NFI_Expiration=1,IF($A356&lt;VLOOKUP(M$5,NFI,5,0),1,0)*Table_NFI[[#This Row],[Winter Blanket]],Table_NFI[[#This Row],[Winter Blanket]])</f>
        <v>0</v>
      </c>
      <c r="AM356" s="436">
        <f>IF(Table_NFI[[#This Row],[Winter Clothes Adult]]+Table_NFI[[#This Row],[Winter Clothes Children]]+Table_NFI[[#This Row],[Winter Items Other]]+Table_NFI[[#This Row],[Winter Blanket]]&gt;0,1,0)</f>
        <v>1</v>
      </c>
      <c r="AN356" s="439">
        <f>IF(NFI_Expiration=1,IF($A356&lt;VLOOKUP(V$5,NFI,5,0),1,0)*Table_NFI[[#This Row],[Jerry Can]],Table_NFI[Jerry Can])</f>
        <v>0</v>
      </c>
      <c r="AO356" s="771" t="str">
        <f>IFERROR(VLOOKUP(Table_NFI[[#This Row],[Camp Name]],CL,2,0),"")</f>
        <v>MMR001CMP068</v>
      </c>
      <c r="AP356" s="772">
        <f ca="1">IF(Table_NFI[[#This Row],[Pcode]]="","",IF(OFFSET(CampList[Opening Date],MATCH(Table_NFI[[#This Row],[Pcode]],CampList[CP_Pcode],0)-1,0,1,1)&gt;=NFI_Monitor_Date,1,0))</f>
        <v>0</v>
      </c>
      <c r="AQ356" s="771" t="str">
        <f>IFERROR(VLOOKUP(Table_NFI[[#This Row],[Camp Name]],CL,3,0),"")</f>
        <v>Open</v>
      </c>
      <c r="AR356" s="436" t="str">
        <f ca="1">IF(Table_NFI[[#This Row],[Pcode]]="","",OFFSET(CampList[Priority],MATCH(Table_NFI[[#This Row],[Pcode]],CampList[CP_Pcode],0)-1,0,1,1))</f>
        <v>P4</v>
      </c>
      <c r="AS356" s="438">
        <f>IFERROR(Table_NFI[[#This Row],[Kitchen Set]]/VLOOKUP(Table_NFI[[#This Row],[Camp Name]],CL,4,0),"")</f>
        <v>0</v>
      </c>
      <c r="AT356" s="769" t="s">
        <v>1099</v>
      </c>
      <c r="AU356" s="773"/>
    </row>
    <row r="357" spans="1:47" s="774" customFormat="1" x14ac:dyDescent="0.25">
      <c r="A357" s="451">
        <f t="shared" si="5"/>
        <v>25.4</v>
      </c>
      <c r="B357" s="768">
        <v>41608</v>
      </c>
      <c r="C357" s="769" t="s">
        <v>912</v>
      </c>
      <c r="D357" s="769"/>
      <c r="E357" s="769" t="s">
        <v>380</v>
      </c>
      <c r="F357" s="435" t="s">
        <v>302</v>
      </c>
      <c r="G357" s="435" t="s">
        <v>308</v>
      </c>
      <c r="H357" s="436"/>
      <c r="I357" s="436"/>
      <c r="J357" s="436"/>
      <c r="K357" s="436"/>
      <c r="L357" s="437"/>
      <c r="M357" s="437"/>
      <c r="N357" s="437"/>
      <c r="O357" s="437"/>
      <c r="P357" s="439"/>
      <c r="Q357" s="439">
        <v>126</v>
      </c>
      <c r="R357" s="436"/>
      <c r="S357" s="436"/>
      <c r="T357" s="436"/>
      <c r="U357" s="436"/>
      <c r="V357" s="436"/>
      <c r="W357" s="436"/>
      <c r="X357" s="436"/>
      <c r="Y357" s="436">
        <f>IF(NFI_Expiration=1,IF($A357&lt;VLOOKUP(H$5,NFI,5,0),1,0)*Table_NFI[[#This Row],[Hygiene Kit]],Table_NFI[Hygiene Kit])</f>
        <v>0</v>
      </c>
      <c r="Z357" s="436">
        <f>IF(NFI_Expiration=1,IF($A357&lt;VLOOKUP(I$5,NFI,5,0),1,0)*Table_NFI[[#This Row],[NFI Core Kit]],Table_NFI[NFI Core Kit])</f>
        <v>0</v>
      </c>
      <c r="AA357" s="436">
        <f>IF(NFI_Expiration=1,IF($A357&lt;VLOOKUP(J$5,NFI,5,0),1,0)*Table_NFI[[#This Row],[Sanitary Kit]],Table_NFI[Sanitary Kit])</f>
        <v>0</v>
      </c>
      <c r="AB357" s="436">
        <f>IF(NFI_Expiration=1,IF($A357&lt;VLOOKUP(K$5,NFI,5,0),1,0)*Table_NFI[[#This Row],[Mosquito net]],Table_NFI[Mosquito net])</f>
        <v>0</v>
      </c>
      <c r="AC357" s="436">
        <f>IF(NFI_Expiration=1,IF($A357&lt;VLOOKUP(L$5,NFI,5,0),1,0)*Table_NFI[[#This Row],[Tarpaulin]],Table_NFI[[#This Row],[Tarpaulin]])</f>
        <v>0</v>
      </c>
      <c r="AD357" s="436">
        <f>IF(NFI_Expiration=1,IF($A357&lt;VLOOKUP(M$5,NFI,5,0),1,0)*Table_NFI[[#This Row],[Blanket]],Table_NFI[[#This Row],[Blanket]])</f>
        <v>0</v>
      </c>
      <c r="AE357" s="436">
        <f>IF(NFI_Expiration=1,IF($A357&lt;VLOOKUP(N$5,NFI,5,0),1,0)*Table_NFI[[#This Row],[Kitchen Set]],Table_NFI[Kitchen Set])</f>
        <v>0</v>
      </c>
      <c r="AF357" s="436">
        <f>IF(NFI_Expiration=1,IF($A357&lt;VLOOKUP(O$5,NFI,5,0),1,0)*Table_NFI[[#This Row],[Clothes Kit]],Table_NFI[Clothes Kit])</f>
        <v>0</v>
      </c>
      <c r="AG357" s="436">
        <f>IF(NFI_Expiration=1,IF($A357&lt;VLOOKUP(P$5,NFI,5,0),1,0)*Table_NFI[[#This Row],[Plastic Bucket]],Table_NFI[Plastic Bucket])</f>
        <v>0</v>
      </c>
      <c r="AH357" s="436">
        <f>IF(NFI_Expiration=1,IF($A357&lt;VLOOKUP(Q$5,NFI,5,0),1,0)*Table_NFI[[#This Row],[Plastic Mat]],Table_NFI[Plastic Mat])*IF(Table_NFI[[#This Row],[Distribution Date]]&gt;"2014-04-01",1,2.5)</f>
        <v>0</v>
      </c>
      <c r="AI357" s="436">
        <f>IF(NFI_Expiration=1,IF($A357&lt;VLOOKUP(R$5,NFI,5,0),1,0)*Table_NFI[[#This Row],[Winter Clothes Adult]],Table_NFI[Winter Clothes Adult])</f>
        <v>0</v>
      </c>
      <c r="AJ357" s="436">
        <f>IF(NFI_Expiration=1,IF($A357&lt;VLOOKUP(S$5,NFI,5,0),1,0)*Table_NFI[[#This Row],[Winter Clothes Children]],Table_NFI[Winter Clothes Children])</f>
        <v>0</v>
      </c>
      <c r="AK357" s="436">
        <f>IF(NFI_Expiration=1,IF($A357&lt;VLOOKUP(T$5,NFI,5,0),1,0)*Table_NFI[[#This Row],[Winter Items Other]],Table_NFI[Winter Items Other])</f>
        <v>0</v>
      </c>
      <c r="AL357" s="436">
        <f>IF(NFI_Expiration=1,IF($A357&lt;VLOOKUP(M$5,NFI,5,0),1,0)*Table_NFI[[#This Row],[Winter Blanket]],Table_NFI[[#This Row],[Winter Blanket]])</f>
        <v>0</v>
      </c>
      <c r="AM357" s="436">
        <f>IF(Table_NFI[[#This Row],[Winter Clothes Adult]]+Table_NFI[[#This Row],[Winter Clothes Children]]+Table_NFI[[#This Row],[Winter Items Other]]+Table_NFI[[#This Row],[Winter Blanket]]&gt;0,1,0)</f>
        <v>0</v>
      </c>
      <c r="AN357" s="439">
        <f>IF(NFI_Expiration=1,IF($A357&lt;VLOOKUP(V$5,NFI,5,0),1,0)*Table_NFI[[#This Row],[Jerry Can]],Table_NFI[Jerry Can])</f>
        <v>0</v>
      </c>
      <c r="AO357" s="771" t="str">
        <f>IFERROR(VLOOKUP(Table_NFI[[#This Row],[Camp Name]],CL,2,0),"")</f>
        <v>MMR001CMP068</v>
      </c>
      <c r="AP357" s="772">
        <f ca="1">IF(Table_NFI[[#This Row],[Pcode]]="","",IF(OFFSET(CampList[Opening Date],MATCH(Table_NFI[[#This Row],[Pcode]],CampList[CP_Pcode],0)-1,0,1,1)&gt;=NFI_Monitor_Date,1,0))</f>
        <v>0</v>
      </c>
      <c r="AQ357" s="771" t="str">
        <f>IFERROR(VLOOKUP(Table_NFI[[#This Row],[Camp Name]],CL,3,0),"")</f>
        <v>Open</v>
      </c>
      <c r="AR357" s="436" t="str">
        <f ca="1">IF(Table_NFI[[#This Row],[Pcode]]="","",OFFSET(CampList[Priority],MATCH(Table_NFI[[#This Row],[Pcode]],CampList[CP_Pcode],0)-1,0,1,1))</f>
        <v>P4</v>
      </c>
      <c r="AS357" s="438">
        <f>IFERROR(Table_NFI[[#This Row],[Kitchen Set]]/VLOOKUP(Table_NFI[[#This Row],[Camp Name]],CL,4,0),"")</f>
        <v>0</v>
      </c>
      <c r="AT357" s="769" t="s">
        <v>1099</v>
      </c>
      <c r="AU357" s="773"/>
    </row>
    <row r="358" spans="1:47" s="774" customFormat="1" x14ac:dyDescent="0.25">
      <c r="A358" s="451">
        <f t="shared" si="5"/>
        <v>25.4</v>
      </c>
      <c r="B358" s="768">
        <v>41608</v>
      </c>
      <c r="C358" s="769" t="s">
        <v>1104</v>
      </c>
      <c r="D358" s="442" t="s">
        <v>951</v>
      </c>
      <c r="E358" s="775" t="s">
        <v>380</v>
      </c>
      <c r="F358" s="775" t="s">
        <v>5</v>
      </c>
      <c r="G358" s="435" t="s">
        <v>6</v>
      </c>
      <c r="H358" s="442"/>
      <c r="I358" s="442"/>
      <c r="J358" s="442"/>
      <c r="K358" s="775"/>
      <c r="L358" s="776"/>
      <c r="M358" s="443">
        <v>104</v>
      </c>
      <c r="N358" s="443"/>
      <c r="O358" s="443"/>
      <c r="P358" s="776"/>
      <c r="Q358" s="443"/>
      <c r="R358" s="442">
        <v>146</v>
      </c>
      <c r="S358" s="442">
        <v>39</v>
      </c>
      <c r="T358" s="442">
        <v>0</v>
      </c>
      <c r="U358" s="442"/>
      <c r="V358" s="442"/>
      <c r="W358" s="442"/>
      <c r="X358" s="442"/>
      <c r="Y358" s="436">
        <f>IF(NFI_Expiration=1,IF($A358&lt;VLOOKUP(H$5,NFI,5,0),1,0)*Table_NFI[[#This Row],[Hygiene Kit]],Table_NFI[Hygiene Kit])</f>
        <v>0</v>
      </c>
      <c r="Z358" s="436">
        <f>IF(NFI_Expiration=1,IF($A358&lt;VLOOKUP(I$5,NFI,5,0),1,0)*Table_NFI[[#This Row],[NFI Core Kit]],Table_NFI[NFI Core Kit])</f>
        <v>0</v>
      </c>
      <c r="AA358" s="436">
        <f>IF(NFI_Expiration=1,IF($A358&lt;VLOOKUP(J$5,NFI,5,0),1,0)*Table_NFI[[#This Row],[Sanitary Kit]],Table_NFI[Sanitary Kit])</f>
        <v>0</v>
      </c>
      <c r="AB358" s="436">
        <f>IF(NFI_Expiration=1,IF($A358&lt;VLOOKUP(K$5,NFI,5,0),1,0)*Table_NFI[[#This Row],[Mosquito net]],Table_NFI[Mosquito net])</f>
        <v>0</v>
      </c>
      <c r="AC358" s="436">
        <f>IF(NFI_Expiration=1,IF($A358&lt;VLOOKUP(L$5,NFI,5,0),1,0)*Table_NFI[[#This Row],[Tarpaulin]],Table_NFI[[#This Row],[Tarpaulin]])</f>
        <v>0</v>
      </c>
      <c r="AD358" s="436">
        <f>IF(NFI_Expiration=1,IF($A358&lt;VLOOKUP(M$5,NFI,5,0),1,0)*Table_NFI[[#This Row],[Blanket]],Table_NFI[[#This Row],[Blanket]])</f>
        <v>0</v>
      </c>
      <c r="AE358" s="436">
        <f>IF(NFI_Expiration=1,IF($A358&lt;VLOOKUP(N$5,NFI,5,0),1,0)*Table_NFI[[#This Row],[Kitchen Set]],Table_NFI[Kitchen Set])</f>
        <v>0</v>
      </c>
      <c r="AF358" s="436">
        <f>IF(NFI_Expiration=1,IF($A358&lt;VLOOKUP(O$5,NFI,5,0),1,0)*Table_NFI[[#This Row],[Clothes Kit]],Table_NFI[Clothes Kit])</f>
        <v>0</v>
      </c>
      <c r="AG358" s="436">
        <f>IF(NFI_Expiration=1,IF($A358&lt;VLOOKUP(P$5,NFI,5,0),1,0)*Table_NFI[[#This Row],[Plastic Bucket]],Table_NFI[Plastic Bucket])</f>
        <v>0</v>
      </c>
      <c r="AH358" s="436">
        <f>IF(NFI_Expiration=1,IF($A358&lt;VLOOKUP(Q$5,NFI,5,0),1,0)*Table_NFI[[#This Row],[Plastic Mat]],Table_NFI[Plastic Mat])*IF(Table_NFI[[#This Row],[Distribution Date]]&gt;"2014-04-01",1,2.5)</f>
        <v>0</v>
      </c>
      <c r="AI358" s="436">
        <f>IF(NFI_Expiration=1,IF($A358&lt;VLOOKUP(R$5,NFI,5,0),1,0)*Table_NFI[[#This Row],[Winter Clothes Adult]],Table_NFI[Winter Clothes Adult])</f>
        <v>0</v>
      </c>
      <c r="AJ358" s="436">
        <f>IF(NFI_Expiration=1,IF($A358&lt;VLOOKUP(S$5,NFI,5,0),1,0)*Table_NFI[[#This Row],[Winter Clothes Children]],Table_NFI[Winter Clothes Children])</f>
        <v>0</v>
      </c>
      <c r="AK358" s="436">
        <f>IF(NFI_Expiration=1,IF($A358&lt;VLOOKUP(T$5,NFI,5,0),1,0)*Table_NFI[[#This Row],[Winter Items Other]],Table_NFI[Winter Items Other])</f>
        <v>0</v>
      </c>
      <c r="AL358" s="436">
        <f>IF(NFI_Expiration=1,IF($A358&lt;VLOOKUP(M$5,NFI,5,0),1,0)*Table_NFI[[#This Row],[Winter Blanket]],Table_NFI[[#This Row],[Winter Blanket]])</f>
        <v>0</v>
      </c>
      <c r="AM358" s="436">
        <f>IF(Table_NFI[[#This Row],[Winter Clothes Adult]]+Table_NFI[[#This Row],[Winter Clothes Children]]+Table_NFI[[#This Row],[Winter Items Other]]+Table_NFI[[#This Row],[Winter Blanket]]&gt;0,1,0)</f>
        <v>1</v>
      </c>
      <c r="AN358" s="439">
        <f>IF(NFI_Expiration=1,IF($A358&lt;VLOOKUP(V$5,NFI,5,0),1,0)*Table_NFI[[#This Row],[Jerry Can]],Table_NFI[Jerry Can])</f>
        <v>0</v>
      </c>
      <c r="AO358" s="771" t="str">
        <f>IFERROR(VLOOKUP(Table_NFI[[#This Row],[Camp Name]],CL,2,0),"")</f>
        <v>MMR001CMP050</v>
      </c>
      <c r="AP358" s="772">
        <f ca="1">IF(Table_NFI[[#This Row],[Pcode]]="","",IF(OFFSET(CampList[Opening Date],MATCH(Table_NFI[[#This Row],[Pcode]],CampList[CP_Pcode],0)-1,0,1,1)&gt;=NFI_Monitor_Date,1,0))</f>
        <v>0</v>
      </c>
      <c r="AQ358" s="771" t="str">
        <f>IFERROR(VLOOKUP(Table_NFI[[#This Row],[Camp Name]],CL,3,0),"")</f>
        <v>Open</v>
      </c>
      <c r="AR358" s="436" t="str">
        <f ca="1">IF(Table_NFI[[#This Row],[Pcode]]="","",OFFSET(CampList[Priority],MATCH(Table_NFI[[#This Row],[Pcode]],CampList[CP_Pcode],0)-1,0,1,1))</f>
        <v>P4</v>
      </c>
      <c r="AS358" s="438">
        <f>IFERROR(Table_NFI[[#This Row],[Kitchen Set]]/VLOOKUP(Table_NFI[[#This Row],[Camp Name]],CL,4,0),"")</f>
        <v>0</v>
      </c>
      <c r="AT358" s="769" t="s">
        <v>1099</v>
      </c>
      <c r="AU358" s="773"/>
    </row>
    <row r="359" spans="1:47" s="774" customFormat="1" x14ac:dyDescent="0.25">
      <c r="A359" s="451">
        <f t="shared" si="5"/>
        <v>25.4</v>
      </c>
      <c r="B359" s="768">
        <v>41608</v>
      </c>
      <c r="C359" s="769" t="s">
        <v>912</v>
      </c>
      <c r="D359" s="769"/>
      <c r="E359" s="769" t="s">
        <v>380</v>
      </c>
      <c r="F359" s="435" t="s">
        <v>5</v>
      </c>
      <c r="G359" s="435" t="s">
        <v>6</v>
      </c>
      <c r="H359" s="436"/>
      <c r="I359" s="436"/>
      <c r="J359" s="436"/>
      <c r="K359" s="436"/>
      <c r="L359" s="437"/>
      <c r="M359" s="437"/>
      <c r="N359" s="437"/>
      <c r="O359" s="437"/>
      <c r="P359" s="439"/>
      <c r="Q359" s="439">
        <v>660</v>
      </c>
      <c r="R359" s="436"/>
      <c r="S359" s="436"/>
      <c r="T359" s="436"/>
      <c r="U359" s="436"/>
      <c r="V359" s="436"/>
      <c r="W359" s="436"/>
      <c r="X359" s="436"/>
      <c r="Y359" s="436">
        <f>IF(NFI_Expiration=1,IF($A359&lt;VLOOKUP(H$5,NFI,5,0),1,0)*Table_NFI[[#This Row],[Hygiene Kit]],Table_NFI[Hygiene Kit])</f>
        <v>0</v>
      </c>
      <c r="Z359" s="436">
        <f>IF(NFI_Expiration=1,IF($A359&lt;VLOOKUP(I$5,NFI,5,0),1,0)*Table_NFI[[#This Row],[NFI Core Kit]],Table_NFI[NFI Core Kit])</f>
        <v>0</v>
      </c>
      <c r="AA359" s="436">
        <f>IF(NFI_Expiration=1,IF($A359&lt;VLOOKUP(J$5,NFI,5,0),1,0)*Table_NFI[[#This Row],[Sanitary Kit]],Table_NFI[Sanitary Kit])</f>
        <v>0</v>
      </c>
      <c r="AB359" s="436">
        <f>IF(NFI_Expiration=1,IF($A359&lt;VLOOKUP(K$5,NFI,5,0),1,0)*Table_NFI[[#This Row],[Mosquito net]],Table_NFI[Mosquito net])</f>
        <v>0</v>
      </c>
      <c r="AC359" s="436">
        <f>IF(NFI_Expiration=1,IF($A359&lt;VLOOKUP(L$5,NFI,5,0),1,0)*Table_NFI[[#This Row],[Tarpaulin]],Table_NFI[[#This Row],[Tarpaulin]])</f>
        <v>0</v>
      </c>
      <c r="AD359" s="436">
        <f>IF(NFI_Expiration=1,IF($A359&lt;VLOOKUP(M$5,NFI,5,0),1,0)*Table_NFI[[#This Row],[Blanket]],Table_NFI[[#This Row],[Blanket]])</f>
        <v>0</v>
      </c>
      <c r="AE359" s="436">
        <f>IF(NFI_Expiration=1,IF($A359&lt;VLOOKUP(N$5,NFI,5,0),1,0)*Table_NFI[[#This Row],[Kitchen Set]],Table_NFI[Kitchen Set])</f>
        <v>0</v>
      </c>
      <c r="AF359" s="436">
        <f>IF(NFI_Expiration=1,IF($A359&lt;VLOOKUP(O$5,NFI,5,0),1,0)*Table_NFI[[#This Row],[Clothes Kit]],Table_NFI[Clothes Kit])</f>
        <v>0</v>
      </c>
      <c r="AG359" s="436">
        <f>IF(NFI_Expiration=1,IF($A359&lt;VLOOKUP(P$5,NFI,5,0),1,0)*Table_NFI[[#This Row],[Plastic Bucket]],Table_NFI[Plastic Bucket])</f>
        <v>0</v>
      </c>
      <c r="AH359" s="436">
        <f>IF(NFI_Expiration=1,IF($A359&lt;VLOOKUP(Q$5,NFI,5,0),1,0)*Table_NFI[[#This Row],[Plastic Mat]],Table_NFI[Plastic Mat])*IF(Table_NFI[[#This Row],[Distribution Date]]&gt;"2014-04-01",1,2.5)</f>
        <v>0</v>
      </c>
      <c r="AI359" s="436">
        <f>IF(NFI_Expiration=1,IF($A359&lt;VLOOKUP(R$5,NFI,5,0),1,0)*Table_NFI[[#This Row],[Winter Clothes Adult]],Table_NFI[Winter Clothes Adult])</f>
        <v>0</v>
      </c>
      <c r="AJ359" s="436">
        <f>IF(NFI_Expiration=1,IF($A359&lt;VLOOKUP(S$5,NFI,5,0),1,0)*Table_NFI[[#This Row],[Winter Clothes Children]],Table_NFI[Winter Clothes Children])</f>
        <v>0</v>
      </c>
      <c r="AK359" s="436">
        <f>IF(NFI_Expiration=1,IF($A359&lt;VLOOKUP(T$5,NFI,5,0),1,0)*Table_NFI[[#This Row],[Winter Items Other]],Table_NFI[Winter Items Other])</f>
        <v>0</v>
      </c>
      <c r="AL359" s="436">
        <f>IF(NFI_Expiration=1,IF($A359&lt;VLOOKUP(M$5,NFI,5,0),1,0)*Table_NFI[[#This Row],[Winter Blanket]],Table_NFI[[#This Row],[Winter Blanket]])</f>
        <v>0</v>
      </c>
      <c r="AM359" s="436">
        <f>IF(Table_NFI[[#This Row],[Winter Clothes Adult]]+Table_NFI[[#This Row],[Winter Clothes Children]]+Table_NFI[[#This Row],[Winter Items Other]]+Table_NFI[[#This Row],[Winter Blanket]]&gt;0,1,0)</f>
        <v>0</v>
      </c>
      <c r="AN359" s="439">
        <f>IF(NFI_Expiration=1,IF($A359&lt;VLOOKUP(V$5,NFI,5,0),1,0)*Table_NFI[[#This Row],[Jerry Can]],Table_NFI[Jerry Can])</f>
        <v>0</v>
      </c>
      <c r="AO359" s="771" t="str">
        <f>IFERROR(VLOOKUP(Table_NFI[[#This Row],[Camp Name]],CL,2,0),"")</f>
        <v>MMR001CMP050</v>
      </c>
      <c r="AP359" s="772">
        <f ca="1">IF(Table_NFI[[#This Row],[Pcode]]="","",IF(OFFSET(CampList[Opening Date],MATCH(Table_NFI[[#This Row],[Pcode]],CampList[CP_Pcode],0)-1,0,1,1)&gt;=NFI_Monitor_Date,1,0))</f>
        <v>0</v>
      </c>
      <c r="AQ359" s="771" t="str">
        <f>IFERROR(VLOOKUP(Table_NFI[[#This Row],[Camp Name]],CL,3,0),"")</f>
        <v>Open</v>
      </c>
      <c r="AR359" s="436" t="str">
        <f ca="1">IF(Table_NFI[[#This Row],[Pcode]]="","",OFFSET(CampList[Priority],MATCH(Table_NFI[[#This Row],[Pcode]],CampList[CP_Pcode],0)-1,0,1,1))</f>
        <v>P4</v>
      </c>
      <c r="AS359" s="438">
        <f>IFERROR(Table_NFI[[#This Row],[Kitchen Set]]/VLOOKUP(Table_NFI[[#This Row],[Camp Name]],CL,4,0),"")</f>
        <v>0</v>
      </c>
      <c r="AT359" s="769" t="s">
        <v>1099</v>
      </c>
      <c r="AU359" s="773"/>
    </row>
    <row r="360" spans="1:47" s="774" customFormat="1" x14ac:dyDescent="0.25">
      <c r="A360" s="451">
        <f t="shared" si="5"/>
        <v>25.4</v>
      </c>
      <c r="B360" s="768">
        <v>41608</v>
      </c>
      <c r="C360" s="442" t="s">
        <v>454</v>
      </c>
      <c r="D360" s="442" t="s">
        <v>454</v>
      </c>
      <c r="E360" s="769" t="s">
        <v>380</v>
      </c>
      <c r="F360" s="435" t="s">
        <v>5</v>
      </c>
      <c r="G360" s="435" t="s">
        <v>6</v>
      </c>
      <c r="H360" s="442"/>
      <c r="I360" s="442"/>
      <c r="J360" s="442"/>
      <c r="K360" s="775">
        <v>6</v>
      </c>
      <c r="L360" s="776">
        <v>6</v>
      </c>
      <c r="M360" s="443">
        <v>6</v>
      </c>
      <c r="N360" s="443">
        <v>6</v>
      </c>
      <c r="O360" s="443">
        <v>6</v>
      </c>
      <c r="P360" s="776"/>
      <c r="Q360" s="443"/>
      <c r="R360" s="442"/>
      <c r="S360" s="442"/>
      <c r="T360" s="442"/>
      <c r="U360" s="442"/>
      <c r="V360" s="442"/>
      <c r="W360" s="442"/>
      <c r="X360" s="442"/>
      <c r="Y360" s="436">
        <f>IF(NFI_Expiration=1,IF($A360&lt;VLOOKUP(H$5,NFI,5,0),1,0)*Table_NFI[[#This Row],[Hygiene Kit]],Table_NFI[Hygiene Kit])</f>
        <v>0</v>
      </c>
      <c r="Z360" s="436">
        <f>IF(NFI_Expiration=1,IF($A360&lt;VLOOKUP(I$5,NFI,5,0),1,0)*Table_NFI[[#This Row],[NFI Core Kit]],Table_NFI[NFI Core Kit])</f>
        <v>0</v>
      </c>
      <c r="AA360" s="436">
        <f>IF(NFI_Expiration=1,IF($A360&lt;VLOOKUP(J$5,NFI,5,0),1,0)*Table_NFI[[#This Row],[Sanitary Kit]],Table_NFI[Sanitary Kit])</f>
        <v>0</v>
      </c>
      <c r="AB360" s="436">
        <f>IF(NFI_Expiration=1,IF($A360&lt;VLOOKUP(K$5,NFI,5,0),1,0)*Table_NFI[[#This Row],[Mosquito net]],Table_NFI[Mosquito net])</f>
        <v>0</v>
      </c>
      <c r="AC360" s="436">
        <f>IF(NFI_Expiration=1,IF($A360&lt;VLOOKUP(L$5,NFI,5,0),1,0)*Table_NFI[[#This Row],[Tarpaulin]],Table_NFI[[#This Row],[Tarpaulin]])</f>
        <v>0</v>
      </c>
      <c r="AD360" s="436">
        <f>IF(NFI_Expiration=1,IF($A360&lt;VLOOKUP(M$5,NFI,5,0),1,0)*Table_NFI[[#This Row],[Blanket]],Table_NFI[[#This Row],[Blanket]])</f>
        <v>0</v>
      </c>
      <c r="AE360" s="436">
        <f>IF(NFI_Expiration=1,IF($A360&lt;VLOOKUP(N$5,NFI,5,0),1,0)*Table_NFI[[#This Row],[Kitchen Set]],Table_NFI[Kitchen Set])</f>
        <v>0</v>
      </c>
      <c r="AF360" s="436">
        <f>IF(NFI_Expiration=1,IF($A360&lt;VLOOKUP(O$5,NFI,5,0),1,0)*Table_NFI[[#This Row],[Clothes Kit]],Table_NFI[Clothes Kit])</f>
        <v>0</v>
      </c>
      <c r="AG360" s="436">
        <f>IF(NFI_Expiration=1,IF($A360&lt;VLOOKUP(P$5,NFI,5,0),1,0)*Table_NFI[[#This Row],[Plastic Bucket]],Table_NFI[Plastic Bucket])</f>
        <v>0</v>
      </c>
      <c r="AH360" s="436">
        <f>IF(NFI_Expiration=1,IF($A360&lt;VLOOKUP(Q$5,NFI,5,0),1,0)*Table_NFI[[#This Row],[Plastic Mat]],Table_NFI[Plastic Mat])*IF(Table_NFI[[#This Row],[Distribution Date]]&gt;"2014-04-01",1,2.5)</f>
        <v>0</v>
      </c>
      <c r="AI360" s="436">
        <f>IF(NFI_Expiration=1,IF($A360&lt;VLOOKUP(R$5,NFI,5,0),1,0)*Table_NFI[[#This Row],[Winter Clothes Adult]],Table_NFI[Winter Clothes Adult])</f>
        <v>0</v>
      </c>
      <c r="AJ360" s="436">
        <f>IF(NFI_Expiration=1,IF($A360&lt;VLOOKUP(S$5,NFI,5,0),1,0)*Table_NFI[[#This Row],[Winter Clothes Children]],Table_NFI[Winter Clothes Children])</f>
        <v>0</v>
      </c>
      <c r="AK360" s="436">
        <f>IF(NFI_Expiration=1,IF($A360&lt;VLOOKUP(T$5,NFI,5,0),1,0)*Table_NFI[[#This Row],[Winter Items Other]],Table_NFI[Winter Items Other])</f>
        <v>0</v>
      </c>
      <c r="AL360" s="436">
        <f>IF(NFI_Expiration=1,IF($A360&lt;VLOOKUP(M$5,NFI,5,0),1,0)*Table_NFI[[#This Row],[Winter Blanket]],Table_NFI[[#This Row],[Winter Blanket]])</f>
        <v>0</v>
      </c>
      <c r="AM360" s="436">
        <f>IF(Table_NFI[[#This Row],[Winter Clothes Adult]]+Table_NFI[[#This Row],[Winter Clothes Children]]+Table_NFI[[#This Row],[Winter Items Other]]+Table_NFI[[#This Row],[Winter Blanket]]&gt;0,1,0)</f>
        <v>0</v>
      </c>
      <c r="AN360" s="439">
        <f>IF(NFI_Expiration=1,IF($A360&lt;VLOOKUP(V$5,NFI,5,0),1,0)*Table_NFI[[#This Row],[Jerry Can]],Table_NFI[Jerry Can])</f>
        <v>0</v>
      </c>
      <c r="AO360" s="771" t="str">
        <f>IFERROR(VLOOKUP(Table_NFI[[#This Row],[Camp Name]],CL,2,0),"")</f>
        <v>MMR001CMP050</v>
      </c>
      <c r="AP360" s="772">
        <f ca="1">IF(Table_NFI[[#This Row],[Pcode]]="","",IF(OFFSET(CampList[Opening Date],MATCH(Table_NFI[[#This Row],[Pcode]],CampList[CP_Pcode],0)-1,0,1,1)&gt;=NFI_Monitor_Date,1,0))</f>
        <v>0</v>
      </c>
      <c r="AQ360" s="781" t="str">
        <f>IFERROR(VLOOKUP(Table_NFI[[#This Row],[Camp Name]],CL,3,0),"")</f>
        <v>Open</v>
      </c>
      <c r="AR360" s="439" t="str">
        <f ca="1">IF(Table_NFI[[#This Row],[Pcode]]="","",OFFSET(CampList[Priority],MATCH(Table_NFI[[#This Row],[Pcode]],CampList[CP_Pcode],0)-1,0,1,1))</f>
        <v>P4</v>
      </c>
      <c r="AS360" s="438">
        <f>IFERROR(Table_NFI[[#This Row],[Kitchen Set]]/VLOOKUP(Table_NFI[[#This Row],[Camp Name]],CL,4,0),"")</f>
        <v>2.1897810218978103E-2</v>
      </c>
      <c r="AT360" s="769" t="s">
        <v>1099</v>
      </c>
      <c r="AU360" s="773"/>
    </row>
    <row r="361" spans="1:47" s="774" customFormat="1" x14ac:dyDescent="0.25">
      <c r="A361" s="451">
        <f t="shared" si="5"/>
        <v>25.4</v>
      </c>
      <c r="B361" s="768">
        <v>41608</v>
      </c>
      <c r="C361" s="769" t="s">
        <v>912</v>
      </c>
      <c r="D361" s="769"/>
      <c r="E361" s="769" t="s">
        <v>380</v>
      </c>
      <c r="F361" s="435" t="s">
        <v>5</v>
      </c>
      <c r="G361" s="435" t="s">
        <v>514</v>
      </c>
      <c r="H361" s="436"/>
      <c r="I361" s="436"/>
      <c r="J361" s="436"/>
      <c r="K361" s="436"/>
      <c r="L361" s="437"/>
      <c r="M361" s="437"/>
      <c r="N361" s="437"/>
      <c r="O361" s="437"/>
      <c r="P361" s="439"/>
      <c r="Q361" s="439"/>
      <c r="R361" s="436"/>
      <c r="S361" s="436"/>
      <c r="T361" s="436"/>
      <c r="U361" s="436"/>
      <c r="V361" s="436"/>
      <c r="W361" s="436"/>
      <c r="X361" s="436"/>
      <c r="Y361" s="436">
        <f>IF(NFI_Expiration=1,IF($A361&lt;VLOOKUP(H$5,NFI,5,0),1,0)*Table_NFI[[#This Row],[Hygiene Kit]],Table_NFI[Hygiene Kit])</f>
        <v>0</v>
      </c>
      <c r="Z361" s="436">
        <f>IF(NFI_Expiration=1,IF($A361&lt;VLOOKUP(I$5,NFI,5,0),1,0)*Table_NFI[[#This Row],[NFI Core Kit]],Table_NFI[NFI Core Kit])</f>
        <v>0</v>
      </c>
      <c r="AA361" s="436">
        <f>IF(NFI_Expiration=1,IF($A361&lt;VLOOKUP(J$5,NFI,5,0),1,0)*Table_NFI[[#This Row],[Sanitary Kit]],Table_NFI[Sanitary Kit])</f>
        <v>0</v>
      </c>
      <c r="AB361" s="436">
        <f>IF(NFI_Expiration=1,IF($A361&lt;VLOOKUP(K$5,NFI,5,0),1,0)*Table_NFI[[#This Row],[Mosquito net]],Table_NFI[Mosquito net])</f>
        <v>0</v>
      </c>
      <c r="AC361" s="436">
        <f>IF(NFI_Expiration=1,IF($A361&lt;VLOOKUP(L$5,NFI,5,0),1,0)*Table_NFI[[#This Row],[Tarpaulin]],Table_NFI[[#This Row],[Tarpaulin]])</f>
        <v>0</v>
      </c>
      <c r="AD361" s="436">
        <f>IF(NFI_Expiration=1,IF($A361&lt;VLOOKUP(M$5,NFI,5,0),1,0)*Table_NFI[[#This Row],[Blanket]],Table_NFI[[#This Row],[Blanket]])</f>
        <v>0</v>
      </c>
      <c r="AE361" s="436">
        <f>IF(NFI_Expiration=1,IF($A361&lt;VLOOKUP(N$5,NFI,5,0),1,0)*Table_NFI[[#This Row],[Kitchen Set]],Table_NFI[Kitchen Set])</f>
        <v>0</v>
      </c>
      <c r="AF361" s="436">
        <f>IF(NFI_Expiration=1,IF($A361&lt;VLOOKUP(O$5,NFI,5,0),1,0)*Table_NFI[[#This Row],[Clothes Kit]],Table_NFI[Clothes Kit])</f>
        <v>0</v>
      </c>
      <c r="AG361" s="436">
        <f>IF(NFI_Expiration=1,IF($A361&lt;VLOOKUP(P$5,NFI,5,0),1,0)*Table_NFI[[#This Row],[Plastic Bucket]],Table_NFI[Plastic Bucket])</f>
        <v>0</v>
      </c>
      <c r="AH361" s="436">
        <f>IF(NFI_Expiration=1,IF($A361&lt;VLOOKUP(Q$5,NFI,5,0),1,0)*Table_NFI[[#This Row],[Plastic Mat]],Table_NFI[Plastic Mat])*IF(Table_NFI[[#This Row],[Distribution Date]]&gt;"2014-04-01",1,2.5)</f>
        <v>0</v>
      </c>
      <c r="AI361" s="436">
        <f>IF(NFI_Expiration=1,IF($A361&lt;VLOOKUP(R$5,NFI,5,0),1,0)*Table_NFI[[#This Row],[Winter Clothes Adult]],Table_NFI[Winter Clothes Adult])</f>
        <v>0</v>
      </c>
      <c r="AJ361" s="436">
        <f>IF(NFI_Expiration=1,IF($A361&lt;VLOOKUP(S$5,NFI,5,0),1,0)*Table_NFI[[#This Row],[Winter Clothes Children]],Table_NFI[Winter Clothes Children])</f>
        <v>0</v>
      </c>
      <c r="AK361" s="436">
        <f>IF(NFI_Expiration=1,IF($A361&lt;VLOOKUP(T$5,NFI,5,0),1,0)*Table_NFI[[#This Row],[Winter Items Other]],Table_NFI[Winter Items Other])</f>
        <v>0</v>
      </c>
      <c r="AL361" s="436">
        <f>IF(NFI_Expiration=1,IF($A361&lt;VLOOKUP(M$5,NFI,5,0),1,0)*Table_NFI[[#This Row],[Winter Blanket]],Table_NFI[[#This Row],[Winter Blanket]])</f>
        <v>0</v>
      </c>
      <c r="AM361" s="436">
        <f>IF(Table_NFI[[#This Row],[Winter Clothes Adult]]+Table_NFI[[#This Row],[Winter Clothes Children]]+Table_NFI[[#This Row],[Winter Items Other]]+Table_NFI[[#This Row],[Winter Blanket]]&gt;0,1,0)</f>
        <v>0</v>
      </c>
      <c r="AN361" s="439">
        <f>IF(NFI_Expiration=1,IF($A361&lt;VLOOKUP(V$5,NFI,5,0),1,0)*Table_NFI[[#This Row],[Jerry Can]],Table_NFI[Jerry Can])</f>
        <v>0</v>
      </c>
      <c r="AO361" s="771" t="str">
        <f>IFERROR(VLOOKUP(Table_NFI[[#This Row],[Camp Name]],CL,2,0),"")</f>
        <v>MMR001CMP194</v>
      </c>
      <c r="AP361" s="772">
        <f ca="1">IF(Table_NFI[[#This Row],[Pcode]]="","",IF(OFFSET(CampList[Opening Date],MATCH(Table_NFI[[#This Row],[Pcode]],CampList[CP_Pcode],0)-1,0,1,1)&gt;=NFI_Monitor_Date,1,0))</f>
        <v>0</v>
      </c>
      <c r="AQ361" s="771" t="s">
        <v>849</v>
      </c>
      <c r="AR361" s="436" t="str">
        <f ca="1">IF(Table_NFI[[#This Row],[Pcode]]="","",OFFSET(CampList[Priority],MATCH(Table_NFI[[#This Row],[Pcode]],CampList[CP_Pcode],0)-1,0,1,1))</f>
        <v>P4</v>
      </c>
      <c r="AS361" s="438">
        <f>IFERROR(Table_NFI[[#This Row],[Kitchen Set]]/VLOOKUP(Table_NFI[[#This Row],[Camp Name]],CL,4,0),"")</f>
        <v>0</v>
      </c>
      <c r="AT361" s="769" t="s">
        <v>1099</v>
      </c>
      <c r="AU361" s="773"/>
    </row>
    <row r="362" spans="1:47" s="774" customFormat="1" x14ac:dyDescent="0.25">
      <c r="A362" s="451">
        <f t="shared" si="5"/>
        <v>25.4</v>
      </c>
      <c r="B362" s="768">
        <v>41608</v>
      </c>
      <c r="C362" s="769" t="s">
        <v>912</v>
      </c>
      <c r="D362" s="769" t="s">
        <v>462</v>
      </c>
      <c r="E362" s="769" t="s">
        <v>380</v>
      </c>
      <c r="F362" s="435" t="s">
        <v>310</v>
      </c>
      <c r="G362" s="435" t="s">
        <v>334</v>
      </c>
      <c r="H362" s="436"/>
      <c r="I362" s="436"/>
      <c r="J362" s="436"/>
      <c r="K362" s="436"/>
      <c r="L362" s="437"/>
      <c r="M362" s="437"/>
      <c r="N362" s="437"/>
      <c r="O362" s="437"/>
      <c r="P362" s="439"/>
      <c r="Q362" s="439"/>
      <c r="R362" s="436"/>
      <c r="S362" s="436"/>
      <c r="T362" s="436"/>
      <c r="U362" s="436"/>
      <c r="V362" s="436"/>
      <c r="W362" s="436"/>
      <c r="X362" s="436"/>
      <c r="Y362" s="436">
        <f>IF(NFI_Expiration=1,IF($A362&lt;VLOOKUP(H$5,NFI,5,0),1,0)*Table_NFI[[#This Row],[Hygiene Kit]],Table_NFI[Hygiene Kit])</f>
        <v>0</v>
      </c>
      <c r="Z362" s="436">
        <f>IF(NFI_Expiration=1,IF($A362&lt;VLOOKUP(I$5,NFI,5,0),1,0)*Table_NFI[[#This Row],[NFI Core Kit]],Table_NFI[NFI Core Kit])</f>
        <v>0</v>
      </c>
      <c r="AA362" s="436">
        <f>IF(NFI_Expiration=1,IF($A362&lt;VLOOKUP(J$5,NFI,5,0),1,0)*Table_NFI[[#This Row],[Sanitary Kit]],Table_NFI[Sanitary Kit])</f>
        <v>0</v>
      </c>
      <c r="AB362" s="436">
        <f>IF(NFI_Expiration=1,IF($A362&lt;VLOOKUP(K$5,NFI,5,0),1,0)*Table_NFI[[#This Row],[Mosquito net]],Table_NFI[Mosquito net])</f>
        <v>0</v>
      </c>
      <c r="AC362" s="436">
        <f>IF(NFI_Expiration=1,IF($A362&lt;VLOOKUP(L$5,NFI,5,0),1,0)*Table_NFI[[#This Row],[Tarpaulin]],Table_NFI[[#This Row],[Tarpaulin]])</f>
        <v>0</v>
      </c>
      <c r="AD362" s="436">
        <f>IF(NFI_Expiration=1,IF($A362&lt;VLOOKUP(M$5,NFI,5,0),1,0)*Table_NFI[[#This Row],[Blanket]],Table_NFI[[#This Row],[Blanket]])</f>
        <v>0</v>
      </c>
      <c r="AE362" s="436">
        <f>IF(NFI_Expiration=1,IF($A362&lt;VLOOKUP(N$5,NFI,5,0),1,0)*Table_NFI[[#This Row],[Kitchen Set]],Table_NFI[Kitchen Set])</f>
        <v>0</v>
      </c>
      <c r="AF362" s="436">
        <f>IF(NFI_Expiration=1,IF($A362&lt;VLOOKUP(O$5,NFI,5,0),1,0)*Table_NFI[[#This Row],[Clothes Kit]],Table_NFI[Clothes Kit])</f>
        <v>0</v>
      </c>
      <c r="AG362" s="436">
        <f>IF(NFI_Expiration=1,IF($A362&lt;VLOOKUP(P$5,NFI,5,0),1,0)*Table_NFI[[#This Row],[Plastic Bucket]],Table_NFI[Plastic Bucket])</f>
        <v>0</v>
      </c>
      <c r="AH362" s="436">
        <f>IF(NFI_Expiration=1,IF($A362&lt;VLOOKUP(Q$5,NFI,5,0),1,0)*Table_NFI[[#This Row],[Plastic Mat]],Table_NFI[Plastic Mat])*IF(Table_NFI[[#This Row],[Distribution Date]]&gt;"2014-04-01",1,2.5)</f>
        <v>0</v>
      </c>
      <c r="AI362" s="436">
        <f>IF(NFI_Expiration=1,IF($A362&lt;VLOOKUP(R$5,NFI,5,0),1,0)*Table_NFI[[#This Row],[Winter Clothes Adult]],Table_NFI[Winter Clothes Adult])</f>
        <v>0</v>
      </c>
      <c r="AJ362" s="436">
        <f>IF(NFI_Expiration=1,IF($A362&lt;VLOOKUP(S$5,NFI,5,0),1,0)*Table_NFI[[#This Row],[Winter Clothes Children]],Table_NFI[Winter Clothes Children])</f>
        <v>0</v>
      </c>
      <c r="AK362" s="436">
        <f>IF(NFI_Expiration=1,IF($A362&lt;VLOOKUP(T$5,NFI,5,0),1,0)*Table_NFI[[#This Row],[Winter Items Other]],Table_NFI[Winter Items Other])</f>
        <v>0</v>
      </c>
      <c r="AL362" s="436">
        <f>IF(NFI_Expiration=1,IF($A362&lt;VLOOKUP(M$5,NFI,5,0),1,0)*Table_NFI[[#This Row],[Winter Blanket]],Table_NFI[[#This Row],[Winter Blanket]])</f>
        <v>0</v>
      </c>
      <c r="AM362" s="436">
        <f>IF(Table_NFI[[#This Row],[Winter Clothes Adult]]+Table_NFI[[#This Row],[Winter Clothes Children]]+Table_NFI[[#This Row],[Winter Items Other]]+Table_NFI[[#This Row],[Winter Blanket]]&gt;0,1,0)</f>
        <v>0</v>
      </c>
      <c r="AN362" s="439">
        <f>IF(NFI_Expiration=1,IF($A362&lt;VLOOKUP(V$5,NFI,5,0),1,0)*Table_NFI[[#This Row],[Jerry Can]],Table_NFI[Jerry Can])</f>
        <v>0</v>
      </c>
      <c r="AO362" s="771" t="str">
        <f>IFERROR(VLOOKUP(Table_NFI[[#This Row],[Camp Name]],CL,2,0),"")</f>
        <v>MMR001CMP113</v>
      </c>
      <c r="AP362" s="772">
        <f ca="1">IF(Table_NFI[[#This Row],[Pcode]]="","",IF(OFFSET(CampList[Opening Date],MATCH(Table_NFI[[#This Row],[Pcode]],CampList[CP_Pcode],0)-1,0,1,1)&gt;=NFI_Monitor_Date,1,0))</f>
        <v>0</v>
      </c>
      <c r="AQ362" s="771" t="str">
        <f>IFERROR(VLOOKUP(Table_NFI[[#This Row],[Camp Name]],CL,3,0),"")</f>
        <v>Open</v>
      </c>
      <c r="AR362" s="436" t="str">
        <f ca="1">IF(Table_NFI[[#This Row],[Pcode]]="","",OFFSET(CampList[Priority],MATCH(Table_NFI[[#This Row],[Pcode]],CampList[CP_Pcode],0)-1,0,1,1))</f>
        <v>P1</v>
      </c>
      <c r="AS362" s="438">
        <f>IFERROR(Table_NFI[[#This Row],[Kitchen Set]]/VLOOKUP(Table_NFI[[#This Row],[Camp Name]],CL,4,0),"")</f>
        <v>0</v>
      </c>
      <c r="AT362" s="769" t="s">
        <v>1099</v>
      </c>
      <c r="AU362" s="773"/>
    </row>
    <row r="363" spans="1:47" s="774" customFormat="1" x14ac:dyDescent="0.25">
      <c r="A363" s="451">
        <f t="shared" si="5"/>
        <v>25.4</v>
      </c>
      <c r="B363" s="768">
        <v>41608</v>
      </c>
      <c r="C363" s="769" t="s">
        <v>1104</v>
      </c>
      <c r="D363" s="442" t="s">
        <v>951</v>
      </c>
      <c r="E363" s="775" t="s">
        <v>380</v>
      </c>
      <c r="F363" s="435" t="s">
        <v>151</v>
      </c>
      <c r="G363" s="435" t="s">
        <v>188</v>
      </c>
      <c r="H363" s="442"/>
      <c r="I363" s="442"/>
      <c r="J363" s="442"/>
      <c r="K363" s="775"/>
      <c r="L363" s="776"/>
      <c r="M363" s="443">
        <v>819</v>
      </c>
      <c r="N363" s="443"/>
      <c r="O363" s="443"/>
      <c r="P363" s="776"/>
      <c r="Q363" s="443"/>
      <c r="R363" s="442">
        <v>966</v>
      </c>
      <c r="S363" s="442">
        <v>484</v>
      </c>
      <c r="T363" s="442">
        <v>0</v>
      </c>
      <c r="U363" s="442"/>
      <c r="V363" s="442"/>
      <c r="W363" s="442"/>
      <c r="X363" s="442"/>
      <c r="Y363" s="436">
        <f>IF(NFI_Expiration=1,IF($A363&lt;VLOOKUP(H$5,NFI,5,0),1,0)*Table_NFI[[#This Row],[Hygiene Kit]],Table_NFI[Hygiene Kit])</f>
        <v>0</v>
      </c>
      <c r="Z363" s="436">
        <f>IF(NFI_Expiration=1,IF($A363&lt;VLOOKUP(I$5,NFI,5,0),1,0)*Table_NFI[[#This Row],[NFI Core Kit]],Table_NFI[NFI Core Kit])</f>
        <v>0</v>
      </c>
      <c r="AA363" s="436">
        <f>IF(NFI_Expiration=1,IF($A363&lt;VLOOKUP(J$5,NFI,5,0),1,0)*Table_NFI[[#This Row],[Sanitary Kit]],Table_NFI[Sanitary Kit])</f>
        <v>0</v>
      </c>
      <c r="AB363" s="436">
        <f>IF(NFI_Expiration=1,IF($A363&lt;VLOOKUP(K$5,NFI,5,0),1,0)*Table_NFI[[#This Row],[Mosquito net]],Table_NFI[Mosquito net])</f>
        <v>0</v>
      </c>
      <c r="AC363" s="436">
        <f>IF(NFI_Expiration=1,IF($A363&lt;VLOOKUP(L$5,NFI,5,0),1,0)*Table_NFI[[#This Row],[Tarpaulin]],Table_NFI[[#This Row],[Tarpaulin]])</f>
        <v>0</v>
      </c>
      <c r="AD363" s="436">
        <f>IF(NFI_Expiration=1,IF($A363&lt;VLOOKUP(M$5,NFI,5,0),1,0)*Table_NFI[[#This Row],[Blanket]],Table_NFI[[#This Row],[Blanket]])</f>
        <v>0</v>
      </c>
      <c r="AE363" s="436">
        <f>IF(NFI_Expiration=1,IF($A363&lt;VLOOKUP(N$5,NFI,5,0),1,0)*Table_NFI[[#This Row],[Kitchen Set]],Table_NFI[Kitchen Set])</f>
        <v>0</v>
      </c>
      <c r="AF363" s="436">
        <f>IF(NFI_Expiration=1,IF($A363&lt;VLOOKUP(O$5,NFI,5,0),1,0)*Table_NFI[[#This Row],[Clothes Kit]],Table_NFI[Clothes Kit])</f>
        <v>0</v>
      </c>
      <c r="AG363" s="436">
        <f>IF(NFI_Expiration=1,IF($A363&lt;VLOOKUP(P$5,NFI,5,0),1,0)*Table_NFI[[#This Row],[Plastic Bucket]],Table_NFI[Plastic Bucket])</f>
        <v>0</v>
      </c>
      <c r="AH363" s="436">
        <f>IF(NFI_Expiration=1,IF($A363&lt;VLOOKUP(Q$5,NFI,5,0),1,0)*Table_NFI[[#This Row],[Plastic Mat]],Table_NFI[Plastic Mat])*IF(Table_NFI[[#This Row],[Distribution Date]]&gt;"2014-04-01",1,2.5)</f>
        <v>0</v>
      </c>
      <c r="AI363" s="436">
        <f>IF(NFI_Expiration=1,IF($A363&lt;VLOOKUP(R$5,NFI,5,0),1,0)*Table_NFI[[#This Row],[Winter Clothes Adult]],Table_NFI[Winter Clothes Adult])</f>
        <v>0</v>
      </c>
      <c r="AJ363" s="436">
        <f>IF(NFI_Expiration=1,IF($A363&lt;VLOOKUP(S$5,NFI,5,0),1,0)*Table_NFI[[#This Row],[Winter Clothes Children]],Table_NFI[Winter Clothes Children])</f>
        <v>0</v>
      </c>
      <c r="AK363" s="436">
        <f>IF(NFI_Expiration=1,IF($A363&lt;VLOOKUP(T$5,NFI,5,0),1,0)*Table_NFI[[#This Row],[Winter Items Other]],Table_NFI[Winter Items Other])</f>
        <v>0</v>
      </c>
      <c r="AL363" s="436">
        <f>IF(NFI_Expiration=1,IF($A363&lt;VLOOKUP(M$5,NFI,5,0),1,0)*Table_NFI[[#This Row],[Winter Blanket]],Table_NFI[[#This Row],[Winter Blanket]])</f>
        <v>0</v>
      </c>
      <c r="AM363" s="436">
        <f>IF(Table_NFI[[#This Row],[Winter Clothes Adult]]+Table_NFI[[#This Row],[Winter Clothes Children]]+Table_NFI[[#This Row],[Winter Items Other]]+Table_NFI[[#This Row],[Winter Blanket]]&gt;0,1,0)</f>
        <v>1</v>
      </c>
      <c r="AN363" s="439">
        <f>IF(NFI_Expiration=1,IF($A363&lt;VLOOKUP(V$5,NFI,5,0),1,0)*Table_NFI[[#This Row],[Jerry Can]],Table_NFI[Jerry Can])</f>
        <v>0</v>
      </c>
      <c r="AO363" s="771" t="str">
        <f>IFERROR(VLOOKUP(Table_NFI[[#This Row],[Camp Name]],CL,2,0),"")</f>
        <v>MMR001CMP129</v>
      </c>
      <c r="AP363" s="772">
        <f ca="1">IF(Table_NFI[[#This Row],[Pcode]]="","",IF(OFFSET(CampList[Opening Date],MATCH(Table_NFI[[#This Row],[Pcode]],CampList[CP_Pcode],0)-1,0,1,1)&gt;=NFI_Monitor_Date,1,0))</f>
        <v>0</v>
      </c>
      <c r="AQ363" s="771" t="str">
        <f>IFERROR(VLOOKUP(Table_NFI[[#This Row],[Camp Name]],CL,3,0),"")</f>
        <v>Open</v>
      </c>
      <c r="AR363" s="436" t="str">
        <f ca="1">IF(Table_NFI[[#This Row],[Pcode]]="","",OFFSET(CampList[Priority],MATCH(Table_NFI[[#This Row],[Pcode]],CampList[CP_Pcode],0)-1,0,1,1))</f>
        <v>P2</v>
      </c>
      <c r="AS363" s="438">
        <f>IFERROR(Table_NFI[[#This Row],[Kitchen Set]]/VLOOKUP(Table_NFI[[#This Row],[Camp Name]],CL,4,0),"")</f>
        <v>0</v>
      </c>
      <c r="AT363" s="769" t="s">
        <v>1099</v>
      </c>
      <c r="AU363" s="773"/>
    </row>
    <row r="364" spans="1:47" s="774" customFormat="1" x14ac:dyDescent="0.25">
      <c r="A364" s="451">
        <f t="shared" si="5"/>
        <v>25.4</v>
      </c>
      <c r="B364" s="768">
        <v>41608</v>
      </c>
      <c r="C364" s="769" t="s">
        <v>912</v>
      </c>
      <c r="D364" s="769" t="s">
        <v>462</v>
      </c>
      <c r="E364" s="769" t="s">
        <v>380</v>
      </c>
      <c r="F364" s="435" t="s">
        <v>151</v>
      </c>
      <c r="G364" s="435" t="s">
        <v>188</v>
      </c>
      <c r="H364" s="436"/>
      <c r="I364" s="436"/>
      <c r="J364" s="436"/>
      <c r="K364" s="436"/>
      <c r="L364" s="437"/>
      <c r="M364" s="437"/>
      <c r="N364" s="437"/>
      <c r="O364" s="437"/>
      <c r="P364" s="439"/>
      <c r="Q364" s="439">
        <v>321</v>
      </c>
      <c r="R364" s="436"/>
      <c r="S364" s="436"/>
      <c r="T364" s="436"/>
      <c r="U364" s="436"/>
      <c r="V364" s="436"/>
      <c r="W364" s="436"/>
      <c r="X364" s="436"/>
      <c r="Y364" s="436">
        <f>IF(NFI_Expiration=1,IF($A364&lt;VLOOKUP(H$5,NFI,5,0),1,0)*Table_NFI[[#This Row],[Hygiene Kit]],Table_NFI[Hygiene Kit])</f>
        <v>0</v>
      </c>
      <c r="Z364" s="436">
        <f>IF(NFI_Expiration=1,IF($A364&lt;VLOOKUP(I$5,NFI,5,0),1,0)*Table_NFI[[#This Row],[NFI Core Kit]],Table_NFI[NFI Core Kit])</f>
        <v>0</v>
      </c>
      <c r="AA364" s="436">
        <f>IF(NFI_Expiration=1,IF($A364&lt;VLOOKUP(J$5,NFI,5,0),1,0)*Table_NFI[[#This Row],[Sanitary Kit]],Table_NFI[Sanitary Kit])</f>
        <v>0</v>
      </c>
      <c r="AB364" s="436">
        <f>IF(NFI_Expiration=1,IF($A364&lt;VLOOKUP(K$5,NFI,5,0),1,0)*Table_NFI[[#This Row],[Mosquito net]],Table_NFI[Mosquito net])</f>
        <v>0</v>
      </c>
      <c r="AC364" s="436">
        <f>IF(NFI_Expiration=1,IF($A364&lt;VLOOKUP(L$5,NFI,5,0),1,0)*Table_NFI[[#This Row],[Tarpaulin]],Table_NFI[[#This Row],[Tarpaulin]])</f>
        <v>0</v>
      </c>
      <c r="AD364" s="436">
        <f>IF(NFI_Expiration=1,IF($A364&lt;VLOOKUP(M$5,NFI,5,0),1,0)*Table_NFI[[#This Row],[Blanket]],Table_NFI[[#This Row],[Blanket]])</f>
        <v>0</v>
      </c>
      <c r="AE364" s="436">
        <f>IF(NFI_Expiration=1,IF($A364&lt;VLOOKUP(N$5,NFI,5,0),1,0)*Table_NFI[[#This Row],[Kitchen Set]],Table_NFI[Kitchen Set])</f>
        <v>0</v>
      </c>
      <c r="AF364" s="436">
        <f>IF(NFI_Expiration=1,IF($A364&lt;VLOOKUP(O$5,NFI,5,0),1,0)*Table_NFI[[#This Row],[Clothes Kit]],Table_NFI[Clothes Kit])</f>
        <v>0</v>
      </c>
      <c r="AG364" s="436">
        <f>IF(NFI_Expiration=1,IF($A364&lt;VLOOKUP(P$5,NFI,5,0),1,0)*Table_NFI[[#This Row],[Plastic Bucket]],Table_NFI[Plastic Bucket])</f>
        <v>0</v>
      </c>
      <c r="AH364" s="436">
        <f>IF(NFI_Expiration=1,IF($A364&lt;VLOOKUP(Q$5,NFI,5,0),1,0)*Table_NFI[[#This Row],[Plastic Mat]],Table_NFI[Plastic Mat])*IF(Table_NFI[[#This Row],[Distribution Date]]&gt;"2014-04-01",1,2.5)</f>
        <v>0</v>
      </c>
      <c r="AI364" s="436">
        <f>IF(NFI_Expiration=1,IF($A364&lt;VLOOKUP(R$5,NFI,5,0),1,0)*Table_NFI[[#This Row],[Winter Clothes Adult]],Table_NFI[Winter Clothes Adult])</f>
        <v>0</v>
      </c>
      <c r="AJ364" s="436">
        <f>IF(NFI_Expiration=1,IF($A364&lt;VLOOKUP(S$5,NFI,5,0),1,0)*Table_NFI[[#This Row],[Winter Clothes Children]],Table_NFI[Winter Clothes Children])</f>
        <v>0</v>
      </c>
      <c r="AK364" s="436">
        <f>IF(NFI_Expiration=1,IF($A364&lt;VLOOKUP(T$5,NFI,5,0),1,0)*Table_NFI[[#This Row],[Winter Items Other]],Table_NFI[Winter Items Other])</f>
        <v>0</v>
      </c>
      <c r="AL364" s="436">
        <f>IF(NFI_Expiration=1,IF($A364&lt;VLOOKUP(M$5,NFI,5,0),1,0)*Table_NFI[[#This Row],[Winter Blanket]],Table_NFI[[#This Row],[Winter Blanket]])</f>
        <v>0</v>
      </c>
      <c r="AM364" s="436">
        <f>IF(Table_NFI[[#This Row],[Winter Clothes Adult]]+Table_NFI[[#This Row],[Winter Clothes Children]]+Table_NFI[[#This Row],[Winter Items Other]]+Table_NFI[[#This Row],[Winter Blanket]]&gt;0,1,0)</f>
        <v>0</v>
      </c>
      <c r="AN364" s="439">
        <f>IF(NFI_Expiration=1,IF($A364&lt;VLOOKUP(V$5,NFI,5,0),1,0)*Table_NFI[[#This Row],[Jerry Can]],Table_NFI[Jerry Can])</f>
        <v>0</v>
      </c>
      <c r="AO364" s="771" t="str">
        <f>IFERROR(VLOOKUP(Table_NFI[[#This Row],[Camp Name]],CL,2,0),"")</f>
        <v>MMR001CMP129</v>
      </c>
      <c r="AP364" s="772">
        <f ca="1">IF(Table_NFI[[#This Row],[Pcode]]="","",IF(OFFSET(CampList[Opening Date],MATCH(Table_NFI[[#This Row],[Pcode]],CampList[CP_Pcode],0)-1,0,1,1)&gt;=NFI_Monitor_Date,1,0))</f>
        <v>0</v>
      </c>
      <c r="AQ364" s="771" t="str">
        <f>IFERROR(VLOOKUP(Table_NFI[[#This Row],[Camp Name]],CL,3,0),"")</f>
        <v>Open</v>
      </c>
      <c r="AR364" s="436" t="str">
        <f ca="1">IF(Table_NFI[[#This Row],[Pcode]]="","",OFFSET(CampList[Priority],MATCH(Table_NFI[[#This Row],[Pcode]],CampList[CP_Pcode],0)-1,0,1,1))</f>
        <v>P2</v>
      </c>
      <c r="AS364" s="438">
        <f>IFERROR(Table_NFI[[#This Row],[Kitchen Set]]/VLOOKUP(Table_NFI[[#This Row],[Camp Name]],CL,4,0),"")</f>
        <v>0</v>
      </c>
      <c r="AT364" s="769" t="s">
        <v>1099</v>
      </c>
      <c r="AU364" s="773"/>
    </row>
    <row r="365" spans="1:47" s="774" customFormat="1" x14ac:dyDescent="0.25">
      <c r="A365" s="451">
        <f t="shared" si="5"/>
        <v>25.4</v>
      </c>
      <c r="B365" s="768">
        <v>41608</v>
      </c>
      <c r="C365" s="442" t="s">
        <v>454</v>
      </c>
      <c r="D365" s="442" t="s">
        <v>454</v>
      </c>
      <c r="E365" s="769" t="s">
        <v>380</v>
      </c>
      <c r="F365" s="435" t="s">
        <v>151</v>
      </c>
      <c r="G365" s="435" t="s">
        <v>188</v>
      </c>
      <c r="H365" s="442"/>
      <c r="I365" s="442"/>
      <c r="J365" s="442"/>
      <c r="K365" s="775"/>
      <c r="L365" s="776"/>
      <c r="M365" s="443"/>
      <c r="N365" s="443"/>
      <c r="O365" s="443"/>
      <c r="P365" s="776"/>
      <c r="Q365" s="443"/>
      <c r="R365" s="442"/>
      <c r="S365" s="442"/>
      <c r="T365" s="442"/>
      <c r="U365" s="442"/>
      <c r="V365" s="442"/>
      <c r="W365" s="442"/>
      <c r="X365" s="442"/>
      <c r="Y365" s="436">
        <f>IF(NFI_Expiration=1,IF($A365&lt;VLOOKUP(H$5,NFI,5,0),1,0)*Table_NFI[[#This Row],[Hygiene Kit]],Table_NFI[Hygiene Kit])</f>
        <v>0</v>
      </c>
      <c r="Z365" s="436">
        <f>IF(NFI_Expiration=1,IF($A365&lt;VLOOKUP(I$5,NFI,5,0),1,0)*Table_NFI[[#This Row],[NFI Core Kit]],Table_NFI[NFI Core Kit])</f>
        <v>0</v>
      </c>
      <c r="AA365" s="436">
        <f>IF(NFI_Expiration=1,IF($A365&lt;VLOOKUP(J$5,NFI,5,0),1,0)*Table_NFI[[#This Row],[Sanitary Kit]],Table_NFI[Sanitary Kit])</f>
        <v>0</v>
      </c>
      <c r="AB365" s="436">
        <f>IF(NFI_Expiration=1,IF($A365&lt;VLOOKUP(K$5,NFI,5,0),1,0)*Table_NFI[[#This Row],[Mosquito net]],Table_NFI[Mosquito net])</f>
        <v>0</v>
      </c>
      <c r="AC365" s="436">
        <f>IF(NFI_Expiration=1,IF($A365&lt;VLOOKUP(L$5,NFI,5,0),1,0)*Table_NFI[[#This Row],[Tarpaulin]],Table_NFI[[#This Row],[Tarpaulin]])</f>
        <v>0</v>
      </c>
      <c r="AD365" s="436">
        <f>IF(NFI_Expiration=1,IF($A365&lt;VLOOKUP(M$5,NFI,5,0),1,0)*Table_NFI[[#This Row],[Blanket]],Table_NFI[[#This Row],[Blanket]])</f>
        <v>0</v>
      </c>
      <c r="AE365" s="436">
        <f>IF(NFI_Expiration=1,IF($A365&lt;VLOOKUP(N$5,NFI,5,0),1,0)*Table_NFI[[#This Row],[Kitchen Set]],Table_NFI[Kitchen Set])</f>
        <v>0</v>
      </c>
      <c r="AF365" s="436">
        <f>IF(NFI_Expiration=1,IF($A365&lt;VLOOKUP(O$5,NFI,5,0),1,0)*Table_NFI[[#This Row],[Clothes Kit]],Table_NFI[Clothes Kit])</f>
        <v>0</v>
      </c>
      <c r="AG365" s="436">
        <f>IF(NFI_Expiration=1,IF($A365&lt;VLOOKUP(P$5,NFI,5,0),1,0)*Table_NFI[[#This Row],[Plastic Bucket]],Table_NFI[Plastic Bucket])</f>
        <v>0</v>
      </c>
      <c r="AH365" s="436">
        <f>IF(NFI_Expiration=1,IF($A365&lt;VLOOKUP(Q$5,NFI,5,0),1,0)*Table_NFI[[#This Row],[Plastic Mat]],Table_NFI[Plastic Mat])*IF(Table_NFI[[#This Row],[Distribution Date]]&gt;"2014-04-01",1,2.5)</f>
        <v>0</v>
      </c>
      <c r="AI365" s="436">
        <f>IF(NFI_Expiration=1,IF($A365&lt;VLOOKUP(R$5,NFI,5,0),1,0)*Table_NFI[[#This Row],[Winter Clothes Adult]],Table_NFI[Winter Clothes Adult])</f>
        <v>0</v>
      </c>
      <c r="AJ365" s="436">
        <f>IF(NFI_Expiration=1,IF($A365&lt;VLOOKUP(S$5,NFI,5,0),1,0)*Table_NFI[[#This Row],[Winter Clothes Children]],Table_NFI[Winter Clothes Children])</f>
        <v>0</v>
      </c>
      <c r="AK365" s="436">
        <f>IF(NFI_Expiration=1,IF($A365&lt;VLOOKUP(T$5,NFI,5,0),1,0)*Table_NFI[[#This Row],[Winter Items Other]],Table_NFI[Winter Items Other])</f>
        <v>0</v>
      </c>
      <c r="AL365" s="436">
        <f>IF(NFI_Expiration=1,IF($A365&lt;VLOOKUP(M$5,NFI,5,0),1,0)*Table_NFI[[#This Row],[Winter Blanket]],Table_NFI[[#This Row],[Winter Blanket]])</f>
        <v>0</v>
      </c>
      <c r="AM365" s="436">
        <f>IF(Table_NFI[[#This Row],[Winter Clothes Adult]]+Table_NFI[[#This Row],[Winter Clothes Children]]+Table_NFI[[#This Row],[Winter Items Other]]+Table_NFI[[#This Row],[Winter Blanket]]&gt;0,1,0)</f>
        <v>0</v>
      </c>
      <c r="AN365" s="439">
        <f>IF(NFI_Expiration=1,IF($A365&lt;VLOOKUP(V$5,NFI,5,0),1,0)*Table_NFI[[#This Row],[Jerry Can]],Table_NFI[Jerry Can])</f>
        <v>0</v>
      </c>
      <c r="AO365" s="771" t="str">
        <f>IFERROR(VLOOKUP(Table_NFI[[#This Row],[Camp Name]],CL,2,0),"")</f>
        <v>MMR001CMP129</v>
      </c>
      <c r="AP365" s="772">
        <f ca="1">IF(Table_NFI[[#This Row],[Pcode]]="","",IF(OFFSET(CampList[Opening Date],MATCH(Table_NFI[[#This Row],[Pcode]],CampList[CP_Pcode],0)-1,0,1,1)&gt;=NFI_Monitor_Date,1,0))</f>
        <v>0</v>
      </c>
      <c r="AQ365" s="781" t="str">
        <f>IFERROR(VLOOKUP(Table_NFI[[#This Row],[Camp Name]],CL,3,0),"")</f>
        <v>Open</v>
      </c>
      <c r="AR365" s="439" t="str">
        <f ca="1">IF(Table_NFI[[#This Row],[Pcode]]="","",OFFSET(CampList[Priority],MATCH(Table_NFI[[#This Row],[Pcode]],CampList[CP_Pcode],0)-1,0,1,1))</f>
        <v>P2</v>
      </c>
      <c r="AS365" s="438">
        <f>IFERROR(Table_NFI[[#This Row],[Kitchen Set]]/VLOOKUP(Table_NFI[[#This Row],[Camp Name]],CL,4,0),"")</f>
        <v>0</v>
      </c>
      <c r="AT365" s="769" t="s">
        <v>1099</v>
      </c>
      <c r="AU365" s="773"/>
    </row>
    <row r="366" spans="1:47" s="774" customFormat="1" x14ac:dyDescent="0.25">
      <c r="A366" s="451">
        <f t="shared" si="5"/>
        <v>25.4</v>
      </c>
      <c r="B366" s="768">
        <v>41608</v>
      </c>
      <c r="C366" s="769" t="s">
        <v>912</v>
      </c>
      <c r="D366" s="769" t="s">
        <v>462</v>
      </c>
      <c r="E366" s="769" t="s">
        <v>380</v>
      </c>
      <c r="F366" s="435" t="s">
        <v>185</v>
      </c>
      <c r="G366" s="435" t="s">
        <v>192</v>
      </c>
      <c r="H366" s="436"/>
      <c r="I366" s="436"/>
      <c r="J366" s="436"/>
      <c r="K366" s="436"/>
      <c r="L366" s="437"/>
      <c r="M366" s="437"/>
      <c r="N366" s="437"/>
      <c r="O366" s="437"/>
      <c r="P366" s="439"/>
      <c r="Q366" s="439"/>
      <c r="R366" s="436"/>
      <c r="S366" s="436"/>
      <c r="T366" s="436"/>
      <c r="U366" s="436"/>
      <c r="V366" s="436"/>
      <c r="W366" s="436"/>
      <c r="X366" s="436"/>
      <c r="Y366" s="436">
        <f>IF(NFI_Expiration=1,IF($A366&lt;VLOOKUP(H$5,NFI,5,0),1,0)*Table_NFI[[#This Row],[Hygiene Kit]],Table_NFI[Hygiene Kit])</f>
        <v>0</v>
      </c>
      <c r="Z366" s="436">
        <f>IF(NFI_Expiration=1,IF($A366&lt;VLOOKUP(I$5,NFI,5,0),1,0)*Table_NFI[[#This Row],[NFI Core Kit]],Table_NFI[NFI Core Kit])</f>
        <v>0</v>
      </c>
      <c r="AA366" s="436">
        <f>IF(NFI_Expiration=1,IF($A366&lt;VLOOKUP(J$5,NFI,5,0),1,0)*Table_NFI[[#This Row],[Sanitary Kit]],Table_NFI[Sanitary Kit])</f>
        <v>0</v>
      </c>
      <c r="AB366" s="436">
        <f>IF(NFI_Expiration=1,IF($A366&lt;VLOOKUP(K$5,NFI,5,0),1,0)*Table_NFI[[#This Row],[Mosquito net]],Table_NFI[Mosquito net])</f>
        <v>0</v>
      </c>
      <c r="AC366" s="436">
        <f>IF(NFI_Expiration=1,IF($A366&lt;VLOOKUP(L$5,NFI,5,0),1,0)*Table_NFI[[#This Row],[Tarpaulin]],Table_NFI[[#This Row],[Tarpaulin]])</f>
        <v>0</v>
      </c>
      <c r="AD366" s="436">
        <f>IF(NFI_Expiration=1,IF($A366&lt;VLOOKUP(M$5,NFI,5,0),1,0)*Table_NFI[[#This Row],[Blanket]],Table_NFI[[#This Row],[Blanket]])</f>
        <v>0</v>
      </c>
      <c r="AE366" s="436">
        <f>IF(NFI_Expiration=1,IF($A366&lt;VLOOKUP(N$5,NFI,5,0),1,0)*Table_NFI[[#This Row],[Kitchen Set]],Table_NFI[Kitchen Set])</f>
        <v>0</v>
      </c>
      <c r="AF366" s="436">
        <f>IF(NFI_Expiration=1,IF($A366&lt;VLOOKUP(O$5,NFI,5,0),1,0)*Table_NFI[[#This Row],[Clothes Kit]],Table_NFI[Clothes Kit])</f>
        <v>0</v>
      </c>
      <c r="AG366" s="436">
        <f>IF(NFI_Expiration=1,IF($A366&lt;VLOOKUP(P$5,NFI,5,0),1,0)*Table_NFI[[#This Row],[Plastic Bucket]],Table_NFI[Plastic Bucket])</f>
        <v>0</v>
      </c>
      <c r="AH366" s="436">
        <f>IF(NFI_Expiration=1,IF($A366&lt;VLOOKUP(Q$5,NFI,5,0),1,0)*Table_NFI[[#This Row],[Plastic Mat]],Table_NFI[Plastic Mat])*IF(Table_NFI[[#This Row],[Distribution Date]]&gt;"2014-04-01",1,2.5)</f>
        <v>0</v>
      </c>
      <c r="AI366" s="436">
        <f>IF(NFI_Expiration=1,IF($A366&lt;VLOOKUP(R$5,NFI,5,0),1,0)*Table_NFI[[#This Row],[Winter Clothes Adult]],Table_NFI[Winter Clothes Adult])</f>
        <v>0</v>
      </c>
      <c r="AJ366" s="436">
        <f>IF(NFI_Expiration=1,IF($A366&lt;VLOOKUP(S$5,NFI,5,0),1,0)*Table_NFI[[#This Row],[Winter Clothes Children]],Table_NFI[Winter Clothes Children])</f>
        <v>0</v>
      </c>
      <c r="AK366" s="436">
        <f>IF(NFI_Expiration=1,IF($A366&lt;VLOOKUP(T$5,NFI,5,0),1,0)*Table_NFI[[#This Row],[Winter Items Other]],Table_NFI[Winter Items Other])</f>
        <v>0</v>
      </c>
      <c r="AL366" s="436">
        <f>IF(NFI_Expiration=1,IF($A366&lt;VLOOKUP(M$5,NFI,5,0),1,0)*Table_NFI[[#This Row],[Winter Blanket]],Table_NFI[[#This Row],[Winter Blanket]])</f>
        <v>0</v>
      </c>
      <c r="AM366" s="436">
        <f>IF(Table_NFI[[#This Row],[Winter Clothes Adult]]+Table_NFI[[#This Row],[Winter Clothes Children]]+Table_NFI[[#This Row],[Winter Items Other]]+Table_NFI[[#This Row],[Winter Blanket]]&gt;0,1,0)</f>
        <v>0</v>
      </c>
      <c r="AN366" s="439">
        <f>IF(NFI_Expiration=1,IF($A366&lt;VLOOKUP(V$5,NFI,5,0),1,0)*Table_NFI[[#This Row],[Jerry Can]],Table_NFI[Jerry Can])</f>
        <v>0</v>
      </c>
      <c r="AO366" s="771" t="str">
        <f>IFERROR(VLOOKUP(Table_NFI[[#This Row],[Camp Name]],CL,2,0),"")</f>
        <v>MMR001CMP123</v>
      </c>
      <c r="AP366" s="772">
        <f ca="1">IF(Table_NFI[[#This Row],[Pcode]]="","",IF(OFFSET(CampList[Opening Date],MATCH(Table_NFI[[#This Row],[Pcode]],CampList[CP_Pcode],0)-1,0,1,1)&gt;=NFI_Monitor_Date,1,0))</f>
        <v>0</v>
      </c>
      <c r="AQ366" s="771" t="str">
        <f>IFERROR(VLOOKUP(Table_NFI[[#This Row],[Camp Name]],CL,3,0),"")</f>
        <v>Open</v>
      </c>
      <c r="AR366" s="436" t="str">
        <f ca="1">IF(Table_NFI[[#This Row],[Pcode]]="","",OFFSET(CampList[Priority],MATCH(Table_NFI[[#This Row],[Pcode]],CampList[CP_Pcode],0)-1,0,1,1))</f>
        <v>P2</v>
      </c>
      <c r="AS366" s="438">
        <f>IFERROR(Table_NFI[[#This Row],[Kitchen Set]]/VLOOKUP(Table_NFI[[#This Row],[Camp Name]],CL,4,0),"")</f>
        <v>0</v>
      </c>
      <c r="AT366" s="769" t="s">
        <v>1099</v>
      </c>
      <c r="AU366" s="773"/>
    </row>
    <row r="367" spans="1:47" s="774" customFormat="1" x14ac:dyDescent="0.25">
      <c r="A367" s="451">
        <f t="shared" si="5"/>
        <v>25.4</v>
      </c>
      <c r="B367" s="768">
        <v>41608</v>
      </c>
      <c r="C367" s="769" t="s">
        <v>454</v>
      </c>
      <c r="D367" s="442" t="s">
        <v>454</v>
      </c>
      <c r="E367" s="775" t="s">
        <v>380</v>
      </c>
      <c r="F367" s="435" t="s">
        <v>185</v>
      </c>
      <c r="G367" s="435" t="s">
        <v>192</v>
      </c>
      <c r="H367" s="442"/>
      <c r="I367" s="442"/>
      <c r="J367" s="442"/>
      <c r="K367" s="775"/>
      <c r="L367" s="776"/>
      <c r="M367" s="443"/>
      <c r="N367" s="443"/>
      <c r="O367" s="443"/>
      <c r="P367" s="776"/>
      <c r="Q367" s="443"/>
      <c r="R367" s="442"/>
      <c r="S367" s="442"/>
      <c r="T367" s="442"/>
      <c r="U367" s="442"/>
      <c r="V367" s="442"/>
      <c r="W367" s="442"/>
      <c r="X367" s="442"/>
      <c r="Y367" s="436">
        <f>IF(NFI_Expiration=1,IF($A367&lt;VLOOKUP(H$5,NFI,5,0),1,0)*Table_NFI[[#This Row],[Hygiene Kit]],Table_NFI[Hygiene Kit])</f>
        <v>0</v>
      </c>
      <c r="Z367" s="436">
        <f>IF(NFI_Expiration=1,IF($A367&lt;VLOOKUP(I$5,NFI,5,0),1,0)*Table_NFI[[#This Row],[NFI Core Kit]],Table_NFI[NFI Core Kit])</f>
        <v>0</v>
      </c>
      <c r="AA367" s="436">
        <f>IF(NFI_Expiration=1,IF($A367&lt;VLOOKUP(J$5,NFI,5,0),1,0)*Table_NFI[[#This Row],[Sanitary Kit]],Table_NFI[Sanitary Kit])</f>
        <v>0</v>
      </c>
      <c r="AB367" s="436">
        <f>IF(NFI_Expiration=1,IF($A367&lt;VLOOKUP(K$5,NFI,5,0),1,0)*Table_NFI[[#This Row],[Mosquito net]],Table_NFI[Mosquito net])</f>
        <v>0</v>
      </c>
      <c r="AC367" s="436">
        <f>IF(NFI_Expiration=1,IF($A367&lt;VLOOKUP(L$5,NFI,5,0),1,0)*Table_NFI[[#This Row],[Tarpaulin]],Table_NFI[[#This Row],[Tarpaulin]])</f>
        <v>0</v>
      </c>
      <c r="AD367" s="436">
        <f>IF(NFI_Expiration=1,IF($A367&lt;VLOOKUP(M$5,NFI,5,0),1,0)*Table_NFI[[#This Row],[Blanket]],Table_NFI[[#This Row],[Blanket]])</f>
        <v>0</v>
      </c>
      <c r="AE367" s="436">
        <f>IF(NFI_Expiration=1,IF($A367&lt;VLOOKUP(N$5,NFI,5,0),1,0)*Table_NFI[[#This Row],[Kitchen Set]],Table_NFI[Kitchen Set])</f>
        <v>0</v>
      </c>
      <c r="AF367" s="436">
        <f>IF(NFI_Expiration=1,IF($A367&lt;VLOOKUP(O$5,NFI,5,0),1,0)*Table_NFI[[#This Row],[Clothes Kit]],Table_NFI[Clothes Kit])</f>
        <v>0</v>
      </c>
      <c r="AG367" s="436">
        <f>IF(NFI_Expiration=1,IF($A367&lt;VLOOKUP(P$5,NFI,5,0),1,0)*Table_NFI[[#This Row],[Plastic Bucket]],Table_NFI[Plastic Bucket])</f>
        <v>0</v>
      </c>
      <c r="AH367" s="436">
        <f>IF(NFI_Expiration=1,IF($A367&lt;VLOOKUP(Q$5,NFI,5,0),1,0)*Table_NFI[[#This Row],[Plastic Mat]],Table_NFI[Plastic Mat])*IF(Table_NFI[[#This Row],[Distribution Date]]&gt;"2014-04-01",1,2.5)</f>
        <v>0</v>
      </c>
      <c r="AI367" s="436">
        <f>IF(NFI_Expiration=1,IF($A367&lt;VLOOKUP(R$5,NFI,5,0),1,0)*Table_NFI[[#This Row],[Winter Clothes Adult]],Table_NFI[Winter Clothes Adult])</f>
        <v>0</v>
      </c>
      <c r="AJ367" s="436">
        <f>IF(NFI_Expiration=1,IF($A367&lt;VLOOKUP(S$5,NFI,5,0),1,0)*Table_NFI[[#This Row],[Winter Clothes Children]],Table_NFI[Winter Clothes Children])</f>
        <v>0</v>
      </c>
      <c r="AK367" s="436">
        <f>IF(NFI_Expiration=1,IF($A367&lt;VLOOKUP(T$5,NFI,5,0),1,0)*Table_NFI[[#This Row],[Winter Items Other]],Table_NFI[Winter Items Other])</f>
        <v>0</v>
      </c>
      <c r="AL367" s="436">
        <f>IF(NFI_Expiration=1,IF($A367&lt;VLOOKUP(M$5,NFI,5,0),1,0)*Table_NFI[[#This Row],[Winter Blanket]],Table_NFI[[#This Row],[Winter Blanket]])</f>
        <v>0</v>
      </c>
      <c r="AM367" s="436">
        <f>IF(Table_NFI[[#This Row],[Winter Clothes Adult]]+Table_NFI[[#This Row],[Winter Clothes Children]]+Table_NFI[[#This Row],[Winter Items Other]]+Table_NFI[[#This Row],[Winter Blanket]]&gt;0,1,0)</f>
        <v>0</v>
      </c>
      <c r="AN367" s="439">
        <f>IF(NFI_Expiration=1,IF($A367&lt;VLOOKUP(V$5,NFI,5,0),1,0)*Table_NFI[[#This Row],[Jerry Can]],Table_NFI[Jerry Can])</f>
        <v>0</v>
      </c>
      <c r="AO367" s="771" t="str">
        <f>IFERROR(VLOOKUP(Table_NFI[[#This Row],[Camp Name]],CL,2,0),"")</f>
        <v>MMR001CMP123</v>
      </c>
      <c r="AP367" s="772">
        <f ca="1">IF(Table_NFI[[#This Row],[Pcode]]="","",IF(OFFSET(CampList[Opening Date],MATCH(Table_NFI[[#This Row],[Pcode]],CampList[CP_Pcode],0)-1,0,1,1)&gt;=NFI_Monitor_Date,1,0))</f>
        <v>0</v>
      </c>
      <c r="AQ367" s="781" t="str">
        <f>IFERROR(VLOOKUP(Table_NFI[[#This Row],[Camp Name]],CL,3,0),"")</f>
        <v>Open</v>
      </c>
      <c r="AR367" s="439" t="str">
        <f ca="1">IF(Table_NFI[[#This Row],[Pcode]]="","",OFFSET(CampList[Priority],MATCH(Table_NFI[[#This Row],[Pcode]],CampList[CP_Pcode],0)-1,0,1,1))</f>
        <v>P2</v>
      </c>
      <c r="AS367" s="438">
        <f>IFERROR(Table_NFI[[#This Row],[Kitchen Set]]/VLOOKUP(Table_NFI[[#This Row],[Camp Name]],CL,4,0),"")</f>
        <v>0</v>
      </c>
      <c r="AT367" s="769" t="s">
        <v>1099</v>
      </c>
      <c r="AU367" s="773"/>
    </row>
    <row r="368" spans="1:47" s="774" customFormat="1" x14ac:dyDescent="0.25">
      <c r="A368" s="451">
        <f t="shared" si="5"/>
        <v>25.4</v>
      </c>
      <c r="B368" s="768">
        <v>41608</v>
      </c>
      <c r="C368" s="769" t="s">
        <v>912</v>
      </c>
      <c r="D368" s="769" t="s">
        <v>462</v>
      </c>
      <c r="E368" s="769" t="s">
        <v>380</v>
      </c>
      <c r="F368" s="769" t="s">
        <v>310</v>
      </c>
      <c r="G368" s="435" t="s">
        <v>313</v>
      </c>
      <c r="H368" s="436"/>
      <c r="I368" s="436"/>
      <c r="J368" s="436"/>
      <c r="K368" s="436"/>
      <c r="L368" s="437"/>
      <c r="M368" s="437"/>
      <c r="N368" s="437"/>
      <c r="O368" s="437"/>
      <c r="P368" s="439"/>
      <c r="Q368" s="439"/>
      <c r="R368" s="436"/>
      <c r="S368" s="436"/>
      <c r="T368" s="436"/>
      <c r="U368" s="436"/>
      <c r="V368" s="436"/>
      <c r="W368" s="436"/>
      <c r="X368" s="436"/>
      <c r="Y368" s="436">
        <f>IF(NFI_Expiration=1,IF($A368&lt;VLOOKUP(H$5,NFI,5,0),1,0)*Table_NFI[[#This Row],[Hygiene Kit]],Table_NFI[Hygiene Kit])</f>
        <v>0</v>
      </c>
      <c r="Z368" s="436">
        <f>IF(NFI_Expiration=1,IF($A368&lt;VLOOKUP(I$5,NFI,5,0),1,0)*Table_NFI[[#This Row],[NFI Core Kit]],Table_NFI[NFI Core Kit])</f>
        <v>0</v>
      </c>
      <c r="AA368" s="436">
        <f>IF(NFI_Expiration=1,IF($A368&lt;VLOOKUP(J$5,NFI,5,0),1,0)*Table_NFI[[#This Row],[Sanitary Kit]],Table_NFI[Sanitary Kit])</f>
        <v>0</v>
      </c>
      <c r="AB368" s="436">
        <f>IF(NFI_Expiration=1,IF($A368&lt;VLOOKUP(K$5,NFI,5,0),1,0)*Table_NFI[[#This Row],[Mosquito net]],Table_NFI[Mosquito net])</f>
        <v>0</v>
      </c>
      <c r="AC368" s="436">
        <f>IF(NFI_Expiration=1,IF($A368&lt;VLOOKUP(L$5,NFI,5,0),1,0)*Table_NFI[[#This Row],[Tarpaulin]],Table_NFI[[#This Row],[Tarpaulin]])</f>
        <v>0</v>
      </c>
      <c r="AD368" s="436">
        <f>IF(NFI_Expiration=1,IF($A368&lt;VLOOKUP(M$5,NFI,5,0),1,0)*Table_NFI[[#This Row],[Blanket]],Table_NFI[[#This Row],[Blanket]])</f>
        <v>0</v>
      </c>
      <c r="AE368" s="436">
        <f>IF(NFI_Expiration=1,IF($A368&lt;VLOOKUP(N$5,NFI,5,0),1,0)*Table_NFI[[#This Row],[Kitchen Set]],Table_NFI[Kitchen Set])</f>
        <v>0</v>
      </c>
      <c r="AF368" s="436">
        <f>IF(NFI_Expiration=1,IF($A368&lt;VLOOKUP(O$5,NFI,5,0),1,0)*Table_NFI[[#This Row],[Clothes Kit]],Table_NFI[Clothes Kit])</f>
        <v>0</v>
      </c>
      <c r="AG368" s="436">
        <f>IF(NFI_Expiration=1,IF($A368&lt;VLOOKUP(P$5,NFI,5,0),1,0)*Table_NFI[[#This Row],[Plastic Bucket]],Table_NFI[Plastic Bucket])</f>
        <v>0</v>
      </c>
      <c r="AH368" s="436">
        <f>IF(NFI_Expiration=1,IF($A368&lt;VLOOKUP(Q$5,NFI,5,0),1,0)*Table_NFI[[#This Row],[Plastic Mat]],Table_NFI[Plastic Mat])*IF(Table_NFI[[#This Row],[Distribution Date]]&gt;"2014-04-01",1,2.5)</f>
        <v>0</v>
      </c>
      <c r="AI368" s="436">
        <f>IF(NFI_Expiration=1,IF($A368&lt;VLOOKUP(R$5,NFI,5,0),1,0)*Table_NFI[[#This Row],[Winter Clothes Adult]],Table_NFI[Winter Clothes Adult])</f>
        <v>0</v>
      </c>
      <c r="AJ368" s="436">
        <f>IF(NFI_Expiration=1,IF($A368&lt;VLOOKUP(S$5,NFI,5,0),1,0)*Table_NFI[[#This Row],[Winter Clothes Children]],Table_NFI[Winter Clothes Children])</f>
        <v>0</v>
      </c>
      <c r="AK368" s="436">
        <f>IF(NFI_Expiration=1,IF($A368&lt;VLOOKUP(T$5,NFI,5,0),1,0)*Table_NFI[[#This Row],[Winter Items Other]],Table_NFI[Winter Items Other])</f>
        <v>0</v>
      </c>
      <c r="AL368" s="436">
        <f>IF(NFI_Expiration=1,IF($A368&lt;VLOOKUP(M$5,NFI,5,0),1,0)*Table_NFI[[#This Row],[Winter Blanket]],Table_NFI[[#This Row],[Winter Blanket]])</f>
        <v>0</v>
      </c>
      <c r="AM368" s="436">
        <f>IF(Table_NFI[[#This Row],[Winter Clothes Adult]]+Table_NFI[[#This Row],[Winter Clothes Children]]+Table_NFI[[#This Row],[Winter Items Other]]+Table_NFI[[#This Row],[Winter Blanket]]&gt;0,1,0)</f>
        <v>0</v>
      </c>
      <c r="AN368" s="439">
        <f>IF(NFI_Expiration=1,IF($A368&lt;VLOOKUP(V$5,NFI,5,0),1,0)*Table_NFI[[#This Row],[Jerry Can]],Table_NFI[Jerry Can])</f>
        <v>0</v>
      </c>
      <c r="AO368" s="771" t="str">
        <f>IFERROR(VLOOKUP(Table_NFI[[#This Row],[Camp Name]],CL,2,0),"")</f>
        <v>MMR001CMP028</v>
      </c>
      <c r="AP368" s="772">
        <f ca="1">IF(Table_NFI[[#This Row],[Pcode]]="","",IF(OFFSET(CampList[Opening Date],MATCH(Table_NFI[[#This Row],[Pcode]],CampList[CP_Pcode],0)-1,0,1,1)&gt;=NFI_Monitor_Date,1,0))</f>
        <v>0</v>
      </c>
      <c r="AQ368" s="771" t="str">
        <f>IFERROR(VLOOKUP(Table_NFI[[#This Row],[Camp Name]],CL,3,0),"")</f>
        <v>Open</v>
      </c>
      <c r="AR368" s="436" t="str">
        <f ca="1">IF(Table_NFI[[#This Row],[Pcode]]="","",OFFSET(CampList[Priority],MATCH(Table_NFI[[#This Row],[Pcode]],CampList[CP_Pcode],0)-1,0,1,1))</f>
        <v>P4</v>
      </c>
      <c r="AS368" s="438">
        <f>IFERROR(Table_NFI[[#This Row],[Kitchen Set]]/VLOOKUP(Table_NFI[[#This Row],[Camp Name]],CL,4,0),"")</f>
        <v>0</v>
      </c>
      <c r="AT368" s="769" t="s">
        <v>1099</v>
      </c>
      <c r="AU368" s="773"/>
    </row>
    <row r="369" spans="1:47" s="774" customFormat="1" x14ac:dyDescent="0.25">
      <c r="A369" s="451">
        <f t="shared" si="5"/>
        <v>25.4</v>
      </c>
      <c r="B369" s="768">
        <v>41608</v>
      </c>
      <c r="C369" s="769" t="s">
        <v>912</v>
      </c>
      <c r="D369" s="769" t="s">
        <v>462</v>
      </c>
      <c r="E369" s="769" t="s">
        <v>380</v>
      </c>
      <c r="F369" s="435" t="s">
        <v>310</v>
      </c>
      <c r="G369" s="435" t="s">
        <v>336</v>
      </c>
      <c r="H369" s="436"/>
      <c r="I369" s="436"/>
      <c r="J369" s="436"/>
      <c r="K369" s="436"/>
      <c r="L369" s="437"/>
      <c r="M369" s="437"/>
      <c r="N369" s="437"/>
      <c r="O369" s="437"/>
      <c r="P369" s="439"/>
      <c r="Q369" s="439"/>
      <c r="R369" s="436"/>
      <c r="S369" s="436"/>
      <c r="T369" s="436"/>
      <c r="U369" s="436"/>
      <c r="V369" s="436"/>
      <c r="W369" s="436"/>
      <c r="X369" s="436"/>
      <c r="Y369" s="436">
        <f>IF(NFI_Expiration=1,IF($A369&lt;VLOOKUP(H$5,NFI,5,0),1,0)*Table_NFI[[#This Row],[Hygiene Kit]],Table_NFI[Hygiene Kit])</f>
        <v>0</v>
      </c>
      <c r="Z369" s="436">
        <f>IF(NFI_Expiration=1,IF($A369&lt;VLOOKUP(I$5,NFI,5,0),1,0)*Table_NFI[[#This Row],[NFI Core Kit]],Table_NFI[NFI Core Kit])</f>
        <v>0</v>
      </c>
      <c r="AA369" s="436">
        <f>IF(NFI_Expiration=1,IF($A369&lt;VLOOKUP(J$5,NFI,5,0),1,0)*Table_NFI[[#This Row],[Sanitary Kit]],Table_NFI[Sanitary Kit])</f>
        <v>0</v>
      </c>
      <c r="AB369" s="436">
        <f>IF(NFI_Expiration=1,IF($A369&lt;VLOOKUP(K$5,NFI,5,0),1,0)*Table_NFI[[#This Row],[Mosquito net]],Table_NFI[Mosquito net])</f>
        <v>0</v>
      </c>
      <c r="AC369" s="436">
        <f>IF(NFI_Expiration=1,IF($A369&lt;VLOOKUP(L$5,NFI,5,0),1,0)*Table_NFI[[#This Row],[Tarpaulin]],Table_NFI[[#This Row],[Tarpaulin]])</f>
        <v>0</v>
      </c>
      <c r="AD369" s="436">
        <f>IF(NFI_Expiration=1,IF($A369&lt;VLOOKUP(M$5,NFI,5,0),1,0)*Table_NFI[[#This Row],[Blanket]],Table_NFI[[#This Row],[Blanket]])</f>
        <v>0</v>
      </c>
      <c r="AE369" s="436">
        <f>IF(NFI_Expiration=1,IF($A369&lt;VLOOKUP(N$5,NFI,5,0),1,0)*Table_NFI[[#This Row],[Kitchen Set]],Table_NFI[Kitchen Set])</f>
        <v>0</v>
      </c>
      <c r="AF369" s="436">
        <f>IF(NFI_Expiration=1,IF($A369&lt;VLOOKUP(O$5,NFI,5,0),1,0)*Table_NFI[[#This Row],[Clothes Kit]],Table_NFI[Clothes Kit])</f>
        <v>0</v>
      </c>
      <c r="AG369" s="436">
        <f>IF(NFI_Expiration=1,IF($A369&lt;VLOOKUP(P$5,NFI,5,0),1,0)*Table_NFI[[#This Row],[Plastic Bucket]],Table_NFI[Plastic Bucket])</f>
        <v>0</v>
      </c>
      <c r="AH369" s="436">
        <f>IF(NFI_Expiration=1,IF($A369&lt;VLOOKUP(Q$5,NFI,5,0),1,0)*Table_NFI[[#This Row],[Plastic Mat]],Table_NFI[Plastic Mat])*IF(Table_NFI[[#This Row],[Distribution Date]]&gt;"2014-04-01",1,2.5)</f>
        <v>0</v>
      </c>
      <c r="AI369" s="436">
        <f>IF(NFI_Expiration=1,IF($A369&lt;VLOOKUP(R$5,NFI,5,0),1,0)*Table_NFI[[#This Row],[Winter Clothes Adult]],Table_NFI[Winter Clothes Adult])</f>
        <v>0</v>
      </c>
      <c r="AJ369" s="436">
        <f>IF(NFI_Expiration=1,IF($A369&lt;VLOOKUP(S$5,NFI,5,0),1,0)*Table_NFI[[#This Row],[Winter Clothes Children]],Table_NFI[Winter Clothes Children])</f>
        <v>0</v>
      </c>
      <c r="AK369" s="436">
        <f>IF(NFI_Expiration=1,IF($A369&lt;VLOOKUP(T$5,NFI,5,0),1,0)*Table_NFI[[#This Row],[Winter Items Other]],Table_NFI[Winter Items Other])</f>
        <v>0</v>
      </c>
      <c r="AL369" s="436">
        <f>IF(NFI_Expiration=1,IF($A369&lt;VLOOKUP(M$5,NFI,5,0),1,0)*Table_NFI[[#This Row],[Winter Blanket]],Table_NFI[[#This Row],[Winter Blanket]])</f>
        <v>0</v>
      </c>
      <c r="AM369" s="436">
        <f>IF(Table_NFI[[#This Row],[Winter Clothes Adult]]+Table_NFI[[#This Row],[Winter Clothes Children]]+Table_NFI[[#This Row],[Winter Items Other]]+Table_NFI[[#This Row],[Winter Blanket]]&gt;0,1,0)</f>
        <v>0</v>
      </c>
      <c r="AN369" s="439">
        <f>IF(NFI_Expiration=1,IF($A369&lt;VLOOKUP(V$5,NFI,5,0),1,0)*Table_NFI[[#This Row],[Jerry Can]],Table_NFI[Jerry Can])</f>
        <v>0</v>
      </c>
      <c r="AO369" s="771" t="str">
        <f>IFERROR(VLOOKUP(Table_NFI[[#This Row],[Camp Name]],CL,2,0),"")</f>
        <v>MMR001CMP115</v>
      </c>
      <c r="AP369" s="772">
        <f ca="1">IF(Table_NFI[[#This Row],[Pcode]]="","",IF(OFFSET(CampList[Opening Date],MATCH(Table_NFI[[#This Row],[Pcode]],CampList[CP_Pcode],0)-1,0,1,1)&gt;=NFI_Monitor_Date,1,0))</f>
        <v>0</v>
      </c>
      <c r="AQ369" s="771" t="str">
        <f>IFERROR(VLOOKUP(Table_NFI[[#This Row],[Camp Name]],CL,3,0),"")</f>
        <v>Open</v>
      </c>
      <c r="AR369" s="436" t="str">
        <f ca="1">IF(Table_NFI[[#This Row],[Pcode]]="","",OFFSET(CampList[Priority],MATCH(Table_NFI[[#This Row],[Pcode]],CampList[CP_Pcode],0)-1,0,1,1))</f>
        <v>P1</v>
      </c>
      <c r="AS369" s="438">
        <f>IFERROR(Table_NFI[[#This Row],[Kitchen Set]]/VLOOKUP(Table_NFI[[#This Row],[Camp Name]],CL,4,0),"")</f>
        <v>0</v>
      </c>
      <c r="AT369" s="769" t="s">
        <v>1099</v>
      </c>
      <c r="AU369" s="773"/>
    </row>
    <row r="370" spans="1:47" s="774" customFormat="1" x14ac:dyDescent="0.25">
      <c r="A370" s="451">
        <f t="shared" si="5"/>
        <v>25.4</v>
      </c>
      <c r="B370" s="768">
        <v>41608</v>
      </c>
      <c r="C370" s="769" t="s">
        <v>912</v>
      </c>
      <c r="D370" s="769" t="s">
        <v>462</v>
      </c>
      <c r="E370" s="769" t="s">
        <v>380</v>
      </c>
      <c r="F370" s="435" t="s">
        <v>185</v>
      </c>
      <c r="G370" s="435" t="s">
        <v>194</v>
      </c>
      <c r="H370" s="769"/>
      <c r="I370" s="769"/>
      <c r="J370" s="769"/>
      <c r="K370" s="769"/>
      <c r="L370" s="779"/>
      <c r="M370" s="779"/>
      <c r="N370" s="779"/>
      <c r="O370" s="779"/>
      <c r="P370" s="437"/>
      <c r="Q370" s="437">
        <v>978</v>
      </c>
      <c r="R370" s="436"/>
      <c r="S370" s="436"/>
      <c r="T370" s="436"/>
      <c r="U370" s="436"/>
      <c r="V370" s="436"/>
      <c r="W370" s="436"/>
      <c r="X370" s="436"/>
      <c r="Y370" s="436">
        <f>IF(NFI_Expiration=1,IF($A370&lt;VLOOKUP(H$5,NFI,5,0),1,0)*Table_NFI[[#This Row],[Hygiene Kit]],Table_NFI[Hygiene Kit])</f>
        <v>0</v>
      </c>
      <c r="Z370" s="436">
        <f>IF(NFI_Expiration=1,IF($A370&lt;VLOOKUP(I$5,NFI,5,0),1,0)*Table_NFI[[#This Row],[NFI Core Kit]],Table_NFI[NFI Core Kit])</f>
        <v>0</v>
      </c>
      <c r="AA370" s="436">
        <f>IF(NFI_Expiration=1,IF($A370&lt;VLOOKUP(J$5,NFI,5,0),1,0)*Table_NFI[[#This Row],[Sanitary Kit]],Table_NFI[Sanitary Kit])</f>
        <v>0</v>
      </c>
      <c r="AB370" s="436">
        <f>IF(NFI_Expiration=1,IF($A370&lt;VLOOKUP(K$5,NFI,5,0),1,0)*Table_NFI[[#This Row],[Mosquito net]],Table_NFI[Mosquito net])</f>
        <v>0</v>
      </c>
      <c r="AC370" s="436">
        <f>IF(NFI_Expiration=1,IF($A370&lt;VLOOKUP(L$5,NFI,5,0),1,0)*Table_NFI[[#This Row],[Tarpaulin]],Table_NFI[[#This Row],[Tarpaulin]])</f>
        <v>0</v>
      </c>
      <c r="AD370" s="436">
        <f>IF(NFI_Expiration=1,IF($A370&lt;VLOOKUP(M$5,NFI,5,0),1,0)*Table_NFI[[#This Row],[Blanket]],Table_NFI[[#This Row],[Blanket]])</f>
        <v>0</v>
      </c>
      <c r="AE370" s="436">
        <f>IF(NFI_Expiration=1,IF($A370&lt;VLOOKUP(N$5,NFI,5,0),1,0)*Table_NFI[[#This Row],[Kitchen Set]],Table_NFI[Kitchen Set])</f>
        <v>0</v>
      </c>
      <c r="AF370" s="436">
        <f>IF(NFI_Expiration=1,IF($A370&lt;VLOOKUP(O$5,NFI,5,0),1,0)*Table_NFI[[#This Row],[Clothes Kit]],Table_NFI[Clothes Kit])</f>
        <v>0</v>
      </c>
      <c r="AG370" s="436">
        <f>IF(NFI_Expiration=1,IF($A370&lt;VLOOKUP(P$5,NFI,5,0),1,0)*Table_NFI[[#This Row],[Plastic Bucket]],Table_NFI[Plastic Bucket])</f>
        <v>0</v>
      </c>
      <c r="AH370" s="436">
        <f>IF(NFI_Expiration=1,IF($A370&lt;VLOOKUP(Q$5,NFI,5,0),1,0)*Table_NFI[[#This Row],[Plastic Mat]],Table_NFI[Plastic Mat])*IF(Table_NFI[[#This Row],[Distribution Date]]&gt;"2014-04-01",1,2.5)</f>
        <v>0</v>
      </c>
      <c r="AI370" s="436">
        <f>IF(NFI_Expiration=1,IF($A370&lt;VLOOKUP(R$5,NFI,5,0),1,0)*Table_NFI[[#This Row],[Winter Clothes Adult]],Table_NFI[Winter Clothes Adult])</f>
        <v>0</v>
      </c>
      <c r="AJ370" s="436">
        <f>IF(NFI_Expiration=1,IF($A370&lt;VLOOKUP(S$5,NFI,5,0),1,0)*Table_NFI[[#This Row],[Winter Clothes Children]],Table_NFI[Winter Clothes Children])</f>
        <v>0</v>
      </c>
      <c r="AK370" s="436">
        <f>IF(NFI_Expiration=1,IF($A370&lt;VLOOKUP(T$5,NFI,5,0),1,0)*Table_NFI[[#This Row],[Winter Items Other]],Table_NFI[Winter Items Other])</f>
        <v>0</v>
      </c>
      <c r="AL370" s="436">
        <f>IF(NFI_Expiration=1,IF($A370&lt;VLOOKUP(M$5,NFI,5,0),1,0)*Table_NFI[[#This Row],[Winter Blanket]],Table_NFI[[#This Row],[Winter Blanket]])</f>
        <v>0</v>
      </c>
      <c r="AM370" s="436">
        <f>IF(Table_NFI[[#This Row],[Winter Clothes Adult]]+Table_NFI[[#This Row],[Winter Clothes Children]]+Table_NFI[[#This Row],[Winter Items Other]]+Table_NFI[[#This Row],[Winter Blanket]]&gt;0,1,0)</f>
        <v>0</v>
      </c>
      <c r="AN370" s="439">
        <f>IF(NFI_Expiration=1,IF($A370&lt;VLOOKUP(V$5,NFI,5,0),1,0)*Table_NFI[[#This Row],[Jerry Can]],Table_NFI[Jerry Can])</f>
        <v>0</v>
      </c>
      <c r="AO370" s="771" t="str">
        <f>IFERROR(VLOOKUP(Table_NFI[[#This Row],[Camp Name]],CL,2,0),"")</f>
        <v>MMR001CMP122</v>
      </c>
      <c r="AP370" s="772">
        <f ca="1">IF(Table_NFI[[#This Row],[Pcode]]="","",IF(OFFSET(CampList[Opening Date],MATCH(Table_NFI[[#This Row],[Pcode]],CampList[CP_Pcode],0)-1,0,1,1)&gt;=NFI_Monitor_Date,1,0))</f>
        <v>0</v>
      </c>
      <c r="AQ370" s="771" t="str">
        <f>IFERROR(VLOOKUP(Table_NFI[[#This Row],[Camp Name]],CL,3,0),"")</f>
        <v>Open</v>
      </c>
      <c r="AR370" s="436" t="str">
        <f ca="1">IF(Table_NFI[[#This Row],[Pcode]]="","",OFFSET(CampList[Priority],MATCH(Table_NFI[[#This Row],[Pcode]],CampList[CP_Pcode],0)-1,0,1,1))</f>
        <v>P2</v>
      </c>
      <c r="AS370" s="438">
        <f>IFERROR(Table_NFI[[#This Row],[Kitchen Set]]/VLOOKUP(Table_NFI[[#This Row],[Camp Name]],CL,4,0),"")</f>
        <v>0</v>
      </c>
      <c r="AT370" s="769" t="s">
        <v>1099</v>
      </c>
      <c r="AU370" s="773"/>
    </row>
    <row r="371" spans="1:47" s="774" customFormat="1" x14ac:dyDescent="0.25">
      <c r="A371" s="451">
        <f t="shared" si="5"/>
        <v>25.4</v>
      </c>
      <c r="B371" s="768">
        <v>41608</v>
      </c>
      <c r="C371" s="769" t="s">
        <v>1104</v>
      </c>
      <c r="D371" s="442" t="s">
        <v>951</v>
      </c>
      <c r="E371" s="775" t="s">
        <v>380</v>
      </c>
      <c r="F371" s="435" t="s">
        <v>5</v>
      </c>
      <c r="G371" s="435" t="s">
        <v>14</v>
      </c>
      <c r="H371" s="442"/>
      <c r="I371" s="442"/>
      <c r="J371" s="442"/>
      <c r="K371" s="775"/>
      <c r="L371" s="776"/>
      <c r="M371" s="443">
        <v>105</v>
      </c>
      <c r="N371" s="443"/>
      <c r="O371" s="443"/>
      <c r="P371" s="776"/>
      <c r="Q371" s="443"/>
      <c r="R371" s="442">
        <v>154</v>
      </c>
      <c r="S371" s="442">
        <v>26</v>
      </c>
      <c r="T371" s="442">
        <v>0</v>
      </c>
      <c r="U371" s="442"/>
      <c r="V371" s="442"/>
      <c r="W371" s="442"/>
      <c r="X371" s="442"/>
      <c r="Y371" s="436">
        <f>IF(NFI_Expiration=1,IF($A371&lt;VLOOKUP(H$5,NFI,5,0),1,0)*Table_NFI[[#This Row],[Hygiene Kit]],Table_NFI[Hygiene Kit])</f>
        <v>0</v>
      </c>
      <c r="Z371" s="436">
        <f>IF(NFI_Expiration=1,IF($A371&lt;VLOOKUP(I$5,NFI,5,0),1,0)*Table_NFI[[#This Row],[NFI Core Kit]],Table_NFI[NFI Core Kit])</f>
        <v>0</v>
      </c>
      <c r="AA371" s="436">
        <f>IF(NFI_Expiration=1,IF($A371&lt;VLOOKUP(J$5,NFI,5,0),1,0)*Table_NFI[[#This Row],[Sanitary Kit]],Table_NFI[Sanitary Kit])</f>
        <v>0</v>
      </c>
      <c r="AB371" s="436">
        <f>IF(NFI_Expiration=1,IF($A371&lt;VLOOKUP(K$5,NFI,5,0),1,0)*Table_NFI[[#This Row],[Mosquito net]],Table_NFI[Mosquito net])</f>
        <v>0</v>
      </c>
      <c r="AC371" s="436">
        <f>IF(NFI_Expiration=1,IF($A371&lt;VLOOKUP(L$5,NFI,5,0),1,0)*Table_NFI[[#This Row],[Tarpaulin]],Table_NFI[[#This Row],[Tarpaulin]])</f>
        <v>0</v>
      </c>
      <c r="AD371" s="436">
        <f>IF(NFI_Expiration=1,IF($A371&lt;VLOOKUP(M$5,NFI,5,0),1,0)*Table_NFI[[#This Row],[Blanket]],Table_NFI[[#This Row],[Blanket]])</f>
        <v>0</v>
      </c>
      <c r="AE371" s="436">
        <f>IF(NFI_Expiration=1,IF($A371&lt;VLOOKUP(N$5,NFI,5,0),1,0)*Table_NFI[[#This Row],[Kitchen Set]],Table_NFI[Kitchen Set])</f>
        <v>0</v>
      </c>
      <c r="AF371" s="436">
        <f>IF(NFI_Expiration=1,IF($A371&lt;VLOOKUP(O$5,NFI,5,0),1,0)*Table_NFI[[#This Row],[Clothes Kit]],Table_NFI[Clothes Kit])</f>
        <v>0</v>
      </c>
      <c r="AG371" s="436">
        <f>IF(NFI_Expiration=1,IF($A371&lt;VLOOKUP(P$5,NFI,5,0),1,0)*Table_NFI[[#This Row],[Plastic Bucket]],Table_NFI[Plastic Bucket])</f>
        <v>0</v>
      </c>
      <c r="AH371" s="436">
        <f>IF(NFI_Expiration=1,IF($A371&lt;VLOOKUP(Q$5,NFI,5,0),1,0)*Table_NFI[[#This Row],[Plastic Mat]],Table_NFI[Plastic Mat])*IF(Table_NFI[[#This Row],[Distribution Date]]&gt;"2014-04-01",1,2.5)</f>
        <v>0</v>
      </c>
      <c r="AI371" s="436">
        <f>IF(NFI_Expiration=1,IF($A371&lt;VLOOKUP(R$5,NFI,5,0),1,0)*Table_NFI[[#This Row],[Winter Clothes Adult]],Table_NFI[Winter Clothes Adult])</f>
        <v>0</v>
      </c>
      <c r="AJ371" s="436">
        <f>IF(NFI_Expiration=1,IF($A371&lt;VLOOKUP(S$5,NFI,5,0),1,0)*Table_NFI[[#This Row],[Winter Clothes Children]],Table_NFI[Winter Clothes Children])</f>
        <v>0</v>
      </c>
      <c r="AK371" s="436">
        <f>IF(NFI_Expiration=1,IF($A371&lt;VLOOKUP(T$5,NFI,5,0),1,0)*Table_NFI[[#This Row],[Winter Items Other]],Table_NFI[Winter Items Other])</f>
        <v>0</v>
      </c>
      <c r="AL371" s="436">
        <f>IF(NFI_Expiration=1,IF($A371&lt;VLOOKUP(M$5,NFI,5,0),1,0)*Table_NFI[[#This Row],[Winter Blanket]],Table_NFI[[#This Row],[Winter Blanket]])</f>
        <v>0</v>
      </c>
      <c r="AM371" s="436">
        <f>IF(Table_NFI[[#This Row],[Winter Clothes Adult]]+Table_NFI[[#This Row],[Winter Clothes Children]]+Table_NFI[[#This Row],[Winter Items Other]]+Table_NFI[[#This Row],[Winter Blanket]]&gt;0,1,0)</f>
        <v>1</v>
      </c>
      <c r="AN371" s="439">
        <f>IF(NFI_Expiration=1,IF($A371&lt;VLOOKUP(V$5,NFI,5,0),1,0)*Table_NFI[[#This Row],[Jerry Can]],Table_NFI[Jerry Can])</f>
        <v>0</v>
      </c>
      <c r="AO371" s="771" t="str">
        <f>IFERROR(VLOOKUP(Table_NFI[[#This Row],[Camp Name]],CL,2,0),"")</f>
        <v>MMR001CMP052</v>
      </c>
      <c r="AP371" s="772">
        <f ca="1">IF(Table_NFI[[#This Row],[Pcode]]="","",IF(OFFSET(CampList[Opening Date],MATCH(Table_NFI[[#This Row],[Pcode]],CampList[CP_Pcode],0)-1,0,1,1)&gt;=NFI_Monitor_Date,1,0))</f>
        <v>0</v>
      </c>
      <c r="AQ371" s="771" t="str">
        <f>IFERROR(VLOOKUP(Table_NFI[[#This Row],[Camp Name]],CL,3,0),"")</f>
        <v>Open</v>
      </c>
      <c r="AR371" s="436" t="str">
        <f ca="1">IF(Table_NFI[[#This Row],[Pcode]]="","",OFFSET(CampList[Priority],MATCH(Table_NFI[[#This Row],[Pcode]],CampList[CP_Pcode],0)-1,0,1,1))</f>
        <v>P4</v>
      </c>
      <c r="AS371" s="438">
        <f>IFERROR(Table_NFI[[#This Row],[Kitchen Set]]/VLOOKUP(Table_NFI[[#This Row],[Camp Name]],CL,4,0),"")</f>
        <v>0</v>
      </c>
      <c r="AT371" s="769" t="s">
        <v>1099</v>
      </c>
      <c r="AU371" s="773"/>
    </row>
    <row r="372" spans="1:47" s="774" customFormat="1" ht="13.9" customHeight="1" x14ac:dyDescent="0.25">
      <c r="A372" s="451">
        <f t="shared" si="5"/>
        <v>25.4</v>
      </c>
      <c r="B372" s="768">
        <v>41608</v>
      </c>
      <c r="C372" s="769" t="s">
        <v>912</v>
      </c>
      <c r="D372" s="769"/>
      <c r="E372" s="769" t="s">
        <v>380</v>
      </c>
      <c r="F372" s="435" t="s">
        <v>5</v>
      </c>
      <c r="G372" s="435" t="s">
        <v>14</v>
      </c>
      <c r="H372" s="436"/>
      <c r="I372" s="436"/>
      <c r="J372" s="436"/>
      <c r="K372" s="436"/>
      <c r="L372" s="437"/>
      <c r="M372" s="437"/>
      <c r="N372" s="437"/>
      <c r="O372" s="437"/>
      <c r="P372" s="439"/>
      <c r="Q372" s="439">
        <v>138</v>
      </c>
      <c r="R372" s="436"/>
      <c r="S372" s="436"/>
      <c r="T372" s="436"/>
      <c r="U372" s="436"/>
      <c r="V372" s="436"/>
      <c r="W372" s="436"/>
      <c r="X372" s="436"/>
      <c r="Y372" s="436">
        <f>IF(NFI_Expiration=1,IF($A372&lt;VLOOKUP(H$5,NFI,5,0),1,0)*Table_NFI[[#This Row],[Hygiene Kit]],Table_NFI[Hygiene Kit])</f>
        <v>0</v>
      </c>
      <c r="Z372" s="436">
        <f>IF(NFI_Expiration=1,IF($A372&lt;VLOOKUP(I$5,NFI,5,0),1,0)*Table_NFI[[#This Row],[NFI Core Kit]],Table_NFI[NFI Core Kit])</f>
        <v>0</v>
      </c>
      <c r="AA372" s="436">
        <f>IF(NFI_Expiration=1,IF($A372&lt;VLOOKUP(J$5,NFI,5,0),1,0)*Table_NFI[[#This Row],[Sanitary Kit]],Table_NFI[Sanitary Kit])</f>
        <v>0</v>
      </c>
      <c r="AB372" s="436">
        <f>IF(NFI_Expiration=1,IF($A372&lt;VLOOKUP(K$5,NFI,5,0),1,0)*Table_NFI[[#This Row],[Mosquito net]],Table_NFI[Mosquito net])</f>
        <v>0</v>
      </c>
      <c r="AC372" s="436">
        <f>IF(NFI_Expiration=1,IF($A372&lt;VLOOKUP(L$5,NFI,5,0),1,0)*Table_NFI[[#This Row],[Tarpaulin]],Table_NFI[[#This Row],[Tarpaulin]])</f>
        <v>0</v>
      </c>
      <c r="AD372" s="436">
        <f>IF(NFI_Expiration=1,IF($A372&lt;VLOOKUP(M$5,NFI,5,0),1,0)*Table_NFI[[#This Row],[Blanket]],Table_NFI[[#This Row],[Blanket]])</f>
        <v>0</v>
      </c>
      <c r="AE372" s="436">
        <f>IF(NFI_Expiration=1,IF($A372&lt;VLOOKUP(N$5,NFI,5,0),1,0)*Table_NFI[[#This Row],[Kitchen Set]],Table_NFI[Kitchen Set])</f>
        <v>0</v>
      </c>
      <c r="AF372" s="436">
        <f>IF(NFI_Expiration=1,IF($A372&lt;VLOOKUP(O$5,NFI,5,0),1,0)*Table_NFI[[#This Row],[Clothes Kit]],Table_NFI[Clothes Kit])</f>
        <v>0</v>
      </c>
      <c r="AG372" s="436">
        <f>IF(NFI_Expiration=1,IF($A372&lt;VLOOKUP(P$5,NFI,5,0),1,0)*Table_NFI[[#This Row],[Plastic Bucket]],Table_NFI[Plastic Bucket])</f>
        <v>0</v>
      </c>
      <c r="AH372" s="436">
        <f>IF(NFI_Expiration=1,IF($A372&lt;VLOOKUP(Q$5,NFI,5,0),1,0)*Table_NFI[[#This Row],[Plastic Mat]],Table_NFI[Plastic Mat])*IF(Table_NFI[[#This Row],[Distribution Date]]&gt;"2014-04-01",1,2.5)</f>
        <v>0</v>
      </c>
      <c r="AI372" s="436">
        <f>IF(NFI_Expiration=1,IF($A372&lt;VLOOKUP(R$5,NFI,5,0),1,0)*Table_NFI[[#This Row],[Winter Clothes Adult]],Table_NFI[Winter Clothes Adult])</f>
        <v>0</v>
      </c>
      <c r="AJ372" s="436">
        <f>IF(NFI_Expiration=1,IF($A372&lt;VLOOKUP(S$5,NFI,5,0),1,0)*Table_NFI[[#This Row],[Winter Clothes Children]],Table_NFI[Winter Clothes Children])</f>
        <v>0</v>
      </c>
      <c r="AK372" s="436">
        <f>IF(NFI_Expiration=1,IF($A372&lt;VLOOKUP(T$5,NFI,5,0),1,0)*Table_NFI[[#This Row],[Winter Items Other]],Table_NFI[Winter Items Other])</f>
        <v>0</v>
      </c>
      <c r="AL372" s="436">
        <f>IF(NFI_Expiration=1,IF($A372&lt;VLOOKUP(M$5,NFI,5,0),1,0)*Table_NFI[[#This Row],[Winter Blanket]],Table_NFI[[#This Row],[Winter Blanket]])</f>
        <v>0</v>
      </c>
      <c r="AM372" s="436">
        <f>IF(Table_NFI[[#This Row],[Winter Clothes Adult]]+Table_NFI[[#This Row],[Winter Clothes Children]]+Table_NFI[[#This Row],[Winter Items Other]]+Table_NFI[[#This Row],[Winter Blanket]]&gt;0,1,0)</f>
        <v>0</v>
      </c>
      <c r="AN372" s="439">
        <f>IF(NFI_Expiration=1,IF($A372&lt;VLOOKUP(V$5,NFI,5,0),1,0)*Table_NFI[[#This Row],[Jerry Can]],Table_NFI[Jerry Can])</f>
        <v>0</v>
      </c>
      <c r="AO372" s="771" t="str">
        <f>IFERROR(VLOOKUP(Table_NFI[[#This Row],[Camp Name]],CL,2,0),"")</f>
        <v>MMR001CMP052</v>
      </c>
      <c r="AP372" s="772">
        <f ca="1">IF(Table_NFI[[#This Row],[Pcode]]="","",IF(OFFSET(CampList[Opening Date],MATCH(Table_NFI[[#This Row],[Pcode]],CampList[CP_Pcode],0)-1,0,1,1)&gt;=NFI_Monitor_Date,1,0))</f>
        <v>0</v>
      </c>
      <c r="AQ372" s="771" t="str">
        <f>IFERROR(VLOOKUP(Table_NFI[[#This Row],[Camp Name]],CL,3,0),"")</f>
        <v>Open</v>
      </c>
      <c r="AR372" s="436" t="str">
        <f ca="1">IF(Table_NFI[[#This Row],[Pcode]]="","",OFFSET(CampList[Priority],MATCH(Table_NFI[[#This Row],[Pcode]],CampList[CP_Pcode],0)-1,0,1,1))</f>
        <v>P4</v>
      </c>
      <c r="AS372" s="438">
        <f>IFERROR(Table_NFI[[#This Row],[Kitchen Set]]/VLOOKUP(Table_NFI[[#This Row],[Camp Name]],CL,4,0),"")</f>
        <v>0</v>
      </c>
      <c r="AT372" s="769" t="s">
        <v>1099</v>
      </c>
      <c r="AU372" s="773"/>
    </row>
    <row r="373" spans="1:47" s="774" customFormat="1" x14ac:dyDescent="0.25">
      <c r="A373" s="451">
        <f t="shared" si="5"/>
        <v>25.4</v>
      </c>
      <c r="B373" s="768">
        <v>41608</v>
      </c>
      <c r="C373" s="769" t="s">
        <v>912</v>
      </c>
      <c r="D373" s="769" t="s">
        <v>462</v>
      </c>
      <c r="E373" s="769" t="s">
        <v>380</v>
      </c>
      <c r="F373" s="435" t="s">
        <v>185</v>
      </c>
      <c r="G373" s="435" t="s">
        <v>196</v>
      </c>
      <c r="H373" s="769"/>
      <c r="I373" s="769"/>
      <c r="J373" s="769"/>
      <c r="K373" s="769"/>
      <c r="L373" s="779"/>
      <c r="M373" s="779"/>
      <c r="N373" s="779"/>
      <c r="O373" s="779"/>
      <c r="P373" s="439"/>
      <c r="Q373" s="439">
        <v>5268</v>
      </c>
      <c r="R373" s="436"/>
      <c r="S373" s="436"/>
      <c r="T373" s="436"/>
      <c r="U373" s="436"/>
      <c r="V373" s="436"/>
      <c r="W373" s="436"/>
      <c r="X373" s="436"/>
      <c r="Y373" s="436">
        <f>IF(NFI_Expiration=1,IF($A373&lt;VLOOKUP(H$5,NFI,5,0),1,0)*Table_NFI[[#This Row],[Hygiene Kit]],Table_NFI[Hygiene Kit])</f>
        <v>0</v>
      </c>
      <c r="Z373" s="436">
        <f>IF(NFI_Expiration=1,IF($A373&lt;VLOOKUP(I$5,NFI,5,0),1,0)*Table_NFI[[#This Row],[NFI Core Kit]],Table_NFI[NFI Core Kit])</f>
        <v>0</v>
      </c>
      <c r="AA373" s="436">
        <f>IF(NFI_Expiration=1,IF($A373&lt;VLOOKUP(J$5,NFI,5,0),1,0)*Table_NFI[[#This Row],[Sanitary Kit]],Table_NFI[Sanitary Kit])</f>
        <v>0</v>
      </c>
      <c r="AB373" s="436">
        <f>IF(NFI_Expiration=1,IF($A373&lt;VLOOKUP(K$5,NFI,5,0),1,0)*Table_NFI[[#This Row],[Mosquito net]],Table_NFI[Mosquito net])</f>
        <v>0</v>
      </c>
      <c r="AC373" s="436">
        <f>IF(NFI_Expiration=1,IF($A373&lt;VLOOKUP(L$5,NFI,5,0),1,0)*Table_NFI[[#This Row],[Tarpaulin]],Table_NFI[[#This Row],[Tarpaulin]])</f>
        <v>0</v>
      </c>
      <c r="AD373" s="436">
        <f>IF(NFI_Expiration=1,IF($A373&lt;VLOOKUP(M$5,NFI,5,0),1,0)*Table_NFI[[#This Row],[Blanket]],Table_NFI[[#This Row],[Blanket]])</f>
        <v>0</v>
      </c>
      <c r="AE373" s="436">
        <f>IF(NFI_Expiration=1,IF($A373&lt;VLOOKUP(N$5,NFI,5,0),1,0)*Table_NFI[[#This Row],[Kitchen Set]],Table_NFI[Kitchen Set])</f>
        <v>0</v>
      </c>
      <c r="AF373" s="436">
        <f>IF(NFI_Expiration=1,IF($A373&lt;VLOOKUP(O$5,NFI,5,0),1,0)*Table_NFI[[#This Row],[Clothes Kit]],Table_NFI[Clothes Kit])</f>
        <v>0</v>
      </c>
      <c r="AG373" s="436">
        <f>IF(NFI_Expiration=1,IF($A373&lt;VLOOKUP(P$5,NFI,5,0),1,0)*Table_NFI[[#This Row],[Plastic Bucket]],Table_NFI[Plastic Bucket])</f>
        <v>0</v>
      </c>
      <c r="AH373" s="436">
        <f>IF(NFI_Expiration=1,IF($A373&lt;VLOOKUP(Q$5,NFI,5,0),1,0)*Table_NFI[[#This Row],[Plastic Mat]],Table_NFI[Plastic Mat])*IF(Table_NFI[[#This Row],[Distribution Date]]&gt;"2014-04-01",1,2.5)</f>
        <v>0</v>
      </c>
      <c r="AI373" s="436">
        <f>IF(NFI_Expiration=1,IF($A373&lt;VLOOKUP(R$5,NFI,5,0),1,0)*Table_NFI[[#This Row],[Winter Clothes Adult]],Table_NFI[Winter Clothes Adult])</f>
        <v>0</v>
      </c>
      <c r="AJ373" s="436">
        <f>IF(NFI_Expiration=1,IF($A373&lt;VLOOKUP(S$5,NFI,5,0),1,0)*Table_NFI[[#This Row],[Winter Clothes Children]],Table_NFI[Winter Clothes Children])</f>
        <v>0</v>
      </c>
      <c r="AK373" s="436">
        <f>IF(NFI_Expiration=1,IF($A373&lt;VLOOKUP(T$5,NFI,5,0),1,0)*Table_NFI[[#This Row],[Winter Items Other]],Table_NFI[Winter Items Other])</f>
        <v>0</v>
      </c>
      <c r="AL373" s="436">
        <f>IF(NFI_Expiration=1,IF($A373&lt;VLOOKUP(M$5,NFI,5,0),1,0)*Table_NFI[[#This Row],[Winter Blanket]],Table_NFI[[#This Row],[Winter Blanket]])</f>
        <v>0</v>
      </c>
      <c r="AM373" s="436">
        <f>IF(Table_NFI[[#This Row],[Winter Clothes Adult]]+Table_NFI[[#This Row],[Winter Clothes Children]]+Table_NFI[[#This Row],[Winter Items Other]]+Table_NFI[[#This Row],[Winter Blanket]]&gt;0,1,0)</f>
        <v>0</v>
      </c>
      <c r="AN373" s="439">
        <f>IF(NFI_Expiration=1,IF($A373&lt;VLOOKUP(V$5,NFI,5,0),1,0)*Table_NFI[[#This Row],[Jerry Can]],Table_NFI[Jerry Can])</f>
        <v>0</v>
      </c>
      <c r="AO373" s="771" t="str">
        <f>IFERROR(VLOOKUP(Table_NFI[[#This Row],[Camp Name]],CL,2,0),"")</f>
        <v>MMR001CMP121</v>
      </c>
      <c r="AP373" s="772">
        <f ca="1">IF(Table_NFI[[#This Row],[Pcode]]="","",IF(OFFSET(CampList[Opening Date],MATCH(Table_NFI[[#This Row],[Pcode]],CampList[CP_Pcode],0)-1,0,1,1)&gt;=NFI_Monitor_Date,1,0))</f>
        <v>0</v>
      </c>
      <c r="AQ373" s="771" t="str">
        <f>IFERROR(VLOOKUP(Table_NFI[[#This Row],[Camp Name]],CL,3,0),"")</f>
        <v>Open</v>
      </c>
      <c r="AR373" s="436" t="str">
        <f ca="1">IF(Table_NFI[[#This Row],[Pcode]]="","",OFFSET(CampList[Priority],MATCH(Table_NFI[[#This Row],[Pcode]],CampList[CP_Pcode],0)-1,0,1,1))</f>
        <v>P2</v>
      </c>
      <c r="AS373" s="438">
        <f>IFERROR(Table_NFI[[#This Row],[Kitchen Set]]/VLOOKUP(Table_NFI[[#This Row],[Camp Name]],CL,4,0),"")</f>
        <v>0</v>
      </c>
      <c r="AT373" s="769" t="s">
        <v>1099</v>
      </c>
      <c r="AU373" s="773"/>
    </row>
    <row r="374" spans="1:47" s="774" customFormat="1" x14ac:dyDescent="0.25">
      <c r="A374" s="451">
        <f t="shared" si="5"/>
        <v>25.4</v>
      </c>
      <c r="B374" s="768">
        <v>41608</v>
      </c>
      <c r="C374" s="769" t="s">
        <v>1104</v>
      </c>
      <c r="D374" s="442" t="s">
        <v>951</v>
      </c>
      <c r="E374" s="775" t="s">
        <v>380</v>
      </c>
      <c r="F374" s="435" t="s">
        <v>151</v>
      </c>
      <c r="G374" s="435" t="s">
        <v>518</v>
      </c>
      <c r="H374" s="442"/>
      <c r="I374" s="442"/>
      <c r="J374" s="442"/>
      <c r="K374" s="775"/>
      <c r="L374" s="776"/>
      <c r="M374" s="443">
        <v>447</v>
      </c>
      <c r="N374" s="443"/>
      <c r="O374" s="443"/>
      <c r="P374" s="776"/>
      <c r="Q374" s="443"/>
      <c r="R374" s="442">
        <v>398</v>
      </c>
      <c r="S374" s="442">
        <v>390</v>
      </c>
      <c r="T374" s="442">
        <v>0</v>
      </c>
      <c r="U374" s="442"/>
      <c r="V374" s="442"/>
      <c r="W374" s="442"/>
      <c r="X374" s="442"/>
      <c r="Y374" s="436">
        <f>IF(NFI_Expiration=1,IF($A374&lt;VLOOKUP(H$5,NFI,5,0),1,0)*Table_NFI[[#This Row],[Hygiene Kit]],Table_NFI[Hygiene Kit])</f>
        <v>0</v>
      </c>
      <c r="Z374" s="436">
        <f>IF(NFI_Expiration=1,IF($A374&lt;VLOOKUP(I$5,NFI,5,0),1,0)*Table_NFI[[#This Row],[NFI Core Kit]],Table_NFI[NFI Core Kit])</f>
        <v>0</v>
      </c>
      <c r="AA374" s="436">
        <f>IF(NFI_Expiration=1,IF($A374&lt;VLOOKUP(J$5,NFI,5,0),1,0)*Table_NFI[[#This Row],[Sanitary Kit]],Table_NFI[Sanitary Kit])</f>
        <v>0</v>
      </c>
      <c r="AB374" s="436">
        <f>IF(NFI_Expiration=1,IF($A374&lt;VLOOKUP(K$5,NFI,5,0),1,0)*Table_NFI[[#This Row],[Mosquito net]],Table_NFI[Mosquito net])</f>
        <v>0</v>
      </c>
      <c r="AC374" s="436">
        <f>IF(NFI_Expiration=1,IF($A374&lt;VLOOKUP(L$5,NFI,5,0),1,0)*Table_NFI[[#This Row],[Tarpaulin]],Table_NFI[[#This Row],[Tarpaulin]])</f>
        <v>0</v>
      </c>
      <c r="AD374" s="436">
        <f>IF(NFI_Expiration=1,IF($A374&lt;VLOOKUP(M$5,NFI,5,0),1,0)*Table_NFI[[#This Row],[Blanket]],Table_NFI[[#This Row],[Blanket]])</f>
        <v>0</v>
      </c>
      <c r="AE374" s="436">
        <f>IF(NFI_Expiration=1,IF($A374&lt;VLOOKUP(N$5,NFI,5,0),1,0)*Table_NFI[[#This Row],[Kitchen Set]],Table_NFI[Kitchen Set])</f>
        <v>0</v>
      </c>
      <c r="AF374" s="436">
        <f>IF(NFI_Expiration=1,IF($A374&lt;VLOOKUP(O$5,NFI,5,0),1,0)*Table_NFI[[#This Row],[Clothes Kit]],Table_NFI[Clothes Kit])</f>
        <v>0</v>
      </c>
      <c r="AG374" s="436">
        <f>IF(NFI_Expiration=1,IF($A374&lt;VLOOKUP(P$5,NFI,5,0),1,0)*Table_NFI[[#This Row],[Plastic Bucket]],Table_NFI[Plastic Bucket])</f>
        <v>0</v>
      </c>
      <c r="AH374" s="436">
        <f>IF(NFI_Expiration=1,IF($A374&lt;VLOOKUP(Q$5,NFI,5,0),1,0)*Table_NFI[[#This Row],[Plastic Mat]],Table_NFI[Plastic Mat])*IF(Table_NFI[[#This Row],[Distribution Date]]&gt;"2014-04-01",1,2.5)</f>
        <v>0</v>
      </c>
      <c r="AI374" s="436">
        <f>IF(NFI_Expiration=1,IF($A374&lt;VLOOKUP(R$5,NFI,5,0),1,0)*Table_NFI[[#This Row],[Winter Clothes Adult]],Table_NFI[Winter Clothes Adult])</f>
        <v>0</v>
      </c>
      <c r="AJ374" s="436">
        <f>IF(NFI_Expiration=1,IF($A374&lt;VLOOKUP(S$5,NFI,5,0),1,0)*Table_NFI[[#This Row],[Winter Clothes Children]],Table_NFI[Winter Clothes Children])</f>
        <v>0</v>
      </c>
      <c r="AK374" s="436">
        <f>IF(NFI_Expiration=1,IF($A374&lt;VLOOKUP(T$5,NFI,5,0),1,0)*Table_NFI[[#This Row],[Winter Items Other]],Table_NFI[Winter Items Other])</f>
        <v>0</v>
      </c>
      <c r="AL374" s="436">
        <f>IF(NFI_Expiration=1,IF($A374&lt;VLOOKUP(M$5,NFI,5,0),1,0)*Table_NFI[[#This Row],[Winter Blanket]],Table_NFI[[#This Row],[Winter Blanket]])</f>
        <v>0</v>
      </c>
      <c r="AM374" s="436">
        <f>IF(Table_NFI[[#This Row],[Winter Clothes Adult]]+Table_NFI[[#This Row],[Winter Clothes Children]]+Table_NFI[[#This Row],[Winter Items Other]]+Table_NFI[[#This Row],[Winter Blanket]]&gt;0,1,0)</f>
        <v>1</v>
      </c>
      <c r="AN374" s="439">
        <f>IF(NFI_Expiration=1,IF($A374&lt;VLOOKUP(V$5,NFI,5,0),1,0)*Table_NFI[[#This Row],[Jerry Can]],Table_NFI[Jerry Can])</f>
        <v>0</v>
      </c>
      <c r="AO374" s="771" t="str">
        <f>IFERROR(VLOOKUP(Table_NFI[[#This Row],[Camp Name]],CL,2,0),"")</f>
        <v>MMR001CMP202</v>
      </c>
      <c r="AP374" s="772">
        <f ca="1">IF(Table_NFI[[#This Row],[Pcode]]="","",IF(OFFSET(CampList[Opening Date],MATCH(Table_NFI[[#This Row],[Pcode]],CampList[CP_Pcode],0)-1,0,1,1)&gt;=NFI_Monitor_Date,1,0))</f>
        <v>0</v>
      </c>
      <c r="AQ374" s="771" t="str">
        <f>IFERROR(VLOOKUP(Table_NFI[[#This Row],[Camp Name]],CL,3,0),"")</f>
        <v>Closed</v>
      </c>
      <c r="AR374" s="436" t="str">
        <f ca="1">IF(Table_NFI[[#This Row],[Pcode]]="","",OFFSET(CampList[Priority],MATCH(Table_NFI[[#This Row],[Pcode]],CampList[CP_Pcode],0)-1,0,1,1))</f>
        <v>P4</v>
      </c>
      <c r="AS374" s="438" t="str">
        <f>IFERROR(Table_NFI[[#This Row],[Kitchen Set]]/VLOOKUP(Table_NFI[[#This Row],[Camp Name]],CL,4,0),"")</f>
        <v/>
      </c>
      <c r="AT374" s="769" t="s">
        <v>1099</v>
      </c>
      <c r="AU374" s="773"/>
    </row>
    <row r="375" spans="1:47" s="774" customFormat="1" x14ac:dyDescent="0.25">
      <c r="A375" s="451">
        <f t="shared" si="5"/>
        <v>25.4</v>
      </c>
      <c r="B375" s="768">
        <v>41608</v>
      </c>
      <c r="C375" s="769" t="s">
        <v>912</v>
      </c>
      <c r="D375" s="769"/>
      <c r="E375" s="769" t="s">
        <v>380</v>
      </c>
      <c r="F375" s="435" t="s">
        <v>151</v>
      </c>
      <c r="G375" s="435" t="s">
        <v>518</v>
      </c>
      <c r="H375" s="436"/>
      <c r="I375" s="436"/>
      <c r="J375" s="436"/>
      <c r="K375" s="436"/>
      <c r="L375" s="437"/>
      <c r="M375" s="437"/>
      <c r="N375" s="437"/>
      <c r="O375" s="437"/>
      <c r="P375" s="439"/>
      <c r="Q375" s="439"/>
      <c r="R375" s="436"/>
      <c r="S375" s="436"/>
      <c r="T375" s="436"/>
      <c r="U375" s="436"/>
      <c r="V375" s="436"/>
      <c r="W375" s="436"/>
      <c r="X375" s="436"/>
      <c r="Y375" s="436">
        <f>IF(NFI_Expiration=1,IF($A375&lt;VLOOKUP(H$5,NFI,5,0),1,0)*Table_NFI[[#This Row],[Hygiene Kit]],Table_NFI[Hygiene Kit])</f>
        <v>0</v>
      </c>
      <c r="Z375" s="436">
        <f>IF(NFI_Expiration=1,IF($A375&lt;VLOOKUP(I$5,NFI,5,0),1,0)*Table_NFI[[#This Row],[NFI Core Kit]],Table_NFI[NFI Core Kit])</f>
        <v>0</v>
      </c>
      <c r="AA375" s="436">
        <f>IF(NFI_Expiration=1,IF($A375&lt;VLOOKUP(J$5,NFI,5,0),1,0)*Table_NFI[[#This Row],[Sanitary Kit]],Table_NFI[Sanitary Kit])</f>
        <v>0</v>
      </c>
      <c r="AB375" s="436">
        <f>IF(NFI_Expiration=1,IF($A375&lt;VLOOKUP(K$5,NFI,5,0),1,0)*Table_NFI[[#This Row],[Mosquito net]],Table_NFI[Mosquito net])</f>
        <v>0</v>
      </c>
      <c r="AC375" s="436">
        <f>IF(NFI_Expiration=1,IF($A375&lt;VLOOKUP(L$5,NFI,5,0),1,0)*Table_NFI[[#This Row],[Tarpaulin]],Table_NFI[[#This Row],[Tarpaulin]])</f>
        <v>0</v>
      </c>
      <c r="AD375" s="436">
        <f>IF(NFI_Expiration=1,IF($A375&lt;VLOOKUP(M$5,NFI,5,0),1,0)*Table_NFI[[#This Row],[Blanket]],Table_NFI[[#This Row],[Blanket]])</f>
        <v>0</v>
      </c>
      <c r="AE375" s="436">
        <f>IF(NFI_Expiration=1,IF($A375&lt;VLOOKUP(N$5,NFI,5,0),1,0)*Table_NFI[[#This Row],[Kitchen Set]],Table_NFI[Kitchen Set])</f>
        <v>0</v>
      </c>
      <c r="AF375" s="436">
        <f>IF(NFI_Expiration=1,IF($A375&lt;VLOOKUP(O$5,NFI,5,0),1,0)*Table_NFI[[#This Row],[Clothes Kit]],Table_NFI[Clothes Kit])</f>
        <v>0</v>
      </c>
      <c r="AG375" s="436">
        <f>IF(NFI_Expiration=1,IF($A375&lt;VLOOKUP(P$5,NFI,5,0),1,0)*Table_NFI[[#This Row],[Plastic Bucket]],Table_NFI[Plastic Bucket])</f>
        <v>0</v>
      </c>
      <c r="AH375" s="436">
        <f>IF(NFI_Expiration=1,IF($A375&lt;VLOOKUP(Q$5,NFI,5,0),1,0)*Table_NFI[[#This Row],[Plastic Mat]],Table_NFI[Plastic Mat])*IF(Table_NFI[[#This Row],[Distribution Date]]&gt;"2014-04-01",1,2.5)</f>
        <v>0</v>
      </c>
      <c r="AI375" s="436">
        <f>IF(NFI_Expiration=1,IF($A375&lt;VLOOKUP(R$5,NFI,5,0),1,0)*Table_NFI[[#This Row],[Winter Clothes Adult]],Table_NFI[Winter Clothes Adult])</f>
        <v>0</v>
      </c>
      <c r="AJ375" s="436">
        <f>IF(NFI_Expiration=1,IF($A375&lt;VLOOKUP(S$5,NFI,5,0),1,0)*Table_NFI[[#This Row],[Winter Clothes Children]],Table_NFI[Winter Clothes Children])</f>
        <v>0</v>
      </c>
      <c r="AK375" s="436">
        <f>IF(NFI_Expiration=1,IF($A375&lt;VLOOKUP(T$5,NFI,5,0),1,0)*Table_NFI[[#This Row],[Winter Items Other]],Table_NFI[Winter Items Other])</f>
        <v>0</v>
      </c>
      <c r="AL375" s="436">
        <f>IF(NFI_Expiration=1,IF($A375&lt;VLOOKUP(M$5,NFI,5,0),1,0)*Table_NFI[[#This Row],[Winter Blanket]],Table_NFI[[#This Row],[Winter Blanket]])</f>
        <v>0</v>
      </c>
      <c r="AM375" s="436">
        <f>IF(Table_NFI[[#This Row],[Winter Clothes Adult]]+Table_NFI[[#This Row],[Winter Clothes Children]]+Table_NFI[[#This Row],[Winter Items Other]]+Table_NFI[[#This Row],[Winter Blanket]]&gt;0,1,0)</f>
        <v>0</v>
      </c>
      <c r="AN375" s="439">
        <f>IF(NFI_Expiration=1,IF($A375&lt;VLOOKUP(V$5,NFI,5,0),1,0)*Table_NFI[[#This Row],[Jerry Can]],Table_NFI[Jerry Can])</f>
        <v>0</v>
      </c>
      <c r="AO375" s="771" t="str">
        <f>IFERROR(VLOOKUP(Table_NFI[[#This Row],[Camp Name]],CL,2,0),"")</f>
        <v>MMR001CMP202</v>
      </c>
      <c r="AP375" s="772">
        <f ca="1">IF(Table_NFI[[#This Row],[Pcode]]="","",IF(OFFSET(CampList[Opening Date],MATCH(Table_NFI[[#This Row],[Pcode]],CampList[CP_Pcode],0)-1,0,1,1)&gt;=NFI_Monitor_Date,1,0))</f>
        <v>0</v>
      </c>
      <c r="AQ375" s="771" t="str">
        <f>IFERROR(VLOOKUP(Table_NFI[[#This Row],[Camp Name]],CL,3,0),"")</f>
        <v>Closed</v>
      </c>
      <c r="AR375" s="436" t="str">
        <f ca="1">IF(Table_NFI[[#This Row],[Pcode]]="","",OFFSET(CampList[Priority],MATCH(Table_NFI[[#This Row],[Pcode]],CampList[CP_Pcode],0)-1,0,1,1))</f>
        <v>P4</v>
      </c>
      <c r="AS375" s="438" t="str">
        <f>IFERROR(Table_NFI[[#This Row],[Kitchen Set]]/VLOOKUP(Table_NFI[[#This Row],[Camp Name]],CL,4,0),"")</f>
        <v/>
      </c>
      <c r="AT375" s="769" t="s">
        <v>1099</v>
      </c>
      <c r="AU375" s="773"/>
    </row>
    <row r="376" spans="1:47" s="774" customFormat="1" x14ac:dyDescent="0.25">
      <c r="A376" s="451">
        <f t="shared" si="5"/>
        <v>25.4</v>
      </c>
      <c r="B376" s="768">
        <v>41608</v>
      </c>
      <c r="C376" s="769" t="s">
        <v>912</v>
      </c>
      <c r="D376" s="769" t="s">
        <v>462</v>
      </c>
      <c r="E376" s="769" t="s">
        <v>380</v>
      </c>
      <c r="F376" s="435" t="s">
        <v>310</v>
      </c>
      <c r="G376" s="435" t="s">
        <v>1262</v>
      </c>
      <c r="H376" s="436"/>
      <c r="I376" s="436"/>
      <c r="J376" s="436"/>
      <c r="K376" s="436"/>
      <c r="L376" s="437"/>
      <c r="M376" s="437"/>
      <c r="N376" s="437"/>
      <c r="O376" s="437"/>
      <c r="P376" s="439"/>
      <c r="Q376" s="439">
        <v>729</v>
      </c>
      <c r="R376" s="436"/>
      <c r="S376" s="436"/>
      <c r="T376" s="436"/>
      <c r="U376" s="436"/>
      <c r="V376" s="436"/>
      <c r="W376" s="436"/>
      <c r="X376" s="436"/>
      <c r="Y376" s="436">
        <f>IF(NFI_Expiration=1,IF($A376&lt;VLOOKUP(H$5,NFI,5,0),1,0)*Table_NFI[[#This Row],[Hygiene Kit]],Table_NFI[Hygiene Kit])</f>
        <v>0</v>
      </c>
      <c r="Z376" s="436">
        <f>IF(NFI_Expiration=1,IF($A376&lt;VLOOKUP(I$5,NFI,5,0),1,0)*Table_NFI[[#This Row],[NFI Core Kit]],Table_NFI[NFI Core Kit])</f>
        <v>0</v>
      </c>
      <c r="AA376" s="436">
        <f>IF(NFI_Expiration=1,IF($A376&lt;VLOOKUP(J$5,NFI,5,0),1,0)*Table_NFI[[#This Row],[Sanitary Kit]],Table_NFI[Sanitary Kit])</f>
        <v>0</v>
      </c>
      <c r="AB376" s="436">
        <f>IF(NFI_Expiration=1,IF($A376&lt;VLOOKUP(K$5,NFI,5,0),1,0)*Table_NFI[[#This Row],[Mosquito net]],Table_NFI[Mosquito net])</f>
        <v>0</v>
      </c>
      <c r="AC376" s="436">
        <f>IF(NFI_Expiration=1,IF($A376&lt;VLOOKUP(L$5,NFI,5,0),1,0)*Table_NFI[[#This Row],[Tarpaulin]],Table_NFI[[#This Row],[Tarpaulin]])</f>
        <v>0</v>
      </c>
      <c r="AD376" s="436">
        <f>IF(NFI_Expiration=1,IF($A376&lt;VLOOKUP(M$5,NFI,5,0),1,0)*Table_NFI[[#This Row],[Blanket]],Table_NFI[[#This Row],[Blanket]])</f>
        <v>0</v>
      </c>
      <c r="AE376" s="436">
        <f>IF(NFI_Expiration=1,IF($A376&lt;VLOOKUP(N$5,NFI,5,0),1,0)*Table_NFI[[#This Row],[Kitchen Set]],Table_NFI[Kitchen Set])</f>
        <v>0</v>
      </c>
      <c r="AF376" s="436">
        <f>IF(NFI_Expiration=1,IF($A376&lt;VLOOKUP(O$5,NFI,5,0),1,0)*Table_NFI[[#This Row],[Clothes Kit]],Table_NFI[Clothes Kit])</f>
        <v>0</v>
      </c>
      <c r="AG376" s="436">
        <f>IF(NFI_Expiration=1,IF($A376&lt;VLOOKUP(P$5,NFI,5,0),1,0)*Table_NFI[[#This Row],[Plastic Bucket]],Table_NFI[Plastic Bucket])</f>
        <v>0</v>
      </c>
      <c r="AH376" s="436">
        <f>IF(NFI_Expiration=1,IF($A376&lt;VLOOKUP(Q$5,NFI,5,0),1,0)*Table_NFI[[#This Row],[Plastic Mat]],Table_NFI[Plastic Mat])*IF(Table_NFI[[#This Row],[Distribution Date]]&gt;"2014-04-01",1,2.5)</f>
        <v>0</v>
      </c>
      <c r="AI376" s="436">
        <f>IF(NFI_Expiration=1,IF($A376&lt;VLOOKUP(R$5,NFI,5,0),1,0)*Table_NFI[[#This Row],[Winter Clothes Adult]],Table_NFI[Winter Clothes Adult])</f>
        <v>0</v>
      </c>
      <c r="AJ376" s="436">
        <f>IF(NFI_Expiration=1,IF($A376&lt;VLOOKUP(S$5,NFI,5,0),1,0)*Table_NFI[[#This Row],[Winter Clothes Children]],Table_NFI[Winter Clothes Children])</f>
        <v>0</v>
      </c>
      <c r="AK376" s="436">
        <f>IF(NFI_Expiration=1,IF($A376&lt;VLOOKUP(T$5,NFI,5,0),1,0)*Table_NFI[[#This Row],[Winter Items Other]],Table_NFI[Winter Items Other])</f>
        <v>0</v>
      </c>
      <c r="AL376" s="436">
        <f>IF(NFI_Expiration=1,IF($A376&lt;VLOOKUP(M$5,NFI,5,0),1,0)*Table_NFI[[#This Row],[Winter Blanket]],Table_NFI[[#This Row],[Winter Blanket]])</f>
        <v>0</v>
      </c>
      <c r="AM376" s="436">
        <f>IF(Table_NFI[[#This Row],[Winter Clothes Adult]]+Table_NFI[[#This Row],[Winter Clothes Children]]+Table_NFI[[#This Row],[Winter Items Other]]+Table_NFI[[#This Row],[Winter Blanket]]&gt;0,1,0)</f>
        <v>0</v>
      </c>
      <c r="AN376" s="439">
        <f>IF(NFI_Expiration=1,IF($A376&lt;VLOOKUP(V$5,NFI,5,0),1,0)*Table_NFI[[#This Row],[Jerry Can]],Table_NFI[Jerry Can])</f>
        <v>0</v>
      </c>
      <c r="AO376" s="771" t="str">
        <f>IFERROR(VLOOKUP(Table_NFI[[#This Row],[Camp Name]],CL,2,0),"")</f>
        <v>MMR001CMP117</v>
      </c>
      <c r="AP376" s="772">
        <f ca="1">IF(Table_NFI[[#This Row],[Pcode]]="","",IF(OFFSET(CampList[Opening Date],MATCH(Table_NFI[[#This Row],[Pcode]],CampList[CP_Pcode],0)-1,0,1,1)&gt;=NFI_Monitor_Date,1,0))</f>
        <v>0</v>
      </c>
      <c r="AQ376" s="771" t="str">
        <f>IFERROR(VLOOKUP(Table_NFI[[#This Row],[Camp Name]],CL,3,0),"")</f>
        <v>Closed</v>
      </c>
      <c r="AR376" s="436" t="str">
        <f ca="1">IF(Table_NFI[[#This Row],[Pcode]]="","",OFFSET(CampList[Priority],MATCH(Table_NFI[[#This Row],[Pcode]],CampList[CP_Pcode],0)-1,0,1,1))</f>
        <v>P2</v>
      </c>
      <c r="AS376" s="438" t="str">
        <f>IFERROR(Table_NFI[[#This Row],[Kitchen Set]]/VLOOKUP(Table_NFI[[#This Row],[Camp Name]],CL,4,0),"")</f>
        <v/>
      </c>
      <c r="AT376" s="769" t="s">
        <v>1099</v>
      </c>
      <c r="AU376" s="773"/>
    </row>
    <row r="377" spans="1:47" s="774" customFormat="1" x14ac:dyDescent="0.25">
      <c r="A377" s="451">
        <f t="shared" si="5"/>
        <v>25.4</v>
      </c>
      <c r="B377" s="768">
        <v>41608</v>
      </c>
      <c r="C377" s="769" t="s">
        <v>912</v>
      </c>
      <c r="D377" s="769" t="s">
        <v>1009</v>
      </c>
      <c r="E377" s="769" t="s">
        <v>380</v>
      </c>
      <c r="F377" s="435" t="s">
        <v>151</v>
      </c>
      <c r="G377" s="435" t="s">
        <v>198</v>
      </c>
      <c r="H377" s="436"/>
      <c r="I377" s="436"/>
      <c r="J377" s="436"/>
      <c r="K377" s="436"/>
      <c r="L377" s="437"/>
      <c r="M377" s="437"/>
      <c r="N377" s="437"/>
      <c r="O377" s="437"/>
      <c r="P377" s="439"/>
      <c r="Q377" s="439"/>
      <c r="R377" s="436"/>
      <c r="S377" s="436"/>
      <c r="T377" s="436"/>
      <c r="U377" s="436"/>
      <c r="V377" s="436"/>
      <c r="W377" s="436"/>
      <c r="X377" s="436"/>
      <c r="Y377" s="436">
        <f>IF(NFI_Expiration=1,IF($A377&lt;VLOOKUP(H$5,NFI,5,0),1,0)*Table_NFI[[#This Row],[Hygiene Kit]],Table_NFI[Hygiene Kit])</f>
        <v>0</v>
      </c>
      <c r="Z377" s="436">
        <f>IF(NFI_Expiration=1,IF($A377&lt;VLOOKUP(I$5,NFI,5,0),1,0)*Table_NFI[[#This Row],[NFI Core Kit]],Table_NFI[NFI Core Kit])</f>
        <v>0</v>
      </c>
      <c r="AA377" s="436">
        <f>IF(NFI_Expiration=1,IF($A377&lt;VLOOKUP(J$5,NFI,5,0),1,0)*Table_NFI[[#This Row],[Sanitary Kit]],Table_NFI[Sanitary Kit])</f>
        <v>0</v>
      </c>
      <c r="AB377" s="436">
        <f>IF(NFI_Expiration=1,IF($A377&lt;VLOOKUP(K$5,NFI,5,0),1,0)*Table_NFI[[#This Row],[Mosquito net]],Table_NFI[Mosquito net])</f>
        <v>0</v>
      </c>
      <c r="AC377" s="436">
        <f>IF(NFI_Expiration=1,IF($A377&lt;VLOOKUP(L$5,NFI,5,0),1,0)*Table_NFI[[#This Row],[Tarpaulin]],Table_NFI[[#This Row],[Tarpaulin]])</f>
        <v>0</v>
      </c>
      <c r="AD377" s="436">
        <f>IF(NFI_Expiration=1,IF($A377&lt;VLOOKUP(M$5,NFI,5,0),1,0)*Table_NFI[[#This Row],[Blanket]],Table_NFI[[#This Row],[Blanket]])</f>
        <v>0</v>
      </c>
      <c r="AE377" s="436">
        <f>IF(NFI_Expiration=1,IF($A377&lt;VLOOKUP(N$5,NFI,5,0),1,0)*Table_NFI[[#This Row],[Kitchen Set]],Table_NFI[Kitchen Set])</f>
        <v>0</v>
      </c>
      <c r="AF377" s="436">
        <f>IF(NFI_Expiration=1,IF($A377&lt;VLOOKUP(O$5,NFI,5,0),1,0)*Table_NFI[[#This Row],[Clothes Kit]],Table_NFI[Clothes Kit])</f>
        <v>0</v>
      </c>
      <c r="AG377" s="436">
        <f>IF(NFI_Expiration=1,IF($A377&lt;VLOOKUP(P$5,NFI,5,0),1,0)*Table_NFI[[#This Row],[Plastic Bucket]],Table_NFI[Plastic Bucket])</f>
        <v>0</v>
      </c>
      <c r="AH377" s="436">
        <f>IF(NFI_Expiration=1,IF($A377&lt;VLOOKUP(Q$5,NFI,5,0),1,0)*Table_NFI[[#This Row],[Plastic Mat]],Table_NFI[Plastic Mat])*IF(Table_NFI[[#This Row],[Distribution Date]]&gt;"2014-04-01",1,2.5)</f>
        <v>0</v>
      </c>
      <c r="AI377" s="436">
        <f>IF(NFI_Expiration=1,IF($A377&lt;VLOOKUP(R$5,NFI,5,0),1,0)*Table_NFI[[#This Row],[Winter Clothes Adult]],Table_NFI[Winter Clothes Adult])</f>
        <v>0</v>
      </c>
      <c r="AJ377" s="436">
        <f>IF(NFI_Expiration=1,IF($A377&lt;VLOOKUP(S$5,NFI,5,0),1,0)*Table_NFI[[#This Row],[Winter Clothes Children]],Table_NFI[Winter Clothes Children])</f>
        <v>0</v>
      </c>
      <c r="AK377" s="436">
        <f>IF(NFI_Expiration=1,IF($A377&lt;VLOOKUP(T$5,NFI,5,0),1,0)*Table_NFI[[#This Row],[Winter Items Other]],Table_NFI[Winter Items Other])</f>
        <v>0</v>
      </c>
      <c r="AL377" s="436">
        <f>IF(NFI_Expiration=1,IF($A377&lt;VLOOKUP(M$5,NFI,5,0),1,0)*Table_NFI[[#This Row],[Winter Blanket]],Table_NFI[[#This Row],[Winter Blanket]])</f>
        <v>0</v>
      </c>
      <c r="AM377" s="436">
        <f>IF(Table_NFI[[#This Row],[Winter Clothes Adult]]+Table_NFI[[#This Row],[Winter Clothes Children]]+Table_NFI[[#This Row],[Winter Items Other]]+Table_NFI[[#This Row],[Winter Blanket]]&gt;0,1,0)</f>
        <v>0</v>
      </c>
      <c r="AN377" s="439">
        <f>IF(NFI_Expiration=1,IF($A377&lt;VLOOKUP(V$5,NFI,5,0),1,0)*Table_NFI[[#This Row],[Jerry Can]],Table_NFI[Jerry Can])</f>
        <v>0</v>
      </c>
      <c r="AO377" s="771" t="str">
        <f>IFERROR(VLOOKUP(Table_NFI[[#This Row],[Camp Name]],CL,2,0),"")</f>
        <v>MMR001CMP128</v>
      </c>
      <c r="AP377" s="772">
        <f ca="1">IF(Table_NFI[[#This Row],[Pcode]]="","",IF(OFFSET(CampList[Opening Date],MATCH(Table_NFI[[#This Row],[Pcode]],CampList[CP_Pcode],0)-1,0,1,1)&gt;=NFI_Monitor_Date,1,0))</f>
        <v>0</v>
      </c>
      <c r="AQ377" s="771" t="str">
        <f>IFERROR(VLOOKUP(Table_NFI[[#This Row],[Camp Name]],CL,3,0),"")</f>
        <v>Open</v>
      </c>
      <c r="AR377" s="436" t="str">
        <f ca="1">IF(Table_NFI[[#This Row],[Pcode]]="","",OFFSET(CampList[Priority],MATCH(Table_NFI[[#This Row],[Pcode]],CampList[CP_Pcode],0)-1,0,1,1))</f>
        <v>P2</v>
      </c>
      <c r="AS377" s="438">
        <f>IFERROR(Table_NFI[[#This Row],[Kitchen Set]]/VLOOKUP(Table_NFI[[#This Row],[Camp Name]],CL,4,0),"")</f>
        <v>0</v>
      </c>
      <c r="AT377" s="769" t="s">
        <v>1099</v>
      </c>
      <c r="AU377" s="773"/>
    </row>
    <row r="378" spans="1:47" s="774" customFormat="1" x14ac:dyDescent="0.25">
      <c r="A378" s="451">
        <f t="shared" si="5"/>
        <v>25.4</v>
      </c>
      <c r="B378" s="768">
        <v>41608</v>
      </c>
      <c r="C378" s="769" t="s">
        <v>454</v>
      </c>
      <c r="D378" s="442" t="s">
        <v>454</v>
      </c>
      <c r="E378" s="775" t="s">
        <v>380</v>
      </c>
      <c r="F378" s="435" t="s">
        <v>151</v>
      </c>
      <c r="G378" s="435" t="s">
        <v>198</v>
      </c>
      <c r="H378" s="442"/>
      <c r="I378" s="442"/>
      <c r="J378" s="442"/>
      <c r="K378" s="775"/>
      <c r="L378" s="776"/>
      <c r="M378" s="443"/>
      <c r="N378" s="443"/>
      <c r="O378" s="443"/>
      <c r="P378" s="776"/>
      <c r="Q378" s="443"/>
      <c r="R378" s="442"/>
      <c r="S378" s="442"/>
      <c r="T378" s="442"/>
      <c r="U378" s="442"/>
      <c r="V378" s="442"/>
      <c r="W378" s="442"/>
      <c r="X378" s="442"/>
      <c r="Y378" s="436">
        <f>IF(NFI_Expiration=1,IF($A378&lt;VLOOKUP(H$5,NFI,5,0),1,0)*Table_NFI[[#This Row],[Hygiene Kit]],Table_NFI[Hygiene Kit])</f>
        <v>0</v>
      </c>
      <c r="Z378" s="436">
        <f>IF(NFI_Expiration=1,IF($A378&lt;VLOOKUP(I$5,NFI,5,0),1,0)*Table_NFI[[#This Row],[NFI Core Kit]],Table_NFI[NFI Core Kit])</f>
        <v>0</v>
      </c>
      <c r="AA378" s="436">
        <f>IF(NFI_Expiration=1,IF($A378&lt;VLOOKUP(J$5,NFI,5,0),1,0)*Table_NFI[[#This Row],[Sanitary Kit]],Table_NFI[Sanitary Kit])</f>
        <v>0</v>
      </c>
      <c r="AB378" s="436">
        <f>IF(NFI_Expiration=1,IF($A378&lt;VLOOKUP(K$5,NFI,5,0),1,0)*Table_NFI[[#This Row],[Mosquito net]],Table_NFI[Mosquito net])</f>
        <v>0</v>
      </c>
      <c r="AC378" s="436">
        <f>IF(NFI_Expiration=1,IF($A378&lt;VLOOKUP(L$5,NFI,5,0),1,0)*Table_NFI[[#This Row],[Tarpaulin]],Table_NFI[[#This Row],[Tarpaulin]])</f>
        <v>0</v>
      </c>
      <c r="AD378" s="436">
        <f>IF(NFI_Expiration=1,IF($A378&lt;VLOOKUP(M$5,NFI,5,0),1,0)*Table_NFI[[#This Row],[Blanket]],Table_NFI[[#This Row],[Blanket]])</f>
        <v>0</v>
      </c>
      <c r="AE378" s="436">
        <f>IF(NFI_Expiration=1,IF($A378&lt;VLOOKUP(N$5,NFI,5,0),1,0)*Table_NFI[[#This Row],[Kitchen Set]],Table_NFI[Kitchen Set])</f>
        <v>0</v>
      </c>
      <c r="AF378" s="436">
        <f>IF(NFI_Expiration=1,IF($A378&lt;VLOOKUP(O$5,NFI,5,0),1,0)*Table_NFI[[#This Row],[Clothes Kit]],Table_NFI[Clothes Kit])</f>
        <v>0</v>
      </c>
      <c r="AG378" s="436">
        <f>IF(NFI_Expiration=1,IF($A378&lt;VLOOKUP(P$5,NFI,5,0),1,0)*Table_NFI[[#This Row],[Plastic Bucket]],Table_NFI[Plastic Bucket])</f>
        <v>0</v>
      </c>
      <c r="AH378" s="436">
        <f>IF(NFI_Expiration=1,IF($A378&lt;VLOOKUP(Q$5,NFI,5,0),1,0)*Table_NFI[[#This Row],[Plastic Mat]],Table_NFI[Plastic Mat])*IF(Table_NFI[[#This Row],[Distribution Date]]&gt;"2014-04-01",1,2.5)</f>
        <v>0</v>
      </c>
      <c r="AI378" s="436">
        <f>IF(NFI_Expiration=1,IF($A378&lt;VLOOKUP(R$5,NFI,5,0),1,0)*Table_NFI[[#This Row],[Winter Clothes Adult]],Table_NFI[Winter Clothes Adult])</f>
        <v>0</v>
      </c>
      <c r="AJ378" s="436">
        <f>IF(NFI_Expiration=1,IF($A378&lt;VLOOKUP(S$5,NFI,5,0),1,0)*Table_NFI[[#This Row],[Winter Clothes Children]],Table_NFI[Winter Clothes Children])</f>
        <v>0</v>
      </c>
      <c r="AK378" s="436">
        <f>IF(NFI_Expiration=1,IF($A378&lt;VLOOKUP(T$5,NFI,5,0),1,0)*Table_NFI[[#This Row],[Winter Items Other]],Table_NFI[Winter Items Other])</f>
        <v>0</v>
      </c>
      <c r="AL378" s="436">
        <f>IF(NFI_Expiration=1,IF($A378&lt;VLOOKUP(M$5,NFI,5,0),1,0)*Table_NFI[[#This Row],[Winter Blanket]],Table_NFI[[#This Row],[Winter Blanket]])</f>
        <v>0</v>
      </c>
      <c r="AM378" s="436">
        <f>IF(Table_NFI[[#This Row],[Winter Clothes Adult]]+Table_NFI[[#This Row],[Winter Clothes Children]]+Table_NFI[[#This Row],[Winter Items Other]]+Table_NFI[[#This Row],[Winter Blanket]]&gt;0,1,0)</f>
        <v>0</v>
      </c>
      <c r="AN378" s="439">
        <f>IF(NFI_Expiration=1,IF($A378&lt;VLOOKUP(V$5,NFI,5,0),1,0)*Table_NFI[[#This Row],[Jerry Can]],Table_NFI[Jerry Can])</f>
        <v>0</v>
      </c>
      <c r="AO378" s="771" t="str">
        <f>IFERROR(VLOOKUP(Table_NFI[[#This Row],[Camp Name]],CL,2,0),"")</f>
        <v>MMR001CMP128</v>
      </c>
      <c r="AP378" s="772">
        <f ca="1">IF(Table_NFI[[#This Row],[Pcode]]="","",IF(OFFSET(CampList[Opening Date],MATCH(Table_NFI[[#This Row],[Pcode]],CampList[CP_Pcode],0)-1,0,1,1)&gt;=NFI_Monitor_Date,1,0))</f>
        <v>0</v>
      </c>
      <c r="AQ378" s="781" t="str">
        <f>IFERROR(VLOOKUP(Table_NFI[[#This Row],[Camp Name]],CL,3,0),"")</f>
        <v>Open</v>
      </c>
      <c r="AR378" s="439" t="str">
        <f ca="1">IF(Table_NFI[[#This Row],[Pcode]]="","",OFFSET(CampList[Priority],MATCH(Table_NFI[[#This Row],[Pcode]],CampList[CP_Pcode],0)-1,0,1,1))</f>
        <v>P2</v>
      </c>
      <c r="AS378" s="438">
        <f>IFERROR(Table_NFI[[#This Row],[Kitchen Set]]/VLOOKUP(Table_NFI[[#This Row],[Camp Name]],CL,4,0),"")</f>
        <v>0</v>
      </c>
      <c r="AT378" s="769" t="s">
        <v>1099</v>
      </c>
      <c r="AU378" s="773"/>
    </row>
    <row r="379" spans="1:47" s="774" customFormat="1" x14ac:dyDescent="0.25">
      <c r="A379" s="451">
        <f t="shared" si="5"/>
        <v>25.4</v>
      </c>
      <c r="B379" s="768">
        <v>41608</v>
      </c>
      <c r="C379" s="769" t="s">
        <v>912</v>
      </c>
      <c r="D379" s="769" t="s">
        <v>462</v>
      </c>
      <c r="E379" s="769" t="s">
        <v>380</v>
      </c>
      <c r="F379" s="435" t="s">
        <v>27</v>
      </c>
      <c r="G379" s="435" t="s">
        <v>365</v>
      </c>
      <c r="H379" s="436"/>
      <c r="I379" s="436"/>
      <c r="J379" s="436"/>
      <c r="K379" s="436"/>
      <c r="L379" s="437"/>
      <c r="M379" s="437"/>
      <c r="N379" s="437"/>
      <c r="O379" s="437"/>
      <c r="P379" s="439"/>
      <c r="Q379" s="439"/>
      <c r="R379" s="436"/>
      <c r="S379" s="436"/>
      <c r="T379" s="436"/>
      <c r="U379" s="436"/>
      <c r="V379" s="436"/>
      <c r="W379" s="436"/>
      <c r="X379" s="436"/>
      <c r="Y379" s="436">
        <f>IF(NFI_Expiration=1,IF($A379&lt;VLOOKUP(H$5,NFI,5,0),1,0)*Table_NFI[[#This Row],[Hygiene Kit]],Table_NFI[Hygiene Kit])</f>
        <v>0</v>
      </c>
      <c r="Z379" s="436">
        <f>IF(NFI_Expiration=1,IF($A379&lt;VLOOKUP(I$5,NFI,5,0),1,0)*Table_NFI[[#This Row],[NFI Core Kit]],Table_NFI[NFI Core Kit])</f>
        <v>0</v>
      </c>
      <c r="AA379" s="436">
        <f>IF(NFI_Expiration=1,IF($A379&lt;VLOOKUP(J$5,NFI,5,0),1,0)*Table_NFI[[#This Row],[Sanitary Kit]],Table_NFI[Sanitary Kit])</f>
        <v>0</v>
      </c>
      <c r="AB379" s="436">
        <f>IF(NFI_Expiration=1,IF($A379&lt;VLOOKUP(K$5,NFI,5,0),1,0)*Table_NFI[[#This Row],[Mosquito net]],Table_NFI[Mosquito net])</f>
        <v>0</v>
      </c>
      <c r="AC379" s="436">
        <f>IF(NFI_Expiration=1,IF($A379&lt;VLOOKUP(L$5,NFI,5,0),1,0)*Table_NFI[[#This Row],[Tarpaulin]],Table_NFI[[#This Row],[Tarpaulin]])</f>
        <v>0</v>
      </c>
      <c r="AD379" s="436">
        <f>IF(NFI_Expiration=1,IF($A379&lt;VLOOKUP(M$5,NFI,5,0),1,0)*Table_NFI[[#This Row],[Blanket]],Table_NFI[[#This Row],[Blanket]])</f>
        <v>0</v>
      </c>
      <c r="AE379" s="436">
        <f>IF(NFI_Expiration=1,IF($A379&lt;VLOOKUP(N$5,NFI,5,0),1,0)*Table_NFI[[#This Row],[Kitchen Set]],Table_NFI[Kitchen Set])</f>
        <v>0</v>
      </c>
      <c r="AF379" s="436">
        <f>IF(NFI_Expiration=1,IF($A379&lt;VLOOKUP(O$5,NFI,5,0),1,0)*Table_NFI[[#This Row],[Clothes Kit]],Table_NFI[Clothes Kit])</f>
        <v>0</v>
      </c>
      <c r="AG379" s="436">
        <f>IF(NFI_Expiration=1,IF($A379&lt;VLOOKUP(P$5,NFI,5,0),1,0)*Table_NFI[[#This Row],[Plastic Bucket]],Table_NFI[Plastic Bucket])</f>
        <v>0</v>
      </c>
      <c r="AH379" s="436">
        <f>IF(NFI_Expiration=1,IF($A379&lt;VLOOKUP(Q$5,NFI,5,0),1,0)*Table_NFI[[#This Row],[Plastic Mat]],Table_NFI[Plastic Mat])*IF(Table_NFI[[#This Row],[Distribution Date]]&gt;"2014-04-01",1,2.5)</f>
        <v>0</v>
      </c>
      <c r="AI379" s="436">
        <f>IF(NFI_Expiration=1,IF($A379&lt;VLOOKUP(R$5,NFI,5,0),1,0)*Table_NFI[[#This Row],[Winter Clothes Adult]],Table_NFI[Winter Clothes Adult])</f>
        <v>0</v>
      </c>
      <c r="AJ379" s="436">
        <f>IF(NFI_Expiration=1,IF($A379&lt;VLOOKUP(S$5,NFI,5,0),1,0)*Table_NFI[[#This Row],[Winter Clothes Children]],Table_NFI[Winter Clothes Children])</f>
        <v>0</v>
      </c>
      <c r="AK379" s="436">
        <f>IF(NFI_Expiration=1,IF($A379&lt;VLOOKUP(T$5,NFI,5,0),1,0)*Table_NFI[[#This Row],[Winter Items Other]],Table_NFI[Winter Items Other])</f>
        <v>0</v>
      </c>
      <c r="AL379" s="436">
        <f>IF(NFI_Expiration=1,IF($A379&lt;VLOOKUP(M$5,NFI,5,0),1,0)*Table_NFI[[#This Row],[Winter Blanket]],Table_NFI[[#This Row],[Winter Blanket]])</f>
        <v>0</v>
      </c>
      <c r="AM379" s="436">
        <f>IF(Table_NFI[[#This Row],[Winter Clothes Adult]]+Table_NFI[[#This Row],[Winter Clothes Children]]+Table_NFI[[#This Row],[Winter Items Other]]+Table_NFI[[#This Row],[Winter Blanket]]&gt;0,1,0)</f>
        <v>0</v>
      </c>
      <c r="AN379" s="439">
        <f>IF(NFI_Expiration=1,IF($A379&lt;VLOOKUP(V$5,NFI,5,0),1,0)*Table_NFI[[#This Row],[Jerry Can]],Table_NFI[Jerry Can])</f>
        <v>0</v>
      </c>
      <c r="AO379" s="771" t="str">
        <f>IFERROR(VLOOKUP(Table_NFI[[#This Row],[Camp Name]],CL,2,0),"")</f>
        <v>MMR001CMP195</v>
      </c>
      <c r="AP379" s="772">
        <f ca="1">IF(Table_NFI[[#This Row],[Pcode]]="","",IF(OFFSET(CampList[Opening Date],MATCH(Table_NFI[[#This Row],[Pcode]],CampList[CP_Pcode],0)-1,0,1,1)&gt;=NFI_Monitor_Date,1,0))</f>
        <v>0</v>
      </c>
      <c r="AQ379" s="771" t="str">
        <f>IFERROR(VLOOKUP(Table_NFI[[#This Row],[Camp Name]],CL,3,0),"")</f>
        <v>Open</v>
      </c>
      <c r="AR379" s="436" t="str">
        <f ca="1">IF(Table_NFI[[#This Row],[Pcode]]="","",OFFSET(CampList[Priority],MATCH(Table_NFI[[#This Row],[Pcode]],CampList[CP_Pcode],0)-1,0,1,1))</f>
        <v>P1</v>
      </c>
      <c r="AS379" s="438">
        <f>IFERROR(Table_NFI[[#This Row],[Kitchen Set]]/VLOOKUP(Table_NFI[[#This Row],[Camp Name]],CL,4,0),"")</f>
        <v>0</v>
      </c>
      <c r="AT379" s="769" t="s">
        <v>1099</v>
      </c>
      <c r="AU379" s="773"/>
    </row>
    <row r="380" spans="1:47" s="774" customFormat="1" x14ac:dyDescent="0.25">
      <c r="A380" s="451">
        <f t="shared" si="5"/>
        <v>25.4</v>
      </c>
      <c r="B380" s="768">
        <v>41608</v>
      </c>
      <c r="C380" s="769" t="s">
        <v>1104</v>
      </c>
      <c r="D380" s="442" t="s">
        <v>951</v>
      </c>
      <c r="E380" s="775" t="s">
        <v>380</v>
      </c>
      <c r="F380" s="435" t="s">
        <v>5</v>
      </c>
      <c r="G380" s="435" t="s">
        <v>18</v>
      </c>
      <c r="H380" s="442"/>
      <c r="I380" s="442"/>
      <c r="J380" s="442"/>
      <c r="K380" s="775"/>
      <c r="L380" s="776"/>
      <c r="M380" s="443">
        <v>206</v>
      </c>
      <c r="N380" s="443"/>
      <c r="O380" s="443"/>
      <c r="P380" s="776"/>
      <c r="Q380" s="443"/>
      <c r="R380" s="442">
        <v>242</v>
      </c>
      <c r="S380" s="442">
        <v>156</v>
      </c>
      <c r="T380" s="442">
        <v>0</v>
      </c>
      <c r="U380" s="442"/>
      <c r="V380" s="442"/>
      <c r="W380" s="442"/>
      <c r="X380" s="442"/>
      <c r="Y380" s="436">
        <f>IF(NFI_Expiration=1,IF($A380&lt;VLOOKUP(H$5,NFI,5,0),1,0)*Table_NFI[[#This Row],[Hygiene Kit]],Table_NFI[Hygiene Kit])</f>
        <v>0</v>
      </c>
      <c r="Z380" s="436">
        <f>IF(NFI_Expiration=1,IF($A380&lt;VLOOKUP(I$5,NFI,5,0),1,0)*Table_NFI[[#This Row],[NFI Core Kit]],Table_NFI[NFI Core Kit])</f>
        <v>0</v>
      </c>
      <c r="AA380" s="436">
        <f>IF(NFI_Expiration=1,IF($A380&lt;VLOOKUP(J$5,NFI,5,0),1,0)*Table_NFI[[#This Row],[Sanitary Kit]],Table_NFI[Sanitary Kit])</f>
        <v>0</v>
      </c>
      <c r="AB380" s="436">
        <f>IF(NFI_Expiration=1,IF($A380&lt;VLOOKUP(K$5,NFI,5,0),1,0)*Table_NFI[[#This Row],[Mosquito net]],Table_NFI[Mosquito net])</f>
        <v>0</v>
      </c>
      <c r="AC380" s="436">
        <f>IF(NFI_Expiration=1,IF($A380&lt;VLOOKUP(L$5,NFI,5,0),1,0)*Table_NFI[[#This Row],[Tarpaulin]],Table_NFI[[#This Row],[Tarpaulin]])</f>
        <v>0</v>
      </c>
      <c r="AD380" s="436">
        <f>IF(NFI_Expiration=1,IF($A380&lt;VLOOKUP(M$5,NFI,5,0),1,0)*Table_NFI[[#This Row],[Blanket]],Table_NFI[[#This Row],[Blanket]])</f>
        <v>0</v>
      </c>
      <c r="AE380" s="436">
        <f>IF(NFI_Expiration=1,IF($A380&lt;VLOOKUP(N$5,NFI,5,0),1,0)*Table_NFI[[#This Row],[Kitchen Set]],Table_NFI[Kitchen Set])</f>
        <v>0</v>
      </c>
      <c r="AF380" s="436">
        <f>IF(NFI_Expiration=1,IF($A380&lt;VLOOKUP(O$5,NFI,5,0),1,0)*Table_NFI[[#This Row],[Clothes Kit]],Table_NFI[Clothes Kit])</f>
        <v>0</v>
      </c>
      <c r="AG380" s="436">
        <f>IF(NFI_Expiration=1,IF($A380&lt;VLOOKUP(P$5,NFI,5,0),1,0)*Table_NFI[[#This Row],[Plastic Bucket]],Table_NFI[Plastic Bucket])</f>
        <v>0</v>
      </c>
      <c r="AH380" s="436">
        <f>IF(NFI_Expiration=1,IF($A380&lt;VLOOKUP(Q$5,NFI,5,0),1,0)*Table_NFI[[#This Row],[Plastic Mat]],Table_NFI[Plastic Mat])*IF(Table_NFI[[#This Row],[Distribution Date]]&gt;"2014-04-01",1,2.5)</f>
        <v>0</v>
      </c>
      <c r="AI380" s="436">
        <f>IF(NFI_Expiration=1,IF($A380&lt;VLOOKUP(R$5,NFI,5,0),1,0)*Table_NFI[[#This Row],[Winter Clothes Adult]],Table_NFI[Winter Clothes Adult])</f>
        <v>0</v>
      </c>
      <c r="AJ380" s="436">
        <f>IF(NFI_Expiration=1,IF($A380&lt;VLOOKUP(S$5,NFI,5,0),1,0)*Table_NFI[[#This Row],[Winter Clothes Children]],Table_NFI[Winter Clothes Children])</f>
        <v>0</v>
      </c>
      <c r="AK380" s="436">
        <f>IF(NFI_Expiration=1,IF($A380&lt;VLOOKUP(T$5,NFI,5,0),1,0)*Table_NFI[[#This Row],[Winter Items Other]],Table_NFI[Winter Items Other])</f>
        <v>0</v>
      </c>
      <c r="AL380" s="436">
        <f>IF(NFI_Expiration=1,IF($A380&lt;VLOOKUP(M$5,NFI,5,0),1,0)*Table_NFI[[#This Row],[Winter Blanket]],Table_NFI[[#This Row],[Winter Blanket]])</f>
        <v>0</v>
      </c>
      <c r="AM380" s="436">
        <f>IF(Table_NFI[[#This Row],[Winter Clothes Adult]]+Table_NFI[[#This Row],[Winter Clothes Children]]+Table_NFI[[#This Row],[Winter Items Other]]+Table_NFI[[#This Row],[Winter Blanket]]&gt;0,1,0)</f>
        <v>1</v>
      </c>
      <c r="AN380" s="439">
        <f>IF(NFI_Expiration=1,IF($A380&lt;VLOOKUP(V$5,NFI,5,0),1,0)*Table_NFI[[#This Row],[Jerry Can]],Table_NFI[Jerry Can])</f>
        <v>0</v>
      </c>
      <c r="AO380" s="771" t="str">
        <f>IFERROR(VLOOKUP(Table_NFI[[#This Row],[Camp Name]],CL,2,0),"")</f>
        <v>MMR001CMP049</v>
      </c>
      <c r="AP380" s="772">
        <f ca="1">IF(Table_NFI[[#This Row],[Pcode]]="","",IF(OFFSET(CampList[Opening Date],MATCH(Table_NFI[[#This Row],[Pcode]],CampList[CP_Pcode],0)-1,0,1,1)&gt;=NFI_Monitor_Date,1,0))</f>
        <v>0</v>
      </c>
      <c r="AQ380" s="771" t="str">
        <f>IFERROR(VLOOKUP(Table_NFI[[#This Row],[Camp Name]],CL,3,0),"")</f>
        <v>Open</v>
      </c>
      <c r="AR380" s="436" t="str">
        <f ca="1">IF(Table_NFI[[#This Row],[Pcode]]="","",OFFSET(CampList[Priority],MATCH(Table_NFI[[#This Row],[Pcode]],CampList[CP_Pcode],0)-1,0,1,1))</f>
        <v>P4</v>
      </c>
      <c r="AS380" s="438">
        <f>IFERROR(Table_NFI[[#This Row],[Kitchen Set]]/VLOOKUP(Table_NFI[[#This Row],[Camp Name]],CL,4,0),"")</f>
        <v>0</v>
      </c>
      <c r="AT380" s="769" t="s">
        <v>1099</v>
      </c>
      <c r="AU380" s="773"/>
    </row>
    <row r="381" spans="1:47" s="774" customFormat="1" x14ac:dyDescent="0.25">
      <c r="A381" s="451">
        <f t="shared" si="5"/>
        <v>25.4</v>
      </c>
      <c r="B381" s="768">
        <v>41608</v>
      </c>
      <c r="C381" s="769" t="s">
        <v>912</v>
      </c>
      <c r="D381" s="769"/>
      <c r="E381" s="769" t="s">
        <v>380</v>
      </c>
      <c r="F381" s="435" t="s">
        <v>5</v>
      </c>
      <c r="G381" s="435" t="s">
        <v>18</v>
      </c>
      <c r="H381" s="436"/>
      <c r="I381" s="436"/>
      <c r="J381" s="436"/>
      <c r="K381" s="436"/>
      <c r="L381" s="437"/>
      <c r="M381" s="437"/>
      <c r="N381" s="437"/>
      <c r="O381" s="437"/>
      <c r="P381" s="439"/>
      <c r="Q381" s="439">
        <v>120</v>
      </c>
      <c r="R381" s="436"/>
      <c r="S381" s="436"/>
      <c r="T381" s="436"/>
      <c r="U381" s="436"/>
      <c r="V381" s="436"/>
      <c r="W381" s="436"/>
      <c r="X381" s="436"/>
      <c r="Y381" s="436">
        <f>IF(NFI_Expiration=1,IF($A381&lt;VLOOKUP(H$5,NFI,5,0),1,0)*Table_NFI[[#This Row],[Hygiene Kit]],Table_NFI[Hygiene Kit])</f>
        <v>0</v>
      </c>
      <c r="Z381" s="436">
        <f>IF(NFI_Expiration=1,IF($A381&lt;VLOOKUP(I$5,NFI,5,0),1,0)*Table_NFI[[#This Row],[NFI Core Kit]],Table_NFI[NFI Core Kit])</f>
        <v>0</v>
      </c>
      <c r="AA381" s="436">
        <f>IF(NFI_Expiration=1,IF($A381&lt;VLOOKUP(J$5,NFI,5,0),1,0)*Table_NFI[[#This Row],[Sanitary Kit]],Table_NFI[Sanitary Kit])</f>
        <v>0</v>
      </c>
      <c r="AB381" s="436">
        <f>IF(NFI_Expiration=1,IF($A381&lt;VLOOKUP(K$5,NFI,5,0),1,0)*Table_NFI[[#This Row],[Mosquito net]],Table_NFI[Mosquito net])</f>
        <v>0</v>
      </c>
      <c r="AC381" s="436">
        <f>IF(NFI_Expiration=1,IF($A381&lt;VLOOKUP(L$5,NFI,5,0),1,0)*Table_NFI[[#This Row],[Tarpaulin]],Table_NFI[[#This Row],[Tarpaulin]])</f>
        <v>0</v>
      </c>
      <c r="AD381" s="436">
        <f>IF(NFI_Expiration=1,IF($A381&lt;VLOOKUP(M$5,NFI,5,0),1,0)*Table_NFI[[#This Row],[Blanket]],Table_NFI[[#This Row],[Blanket]])</f>
        <v>0</v>
      </c>
      <c r="AE381" s="436">
        <f>IF(NFI_Expiration=1,IF($A381&lt;VLOOKUP(N$5,NFI,5,0),1,0)*Table_NFI[[#This Row],[Kitchen Set]],Table_NFI[Kitchen Set])</f>
        <v>0</v>
      </c>
      <c r="AF381" s="436">
        <f>IF(NFI_Expiration=1,IF($A381&lt;VLOOKUP(O$5,NFI,5,0),1,0)*Table_NFI[[#This Row],[Clothes Kit]],Table_NFI[Clothes Kit])</f>
        <v>0</v>
      </c>
      <c r="AG381" s="436">
        <f>IF(NFI_Expiration=1,IF($A381&lt;VLOOKUP(P$5,NFI,5,0),1,0)*Table_NFI[[#This Row],[Plastic Bucket]],Table_NFI[Plastic Bucket])</f>
        <v>0</v>
      </c>
      <c r="AH381" s="436">
        <f>IF(NFI_Expiration=1,IF($A381&lt;VLOOKUP(Q$5,NFI,5,0),1,0)*Table_NFI[[#This Row],[Plastic Mat]],Table_NFI[Plastic Mat])*IF(Table_NFI[[#This Row],[Distribution Date]]&gt;"2014-04-01",1,2.5)</f>
        <v>0</v>
      </c>
      <c r="AI381" s="436">
        <f>IF(NFI_Expiration=1,IF($A381&lt;VLOOKUP(R$5,NFI,5,0),1,0)*Table_NFI[[#This Row],[Winter Clothes Adult]],Table_NFI[Winter Clothes Adult])</f>
        <v>0</v>
      </c>
      <c r="AJ381" s="436">
        <f>IF(NFI_Expiration=1,IF($A381&lt;VLOOKUP(S$5,NFI,5,0),1,0)*Table_NFI[[#This Row],[Winter Clothes Children]],Table_NFI[Winter Clothes Children])</f>
        <v>0</v>
      </c>
      <c r="AK381" s="436">
        <f>IF(NFI_Expiration=1,IF($A381&lt;VLOOKUP(T$5,NFI,5,0),1,0)*Table_NFI[[#This Row],[Winter Items Other]],Table_NFI[Winter Items Other])</f>
        <v>0</v>
      </c>
      <c r="AL381" s="436">
        <f>IF(NFI_Expiration=1,IF($A381&lt;VLOOKUP(M$5,NFI,5,0),1,0)*Table_NFI[[#This Row],[Winter Blanket]],Table_NFI[[#This Row],[Winter Blanket]])</f>
        <v>0</v>
      </c>
      <c r="AM381" s="436">
        <f>IF(Table_NFI[[#This Row],[Winter Clothes Adult]]+Table_NFI[[#This Row],[Winter Clothes Children]]+Table_NFI[[#This Row],[Winter Items Other]]+Table_NFI[[#This Row],[Winter Blanket]]&gt;0,1,0)</f>
        <v>0</v>
      </c>
      <c r="AN381" s="439">
        <f>IF(NFI_Expiration=1,IF($A381&lt;VLOOKUP(V$5,NFI,5,0),1,0)*Table_NFI[[#This Row],[Jerry Can]],Table_NFI[Jerry Can])</f>
        <v>0</v>
      </c>
      <c r="AO381" s="771" t="str">
        <f>IFERROR(VLOOKUP(Table_NFI[[#This Row],[Camp Name]],CL,2,0),"")</f>
        <v>MMR001CMP049</v>
      </c>
      <c r="AP381" s="772">
        <f ca="1">IF(Table_NFI[[#This Row],[Pcode]]="","",IF(OFFSET(CampList[Opening Date],MATCH(Table_NFI[[#This Row],[Pcode]],CampList[CP_Pcode],0)-1,0,1,1)&gt;=NFI_Monitor_Date,1,0))</f>
        <v>0</v>
      </c>
      <c r="AQ381" s="771" t="str">
        <f>IFERROR(VLOOKUP(Table_NFI[[#This Row],[Camp Name]],CL,3,0),"")</f>
        <v>Open</v>
      </c>
      <c r="AR381" s="436" t="str">
        <f ca="1">IF(Table_NFI[[#This Row],[Pcode]]="","",OFFSET(CampList[Priority],MATCH(Table_NFI[[#This Row],[Pcode]],CampList[CP_Pcode],0)-1,0,1,1))</f>
        <v>P4</v>
      </c>
      <c r="AS381" s="438">
        <f>IFERROR(Table_NFI[[#This Row],[Kitchen Set]]/VLOOKUP(Table_NFI[[#This Row],[Camp Name]],CL,4,0),"")</f>
        <v>0</v>
      </c>
      <c r="AT381" s="769" t="s">
        <v>1099</v>
      </c>
      <c r="AU381" s="773"/>
    </row>
    <row r="382" spans="1:47" s="774" customFormat="1" x14ac:dyDescent="0.25">
      <c r="A382" s="451">
        <f t="shared" si="5"/>
        <v>25.4</v>
      </c>
      <c r="B382" s="768">
        <v>41608</v>
      </c>
      <c r="C382" s="769" t="s">
        <v>912</v>
      </c>
      <c r="D382" s="769"/>
      <c r="E382" s="769" t="s">
        <v>380</v>
      </c>
      <c r="F382" s="435" t="s">
        <v>185</v>
      </c>
      <c r="G382" s="435" t="s">
        <v>186</v>
      </c>
      <c r="H382" s="436"/>
      <c r="I382" s="436"/>
      <c r="J382" s="436"/>
      <c r="K382" s="436"/>
      <c r="L382" s="437"/>
      <c r="M382" s="437"/>
      <c r="N382" s="437"/>
      <c r="O382" s="437"/>
      <c r="P382" s="439"/>
      <c r="Q382" s="439">
        <v>105</v>
      </c>
      <c r="R382" s="436"/>
      <c r="S382" s="436"/>
      <c r="T382" s="436"/>
      <c r="U382" s="436"/>
      <c r="V382" s="436"/>
      <c r="W382" s="436"/>
      <c r="X382" s="436"/>
      <c r="Y382" s="436">
        <f>IF(NFI_Expiration=1,IF($A382&lt;VLOOKUP(H$5,NFI,5,0),1,0)*Table_NFI[[#This Row],[Hygiene Kit]],Table_NFI[Hygiene Kit])</f>
        <v>0</v>
      </c>
      <c r="Z382" s="436">
        <f>IF(NFI_Expiration=1,IF($A382&lt;VLOOKUP(I$5,NFI,5,0),1,0)*Table_NFI[[#This Row],[NFI Core Kit]],Table_NFI[NFI Core Kit])</f>
        <v>0</v>
      </c>
      <c r="AA382" s="436">
        <f>IF(NFI_Expiration=1,IF($A382&lt;VLOOKUP(J$5,NFI,5,0),1,0)*Table_NFI[[#This Row],[Sanitary Kit]],Table_NFI[Sanitary Kit])</f>
        <v>0</v>
      </c>
      <c r="AB382" s="436">
        <f>IF(NFI_Expiration=1,IF($A382&lt;VLOOKUP(K$5,NFI,5,0),1,0)*Table_NFI[[#This Row],[Mosquito net]],Table_NFI[Mosquito net])</f>
        <v>0</v>
      </c>
      <c r="AC382" s="436">
        <f>IF(NFI_Expiration=1,IF($A382&lt;VLOOKUP(L$5,NFI,5,0),1,0)*Table_NFI[[#This Row],[Tarpaulin]],Table_NFI[[#This Row],[Tarpaulin]])</f>
        <v>0</v>
      </c>
      <c r="AD382" s="436">
        <f>IF(NFI_Expiration=1,IF($A382&lt;VLOOKUP(M$5,NFI,5,0),1,0)*Table_NFI[[#This Row],[Blanket]],Table_NFI[[#This Row],[Blanket]])</f>
        <v>0</v>
      </c>
      <c r="AE382" s="436">
        <f>IF(NFI_Expiration=1,IF($A382&lt;VLOOKUP(N$5,NFI,5,0),1,0)*Table_NFI[[#This Row],[Kitchen Set]],Table_NFI[Kitchen Set])</f>
        <v>0</v>
      </c>
      <c r="AF382" s="436">
        <f>IF(NFI_Expiration=1,IF($A382&lt;VLOOKUP(O$5,NFI,5,0),1,0)*Table_NFI[[#This Row],[Clothes Kit]],Table_NFI[Clothes Kit])</f>
        <v>0</v>
      </c>
      <c r="AG382" s="436">
        <f>IF(NFI_Expiration=1,IF($A382&lt;VLOOKUP(P$5,NFI,5,0),1,0)*Table_NFI[[#This Row],[Plastic Bucket]],Table_NFI[Plastic Bucket])</f>
        <v>0</v>
      </c>
      <c r="AH382" s="436">
        <f>IF(NFI_Expiration=1,IF($A382&lt;VLOOKUP(Q$5,NFI,5,0),1,0)*Table_NFI[[#This Row],[Plastic Mat]],Table_NFI[Plastic Mat])*IF(Table_NFI[[#This Row],[Distribution Date]]&gt;"2014-04-01",1,2.5)</f>
        <v>0</v>
      </c>
      <c r="AI382" s="436">
        <f>IF(NFI_Expiration=1,IF($A382&lt;VLOOKUP(R$5,NFI,5,0),1,0)*Table_NFI[[#This Row],[Winter Clothes Adult]],Table_NFI[Winter Clothes Adult])</f>
        <v>0</v>
      </c>
      <c r="AJ382" s="436">
        <f>IF(NFI_Expiration=1,IF($A382&lt;VLOOKUP(S$5,NFI,5,0),1,0)*Table_NFI[[#This Row],[Winter Clothes Children]],Table_NFI[Winter Clothes Children])</f>
        <v>0</v>
      </c>
      <c r="AK382" s="436">
        <f>IF(NFI_Expiration=1,IF($A382&lt;VLOOKUP(T$5,NFI,5,0),1,0)*Table_NFI[[#This Row],[Winter Items Other]],Table_NFI[Winter Items Other])</f>
        <v>0</v>
      </c>
      <c r="AL382" s="436">
        <f>IF(NFI_Expiration=1,IF($A382&lt;VLOOKUP(M$5,NFI,5,0),1,0)*Table_NFI[[#This Row],[Winter Blanket]],Table_NFI[[#This Row],[Winter Blanket]])</f>
        <v>0</v>
      </c>
      <c r="AM382" s="436">
        <f>IF(Table_NFI[[#This Row],[Winter Clothes Adult]]+Table_NFI[[#This Row],[Winter Clothes Children]]+Table_NFI[[#This Row],[Winter Items Other]]+Table_NFI[[#This Row],[Winter Blanket]]&gt;0,1,0)</f>
        <v>0</v>
      </c>
      <c r="AN382" s="439">
        <f>IF(NFI_Expiration=1,IF($A382&lt;VLOOKUP(V$5,NFI,5,0),1,0)*Table_NFI[[#This Row],[Jerry Can]],Table_NFI[Jerry Can])</f>
        <v>0</v>
      </c>
      <c r="AO382" s="771" t="str">
        <f>IFERROR(VLOOKUP(Table_NFI[[#This Row],[Camp Name]],CL,2,0),"")</f>
        <v>MMR001CMP071</v>
      </c>
      <c r="AP382" s="772">
        <f ca="1">IF(Table_NFI[[#This Row],[Pcode]]="","",IF(OFFSET(CampList[Opening Date],MATCH(Table_NFI[[#This Row],[Pcode]],CampList[CP_Pcode],0)-1,0,1,1)&gt;=NFI_Monitor_Date,1,0))</f>
        <v>0</v>
      </c>
      <c r="AQ382" s="771" t="str">
        <f>IFERROR(VLOOKUP(Table_NFI[[#This Row],[Camp Name]],CL,3,0),"")</f>
        <v>Open</v>
      </c>
      <c r="AR382" s="436" t="str">
        <f ca="1">IF(Table_NFI[[#This Row],[Pcode]]="","",OFFSET(CampList[Priority],MATCH(Table_NFI[[#This Row],[Pcode]],CampList[CP_Pcode],0)-1,0,1,1))</f>
        <v>P3</v>
      </c>
      <c r="AS382" s="438">
        <f>IFERROR(Table_NFI[[#This Row],[Kitchen Set]]/VLOOKUP(Table_NFI[[#This Row],[Camp Name]],CL,4,0),"")</f>
        <v>0</v>
      </c>
      <c r="AT382" s="769" t="s">
        <v>1099</v>
      </c>
      <c r="AU382" s="773"/>
    </row>
    <row r="383" spans="1:47" s="774" customFormat="1" x14ac:dyDescent="0.25">
      <c r="A383" s="451">
        <f t="shared" si="5"/>
        <v>25.4</v>
      </c>
      <c r="B383" s="768">
        <v>41608</v>
      </c>
      <c r="C383" s="769" t="s">
        <v>912</v>
      </c>
      <c r="D383" s="769"/>
      <c r="E383" s="769" t="s">
        <v>380</v>
      </c>
      <c r="F383" s="435" t="s">
        <v>185</v>
      </c>
      <c r="G383" s="435" t="s">
        <v>223</v>
      </c>
      <c r="H383" s="436"/>
      <c r="I383" s="436"/>
      <c r="J383" s="436"/>
      <c r="K383" s="436"/>
      <c r="L383" s="437"/>
      <c r="M383" s="437"/>
      <c r="N383" s="437"/>
      <c r="O383" s="437"/>
      <c r="P383" s="439"/>
      <c r="Q383" s="439">
        <v>246</v>
      </c>
      <c r="R383" s="436"/>
      <c r="S383" s="436"/>
      <c r="T383" s="436"/>
      <c r="U383" s="436"/>
      <c r="V383" s="436"/>
      <c r="W383" s="436"/>
      <c r="X383" s="436"/>
      <c r="Y383" s="436">
        <f>IF(NFI_Expiration=1,IF($A383&lt;VLOOKUP(H$5,NFI,5,0),1,0)*Table_NFI[[#This Row],[Hygiene Kit]],Table_NFI[Hygiene Kit])</f>
        <v>0</v>
      </c>
      <c r="Z383" s="436">
        <f>IF(NFI_Expiration=1,IF($A383&lt;VLOOKUP(I$5,NFI,5,0),1,0)*Table_NFI[[#This Row],[NFI Core Kit]],Table_NFI[NFI Core Kit])</f>
        <v>0</v>
      </c>
      <c r="AA383" s="436">
        <f>IF(NFI_Expiration=1,IF($A383&lt;VLOOKUP(J$5,NFI,5,0),1,0)*Table_NFI[[#This Row],[Sanitary Kit]],Table_NFI[Sanitary Kit])</f>
        <v>0</v>
      </c>
      <c r="AB383" s="436">
        <f>IF(NFI_Expiration=1,IF($A383&lt;VLOOKUP(K$5,NFI,5,0),1,0)*Table_NFI[[#This Row],[Mosquito net]],Table_NFI[Mosquito net])</f>
        <v>0</v>
      </c>
      <c r="AC383" s="436">
        <f>IF(NFI_Expiration=1,IF($A383&lt;VLOOKUP(L$5,NFI,5,0),1,0)*Table_NFI[[#This Row],[Tarpaulin]],Table_NFI[[#This Row],[Tarpaulin]])</f>
        <v>0</v>
      </c>
      <c r="AD383" s="436">
        <f>IF(NFI_Expiration=1,IF($A383&lt;VLOOKUP(M$5,NFI,5,0),1,0)*Table_NFI[[#This Row],[Blanket]],Table_NFI[[#This Row],[Blanket]])</f>
        <v>0</v>
      </c>
      <c r="AE383" s="436">
        <f>IF(NFI_Expiration=1,IF($A383&lt;VLOOKUP(N$5,NFI,5,0),1,0)*Table_NFI[[#This Row],[Kitchen Set]],Table_NFI[Kitchen Set])</f>
        <v>0</v>
      </c>
      <c r="AF383" s="436">
        <f>IF(NFI_Expiration=1,IF($A383&lt;VLOOKUP(O$5,NFI,5,0),1,0)*Table_NFI[[#This Row],[Clothes Kit]],Table_NFI[Clothes Kit])</f>
        <v>0</v>
      </c>
      <c r="AG383" s="436">
        <f>IF(NFI_Expiration=1,IF($A383&lt;VLOOKUP(P$5,NFI,5,0),1,0)*Table_NFI[[#This Row],[Plastic Bucket]],Table_NFI[Plastic Bucket])</f>
        <v>0</v>
      </c>
      <c r="AH383" s="436">
        <f>IF(NFI_Expiration=1,IF($A383&lt;VLOOKUP(Q$5,NFI,5,0),1,0)*Table_NFI[[#This Row],[Plastic Mat]],Table_NFI[Plastic Mat])*IF(Table_NFI[[#This Row],[Distribution Date]]&gt;"2014-04-01",1,2.5)</f>
        <v>0</v>
      </c>
      <c r="AI383" s="436">
        <f>IF(NFI_Expiration=1,IF($A383&lt;VLOOKUP(R$5,NFI,5,0),1,0)*Table_NFI[[#This Row],[Winter Clothes Adult]],Table_NFI[Winter Clothes Adult])</f>
        <v>0</v>
      </c>
      <c r="AJ383" s="436">
        <f>IF(NFI_Expiration=1,IF($A383&lt;VLOOKUP(S$5,NFI,5,0),1,0)*Table_NFI[[#This Row],[Winter Clothes Children]],Table_NFI[Winter Clothes Children])</f>
        <v>0</v>
      </c>
      <c r="AK383" s="436">
        <f>IF(NFI_Expiration=1,IF($A383&lt;VLOOKUP(T$5,NFI,5,0),1,0)*Table_NFI[[#This Row],[Winter Items Other]],Table_NFI[Winter Items Other])</f>
        <v>0</v>
      </c>
      <c r="AL383" s="436">
        <f>IF(NFI_Expiration=1,IF($A383&lt;VLOOKUP(M$5,NFI,5,0),1,0)*Table_NFI[[#This Row],[Winter Blanket]],Table_NFI[[#This Row],[Winter Blanket]])</f>
        <v>0</v>
      </c>
      <c r="AM383" s="436">
        <f>IF(Table_NFI[[#This Row],[Winter Clothes Adult]]+Table_NFI[[#This Row],[Winter Clothes Children]]+Table_NFI[[#This Row],[Winter Items Other]]+Table_NFI[[#This Row],[Winter Blanket]]&gt;0,1,0)</f>
        <v>0</v>
      </c>
      <c r="AN383" s="439">
        <f>IF(NFI_Expiration=1,IF($A383&lt;VLOOKUP(V$5,NFI,5,0),1,0)*Table_NFI[[#This Row],[Jerry Can]],Table_NFI[Jerry Can])</f>
        <v>0</v>
      </c>
      <c r="AO383" s="771" t="str">
        <f>IFERROR(VLOOKUP(Table_NFI[[#This Row],[Camp Name]],CL,2,0),"")</f>
        <v>MMR001CMP069</v>
      </c>
      <c r="AP383" s="772">
        <f ca="1">IF(Table_NFI[[#This Row],[Pcode]]="","",IF(OFFSET(CampList[Opening Date],MATCH(Table_NFI[[#This Row],[Pcode]],CampList[CP_Pcode],0)-1,0,1,1)&gt;=NFI_Monitor_Date,1,0))</f>
        <v>0</v>
      </c>
      <c r="AQ383" s="771" t="str">
        <f>IFERROR(VLOOKUP(Table_NFI[[#This Row],[Camp Name]],CL,3,0),"")</f>
        <v>Open</v>
      </c>
      <c r="AR383" s="436" t="str">
        <f ca="1">IF(Table_NFI[[#This Row],[Pcode]]="","",OFFSET(CampList[Priority],MATCH(Table_NFI[[#This Row],[Pcode]],CampList[CP_Pcode],0)-1,0,1,1))</f>
        <v>P3</v>
      </c>
      <c r="AS383" s="438">
        <f>IFERROR(Table_NFI[[#This Row],[Kitchen Set]]/VLOOKUP(Table_NFI[[#This Row],[Camp Name]],CL,4,0),"")</f>
        <v>0</v>
      </c>
      <c r="AT383" s="769" t="s">
        <v>1099</v>
      </c>
      <c r="AU383" s="773"/>
    </row>
    <row r="384" spans="1:47" s="774" customFormat="1" x14ac:dyDescent="0.25">
      <c r="A384" s="451">
        <f t="shared" si="5"/>
        <v>25.4</v>
      </c>
      <c r="B384" s="768">
        <v>41608</v>
      </c>
      <c r="C384" s="769" t="s">
        <v>912</v>
      </c>
      <c r="D384" s="769"/>
      <c r="E384" s="769" t="s">
        <v>380</v>
      </c>
      <c r="F384" s="435" t="s">
        <v>185</v>
      </c>
      <c r="G384" s="435" t="s">
        <v>190</v>
      </c>
      <c r="H384" s="436"/>
      <c r="I384" s="436"/>
      <c r="J384" s="436"/>
      <c r="K384" s="436"/>
      <c r="L384" s="437"/>
      <c r="M384" s="437"/>
      <c r="N384" s="437"/>
      <c r="O384" s="437"/>
      <c r="P384" s="439"/>
      <c r="Q384" s="439">
        <v>369</v>
      </c>
      <c r="R384" s="436"/>
      <c r="S384" s="436"/>
      <c r="T384" s="436"/>
      <c r="U384" s="436"/>
      <c r="V384" s="436"/>
      <c r="W384" s="436"/>
      <c r="X384" s="436"/>
      <c r="Y384" s="436">
        <f>IF(NFI_Expiration=1,IF($A384&lt;VLOOKUP(H$5,NFI,5,0),1,0)*Table_NFI[[#This Row],[Hygiene Kit]],Table_NFI[Hygiene Kit])</f>
        <v>0</v>
      </c>
      <c r="Z384" s="436">
        <f>IF(NFI_Expiration=1,IF($A384&lt;VLOOKUP(I$5,NFI,5,0),1,0)*Table_NFI[[#This Row],[NFI Core Kit]],Table_NFI[NFI Core Kit])</f>
        <v>0</v>
      </c>
      <c r="AA384" s="436">
        <f>IF(NFI_Expiration=1,IF($A384&lt;VLOOKUP(J$5,NFI,5,0),1,0)*Table_NFI[[#This Row],[Sanitary Kit]],Table_NFI[Sanitary Kit])</f>
        <v>0</v>
      </c>
      <c r="AB384" s="436">
        <f>IF(NFI_Expiration=1,IF($A384&lt;VLOOKUP(K$5,NFI,5,0),1,0)*Table_NFI[[#This Row],[Mosquito net]],Table_NFI[Mosquito net])</f>
        <v>0</v>
      </c>
      <c r="AC384" s="436">
        <f>IF(NFI_Expiration=1,IF($A384&lt;VLOOKUP(L$5,NFI,5,0),1,0)*Table_NFI[[#This Row],[Tarpaulin]],Table_NFI[[#This Row],[Tarpaulin]])</f>
        <v>0</v>
      </c>
      <c r="AD384" s="436">
        <f>IF(NFI_Expiration=1,IF($A384&lt;VLOOKUP(M$5,NFI,5,0),1,0)*Table_NFI[[#This Row],[Blanket]],Table_NFI[[#This Row],[Blanket]])</f>
        <v>0</v>
      </c>
      <c r="AE384" s="436">
        <f>IF(NFI_Expiration=1,IF($A384&lt;VLOOKUP(N$5,NFI,5,0),1,0)*Table_NFI[[#This Row],[Kitchen Set]],Table_NFI[Kitchen Set])</f>
        <v>0</v>
      </c>
      <c r="AF384" s="436">
        <f>IF(NFI_Expiration=1,IF($A384&lt;VLOOKUP(O$5,NFI,5,0),1,0)*Table_NFI[[#This Row],[Clothes Kit]],Table_NFI[Clothes Kit])</f>
        <v>0</v>
      </c>
      <c r="AG384" s="436">
        <f>IF(NFI_Expiration=1,IF($A384&lt;VLOOKUP(P$5,NFI,5,0),1,0)*Table_NFI[[#This Row],[Plastic Bucket]],Table_NFI[Plastic Bucket])</f>
        <v>0</v>
      </c>
      <c r="AH384" s="436">
        <f>IF(NFI_Expiration=1,IF($A384&lt;VLOOKUP(Q$5,NFI,5,0),1,0)*Table_NFI[[#This Row],[Plastic Mat]],Table_NFI[Plastic Mat])*IF(Table_NFI[[#This Row],[Distribution Date]]&gt;"2014-04-01",1,2.5)</f>
        <v>0</v>
      </c>
      <c r="AI384" s="436">
        <f>IF(NFI_Expiration=1,IF($A384&lt;VLOOKUP(R$5,NFI,5,0),1,0)*Table_NFI[[#This Row],[Winter Clothes Adult]],Table_NFI[Winter Clothes Adult])</f>
        <v>0</v>
      </c>
      <c r="AJ384" s="436">
        <f>IF(NFI_Expiration=1,IF($A384&lt;VLOOKUP(S$5,NFI,5,0),1,0)*Table_NFI[[#This Row],[Winter Clothes Children]],Table_NFI[Winter Clothes Children])</f>
        <v>0</v>
      </c>
      <c r="AK384" s="436">
        <f>IF(NFI_Expiration=1,IF($A384&lt;VLOOKUP(T$5,NFI,5,0),1,0)*Table_NFI[[#This Row],[Winter Items Other]],Table_NFI[Winter Items Other])</f>
        <v>0</v>
      </c>
      <c r="AL384" s="436">
        <f>IF(NFI_Expiration=1,IF($A384&lt;VLOOKUP(M$5,NFI,5,0),1,0)*Table_NFI[[#This Row],[Winter Blanket]],Table_NFI[[#This Row],[Winter Blanket]])</f>
        <v>0</v>
      </c>
      <c r="AM384" s="436">
        <f>IF(Table_NFI[[#This Row],[Winter Clothes Adult]]+Table_NFI[[#This Row],[Winter Clothes Children]]+Table_NFI[[#This Row],[Winter Items Other]]+Table_NFI[[#This Row],[Winter Blanket]]&gt;0,1,0)</f>
        <v>0</v>
      </c>
      <c r="AN384" s="439">
        <f>IF(NFI_Expiration=1,IF($A384&lt;VLOOKUP(V$5,NFI,5,0),1,0)*Table_NFI[[#This Row],[Jerry Can]],Table_NFI[Jerry Can])</f>
        <v>0</v>
      </c>
      <c r="AO384" s="771" t="str">
        <f>IFERROR(VLOOKUP(Table_NFI[[#This Row],[Camp Name]],CL,2,0),"")</f>
        <v>MMR001CMP070</v>
      </c>
      <c r="AP384" s="772">
        <f ca="1">IF(Table_NFI[[#This Row],[Pcode]]="","",IF(OFFSET(CampList[Opening Date],MATCH(Table_NFI[[#This Row],[Pcode]],CampList[CP_Pcode],0)-1,0,1,1)&gt;=NFI_Monitor_Date,1,0))</f>
        <v>0</v>
      </c>
      <c r="AQ384" s="771" t="str">
        <f>IFERROR(VLOOKUP(Table_NFI[[#This Row],[Camp Name]],CL,3,0),"")</f>
        <v>Open</v>
      </c>
      <c r="AR384" s="436" t="str">
        <f ca="1">IF(Table_NFI[[#This Row],[Pcode]]="","",OFFSET(CampList[Priority],MATCH(Table_NFI[[#This Row],[Pcode]],CampList[CP_Pcode],0)-1,0,1,1))</f>
        <v>P3</v>
      </c>
      <c r="AS384" s="438">
        <f>IFERROR(Table_NFI[[#This Row],[Kitchen Set]]/VLOOKUP(Table_NFI[[#This Row],[Camp Name]],CL,4,0),"")</f>
        <v>0</v>
      </c>
      <c r="AT384" s="769" t="s">
        <v>1099</v>
      </c>
      <c r="AU384" s="773"/>
    </row>
    <row r="385" spans="1:47" s="774" customFormat="1" x14ac:dyDescent="0.25">
      <c r="A385" s="451">
        <f t="shared" si="5"/>
        <v>25.4</v>
      </c>
      <c r="B385" s="768">
        <v>41608</v>
      </c>
      <c r="C385" s="769" t="s">
        <v>912</v>
      </c>
      <c r="D385" s="769" t="s">
        <v>1009</v>
      </c>
      <c r="E385" s="769" t="s">
        <v>380</v>
      </c>
      <c r="F385" s="435" t="s">
        <v>151</v>
      </c>
      <c r="G385" s="435" t="s">
        <v>158</v>
      </c>
      <c r="H385" s="436"/>
      <c r="I385" s="436"/>
      <c r="J385" s="436"/>
      <c r="K385" s="436"/>
      <c r="L385" s="437"/>
      <c r="M385" s="437"/>
      <c r="N385" s="437"/>
      <c r="O385" s="437"/>
      <c r="P385" s="439"/>
      <c r="Q385" s="439"/>
      <c r="R385" s="436"/>
      <c r="S385" s="436"/>
      <c r="T385" s="436"/>
      <c r="U385" s="436"/>
      <c r="V385" s="436"/>
      <c r="W385" s="436"/>
      <c r="X385" s="436"/>
      <c r="Y385" s="436">
        <f>IF(NFI_Expiration=1,IF($A385&lt;VLOOKUP(H$5,NFI,5,0),1,0)*Table_NFI[[#This Row],[Hygiene Kit]],Table_NFI[Hygiene Kit])</f>
        <v>0</v>
      </c>
      <c r="Z385" s="436">
        <f>IF(NFI_Expiration=1,IF($A385&lt;VLOOKUP(I$5,NFI,5,0),1,0)*Table_NFI[[#This Row],[NFI Core Kit]],Table_NFI[NFI Core Kit])</f>
        <v>0</v>
      </c>
      <c r="AA385" s="436">
        <f>IF(NFI_Expiration=1,IF($A385&lt;VLOOKUP(J$5,NFI,5,0),1,0)*Table_NFI[[#This Row],[Sanitary Kit]],Table_NFI[Sanitary Kit])</f>
        <v>0</v>
      </c>
      <c r="AB385" s="436">
        <f>IF(NFI_Expiration=1,IF($A385&lt;VLOOKUP(K$5,NFI,5,0),1,0)*Table_NFI[[#This Row],[Mosquito net]],Table_NFI[Mosquito net])</f>
        <v>0</v>
      </c>
      <c r="AC385" s="436">
        <f>IF(NFI_Expiration=1,IF($A385&lt;VLOOKUP(L$5,NFI,5,0),1,0)*Table_NFI[[#This Row],[Tarpaulin]],Table_NFI[[#This Row],[Tarpaulin]])</f>
        <v>0</v>
      </c>
      <c r="AD385" s="436">
        <f>IF(NFI_Expiration=1,IF($A385&lt;VLOOKUP(M$5,NFI,5,0),1,0)*Table_NFI[[#This Row],[Blanket]],Table_NFI[[#This Row],[Blanket]])</f>
        <v>0</v>
      </c>
      <c r="AE385" s="436">
        <f>IF(NFI_Expiration=1,IF($A385&lt;VLOOKUP(N$5,NFI,5,0),1,0)*Table_NFI[[#This Row],[Kitchen Set]],Table_NFI[Kitchen Set])</f>
        <v>0</v>
      </c>
      <c r="AF385" s="436">
        <f>IF(NFI_Expiration=1,IF($A385&lt;VLOOKUP(O$5,NFI,5,0),1,0)*Table_NFI[[#This Row],[Clothes Kit]],Table_NFI[Clothes Kit])</f>
        <v>0</v>
      </c>
      <c r="AG385" s="436">
        <f>IF(NFI_Expiration=1,IF($A385&lt;VLOOKUP(P$5,NFI,5,0),1,0)*Table_NFI[[#This Row],[Plastic Bucket]],Table_NFI[Plastic Bucket])</f>
        <v>0</v>
      </c>
      <c r="AH385" s="436">
        <f>IF(NFI_Expiration=1,IF($A385&lt;VLOOKUP(Q$5,NFI,5,0),1,0)*Table_NFI[[#This Row],[Plastic Mat]],Table_NFI[Plastic Mat])*IF(Table_NFI[[#This Row],[Distribution Date]]&gt;"2014-04-01",1,2.5)</f>
        <v>0</v>
      </c>
      <c r="AI385" s="436">
        <f>IF(NFI_Expiration=1,IF($A385&lt;VLOOKUP(R$5,NFI,5,0),1,0)*Table_NFI[[#This Row],[Winter Clothes Adult]],Table_NFI[Winter Clothes Adult])</f>
        <v>0</v>
      </c>
      <c r="AJ385" s="436">
        <f>IF(NFI_Expiration=1,IF($A385&lt;VLOOKUP(S$5,NFI,5,0),1,0)*Table_NFI[[#This Row],[Winter Clothes Children]],Table_NFI[Winter Clothes Children])</f>
        <v>0</v>
      </c>
      <c r="AK385" s="436">
        <f>IF(NFI_Expiration=1,IF($A385&lt;VLOOKUP(T$5,NFI,5,0),1,0)*Table_NFI[[#This Row],[Winter Items Other]],Table_NFI[Winter Items Other])</f>
        <v>0</v>
      </c>
      <c r="AL385" s="436">
        <f>IF(NFI_Expiration=1,IF($A385&lt;VLOOKUP(M$5,NFI,5,0),1,0)*Table_NFI[[#This Row],[Winter Blanket]],Table_NFI[[#This Row],[Winter Blanket]])</f>
        <v>0</v>
      </c>
      <c r="AM385" s="436">
        <f>IF(Table_NFI[[#This Row],[Winter Clothes Adult]]+Table_NFI[[#This Row],[Winter Clothes Children]]+Table_NFI[[#This Row],[Winter Items Other]]+Table_NFI[[#This Row],[Winter Blanket]]&gt;0,1,0)</f>
        <v>0</v>
      </c>
      <c r="AN385" s="439">
        <f>IF(NFI_Expiration=1,IF($A385&lt;VLOOKUP(V$5,NFI,5,0),1,0)*Table_NFI[[#This Row],[Jerry Can]],Table_NFI[Jerry Can])</f>
        <v>0</v>
      </c>
      <c r="AO385" s="771" t="str">
        <f>IFERROR(VLOOKUP(Table_NFI[[#This Row],[Camp Name]],CL,2,0),"")</f>
        <v>MMR001CMP135</v>
      </c>
      <c r="AP385" s="772">
        <f ca="1">IF(Table_NFI[[#This Row],[Pcode]]="","",IF(OFFSET(CampList[Opening Date],MATCH(Table_NFI[[#This Row],[Pcode]],CampList[CP_Pcode],0)-1,0,1,1)&gt;=NFI_Monitor_Date,1,0))</f>
        <v>0</v>
      </c>
      <c r="AQ385" s="771" t="str">
        <f>IFERROR(VLOOKUP(Table_NFI[[#This Row],[Camp Name]],CL,3,0),"")</f>
        <v>Closed</v>
      </c>
      <c r="AR385" s="436" t="str">
        <f ca="1">IF(Table_NFI[[#This Row],[Pcode]]="","",OFFSET(CampList[Priority],MATCH(Table_NFI[[#This Row],[Pcode]],CampList[CP_Pcode],0)-1,0,1,1))</f>
        <v>P2</v>
      </c>
      <c r="AS385" s="438" t="str">
        <f>IFERROR(Table_NFI[[#This Row],[Kitchen Set]]/VLOOKUP(Table_NFI[[#This Row],[Camp Name]],CL,4,0),"")</f>
        <v/>
      </c>
      <c r="AT385" s="769" t="s">
        <v>1099</v>
      </c>
      <c r="AU385" s="773"/>
    </row>
    <row r="386" spans="1:47" s="774" customFormat="1" x14ac:dyDescent="0.25">
      <c r="A386" s="451">
        <f t="shared" si="5"/>
        <v>25.4</v>
      </c>
      <c r="B386" s="768">
        <v>41608</v>
      </c>
      <c r="C386" s="769" t="s">
        <v>912</v>
      </c>
      <c r="D386" s="769" t="s">
        <v>462</v>
      </c>
      <c r="E386" s="769" t="s">
        <v>380</v>
      </c>
      <c r="F386" s="435" t="s">
        <v>310</v>
      </c>
      <c r="G386" s="435" t="s">
        <v>320</v>
      </c>
      <c r="H386" s="436"/>
      <c r="I386" s="436"/>
      <c r="J386" s="436"/>
      <c r="K386" s="436"/>
      <c r="L386" s="437"/>
      <c r="M386" s="437"/>
      <c r="N386" s="437"/>
      <c r="O386" s="437"/>
      <c r="P386" s="439"/>
      <c r="Q386" s="439"/>
      <c r="R386" s="436"/>
      <c r="S386" s="436"/>
      <c r="T386" s="436"/>
      <c r="U386" s="436"/>
      <c r="V386" s="436"/>
      <c r="W386" s="436"/>
      <c r="X386" s="436"/>
      <c r="Y386" s="436">
        <f>IF(NFI_Expiration=1,IF($A386&lt;VLOOKUP(H$5,NFI,5,0),1,0)*Table_NFI[[#This Row],[Hygiene Kit]],Table_NFI[Hygiene Kit])</f>
        <v>0</v>
      </c>
      <c r="Z386" s="436">
        <f>IF(NFI_Expiration=1,IF($A386&lt;VLOOKUP(I$5,NFI,5,0),1,0)*Table_NFI[[#This Row],[NFI Core Kit]],Table_NFI[NFI Core Kit])</f>
        <v>0</v>
      </c>
      <c r="AA386" s="436">
        <f>IF(NFI_Expiration=1,IF($A386&lt;VLOOKUP(J$5,NFI,5,0),1,0)*Table_NFI[[#This Row],[Sanitary Kit]],Table_NFI[Sanitary Kit])</f>
        <v>0</v>
      </c>
      <c r="AB386" s="436">
        <f>IF(NFI_Expiration=1,IF($A386&lt;VLOOKUP(K$5,NFI,5,0),1,0)*Table_NFI[[#This Row],[Mosquito net]],Table_NFI[Mosquito net])</f>
        <v>0</v>
      </c>
      <c r="AC386" s="436">
        <f>IF(NFI_Expiration=1,IF($A386&lt;VLOOKUP(L$5,NFI,5,0),1,0)*Table_NFI[[#This Row],[Tarpaulin]],Table_NFI[[#This Row],[Tarpaulin]])</f>
        <v>0</v>
      </c>
      <c r="AD386" s="436">
        <f>IF(NFI_Expiration=1,IF($A386&lt;VLOOKUP(M$5,NFI,5,0),1,0)*Table_NFI[[#This Row],[Blanket]],Table_NFI[[#This Row],[Blanket]])</f>
        <v>0</v>
      </c>
      <c r="AE386" s="436">
        <f>IF(NFI_Expiration=1,IF($A386&lt;VLOOKUP(N$5,NFI,5,0),1,0)*Table_NFI[[#This Row],[Kitchen Set]],Table_NFI[Kitchen Set])</f>
        <v>0</v>
      </c>
      <c r="AF386" s="436">
        <f>IF(NFI_Expiration=1,IF($A386&lt;VLOOKUP(O$5,NFI,5,0),1,0)*Table_NFI[[#This Row],[Clothes Kit]],Table_NFI[Clothes Kit])</f>
        <v>0</v>
      </c>
      <c r="AG386" s="436">
        <f>IF(NFI_Expiration=1,IF($A386&lt;VLOOKUP(P$5,NFI,5,0),1,0)*Table_NFI[[#This Row],[Plastic Bucket]],Table_NFI[Plastic Bucket])</f>
        <v>0</v>
      </c>
      <c r="AH386" s="436">
        <f>IF(NFI_Expiration=1,IF($A386&lt;VLOOKUP(Q$5,NFI,5,0),1,0)*Table_NFI[[#This Row],[Plastic Mat]],Table_NFI[Plastic Mat])*IF(Table_NFI[[#This Row],[Distribution Date]]&gt;"2014-04-01",1,2.5)</f>
        <v>0</v>
      </c>
      <c r="AI386" s="436">
        <f>IF(NFI_Expiration=1,IF($A386&lt;VLOOKUP(R$5,NFI,5,0),1,0)*Table_NFI[[#This Row],[Winter Clothes Adult]],Table_NFI[Winter Clothes Adult])</f>
        <v>0</v>
      </c>
      <c r="AJ386" s="436">
        <f>IF(NFI_Expiration=1,IF($A386&lt;VLOOKUP(S$5,NFI,5,0),1,0)*Table_NFI[[#This Row],[Winter Clothes Children]],Table_NFI[Winter Clothes Children])</f>
        <v>0</v>
      </c>
      <c r="AK386" s="436">
        <f>IF(NFI_Expiration=1,IF($A386&lt;VLOOKUP(T$5,NFI,5,0),1,0)*Table_NFI[[#This Row],[Winter Items Other]],Table_NFI[Winter Items Other])</f>
        <v>0</v>
      </c>
      <c r="AL386" s="436">
        <f>IF(NFI_Expiration=1,IF($A386&lt;VLOOKUP(M$5,NFI,5,0),1,0)*Table_NFI[[#This Row],[Winter Blanket]],Table_NFI[[#This Row],[Winter Blanket]])</f>
        <v>0</v>
      </c>
      <c r="AM386" s="436">
        <f>IF(Table_NFI[[#This Row],[Winter Clothes Adult]]+Table_NFI[[#This Row],[Winter Clothes Children]]+Table_NFI[[#This Row],[Winter Items Other]]+Table_NFI[[#This Row],[Winter Blanket]]&gt;0,1,0)</f>
        <v>0</v>
      </c>
      <c r="AN386" s="439">
        <f>IF(NFI_Expiration=1,IF($A386&lt;VLOOKUP(V$5,NFI,5,0),1,0)*Table_NFI[[#This Row],[Jerry Can]],Table_NFI[Jerry Can])</f>
        <v>0</v>
      </c>
      <c r="AO386" s="771" t="str">
        <f>IFERROR(VLOOKUP(Table_NFI[[#This Row],[Camp Name]],CL,2,0),"")</f>
        <v>MMR001CMP027</v>
      </c>
      <c r="AP386" s="772">
        <f ca="1">IF(Table_NFI[[#This Row],[Pcode]]="","",IF(OFFSET(CampList[Opening Date],MATCH(Table_NFI[[#This Row],[Pcode]],CampList[CP_Pcode],0)-1,0,1,1)&gt;=NFI_Monitor_Date,1,0))</f>
        <v>0</v>
      </c>
      <c r="AQ386" s="771" t="str">
        <f>IFERROR(VLOOKUP(Table_NFI[[#This Row],[Camp Name]],CL,3,0),"")</f>
        <v>Open</v>
      </c>
      <c r="AR386" s="436" t="str">
        <f ca="1">IF(Table_NFI[[#This Row],[Pcode]]="","",OFFSET(CampList[Priority],MATCH(Table_NFI[[#This Row],[Pcode]],CampList[CP_Pcode],0)-1,0,1,1))</f>
        <v>P4</v>
      </c>
      <c r="AS386" s="438">
        <f>IFERROR(Table_NFI[[#This Row],[Kitchen Set]]/VLOOKUP(Table_NFI[[#This Row],[Camp Name]],CL,4,0),"")</f>
        <v>0</v>
      </c>
      <c r="AT386" s="769" t="s">
        <v>1099</v>
      </c>
      <c r="AU386" s="773"/>
    </row>
    <row r="387" spans="1:47" s="774" customFormat="1" x14ac:dyDescent="0.25">
      <c r="A387" s="451">
        <f t="shared" si="5"/>
        <v>25.4</v>
      </c>
      <c r="B387" s="768">
        <v>41608</v>
      </c>
      <c r="C387" s="769" t="s">
        <v>912</v>
      </c>
      <c r="D387" s="769" t="s">
        <v>462</v>
      </c>
      <c r="E387" s="769" t="s">
        <v>380</v>
      </c>
      <c r="F387" s="435" t="s">
        <v>310</v>
      </c>
      <c r="G387" s="435" t="s">
        <v>322</v>
      </c>
      <c r="H387" s="436"/>
      <c r="I387" s="436"/>
      <c r="J387" s="436"/>
      <c r="K387" s="436"/>
      <c r="L387" s="437"/>
      <c r="M387" s="437"/>
      <c r="N387" s="437"/>
      <c r="O387" s="437"/>
      <c r="P387" s="439"/>
      <c r="Q387" s="439"/>
      <c r="R387" s="436"/>
      <c r="S387" s="436"/>
      <c r="T387" s="436"/>
      <c r="U387" s="436"/>
      <c r="V387" s="436"/>
      <c r="W387" s="436"/>
      <c r="X387" s="436"/>
      <c r="Y387" s="436">
        <f>IF(NFI_Expiration=1,IF($A387&lt;VLOOKUP(H$5,NFI,5,0),1,0)*Table_NFI[[#This Row],[Hygiene Kit]],Table_NFI[Hygiene Kit])</f>
        <v>0</v>
      </c>
      <c r="Z387" s="436">
        <f>IF(NFI_Expiration=1,IF($A387&lt;VLOOKUP(I$5,NFI,5,0),1,0)*Table_NFI[[#This Row],[NFI Core Kit]],Table_NFI[NFI Core Kit])</f>
        <v>0</v>
      </c>
      <c r="AA387" s="436">
        <f>IF(NFI_Expiration=1,IF($A387&lt;VLOOKUP(J$5,NFI,5,0),1,0)*Table_NFI[[#This Row],[Sanitary Kit]],Table_NFI[Sanitary Kit])</f>
        <v>0</v>
      </c>
      <c r="AB387" s="436">
        <f>IF(NFI_Expiration=1,IF($A387&lt;VLOOKUP(K$5,NFI,5,0),1,0)*Table_NFI[[#This Row],[Mosquito net]],Table_NFI[Mosquito net])</f>
        <v>0</v>
      </c>
      <c r="AC387" s="436">
        <f>IF(NFI_Expiration=1,IF($A387&lt;VLOOKUP(L$5,NFI,5,0),1,0)*Table_NFI[[#This Row],[Tarpaulin]],Table_NFI[[#This Row],[Tarpaulin]])</f>
        <v>0</v>
      </c>
      <c r="AD387" s="436">
        <f>IF(NFI_Expiration=1,IF($A387&lt;VLOOKUP(M$5,NFI,5,0),1,0)*Table_NFI[[#This Row],[Blanket]],Table_NFI[[#This Row],[Blanket]])</f>
        <v>0</v>
      </c>
      <c r="AE387" s="436">
        <f>IF(NFI_Expiration=1,IF($A387&lt;VLOOKUP(N$5,NFI,5,0),1,0)*Table_NFI[[#This Row],[Kitchen Set]],Table_NFI[Kitchen Set])</f>
        <v>0</v>
      </c>
      <c r="AF387" s="436">
        <f>IF(NFI_Expiration=1,IF($A387&lt;VLOOKUP(O$5,NFI,5,0),1,0)*Table_NFI[[#This Row],[Clothes Kit]],Table_NFI[Clothes Kit])</f>
        <v>0</v>
      </c>
      <c r="AG387" s="436">
        <f>IF(NFI_Expiration=1,IF($A387&lt;VLOOKUP(P$5,NFI,5,0),1,0)*Table_NFI[[#This Row],[Plastic Bucket]],Table_NFI[Plastic Bucket])</f>
        <v>0</v>
      </c>
      <c r="AH387" s="436">
        <f>IF(NFI_Expiration=1,IF($A387&lt;VLOOKUP(Q$5,NFI,5,0),1,0)*Table_NFI[[#This Row],[Plastic Mat]],Table_NFI[Plastic Mat])*IF(Table_NFI[[#This Row],[Distribution Date]]&gt;"2014-04-01",1,2.5)</f>
        <v>0</v>
      </c>
      <c r="AI387" s="436">
        <f>IF(NFI_Expiration=1,IF($A387&lt;VLOOKUP(R$5,NFI,5,0),1,0)*Table_NFI[[#This Row],[Winter Clothes Adult]],Table_NFI[Winter Clothes Adult])</f>
        <v>0</v>
      </c>
      <c r="AJ387" s="436">
        <f>IF(NFI_Expiration=1,IF($A387&lt;VLOOKUP(S$5,NFI,5,0),1,0)*Table_NFI[[#This Row],[Winter Clothes Children]],Table_NFI[Winter Clothes Children])</f>
        <v>0</v>
      </c>
      <c r="AK387" s="436">
        <f>IF(NFI_Expiration=1,IF($A387&lt;VLOOKUP(T$5,NFI,5,0),1,0)*Table_NFI[[#This Row],[Winter Items Other]],Table_NFI[Winter Items Other])</f>
        <v>0</v>
      </c>
      <c r="AL387" s="436">
        <f>IF(NFI_Expiration=1,IF($A387&lt;VLOOKUP(M$5,NFI,5,0),1,0)*Table_NFI[[#This Row],[Winter Blanket]],Table_NFI[[#This Row],[Winter Blanket]])</f>
        <v>0</v>
      </c>
      <c r="AM387" s="436">
        <f>IF(Table_NFI[[#This Row],[Winter Clothes Adult]]+Table_NFI[[#This Row],[Winter Clothes Children]]+Table_NFI[[#This Row],[Winter Items Other]]+Table_NFI[[#This Row],[Winter Blanket]]&gt;0,1,0)</f>
        <v>0</v>
      </c>
      <c r="AN387" s="439">
        <f>IF(NFI_Expiration=1,IF($A387&lt;VLOOKUP(V$5,NFI,5,0),1,0)*Table_NFI[[#This Row],[Jerry Can]],Table_NFI[Jerry Can])</f>
        <v>0</v>
      </c>
      <c r="AO387" s="771" t="str">
        <f>IFERROR(VLOOKUP(Table_NFI[[#This Row],[Camp Name]],CL,2,0),"")</f>
        <v>MMR001CMP119</v>
      </c>
      <c r="AP387" s="772">
        <f ca="1">IF(Table_NFI[[#This Row],[Pcode]]="","",IF(OFFSET(CampList[Opening Date],MATCH(Table_NFI[[#This Row],[Pcode]],CampList[CP_Pcode],0)-1,0,1,1)&gt;=NFI_Monitor_Date,1,0))</f>
        <v>0</v>
      </c>
      <c r="AQ387" s="771" t="str">
        <f>IFERROR(VLOOKUP(Table_NFI[[#This Row],[Camp Name]],CL,3,0),"")</f>
        <v>Open</v>
      </c>
      <c r="AR387" s="436" t="str">
        <f ca="1">IF(Table_NFI[[#This Row],[Pcode]]="","",OFFSET(CampList[Priority],MATCH(Table_NFI[[#This Row],[Pcode]],CampList[CP_Pcode],0)-1,0,1,1))</f>
        <v>P2</v>
      </c>
      <c r="AS387" s="438">
        <f>IFERROR(Table_NFI[[#This Row],[Kitchen Set]]/VLOOKUP(Table_NFI[[#This Row],[Camp Name]],CL,4,0),"")</f>
        <v>0</v>
      </c>
      <c r="AT387" s="769" t="s">
        <v>1099</v>
      </c>
      <c r="AU387" s="773"/>
    </row>
    <row r="388" spans="1:47" s="774" customFormat="1" ht="14.45" customHeight="1" x14ac:dyDescent="0.25">
      <c r="A388" s="451">
        <f t="shared" si="5"/>
        <v>25.4</v>
      </c>
      <c r="B388" s="768">
        <v>41608</v>
      </c>
      <c r="C388" s="769" t="s">
        <v>912</v>
      </c>
      <c r="D388" s="442" t="s">
        <v>462</v>
      </c>
      <c r="E388" s="775" t="s">
        <v>380</v>
      </c>
      <c r="F388" s="769" t="s">
        <v>310</v>
      </c>
      <c r="G388" s="435" t="s">
        <v>328</v>
      </c>
      <c r="H388" s="442"/>
      <c r="I388" s="442"/>
      <c r="J388" s="442"/>
      <c r="K388" s="775"/>
      <c r="L388" s="776"/>
      <c r="M388" s="443"/>
      <c r="N388" s="443"/>
      <c r="O388" s="443"/>
      <c r="P388" s="776"/>
      <c r="Q388" s="443"/>
      <c r="R388" s="442"/>
      <c r="S388" s="442"/>
      <c r="T388" s="442"/>
      <c r="U388" s="442"/>
      <c r="V388" s="442"/>
      <c r="W388" s="442"/>
      <c r="X388" s="442"/>
      <c r="Y388" s="436">
        <f>IF(NFI_Expiration=1,IF($A388&lt;VLOOKUP(H$5,NFI,5,0),1,0)*Table_NFI[[#This Row],[Hygiene Kit]],Table_NFI[Hygiene Kit])</f>
        <v>0</v>
      </c>
      <c r="Z388" s="436">
        <f>IF(NFI_Expiration=1,IF($A388&lt;VLOOKUP(I$5,NFI,5,0),1,0)*Table_NFI[[#This Row],[NFI Core Kit]],Table_NFI[NFI Core Kit])</f>
        <v>0</v>
      </c>
      <c r="AA388" s="436">
        <f>IF(NFI_Expiration=1,IF($A388&lt;VLOOKUP(J$5,NFI,5,0),1,0)*Table_NFI[[#This Row],[Sanitary Kit]],Table_NFI[Sanitary Kit])</f>
        <v>0</v>
      </c>
      <c r="AB388" s="436">
        <f>IF(NFI_Expiration=1,IF($A388&lt;VLOOKUP(K$5,NFI,5,0),1,0)*Table_NFI[[#This Row],[Mosquito net]],Table_NFI[Mosquito net])</f>
        <v>0</v>
      </c>
      <c r="AC388" s="436">
        <f>IF(NFI_Expiration=1,IF($A388&lt;VLOOKUP(L$5,NFI,5,0),1,0)*Table_NFI[[#This Row],[Tarpaulin]],Table_NFI[[#This Row],[Tarpaulin]])</f>
        <v>0</v>
      </c>
      <c r="AD388" s="436">
        <f>IF(NFI_Expiration=1,IF($A388&lt;VLOOKUP(M$5,NFI,5,0),1,0)*Table_NFI[[#This Row],[Blanket]],Table_NFI[[#This Row],[Blanket]])</f>
        <v>0</v>
      </c>
      <c r="AE388" s="436">
        <f>IF(NFI_Expiration=1,IF($A388&lt;VLOOKUP(N$5,NFI,5,0),1,0)*Table_NFI[[#This Row],[Kitchen Set]],Table_NFI[Kitchen Set])</f>
        <v>0</v>
      </c>
      <c r="AF388" s="436">
        <f>IF(NFI_Expiration=1,IF($A388&lt;VLOOKUP(O$5,NFI,5,0),1,0)*Table_NFI[[#This Row],[Clothes Kit]],Table_NFI[Clothes Kit])</f>
        <v>0</v>
      </c>
      <c r="AG388" s="436">
        <f>IF(NFI_Expiration=1,IF($A388&lt;VLOOKUP(P$5,NFI,5,0),1,0)*Table_NFI[[#This Row],[Plastic Bucket]],Table_NFI[Plastic Bucket])</f>
        <v>0</v>
      </c>
      <c r="AH388" s="436">
        <f>IF(NFI_Expiration=1,IF($A388&lt;VLOOKUP(Q$5,NFI,5,0),1,0)*Table_NFI[[#This Row],[Plastic Mat]],Table_NFI[Plastic Mat])*IF(Table_NFI[[#This Row],[Distribution Date]]&gt;"2014-04-01",1,2.5)</f>
        <v>0</v>
      </c>
      <c r="AI388" s="436">
        <f>IF(NFI_Expiration=1,IF($A388&lt;VLOOKUP(R$5,NFI,5,0),1,0)*Table_NFI[[#This Row],[Winter Clothes Adult]],Table_NFI[Winter Clothes Adult])</f>
        <v>0</v>
      </c>
      <c r="AJ388" s="436">
        <f>IF(NFI_Expiration=1,IF($A388&lt;VLOOKUP(S$5,NFI,5,0),1,0)*Table_NFI[[#This Row],[Winter Clothes Children]],Table_NFI[Winter Clothes Children])</f>
        <v>0</v>
      </c>
      <c r="AK388" s="436">
        <f>IF(NFI_Expiration=1,IF($A388&lt;VLOOKUP(T$5,NFI,5,0),1,0)*Table_NFI[[#This Row],[Winter Items Other]],Table_NFI[Winter Items Other])</f>
        <v>0</v>
      </c>
      <c r="AL388" s="436">
        <f>IF(NFI_Expiration=1,IF($A388&lt;VLOOKUP(M$5,NFI,5,0),1,0)*Table_NFI[[#This Row],[Winter Blanket]],Table_NFI[[#This Row],[Winter Blanket]])</f>
        <v>0</v>
      </c>
      <c r="AM388" s="436">
        <f>IF(Table_NFI[[#This Row],[Winter Clothes Adult]]+Table_NFI[[#This Row],[Winter Clothes Children]]+Table_NFI[[#This Row],[Winter Items Other]]+Table_NFI[[#This Row],[Winter Blanket]]&gt;0,1,0)</f>
        <v>0</v>
      </c>
      <c r="AN388" s="439">
        <f>IF(NFI_Expiration=1,IF($A388&lt;VLOOKUP(V$5,NFI,5,0),1,0)*Table_NFI[[#This Row],[Jerry Can]],Table_NFI[Jerry Can])</f>
        <v>0</v>
      </c>
      <c r="AO388" s="771" t="str">
        <f>IFERROR(VLOOKUP(Table_NFI[[#This Row],[Camp Name]],CL,2,0),"")</f>
        <v>MMR001CMP031</v>
      </c>
      <c r="AP388" s="772">
        <f ca="1">IF(Table_NFI[[#This Row],[Pcode]]="","",IF(OFFSET(CampList[Opening Date],MATCH(Table_NFI[[#This Row],[Pcode]],CampList[CP_Pcode],0)-1,0,1,1)&gt;=NFI_Monitor_Date,1,0))</f>
        <v>0</v>
      </c>
      <c r="AQ388" s="771" t="str">
        <f>IFERROR(VLOOKUP(Table_NFI[[#This Row],[Camp Name]],CL,3,0),"")</f>
        <v>Open</v>
      </c>
      <c r="AR388" s="436" t="str">
        <f ca="1">IF(Table_NFI[[#This Row],[Pcode]]="","",OFFSET(CampList[Priority],MATCH(Table_NFI[[#This Row],[Pcode]],CampList[CP_Pcode],0)-1,0,1,1))</f>
        <v>P4</v>
      </c>
      <c r="AS388" s="438">
        <f>IFERROR(Table_NFI[[#This Row],[Kitchen Set]]/VLOOKUP(Table_NFI[[#This Row],[Camp Name]],CL,4,0),"")</f>
        <v>0</v>
      </c>
      <c r="AT388" s="769" t="s">
        <v>1099</v>
      </c>
      <c r="AU388" s="773"/>
    </row>
    <row r="389" spans="1:47" s="774" customFormat="1" x14ac:dyDescent="0.25">
      <c r="A389" s="451">
        <f t="shared" si="5"/>
        <v>25.4</v>
      </c>
      <c r="B389" s="768">
        <v>41608</v>
      </c>
      <c r="C389" s="769" t="s">
        <v>912</v>
      </c>
      <c r="D389" s="442" t="s">
        <v>462</v>
      </c>
      <c r="E389" s="775" t="s">
        <v>380</v>
      </c>
      <c r="F389" s="435" t="s">
        <v>310</v>
      </c>
      <c r="G389" s="435" t="s">
        <v>324</v>
      </c>
      <c r="H389" s="442"/>
      <c r="I389" s="442"/>
      <c r="J389" s="442"/>
      <c r="K389" s="775"/>
      <c r="L389" s="776"/>
      <c r="M389" s="443"/>
      <c r="N389" s="443"/>
      <c r="O389" s="443"/>
      <c r="P389" s="776"/>
      <c r="Q389" s="443"/>
      <c r="R389" s="442"/>
      <c r="S389" s="442"/>
      <c r="T389" s="442"/>
      <c r="U389" s="442"/>
      <c r="V389" s="442"/>
      <c r="W389" s="442"/>
      <c r="X389" s="442"/>
      <c r="Y389" s="436">
        <f>IF(NFI_Expiration=1,IF($A389&lt;VLOOKUP(H$5,NFI,5,0),1,0)*Table_NFI[[#This Row],[Hygiene Kit]],Table_NFI[Hygiene Kit])</f>
        <v>0</v>
      </c>
      <c r="Z389" s="436">
        <f>IF(NFI_Expiration=1,IF($A389&lt;VLOOKUP(I$5,NFI,5,0),1,0)*Table_NFI[[#This Row],[NFI Core Kit]],Table_NFI[NFI Core Kit])</f>
        <v>0</v>
      </c>
      <c r="AA389" s="436">
        <f>IF(NFI_Expiration=1,IF($A389&lt;VLOOKUP(J$5,NFI,5,0),1,0)*Table_NFI[[#This Row],[Sanitary Kit]],Table_NFI[Sanitary Kit])</f>
        <v>0</v>
      </c>
      <c r="AB389" s="436">
        <f>IF(NFI_Expiration=1,IF($A389&lt;VLOOKUP(K$5,NFI,5,0),1,0)*Table_NFI[[#This Row],[Mosquito net]],Table_NFI[Mosquito net])</f>
        <v>0</v>
      </c>
      <c r="AC389" s="436">
        <f>IF(NFI_Expiration=1,IF($A389&lt;VLOOKUP(L$5,NFI,5,0),1,0)*Table_NFI[[#This Row],[Tarpaulin]],Table_NFI[[#This Row],[Tarpaulin]])</f>
        <v>0</v>
      </c>
      <c r="AD389" s="436">
        <f>IF(NFI_Expiration=1,IF($A389&lt;VLOOKUP(M$5,NFI,5,0),1,0)*Table_NFI[[#This Row],[Blanket]],Table_NFI[[#This Row],[Blanket]])</f>
        <v>0</v>
      </c>
      <c r="AE389" s="436">
        <f>IF(NFI_Expiration=1,IF($A389&lt;VLOOKUP(N$5,NFI,5,0),1,0)*Table_NFI[[#This Row],[Kitchen Set]],Table_NFI[Kitchen Set])</f>
        <v>0</v>
      </c>
      <c r="AF389" s="436">
        <f>IF(NFI_Expiration=1,IF($A389&lt;VLOOKUP(O$5,NFI,5,0),1,0)*Table_NFI[[#This Row],[Clothes Kit]],Table_NFI[Clothes Kit])</f>
        <v>0</v>
      </c>
      <c r="AG389" s="436">
        <f>IF(NFI_Expiration=1,IF($A389&lt;VLOOKUP(P$5,NFI,5,0),1,0)*Table_NFI[[#This Row],[Plastic Bucket]],Table_NFI[Plastic Bucket])</f>
        <v>0</v>
      </c>
      <c r="AH389" s="436">
        <f>IF(NFI_Expiration=1,IF($A389&lt;VLOOKUP(Q$5,NFI,5,0),1,0)*Table_NFI[[#This Row],[Plastic Mat]],Table_NFI[Plastic Mat])*IF(Table_NFI[[#This Row],[Distribution Date]]&gt;"2014-04-01",1,2.5)</f>
        <v>0</v>
      </c>
      <c r="AI389" s="436">
        <f>IF(NFI_Expiration=1,IF($A389&lt;VLOOKUP(R$5,NFI,5,0),1,0)*Table_NFI[[#This Row],[Winter Clothes Adult]],Table_NFI[Winter Clothes Adult])</f>
        <v>0</v>
      </c>
      <c r="AJ389" s="436">
        <f>IF(NFI_Expiration=1,IF($A389&lt;VLOOKUP(S$5,NFI,5,0),1,0)*Table_NFI[[#This Row],[Winter Clothes Children]],Table_NFI[Winter Clothes Children])</f>
        <v>0</v>
      </c>
      <c r="AK389" s="436">
        <f>IF(NFI_Expiration=1,IF($A389&lt;VLOOKUP(T$5,NFI,5,0),1,0)*Table_NFI[[#This Row],[Winter Items Other]],Table_NFI[Winter Items Other])</f>
        <v>0</v>
      </c>
      <c r="AL389" s="436">
        <f>IF(NFI_Expiration=1,IF($A389&lt;VLOOKUP(M$5,NFI,5,0),1,0)*Table_NFI[[#This Row],[Winter Blanket]],Table_NFI[[#This Row],[Winter Blanket]])</f>
        <v>0</v>
      </c>
      <c r="AM389" s="436">
        <f>IF(Table_NFI[[#This Row],[Winter Clothes Adult]]+Table_NFI[[#This Row],[Winter Clothes Children]]+Table_NFI[[#This Row],[Winter Items Other]]+Table_NFI[[#This Row],[Winter Blanket]]&gt;0,1,0)</f>
        <v>0</v>
      </c>
      <c r="AN389" s="439">
        <f>IF(NFI_Expiration=1,IF($A389&lt;VLOOKUP(V$5,NFI,5,0),1,0)*Table_NFI[[#This Row],[Jerry Can]],Table_NFI[Jerry Can])</f>
        <v>0</v>
      </c>
      <c r="AO389" s="771" t="str">
        <f>IFERROR(VLOOKUP(Table_NFI[[#This Row],[Camp Name]],CL,2,0),"")</f>
        <v>MMR001CMP040</v>
      </c>
      <c r="AP389" s="772">
        <f ca="1">IF(Table_NFI[[#This Row],[Pcode]]="","",IF(OFFSET(CampList[Opening Date],MATCH(Table_NFI[[#This Row],[Pcode]],CampList[CP_Pcode],0)-1,0,1,1)&gt;=NFI_Monitor_Date,1,0))</f>
        <v>0</v>
      </c>
      <c r="AQ389" s="771" t="str">
        <f>IFERROR(VLOOKUP(Table_NFI[[#This Row],[Camp Name]],CL,3,0),"")</f>
        <v>Open</v>
      </c>
      <c r="AR389" s="436" t="str">
        <f ca="1">IF(Table_NFI[[#This Row],[Pcode]]="","",OFFSET(CampList[Priority],MATCH(Table_NFI[[#This Row],[Pcode]],CampList[CP_Pcode],0)-1,0,1,1))</f>
        <v>P4</v>
      </c>
      <c r="AS389" s="438">
        <f>IFERROR(Table_NFI[[#This Row],[Kitchen Set]]/VLOOKUP(Table_NFI[[#This Row],[Camp Name]],CL,4,0),"")</f>
        <v>0</v>
      </c>
      <c r="AT389" s="769" t="s">
        <v>1099</v>
      </c>
      <c r="AU389" s="773"/>
    </row>
    <row r="390" spans="1:47" s="774" customFormat="1" x14ac:dyDescent="0.25">
      <c r="A390" s="451">
        <f t="shared" ref="A390:A453" si="6">IF(ISBLANK(B390),"",(Report_Date-B390)/30)</f>
        <v>25.4</v>
      </c>
      <c r="B390" s="768">
        <v>41608</v>
      </c>
      <c r="C390" s="769" t="s">
        <v>912</v>
      </c>
      <c r="D390" s="442" t="s">
        <v>462</v>
      </c>
      <c r="E390" s="775" t="s">
        <v>380</v>
      </c>
      <c r="F390" s="435" t="s">
        <v>310</v>
      </c>
      <c r="G390" s="435" t="s">
        <v>326</v>
      </c>
      <c r="H390" s="442"/>
      <c r="I390" s="442"/>
      <c r="J390" s="442"/>
      <c r="K390" s="775"/>
      <c r="L390" s="776"/>
      <c r="M390" s="443"/>
      <c r="N390" s="443"/>
      <c r="O390" s="443"/>
      <c r="P390" s="776"/>
      <c r="Q390" s="443"/>
      <c r="R390" s="442"/>
      <c r="S390" s="442"/>
      <c r="T390" s="442"/>
      <c r="U390" s="442"/>
      <c r="V390" s="442"/>
      <c r="W390" s="442"/>
      <c r="X390" s="442"/>
      <c r="Y390" s="436">
        <f>IF(NFI_Expiration=1,IF($A390&lt;VLOOKUP(H$5,NFI,5,0),1,0)*Table_NFI[[#This Row],[Hygiene Kit]],Table_NFI[Hygiene Kit])</f>
        <v>0</v>
      </c>
      <c r="Z390" s="436">
        <f>IF(NFI_Expiration=1,IF($A390&lt;VLOOKUP(I$5,NFI,5,0),1,0)*Table_NFI[[#This Row],[NFI Core Kit]],Table_NFI[NFI Core Kit])</f>
        <v>0</v>
      </c>
      <c r="AA390" s="436">
        <f>IF(NFI_Expiration=1,IF($A390&lt;VLOOKUP(J$5,NFI,5,0),1,0)*Table_NFI[[#This Row],[Sanitary Kit]],Table_NFI[Sanitary Kit])</f>
        <v>0</v>
      </c>
      <c r="AB390" s="436">
        <f>IF(NFI_Expiration=1,IF($A390&lt;VLOOKUP(K$5,NFI,5,0),1,0)*Table_NFI[[#This Row],[Mosquito net]],Table_NFI[Mosquito net])</f>
        <v>0</v>
      </c>
      <c r="AC390" s="436">
        <f>IF(NFI_Expiration=1,IF($A390&lt;VLOOKUP(L$5,NFI,5,0),1,0)*Table_NFI[[#This Row],[Tarpaulin]],Table_NFI[[#This Row],[Tarpaulin]])</f>
        <v>0</v>
      </c>
      <c r="AD390" s="436">
        <f>IF(NFI_Expiration=1,IF($A390&lt;VLOOKUP(M$5,NFI,5,0),1,0)*Table_NFI[[#This Row],[Blanket]],Table_NFI[[#This Row],[Blanket]])</f>
        <v>0</v>
      </c>
      <c r="AE390" s="436">
        <f>IF(NFI_Expiration=1,IF($A390&lt;VLOOKUP(N$5,NFI,5,0),1,0)*Table_NFI[[#This Row],[Kitchen Set]],Table_NFI[Kitchen Set])</f>
        <v>0</v>
      </c>
      <c r="AF390" s="436">
        <f>IF(NFI_Expiration=1,IF($A390&lt;VLOOKUP(O$5,NFI,5,0),1,0)*Table_NFI[[#This Row],[Clothes Kit]],Table_NFI[Clothes Kit])</f>
        <v>0</v>
      </c>
      <c r="AG390" s="436">
        <f>IF(NFI_Expiration=1,IF($A390&lt;VLOOKUP(P$5,NFI,5,0),1,0)*Table_NFI[[#This Row],[Plastic Bucket]],Table_NFI[Plastic Bucket])</f>
        <v>0</v>
      </c>
      <c r="AH390" s="436">
        <f>IF(NFI_Expiration=1,IF($A390&lt;VLOOKUP(Q$5,NFI,5,0),1,0)*Table_NFI[[#This Row],[Plastic Mat]],Table_NFI[Plastic Mat])*IF(Table_NFI[[#This Row],[Distribution Date]]&gt;"2014-04-01",1,2.5)</f>
        <v>0</v>
      </c>
      <c r="AI390" s="436">
        <f>IF(NFI_Expiration=1,IF($A390&lt;VLOOKUP(R$5,NFI,5,0),1,0)*Table_NFI[[#This Row],[Winter Clothes Adult]],Table_NFI[Winter Clothes Adult])</f>
        <v>0</v>
      </c>
      <c r="AJ390" s="436">
        <f>IF(NFI_Expiration=1,IF($A390&lt;VLOOKUP(S$5,NFI,5,0),1,0)*Table_NFI[[#This Row],[Winter Clothes Children]],Table_NFI[Winter Clothes Children])</f>
        <v>0</v>
      </c>
      <c r="AK390" s="436">
        <f>IF(NFI_Expiration=1,IF($A390&lt;VLOOKUP(T$5,NFI,5,0),1,0)*Table_NFI[[#This Row],[Winter Items Other]],Table_NFI[Winter Items Other])</f>
        <v>0</v>
      </c>
      <c r="AL390" s="436">
        <f>IF(NFI_Expiration=1,IF($A390&lt;VLOOKUP(M$5,NFI,5,0),1,0)*Table_NFI[[#This Row],[Winter Blanket]],Table_NFI[[#This Row],[Winter Blanket]])</f>
        <v>0</v>
      </c>
      <c r="AM390" s="436">
        <f>IF(Table_NFI[[#This Row],[Winter Clothes Adult]]+Table_NFI[[#This Row],[Winter Clothes Children]]+Table_NFI[[#This Row],[Winter Items Other]]+Table_NFI[[#This Row],[Winter Blanket]]&gt;0,1,0)</f>
        <v>0</v>
      </c>
      <c r="AN390" s="439">
        <f>IF(NFI_Expiration=1,IF($A390&lt;VLOOKUP(V$5,NFI,5,0),1,0)*Table_NFI[[#This Row],[Jerry Can]],Table_NFI[Jerry Can])</f>
        <v>0</v>
      </c>
      <c r="AO390" s="771" t="str">
        <f>IFERROR(VLOOKUP(Table_NFI[[#This Row],[Camp Name]],CL,2,0),"")</f>
        <v>MMR001CMP039</v>
      </c>
      <c r="AP390" s="772">
        <f ca="1">IF(Table_NFI[[#This Row],[Pcode]]="","",IF(OFFSET(CampList[Opening Date],MATCH(Table_NFI[[#This Row],[Pcode]],CampList[CP_Pcode],0)-1,0,1,1)&gt;=NFI_Monitor_Date,1,0))</f>
        <v>0</v>
      </c>
      <c r="AQ390" s="771" t="str">
        <f>IFERROR(VLOOKUP(Table_NFI[[#This Row],[Camp Name]],CL,3,0),"")</f>
        <v>Open</v>
      </c>
      <c r="AR390" s="436" t="str">
        <f ca="1">IF(Table_NFI[[#This Row],[Pcode]]="","",OFFSET(CampList[Priority],MATCH(Table_NFI[[#This Row],[Pcode]],CampList[CP_Pcode],0)-1,0,1,1))</f>
        <v>P4</v>
      </c>
      <c r="AS390" s="438">
        <f>IFERROR(Table_NFI[[#This Row],[Kitchen Set]]/VLOOKUP(Table_NFI[[#This Row],[Camp Name]],CL,4,0),"")</f>
        <v>0</v>
      </c>
      <c r="AT390" s="769" t="s">
        <v>1099</v>
      </c>
      <c r="AU390" s="773"/>
    </row>
    <row r="391" spans="1:47" s="774" customFormat="1" ht="14.45" customHeight="1" x14ac:dyDescent="0.25">
      <c r="A391" s="451">
        <f t="shared" si="6"/>
        <v>25.4</v>
      </c>
      <c r="B391" s="768">
        <v>41608</v>
      </c>
      <c r="C391" s="769" t="s">
        <v>912</v>
      </c>
      <c r="D391" s="769"/>
      <c r="E391" s="769" t="s">
        <v>380</v>
      </c>
      <c r="F391" s="435" t="s">
        <v>185</v>
      </c>
      <c r="G391" s="435" t="s">
        <v>202</v>
      </c>
      <c r="H391" s="436"/>
      <c r="I391" s="436"/>
      <c r="J391" s="436"/>
      <c r="K391" s="436"/>
      <c r="L391" s="437"/>
      <c r="M391" s="437"/>
      <c r="N391" s="437"/>
      <c r="O391" s="437"/>
      <c r="P391" s="439"/>
      <c r="Q391" s="439">
        <v>141</v>
      </c>
      <c r="R391" s="436"/>
      <c r="S391" s="436"/>
      <c r="T391" s="436"/>
      <c r="U391" s="436"/>
      <c r="V391" s="436"/>
      <c r="W391" s="436"/>
      <c r="X391" s="436"/>
      <c r="Y391" s="436">
        <f>IF(NFI_Expiration=1,IF($A391&lt;VLOOKUP(H$5,NFI,5,0),1,0)*Table_NFI[[#This Row],[Hygiene Kit]],Table_NFI[Hygiene Kit])</f>
        <v>0</v>
      </c>
      <c r="Z391" s="436">
        <f>IF(NFI_Expiration=1,IF($A391&lt;VLOOKUP(I$5,NFI,5,0),1,0)*Table_NFI[[#This Row],[NFI Core Kit]],Table_NFI[NFI Core Kit])</f>
        <v>0</v>
      </c>
      <c r="AA391" s="436">
        <f>IF(NFI_Expiration=1,IF($A391&lt;VLOOKUP(J$5,NFI,5,0),1,0)*Table_NFI[[#This Row],[Sanitary Kit]],Table_NFI[Sanitary Kit])</f>
        <v>0</v>
      </c>
      <c r="AB391" s="436">
        <f>IF(NFI_Expiration=1,IF($A391&lt;VLOOKUP(K$5,NFI,5,0),1,0)*Table_NFI[[#This Row],[Mosquito net]],Table_NFI[Mosquito net])</f>
        <v>0</v>
      </c>
      <c r="AC391" s="436">
        <f>IF(NFI_Expiration=1,IF($A391&lt;VLOOKUP(L$5,NFI,5,0),1,0)*Table_NFI[[#This Row],[Tarpaulin]],Table_NFI[[#This Row],[Tarpaulin]])</f>
        <v>0</v>
      </c>
      <c r="AD391" s="436">
        <f>IF(NFI_Expiration=1,IF($A391&lt;VLOOKUP(M$5,NFI,5,0),1,0)*Table_NFI[[#This Row],[Blanket]],Table_NFI[[#This Row],[Blanket]])</f>
        <v>0</v>
      </c>
      <c r="AE391" s="436">
        <f>IF(NFI_Expiration=1,IF($A391&lt;VLOOKUP(N$5,NFI,5,0),1,0)*Table_NFI[[#This Row],[Kitchen Set]],Table_NFI[Kitchen Set])</f>
        <v>0</v>
      </c>
      <c r="AF391" s="436">
        <f>IF(NFI_Expiration=1,IF($A391&lt;VLOOKUP(O$5,NFI,5,0),1,0)*Table_NFI[[#This Row],[Clothes Kit]],Table_NFI[Clothes Kit])</f>
        <v>0</v>
      </c>
      <c r="AG391" s="436">
        <f>IF(NFI_Expiration=1,IF($A391&lt;VLOOKUP(P$5,NFI,5,0),1,0)*Table_NFI[[#This Row],[Plastic Bucket]],Table_NFI[Plastic Bucket])</f>
        <v>0</v>
      </c>
      <c r="AH391" s="436">
        <f>IF(NFI_Expiration=1,IF($A391&lt;VLOOKUP(Q$5,NFI,5,0),1,0)*Table_NFI[[#This Row],[Plastic Mat]],Table_NFI[Plastic Mat])*IF(Table_NFI[[#This Row],[Distribution Date]]&gt;"2014-04-01",1,2.5)</f>
        <v>0</v>
      </c>
      <c r="AI391" s="436">
        <f>IF(NFI_Expiration=1,IF($A391&lt;VLOOKUP(R$5,NFI,5,0),1,0)*Table_NFI[[#This Row],[Winter Clothes Adult]],Table_NFI[Winter Clothes Adult])</f>
        <v>0</v>
      </c>
      <c r="AJ391" s="436">
        <f>IF(NFI_Expiration=1,IF($A391&lt;VLOOKUP(S$5,NFI,5,0),1,0)*Table_NFI[[#This Row],[Winter Clothes Children]],Table_NFI[Winter Clothes Children])</f>
        <v>0</v>
      </c>
      <c r="AK391" s="436">
        <f>IF(NFI_Expiration=1,IF($A391&lt;VLOOKUP(T$5,NFI,5,0),1,0)*Table_NFI[[#This Row],[Winter Items Other]],Table_NFI[Winter Items Other])</f>
        <v>0</v>
      </c>
      <c r="AL391" s="436">
        <f>IF(NFI_Expiration=1,IF($A391&lt;VLOOKUP(M$5,NFI,5,0),1,0)*Table_NFI[[#This Row],[Winter Blanket]],Table_NFI[[#This Row],[Winter Blanket]])</f>
        <v>0</v>
      </c>
      <c r="AM391" s="436">
        <f>IF(Table_NFI[[#This Row],[Winter Clothes Adult]]+Table_NFI[[#This Row],[Winter Clothes Children]]+Table_NFI[[#This Row],[Winter Items Other]]+Table_NFI[[#This Row],[Winter Blanket]]&gt;0,1,0)</f>
        <v>0</v>
      </c>
      <c r="AN391" s="439">
        <f>IF(NFI_Expiration=1,IF($A391&lt;VLOOKUP(V$5,NFI,5,0),1,0)*Table_NFI[[#This Row],[Jerry Can]],Table_NFI[Jerry Can])</f>
        <v>0</v>
      </c>
      <c r="AO391" s="771" t="str">
        <f>IFERROR(VLOOKUP(Table_NFI[[#This Row],[Camp Name]],CL,2,0),"")</f>
        <v>MMR001CMP062</v>
      </c>
      <c r="AP391" s="772">
        <f ca="1">IF(Table_NFI[[#This Row],[Pcode]]="","",IF(OFFSET(CampList[Opening Date],MATCH(Table_NFI[[#This Row],[Pcode]],CampList[CP_Pcode],0)-1,0,1,1)&gt;=NFI_Monitor_Date,1,0))</f>
        <v>0</v>
      </c>
      <c r="AQ391" s="771" t="str">
        <f>IFERROR(VLOOKUP(Table_NFI[[#This Row],[Camp Name]],CL,3,0),"")</f>
        <v>Open</v>
      </c>
      <c r="AR391" s="436" t="str">
        <f ca="1">IF(Table_NFI[[#This Row],[Pcode]]="","",OFFSET(CampList[Priority],MATCH(Table_NFI[[#This Row],[Pcode]],CampList[CP_Pcode],0)-1,0,1,1))</f>
        <v>P4</v>
      </c>
      <c r="AS391" s="438">
        <f>IFERROR(Table_NFI[[#This Row],[Kitchen Set]]/VLOOKUP(Table_NFI[[#This Row],[Camp Name]],CL,4,0),"")</f>
        <v>0</v>
      </c>
      <c r="AT391" s="769" t="s">
        <v>1099</v>
      </c>
      <c r="AU391" s="773"/>
    </row>
    <row r="392" spans="1:47" s="774" customFormat="1" x14ac:dyDescent="0.25">
      <c r="A392" s="451">
        <f t="shared" si="6"/>
        <v>25.4</v>
      </c>
      <c r="B392" s="768">
        <v>41608</v>
      </c>
      <c r="C392" s="769" t="s">
        <v>1104</v>
      </c>
      <c r="D392" s="442" t="s">
        <v>951</v>
      </c>
      <c r="E392" s="775" t="s">
        <v>380</v>
      </c>
      <c r="F392" s="769" t="s">
        <v>151</v>
      </c>
      <c r="G392" s="435" t="s">
        <v>160</v>
      </c>
      <c r="H392" s="442"/>
      <c r="I392" s="442"/>
      <c r="J392" s="442"/>
      <c r="K392" s="775"/>
      <c r="L392" s="776"/>
      <c r="M392" s="443">
        <v>347</v>
      </c>
      <c r="N392" s="443"/>
      <c r="O392" s="443"/>
      <c r="P392" s="776"/>
      <c r="Q392" s="443"/>
      <c r="R392" s="442">
        <v>386</v>
      </c>
      <c r="S392" s="442">
        <v>234</v>
      </c>
      <c r="T392" s="442">
        <v>0</v>
      </c>
      <c r="U392" s="442"/>
      <c r="V392" s="442"/>
      <c r="W392" s="442"/>
      <c r="X392" s="442"/>
      <c r="Y392" s="436">
        <f>IF(NFI_Expiration=1,IF($A392&lt;VLOOKUP(H$5,NFI,5,0),1,0)*Table_NFI[[#This Row],[Hygiene Kit]],Table_NFI[Hygiene Kit])</f>
        <v>0</v>
      </c>
      <c r="Z392" s="436">
        <f>IF(NFI_Expiration=1,IF($A392&lt;VLOOKUP(I$5,NFI,5,0),1,0)*Table_NFI[[#This Row],[NFI Core Kit]],Table_NFI[NFI Core Kit])</f>
        <v>0</v>
      </c>
      <c r="AA392" s="436">
        <f>IF(NFI_Expiration=1,IF($A392&lt;VLOOKUP(J$5,NFI,5,0),1,0)*Table_NFI[[#This Row],[Sanitary Kit]],Table_NFI[Sanitary Kit])</f>
        <v>0</v>
      </c>
      <c r="AB392" s="436">
        <f>IF(NFI_Expiration=1,IF($A392&lt;VLOOKUP(K$5,NFI,5,0),1,0)*Table_NFI[[#This Row],[Mosquito net]],Table_NFI[Mosquito net])</f>
        <v>0</v>
      </c>
      <c r="AC392" s="436">
        <f>IF(NFI_Expiration=1,IF($A392&lt;VLOOKUP(L$5,NFI,5,0),1,0)*Table_NFI[[#This Row],[Tarpaulin]],Table_NFI[[#This Row],[Tarpaulin]])</f>
        <v>0</v>
      </c>
      <c r="AD392" s="436">
        <f>IF(NFI_Expiration=1,IF($A392&lt;VLOOKUP(M$5,NFI,5,0),1,0)*Table_NFI[[#This Row],[Blanket]],Table_NFI[[#This Row],[Blanket]])</f>
        <v>0</v>
      </c>
      <c r="AE392" s="436">
        <f>IF(NFI_Expiration=1,IF($A392&lt;VLOOKUP(N$5,NFI,5,0),1,0)*Table_NFI[[#This Row],[Kitchen Set]],Table_NFI[Kitchen Set])</f>
        <v>0</v>
      </c>
      <c r="AF392" s="436">
        <f>IF(NFI_Expiration=1,IF($A392&lt;VLOOKUP(O$5,NFI,5,0),1,0)*Table_NFI[[#This Row],[Clothes Kit]],Table_NFI[Clothes Kit])</f>
        <v>0</v>
      </c>
      <c r="AG392" s="436">
        <f>IF(NFI_Expiration=1,IF($A392&lt;VLOOKUP(P$5,NFI,5,0),1,0)*Table_NFI[[#This Row],[Plastic Bucket]],Table_NFI[Plastic Bucket])</f>
        <v>0</v>
      </c>
      <c r="AH392" s="436">
        <f>IF(NFI_Expiration=1,IF($A392&lt;VLOOKUP(Q$5,NFI,5,0),1,0)*Table_NFI[[#This Row],[Plastic Mat]],Table_NFI[Plastic Mat])*IF(Table_NFI[[#This Row],[Distribution Date]]&gt;"2014-04-01",1,2.5)</f>
        <v>0</v>
      </c>
      <c r="AI392" s="436">
        <f>IF(NFI_Expiration=1,IF($A392&lt;VLOOKUP(R$5,NFI,5,0),1,0)*Table_NFI[[#This Row],[Winter Clothes Adult]],Table_NFI[Winter Clothes Adult])</f>
        <v>0</v>
      </c>
      <c r="AJ392" s="436">
        <f>IF(NFI_Expiration=1,IF($A392&lt;VLOOKUP(S$5,NFI,5,0),1,0)*Table_NFI[[#This Row],[Winter Clothes Children]],Table_NFI[Winter Clothes Children])</f>
        <v>0</v>
      </c>
      <c r="AK392" s="436">
        <f>IF(NFI_Expiration=1,IF($A392&lt;VLOOKUP(T$5,NFI,5,0),1,0)*Table_NFI[[#This Row],[Winter Items Other]],Table_NFI[Winter Items Other])</f>
        <v>0</v>
      </c>
      <c r="AL392" s="436">
        <f>IF(NFI_Expiration=1,IF($A392&lt;VLOOKUP(M$5,NFI,5,0),1,0)*Table_NFI[[#This Row],[Winter Blanket]],Table_NFI[[#This Row],[Winter Blanket]])</f>
        <v>0</v>
      </c>
      <c r="AM392" s="436">
        <f>IF(Table_NFI[[#This Row],[Winter Clothes Adult]]+Table_NFI[[#This Row],[Winter Clothes Children]]+Table_NFI[[#This Row],[Winter Items Other]]+Table_NFI[[#This Row],[Winter Blanket]]&gt;0,1,0)</f>
        <v>1</v>
      </c>
      <c r="AN392" s="439">
        <f>IF(NFI_Expiration=1,IF($A392&lt;VLOOKUP(V$5,NFI,5,0),1,0)*Table_NFI[[#This Row],[Jerry Can]],Table_NFI[Jerry Can])</f>
        <v>0</v>
      </c>
      <c r="AO392" s="771" t="str">
        <f>IFERROR(VLOOKUP(Table_NFI[[#This Row],[Camp Name]],CL,2,0),"")</f>
        <v>MMR001CMP133</v>
      </c>
      <c r="AP392" s="772">
        <f ca="1">IF(Table_NFI[[#This Row],[Pcode]]="","",IF(OFFSET(CampList[Opening Date],MATCH(Table_NFI[[#This Row],[Pcode]],CampList[CP_Pcode],0)-1,0,1,1)&gt;=NFI_Monitor_Date,1,0))</f>
        <v>0</v>
      </c>
      <c r="AQ392" s="771" t="str">
        <f>IFERROR(VLOOKUP(Table_NFI[[#This Row],[Camp Name]],CL,3,0),"")</f>
        <v>Open</v>
      </c>
      <c r="AR392" s="436" t="str">
        <f ca="1">IF(Table_NFI[[#This Row],[Pcode]]="","",OFFSET(CampList[Priority],MATCH(Table_NFI[[#This Row],[Pcode]],CampList[CP_Pcode],0)-1,0,1,1))</f>
        <v>P4</v>
      </c>
      <c r="AS392" s="438">
        <f>IFERROR(Table_NFI[[#This Row],[Kitchen Set]]/VLOOKUP(Table_NFI[[#This Row],[Camp Name]],CL,4,0),"")</f>
        <v>0</v>
      </c>
      <c r="AT392" s="769" t="s">
        <v>1099</v>
      </c>
      <c r="AU392" s="773"/>
    </row>
    <row r="393" spans="1:47" s="774" customFormat="1" x14ac:dyDescent="0.25">
      <c r="A393" s="451">
        <f t="shared" si="6"/>
        <v>25.4</v>
      </c>
      <c r="B393" s="768">
        <v>41608</v>
      </c>
      <c r="C393" s="769" t="s">
        <v>912</v>
      </c>
      <c r="D393" s="769"/>
      <c r="E393" s="769" t="s">
        <v>380</v>
      </c>
      <c r="F393" s="435" t="s">
        <v>151</v>
      </c>
      <c r="G393" s="435" t="s">
        <v>160</v>
      </c>
      <c r="H393" s="436"/>
      <c r="I393" s="436"/>
      <c r="J393" s="436"/>
      <c r="K393" s="436"/>
      <c r="L393" s="437"/>
      <c r="M393" s="437"/>
      <c r="N393" s="437"/>
      <c r="O393" s="437"/>
      <c r="P393" s="439"/>
      <c r="Q393" s="439">
        <v>444</v>
      </c>
      <c r="R393" s="436"/>
      <c r="S393" s="436"/>
      <c r="T393" s="436"/>
      <c r="U393" s="436"/>
      <c r="V393" s="436"/>
      <c r="W393" s="436"/>
      <c r="X393" s="436"/>
      <c r="Y393" s="436">
        <f>IF(NFI_Expiration=1,IF($A393&lt;VLOOKUP(H$5,NFI,5,0),1,0)*Table_NFI[[#This Row],[Hygiene Kit]],Table_NFI[Hygiene Kit])</f>
        <v>0</v>
      </c>
      <c r="Z393" s="436">
        <f>IF(NFI_Expiration=1,IF($A393&lt;VLOOKUP(I$5,NFI,5,0),1,0)*Table_NFI[[#This Row],[NFI Core Kit]],Table_NFI[NFI Core Kit])</f>
        <v>0</v>
      </c>
      <c r="AA393" s="436">
        <f>IF(NFI_Expiration=1,IF($A393&lt;VLOOKUP(J$5,NFI,5,0),1,0)*Table_NFI[[#This Row],[Sanitary Kit]],Table_NFI[Sanitary Kit])</f>
        <v>0</v>
      </c>
      <c r="AB393" s="436">
        <f>IF(NFI_Expiration=1,IF($A393&lt;VLOOKUP(K$5,NFI,5,0),1,0)*Table_NFI[[#This Row],[Mosquito net]],Table_NFI[Mosquito net])</f>
        <v>0</v>
      </c>
      <c r="AC393" s="436">
        <f>IF(NFI_Expiration=1,IF($A393&lt;VLOOKUP(L$5,NFI,5,0),1,0)*Table_NFI[[#This Row],[Tarpaulin]],Table_NFI[[#This Row],[Tarpaulin]])</f>
        <v>0</v>
      </c>
      <c r="AD393" s="436">
        <f>IF(NFI_Expiration=1,IF($A393&lt;VLOOKUP(M$5,NFI,5,0),1,0)*Table_NFI[[#This Row],[Blanket]],Table_NFI[[#This Row],[Blanket]])</f>
        <v>0</v>
      </c>
      <c r="AE393" s="436">
        <f>IF(NFI_Expiration=1,IF($A393&lt;VLOOKUP(N$5,NFI,5,0),1,0)*Table_NFI[[#This Row],[Kitchen Set]],Table_NFI[Kitchen Set])</f>
        <v>0</v>
      </c>
      <c r="AF393" s="436">
        <f>IF(NFI_Expiration=1,IF($A393&lt;VLOOKUP(O$5,NFI,5,0),1,0)*Table_NFI[[#This Row],[Clothes Kit]],Table_NFI[Clothes Kit])</f>
        <v>0</v>
      </c>
      <c r="AG393" s="436">
        <f>IF(NFI_Expiration=1,IF($A393&lt;VLOOKUP(P$5,NFI,5,0),1,0)*Table_NFI[[#This Row],[Plastic Bucket]],Table_NFI[Plastic Bucket])</f>
        <v>0</v>
      </c>
      <c r="AH393" s="436">
        <f>IF(NFI_Expiration=1,IF($A393&lt;VLOOKUP(Q$5,NFI,5,0),1,0)*Table_NFI[[#This Row],[Plastic Mat]],Table_NFI[Plastic Mat])*IF(Table_NFI[[#This Row],[Distribution Date]]&gt;"2014-04-01",1,2.5)</f>
        <v>0</v>
      </c>
      <c r="AI393" s="436">
        <f>IF(NFI_Expiration=1,IF($A393&lt;VLOOKUP(R$5,NFI,5,0),1,0)*Table_NFI[[#This Row],[Winter Clothes Adult]],Table_NFI[Winter Clothes Adult])</f>
        <v>0</v>
      </c>
      <c r="AJ393" s="436">
        <f>IF(NFI_Expiration=1,IF($A393&lt;VLOOKUP(S$5,NFI,5,0),1,0)*Table_NFI[[#This Row],[Winter Clothes Children]],Table_NFI[Winter Clothes Children])</f>
        <v>0</v>
      </c>
      <c r="AK393" s="436">
        <f>IF(NFI_Expiration=1,IF($A393&lt;VLOOKUP(T$5,NFI,5,0),1,0)*Table_NFI[[#This Row],[Winter Items Other]],Table_NFI[Winter Items Other])</f>
        <v>0</v>
      </c>
      <c r="AL393" s="436">
        <f>IF(NFI_Expiration=1,IF($A393&lt;VLOOKUP(M$5,NFI,5,0),1,0)*Table_NFI[[#This Row],[Winter Blanket]],Table_NFI[[#This Row],[Winter Blanket]])</f>
        <v>0</v>
      </c>
      <c r="AM393" s="436">
        <f>IF(Table_NFI[[#This Row],[Winter Clothes Adult]]+Table_NFI[[#This Row],[Winter Clothes Children]]+Table_NFI[[#This Row],[Winter Items Other]]+Table_NFI[[#This Row],[Winter Blanket]]&gt;0,1,0)</f>
        <v>0</v>
      </c>
      <c r="AN393" s="439">
        <f>IF(NFI_Expiration=1,IF($A393&lt;VLOOKUP(V$5,NFI,5,0),1,0)*Table_NFI[[#This Row],[Jerry Can]],Table_NFI[Jerry Can])</f>
        <v>0</v>
      </c>
      <c r="AO393" s="771" t="str">
        <f>IFERROR(VLOOKUP(Table_NFI[[#This Row],[Camp Name]],CL,2,0),"")</f>
        <v>MMR001CMP133</v>
      </c>
      <c r="AP393" s="772">
        <f ca="1">IF(Table_NFI[[#This Row],[Pcode]]="","",IF(OFFSET(CampList[Opening Date],MATCH(Table_NFI[[#This Row],[Pcode]],CampList[CP_Pcode],0)-1,0,1,1)&gt;=NFI_Monitor_Date,1,0))</f>
        <v>0</v>
      </c>
      <c r="AQ393" s="771" t="str">
        <f>IFERROR(VLOOKUP(Table_NFI[[#This Row],[Camp Name]],CL,3,0),"")</f>
        <v>Open</v>
      </c>
      <c r="AR393" s="436" t="str">
        <f ca="1">IF(Table_NFI[[#This Row],[Pcode]]="","",OFFSET(CampList[Priority],MATCH(Table_NFI[[#This Row],[Pcode]],CampList[CP_Pcode],0)-1,0,1,1))</f>
        <v>P4</v>
      </c>
      <c r="AS393" s="438">
        <f>IFERROR(Table_NFI[[#This Row],[Kitchen Set]]/VLOOKUP(Table_NFI[[#This Row],[Camp Name]],CL,4,0),"")</f>
        <v>0</v>
      </c>
      <c r="AT393" s="769" t="s">
        <v>1099</v>
      </c>
      <c r="AU393" s="773"/>
    </row>
    <row r="394" spans="1:47" s="774" customFormat="1" x14ac:dyDescent="0.25">
      <c r="A394" s="451">
        <f t="shared" si="6"/>
        <v>25.4</v>
      </c>
      <c r="B394" s="768">
        <v>41608</v>
      </c>
      <c r="C394" s="769" t="s">
        <v>1104</v>
      </c>
      <c r="D394" s="442" t="s">
        <v>951</v>
      </c>
      <c r="E394" s="775" t="s">
        <v>380</v>
      </c>
      <c r="F394" s="769" t="s">
        <v>151</v>
      </c>
      <c r="G394" s="435" t="s">
        <v>154</v>
      </c>
      <c r="H394" s="442"/>
      <c r="I394" s="442"/>
      <c r="J394" s="442"/>
      <c r="K394" s="775"/>
      <c r="L394" s="776"/>
      <c r="M394" s="443">
        <v>770</v>
      </c>
      <c r="N394" s="443"/>
      <c r="O394" s="443"/>
      <c r="P394" s="776"/>
      <c r="Q394" s="443"/>
      <c r="R394" s="442">
        <v>889</v>
      </c>
      <c r="S394" s="442">
        <v>492</v>
      </c>
      <c r="T394" s="442">
        <v>0</v>
      </c>
      <c r="U394" s="442"/>
      <c r="V394" s="442"/>
      <c r="W394" s="442"/>
      <c r="X394" s="442"/>
      <c r="Y394" s="436">
        <f>IF(NFI_Expiration=1,IF($A394&lt;VLOOKUP(H$5,NFI,5,0),1,0)*Table_NFI[[#This Row],[Hygiene Kit]],Table_NFI[Hygiene Kit])</f>
        <v>0</v>
      </c>
      <c r="Z394" s="436">
        <f>IF(NFI_Expiration=1,IF($A394&lt;VLOOKUP(I$5,NFI,5,0),1,0)*Table_NFI[[#This Row],[NFI Core Kit]],Table_NFI[NFI Core Kit])</f>
        <v>0</v>
      </c>
      <c r="AA394" s="436">
        <f>IF(NFI_Expiration=1,IF($A394&lt;VLOOKUP(J$5,NFI,5,0),1,0)*Table_NFI[[#This Row],[Sanitary Kit]],Table_NFI[Sanitary Kit])</f>
        <v>0</v>
      </c>
      <c r="AB394" s="436">
        <f>IF(NFI_Expiration=1,IF($A394&lt;VLOOKUP(K$5,NFI,5,0),1,0)*Table_NFI[[#This Row],[Mosquito net]],Table_NFI[Mosquito net])</f>
        <v>0</v>
      </c>
      <c r="AC394" s="436">
        <f>IF(NFI_Expiration=1,IF($A394&lt;VLOOKUP(L$5,NFI,5,0),1,0)*Table_NFI[[#This Row],[Tarpaulin]],Table_NFI[[#This Row],[Tarpaulin]])</f>
        <v>0</v>
      </c>
      <c r="AD394" s="436">
        <f>IF(NFI_Expiration=1,IF($A394&lt;VLOOKUP(M$5,NFI,5,0),1,0)*Table_NFI[[#This Row],[Blanket]],Table_NFI[[#This Row],[Blanket]])</f>
        <v>0</v>
      </c>
      <c r="AE394" s="436">
        <f>IF(NFI_Expiration=1,IF($A394&lt;VLOOKUP(N$5,NFI,5,0),1,0)*Table_NFI[[#This Row],[Kitchen Set]],Table_NFI[Kitchen Set])</f>
        <v>0</v>
      </c>
      <c r="AF394" s="436">
        <f>IF(NFI_Expiration=1,IF($A394&lt;VLOOKUP(O$5,NFI,5,0),1,0)*Table_NFI[[#This Row],[Clothes Kit]],Table_NFI[Clothes Kit])</f>
        <v>0</v>
      </c>
      <c r="AG394" s="436">
        <f>IF(NFI_Expiration=1,IF($A394&lt;VLOOKUP(P$5,NFI,5,0),1,0)*Table_NFI[[#This Row],[Plastic Bucket]],Table_NFI[Plastic Bucket])</f>
        <v>0</v>
      </c>
      <c r="AH394" s="436">
        <f>IF(NFI_Expiration=1,IF($A394&lt;VLOOKUP(Q$5,NFI,5,0),1,0)*Table_NFI[[#This Row],[Plastic Mat]],Table_NFI[Plastic Mat])*IF(Table_NFI[[#This Row],[Distribution Date]]&gt;"2014-04-01",1,2.5)</f>
        <v>0</v>
      </c>
      <c r="AI394" s="436">
        <f>IF(NFI_Expiration=1,IF($A394&lt;VLOOKUP(R$5,NFI,5,0),1,0)*Table_NFI[[#This Row],[Winter Clothes Adult]],Table_NFI[Winter Clothes Adult])</f>
        <v>0</v>
      </c>
      <c r="AJ394" s="436">
        <f>IF(NFI_Expiration=1,IF($A394&lt;VLOOKUP(S$5,NFI,5,0),1,0)*Table_NFI[[#This Row],[Winter Clothes Children]],Table_NFI[Winter Clothes Children])</f>
        <v>0</v>
      </c>
      <c r="AK394" s="436">
        <f>IF(NFI_Expiration=1,IF($A394&lt;VLOOKUP(T$5,NFI,5,0),1,0)*Table_NFI[[#This Row],[Winter Items Other]],Table_NFI[Winter Items Other])</f>
        <v>0</v>
      </c>
      <c r="AL394" s="436">
        <f>IF(NFI_Expiration=1,IF($A394&lt;VLOOKUP(M$5,NFI,5,0),1,0)*Table_NFI[[#This Row],[Winter Blanket]],Table_NFI[[#This Row],[Winter Blanket]])</f>
        <v>0</v>
      </c>
      <c r="AM394" s="436">
        <f>IF(Table_NFI[[#This Row],[Winter Clothes Adult]]+Table_NFI[[#This Row],[Winter Clothes Children]]+Table_NFI[[#This Row],[Winter Items Other]]+Table_NFI[[#This Row],[Winter Blanket]]&gt;0,1,0)</f>
        <v>1</v>
      </c>
      <c r="AN394" s="439">
        <f>IF(NFI_Expiration=1,IF($A394&lt;VLOOKUP(V$5,NFI,5,0),1,0)*Table_NFI[[#This Row],[Jerry Can]],Table_NFI[Jerry Can])</f>
        <v>0</v>
      </c>
      <c r="AO394" s="771" t="str">
        <f>IFERROR(VLOOKUP(Table_NFI[[#This Row],[Camp Name]],CL,2,0),"")</f>
        <v>MMR001CMP132</v>
      </c>
      <c r="AP394" s="772">
        <f ca="1">IF(Table_NFI[[#This Row],[Pcode]]="","",IF(OFFSET(CampList[Opening Date],MATCH(Table_NFI[[#This Row],[Pcode]],CampList[CP_Pcode],0)-1,0,1,1)&gt;=NFI_Monitor_Date,1,0))</f>
        <v>0</v>
      </c>
      <c r="AQ394" s="771" t="str">
        <f>IFERROR(VLOOKUP(Table_NFI[[#This Row],[Camp Name]],CL,3,0),"")</f>
        <v>Open</v>
      </c>
      <c r="AR394" s="436" t="str">
        <f ca="1">IF(Table_NFI[[#This Row],[Pcode]]="","",OFFSET(CampList[Priority],MATCH(Table_NFI[[#This Row],[Pcode]],CampList[CP_Pcode],0)-1,0,1,1))</f>
        <v>P4</v>
      </c>
      <c r="AS394" s="438">
        <f>IFERROR(Table_NFI[[#This Row],[Kitchen Set]]/VLOOKUP(Table_NFI[[#This Row],[Camp Name]],CL,4,0),"")</f>
        <v>0</v>
      </c>
      <c r="AT394" s="769" t="s">
        <v>1099</v>
      </c>
      <c r="AU394" s="773"/>
    </row>
    <row r="395" spans="1:47" s="774" customFormat="1" x14ac:dyDescent="0.25">
      <c r="A395" s="451">
        <f t="shared" si="6"/>
        <v>25.4</v>
      </c>
      <c r="B395" s="768">
        <v>41608</v>
      </c>
      <c r="C395" s="769" t="s">
        <v>912</v>
      </c>
      <c r="D395" s="769"/>
      <c r="E395" s="769" t="s">
        <v>380</v>
      </c>
      <c r="F395" s="435" t="s">
        <v>151</v>
      </c>
      <c r="G395" s="435" t="s">
        <v>154</v>
      </c>
      <c r="H395" s="436"/>
      <c r="I395" s="436"/>
      <c r="J395" s="436"/>
      <c r="K395" s="436"/>
      <c r="L395" s="437"/>
      <c r="M395" s="437"/>
      <c r="N395" s="437"/>
      <c r="O395" s="437"/>
      <c r="P395" s="439"/>
      <c r="Q395" s="439">
        <v>1080</v>
      </c>
      <c r="R395" s="436"/>
      <c r="S395" s="436"/>
      <c r="T395" s="436"/>
      <c r="U395" s="436"/>
      <c r="V395" s="436"/>
      <c r="W395" s="436"/>
      <c r="X395" s="436"/>
      <c r="Y395" s="436">
        <f>IF(NFI_Expiration=1,IF($A395&lt;VLOOKUP(H$5,NFI,5,0),1,0)*Table_NFI[[#This Row],[Hygiene Kit]],Table_NFI[Hygiene Kit])</f>
        <v>0</v>
      </c>
      <c r="Z395" s="436">
        <f>IF(NFI_Expiration=1,IF($A395&lt;VLOOKUP(I$5,NFI,5,0),1,0)*Table_NFI[[#This Row],[NFI Core Kit]],Table_NFI[NFI Core Kit])</f>
        <v>0</v>
      </c>
      <c r="AA395" s="436">
        <f>IF(NFI_Expiration=1,IF($A395&lt;VLOOKUP(J$5,NFI,5,0),1,0)*Table_NFI[[#This Row],[Sanitary Kit]],Table_NFI[Sanitary Kit])</f>
        <v>0</v>
      </c>
      <c r="AB395" s="436">
        <f>IF(NFI_Expiration=1,IF($A395&lt;VLOOKUP(K$5,NFI,5,0),1,0)*Table_NFI[[#This Row],[Mosquito net]],Table_NFI[Mosquito net])</f>
        <v>0</v>
      </c>
      <c r="AC395" s="436">
        <f>IF(NFI_Expiration=1,IF($A395&lt;VLOOKUP(L$5,NFI,5,0),1,0)*Table_NFI[[#This Row],[Tarpaulin]],Table_NFI[[#This Row],[Tarpaulin]])</f>
        <v>0</v>
      </c>
      <c r="AD395" s="436">
        <f>IF(NFI_Expiration=1,IF($A395&lt;VLOOKUP(M$5,NFI,5,0),1,0)*Table_NFI[[#This Row],[Blanket]],Table_NFI[[#This Row],[Blanket]])</f>
        <v>0</v>
      </c>
      <c r="AE395" s="436">
        <f>IF(NFI_Expiration=1,IF($A395&lt;VLOOKUP(N$5,NFI,5,0),1,0)*Table_NFI[[#This Row],[Kitchen Set]],Table_NFI[Kitchen Set])</f>
        <v>0</v>
      </c>
      <c r="AF395" s="436">
        <f>IF(NFI_Expiration=1,IF($A395&lt;VLOOKUP(O$5,NFI,5,0),1,0)*Table_NFI[[#This Row],[Clothes Kit]],Table_NFI[Clothes Kit])</f>
        <v>0</v>
      </c>
      <c r="AG395" s="436">
        <f>IF(NFI_Expiration=1,IF($A395&lt;VLOOKUP(P$5,NFI,5,0),1,0)*Table_NFI[[#This Row],[Plastic Bucket]],Table_NFI[Plastic Bucket])</f>
        <v>0</v>
      </c>
      <c r="AH395" s="436">
        <f>IF(NFI_Expiration=1,IF($A395&lt;VLOOKUP(Q$5,NFI,5,0),1,0)*Table_NFI[[#This Row],[Plastic Mat]],Table_NFI[Plastic Mat])*IF(Table_NFI[[#This Row],[Distribution Date]]&gt;"2014-04-01",1,2.5)</f>
        <v>0</v>
      </c>
      <c r="AI395" s="436">
        <f>IF(NFI_Expiration=1,IF($A395&lt;VLOOKUP(R$5,NFI,5,0),1,0)*Table_NFI[[#This Row],[Winter Clothes Adult]],Table_NFI[Winter Clothes Adult])</f>
        <v>0</v>
      </c>
      <c r="AJ395" s="436">
        <f>IF(NFI_Expiration=1,IF($A395&lt;VLOOKUP(S$5,NFI,5,0),1,0)*Table_NFI[[#This Row],[Winter Clothes Children]],Table_NFI[Winter Clothes Children])</f>
        <v>0</v>
      </c>
      <c r="AK395" s="436">
        <f>IF(NFI_Expiration=1,IF($A395&lt;VLOOKUP(T$5,NFI,5,0),1,0)*Table_NFI[[#This Row],[Winter Items Other]],Table_NFI[Winter Items Other])</f>
        <v>0</v>
      </c>
      <c r="AL395" s="436">
        <f>IF(NFI_Expiration=1,IF($A395&lt;VLOOKUP(M$5,NFI,5,0),1,0)*Table_NFI[[#This Row],[Winter Blanket]],Table_NFI[[#This Row],[Winter Blanket]])</f>
        <v>0</v>
      </c>
      <c r="AM395" s="436">
        <f>IF(Table_NFI[[#This Row],[Winter Clothes Adult]]+Table_NFI[[#This Row],[Winter Clothes Children]]+Table_NFI[[#This Row],[Winter Items Other]]+Table_NFI[[#This Row],[Winter Blanket]]&gt;0,1,0)</f>
        <v>0</v>
      </c>
      <c r="AN395" s="439">
        <f>IF(NFI_Expiration=1,IF($A395&lt;VLOOKUP(V$5,NFI,5,0),1,0)*Table_NFI[[#This Row],[Jerry Can]],Table_NFI[Jerry Can])</f>
        <v>0</v>
      </c>
      <c r="AO395" s="771" t="str">
        <f>IFERROR(VLOOKUP(Table_NFI[[#This Row],[Camp Name]],CL,2,0),"")</f>
        <v>MMR001CMP132</v>
      </c>
      <c r="AP395" s="772">
        <f ca="1">IF(Table_NFI[[#This Row],[Pcode]]="","",IF(OFFSET(CampList[Opening Date],MATCH(Table_NFI[[#This Row],[Pcode]],CampList[CP_Pcode],0)-1,0,1,1)&gt;=NFI_Monitor_Date,1,0))</f>
        <v>0</v>
      </c>
      <c r="AQ395" s="771" t="str">
        <f>IFERROR(VLOOKUP(Table_NFI[[#This Row],[Camp Name]],CL,3,0),"")</f>
        <v>Open</v>
      </c>
      <c r="AR395" s="436" t="str">
        <f ca="1">IF(Table_NFI[[#This Row],[Pcode]]="","",OFFSET(CampList[Priority],MATCH(Table_NFI[[#This Row],[Pcode]],CampList[CP_Pcode],0)-1,0,1,1))</f>
        <v>P4</v>
      </c>
      <c r="AS395" s="438">
        <f>IFERROR(Table_NFI[[#This Row],[Kitchen Set]]/VLOOKUP(Table_NFI[[#This Row],[Camp Name]],CL,4,0),"")</f>
        <v>0</v>
      </c>
      <c r="AT395" s="769" t="s">
        <v>1099</v>
      </c>
      <c r="AU395" s="773"/>
    </row>
    <row r="396" spans="1:47" s="774" customFormat="1" x14ac:dyDescent="0.25">
      <c r="A396" s="451">
        <f t="shared" si="6"/>
        <v>25.4</v>
      </c>
      <c r="B396" s="768">
        <v>41608</v>
      </c>
      <c r="C396" s="769" t="s">
        <v>912</v>
      </c>
      <c r="D396" s="769"/>
      <c r="E396" s="769" t="s">
        <v>380</v>
      </c>
      <c r="F396" s="435" t="s">
        <v>151</v>
      </c>
      <c r="G396" s="435" t="s">
        <v>152</v>
      </c>
      <c r="H396" s="436"/>
      <c r="I396" s="436"/>
      <c r="J396" s="436"/>
      <c r="K396" s="436"/>
      <c r="L396" s="437"/>
      <c r="M396" s="437"/>
      <c r="N396" s="437"/>
      <c r="O396" s="437"/>
      <c r="P396" s="439"/>
      <c r="Q396" s="439">
        <v>225</v>
      </c>
      <c r="R396" s="436"/>
      <c r="S396" s="436"/>
      <c r="T396" s="436"/>
      <c r="U396" s="436"/>
      <c r="V396" s="436"/>
      <c r="W396" s="436"/>
      <c r="X396" s="436"/>
      <c r="Y396" s="436">
        <f>IF(NFI_Expiration=1,IF($A396&lt;VLOOKUP(H$5,NFI,5,0),1,0)*Table_NFI[[#This Row],[Hygiene Kit]],Table_NFI[Hygiene Kit])</f>
        <v>0</v>
      </c>
      <c r="Z396" s="436">
        <f>IF(NFI_Expiration=1,IF($A396&lt;VLOOKUP(I$5,NFI,5,0),1,0)*Table_NFI[[#This Row],[NFI Core Kit]],Table_NFI[NFI Core Kit])</f>
        <v>0</v>
      </c>
      <c r="AA396" s="436">
        <f>IF(NFI_Expiration=1,IF($A396&lt;VLOOKUP(J$5,NFI,5,0),1,0)*Table_NFI[[#This Row],[Sanitary Kit]],Table_NFI[Sanitary Kit])</f>
        <v>0</v>
      </c>
      <c r="AB396" s="436">
        <f>IF(NFI_Expiration=1,IF($A396&lt;VLOOKUP(K$5,NFI,5,0),1,0)*Table_NFI[[#This Row],[Mosquito net]],Table_NFI[Mosquito net])</f>
        <v>0</v>
      </c>
      <c r="AC396" s="436">
        <f>IF(NFI_Expiration=1,IF($A396&lt;VLOOKUP(L$5,NFI,5,0),1,0)*Table_NFI[[#This Row],[Tarpaulin]],Table_NFI[[#This Row],[Tarpaulin]])</f>
        <v>0</v>
      </c>
      <c r="AD396" s="436">
        <f>IF(NFI_Expiration=1,IF($A396&lt;VLOOKUP(M$5,NFI,5,0),1,0)*Table_NFI[[#This Row],[Blanket]],Table_NFI[[#This Row],[Blanket]])</f>
        <v>0</v>
      </c>
      <c r="AE396" s="436">
        <f>IF(NFI_Expiration=1,IF($A396&lt;VLOOKUP(N$5,NFI,5,0),1,0)*Table_NFI[[#This Row],[Kitchen Set]],Table_NFI[Kitchen Set])</f>
        <v>0</v>
      </c>
      <c r="AF396" s="436">
        <f>IF(NFI_Expiration=1,IF($A396&lt;VLOOKUP(O$5,NFI,5,0),1,0)*Table_NFI[[#This Row],[Clothes Kit]],Table_NFI[Clothes Kit])</f>
        <v>0</v>
      </c>
      <c r="AG396" s="436">
        <f>IF(NFI_Expiration=1,IF($A396&lt;VLOOKUP(P$5,NFI,5,0),1,0)*Table_NFI[[#This Row],[Plastic Bucket]],Table_NFI[Plastic Bucket])</f>
        <v>0</v>
      </c>
      <c r="AH396" s="436">
        <f>IF(NFI_Expiration=1,IF($A396&lt;VLOOKUP(Q$5,NFI,5,0),1,0)*Table_NFI[[#This Row],[Plastic Mat]],Table_NFI[Plastic Mat])*IF(Table_NFI[[#This Row],[Distribution Date]]&gt;"2014-04-01",1,2.5)</f>
        <v>0</v>
      </c>
      <c r="AI396" s="436">
        <f>IF(NFI_Expiration=1,IF($A396&lt;VLOOKUP(R$5,NFI,5,0),1,0)*Table_NFI[[#This Row],[Winter Clothes Adult]],Table_NFI[Winter Clothes Adult])</f>
        <v>0</v>
      </c>
      <c r="AJ396" s="436">
        <f>IF(NFI_Expiration=1,IF($A396&lt;VLOOKUP(S$5,NFI,5,0),1,0)*Table_NFI[[#This Row],[Winter Clothes Children]],Table_NFI[Winter Clothes Children])</f>
        <v>0</v>
      </c>
      <c r="AK396" s="436">
        <f>IF(NFI_Expiration=1,IF($A396&lt;VLOOKUP(T$5,NFI,5,0),1,0)*Table_NFI[[#This Row],[Winter Items Other]],Table_NFI[Winter Items Other])</f>
        <v>0</v>
      </c>
      <c r="AL396" s="436">
        <f>IF(NFI_Expiration=1,IF($A396&lt;VLOOKUP(M$5,NFI,5,0),1,0)*Table_NFI[[#This Row],[Winter Blanket]],Table_NFI[[#This Row],[Winter Blanket]])</f>
        <v>0</v>
      </c>
      <c r="AM396" s="436">
        <f>IF(Table_NFI[[#This Row],[Winter Clothes Adult]]+Table_NFI[[#This Row],[Winter Clothes Children]]+Table_NFI[[#This Row],[Winter Items Other]]+Table_NFI[[#This Row],[Winter Blanket]]&gt;0,1,0)</f>
        <v>0</v>
      </c>
      <c r="AN396" s="439">
        <f>IF(NFI_Expiration=1,IF($A396&lt;VLOOKUP(V$5,NFI,5,0),1,0)*Table_NFI[[#This Row],[Jerry Can]],Table_NFI[Jerry Can])</f>
        <v>0</v>
      </c>
      <c r="AO396" s="771" t="str">
        <f>IFERROR(VLOOKUP(Table_NFI[[#This Row],[Camp Name]],CL,2,0),"")</f>
        <v>MMR001CMP066</v>
      </c>
      <c r="AP396" s="772">
        <f ca="1">IF(Table_NFI[[#This Row],[Pcode]]="","",IF(OFFSET(CampList[Opening Date],MATCH(Table_NFI[[#This Row],[Pcode]],CampList[CP_Pcode],0)-1,0,1,1)&gt;=NFI_Monitor_Date,1,0))</f>
        <v>0</v>
      </c>
      <c r="AQ396" s="771" t="str">
        <f>IFERROR(VLOOKUP(Table_NFI[[#This Row],[Camp Name]],CL,3,0),"")</f>
        <v>Open</v>
      </c>
      <c r="AR396" s="436" t="str">
        <f ca="1">IF(Table_NFI[[#This Row],[Pcode]]="","",OFFSET(CampList[Priority],MATCH(Table_NFI[[#This Row],[Pcode]],CampList[CP_Pcode],0)-1,0,1,1))</f>
        <v>P4</v>
      </c>
      <c r="AS396" s="438">
        <f>IFERROR(Table_NFI[[#This Row],[Kitchen Set]]/VLOOKUP(Table_NFI[[#This Row],[Camp Name]],CL,4,0),"")</f>
        <v>0</v>
      </c>
      <c r="AT396" s="769" t="s">
        <v>1099</v>
      </c>
      <c r="AU396" s="773"/>
    </row>
    <row r="397" spans="1:47" s="774" customFormat="1" x14ac:dyDescent="0.25">
      <c r="A397" s="451">
        <f t="shared" si="6"/>
        <v>25.4</v>
      </c>
      <c r="B397" s="768">
        <v>41608</v>
      </c>
      <c r="C397" s="769" t="s">
        <v>1104</v>
      </c>
      <c r="D397" s="442" t="s">
        <v>951</v>
      </c>
      <c r="E397" s="775" t="s">
        <v>555</v>
      </c>
      <c r="F397" s="435" t="s">
        <v>146</v>
      </c>
      <c r="G397" s="435" t="s">
        <v>368</v>
      </c>
      <c r="H397" s="442"/>
      <c r="I397" s="442"/>
      <c r="J397" s="442"/>
      <c r="K397" s="775"/>
      <c r="L397" s="776"/>
      <c r="M397" s="443">
        <v>258</v>
      </c>
      <c r="N397" s="443"/>
      <c r="O397" s="443"/>
      <c r="P397" s="776"/>
      <c r="Q397" s="443"/>
      <c r="R397" s="442">
        <v>349</v>
      </c>
      <c r="S397" s="442">
        <v>175</v>
      </c>
      <c r="T397" s="442">
        <v>0</v>
      </c>
      <c r="U397" s="442"/>
      <c r="V397" s="442"/>
      <c r="W397" s="442"/>
      <c r="X397" s="442"/>
      <c r="Y397" s="436">
        <f>IF(NFI_Expiration=1,IF($A397&lt;VLOOKUP(H$5,NFI,5,0),1,0)*Table_NFI[[#This Row],[Hygiene Kit]],Table_NFI[Hygiene Kit])</f>
        <v>0</v>
      </c>
      <c r="Z397" s="436">
        <f>IF(NFI_Expiration=1,IF($A397&lt;VLOOKUP(I$5,NFI,5,0),1,0)*Table_NFI[[#This Row],[NFI Core Kit]],Table_NFI[NFI Core Kit])</f>
        <v>0</v>
      </c>
      <c r="AA397" s="436">
        <f>IF(NFI_Expiration=1,IF($A397&lt;VLOOKUP(J$5,NFI,5,0),1,0)*Table_NFI[[#This Row],[Sanitary Kit]],Table_NFI[Sanitary Kit])</f>
        <v>0</v>
      </c>
      <c r="AB397" s="436">
        <f>IF(NFI_Expiration=1,IF($A397&lt;VLOOKUP(K$5,NFI,5,0),1,0)*Table_NFI[[#This Row],[Mosquito net]],Table_NFI[Mosquito net])</f>
        <v>0</v>
      </c>
      <c r="AC397" s="436">
        <f>IF(NFI_Expiration=1,IF($A397&lt;VLOOKUP(L$5,NFI,5,0),1,0)*Table_NFI[[#This Row],[Tarpaulin]],Table_NFI[[#This Row],[Tarpaulin]])</f>
        <v>0</v>
      </c>
      <c r="AD397" s="436">
        <f>IF(NFI_Expiration=1,IF($A397&lt;VLOOKUP(M$5,NFI,5,0),1,0)*Table_NFI[[#This Row],[Blanket]],Table_NFI[[#This Row],[Blanket]])</f>
        <v>0</v>
      </c>
      <c r="AE397" s="436">
        <f>IF(NFI_Expiration=1,IF($A397&lt;VLOOKUP(N$5,NFI,5,0),1,0)*Table_NFI[[#This Row],[Kitchen Set]],Table_NFI[Kitchen Set])</f>
        <v>0</v>
      </c>
      <c r="AF397" s="436">
        <f>IF(NFI_Expiration=1,IF($A397&lt;VLOOKUP(O$5,NFI,5,0),1,0)*Table_NFI[[#This Row],[Clothes Kit]],Table_NFI[Clothes Kit])</f>
        <v>0</v>
      </c>
      <c r="AG397" s="436">
        <f>IF(NFI_Expiration=1,IF($A397&lt;VLOOKUP(P$5,NFI,5,0),1,0)*Table_NFI[[#This Row],[Plastic Bucket]],Table_NFI[Plastic Bucket])</f>
        <v>0</v>
      </c>
      <c r="AH397" s="436">
        <f>IF(NFI_Expiration=1,IF($A397&lt;VLOOKUP(Q$5,NFI,5,0),1,0)*Table_NFI[[#This Row],[Plastic Mat]],Table_NFI[Plastic Mat])*IF(Table_NFI[[#This Row],[Distribution Date]]&gt;"2014-04-01",1,2.5)</f>
        <v>0</v>
      </c>
      <c r="AI397" s="436">
        <f>IF(NFI_Expiration=1,IF($A397&lt;VLOOKUP(R$5,NFI,5,0),1,0)*Table_NFI[[#This Row],[Winter Clothes Adult]],Table_NFI[Winter Clothes Adult])</f>
        <v>0</v>
      </c>
      <c r="AJ397" s="436">
        <f>IF(NFI_Expiration=1,IF($A397&lt;VLOOKUP(S$5,NFI,5,0),1,0)*Table_NFI[[#This Row],[Winter Clothes Children]],Table_NFI[Winter Clothes Children])</f>
        <v>0</v>
      </c>
      <c r="AK397" s="436">
        <f>IF(NFI_Expiration=1,IF($A397&lt;VLOOKUP(T$5,NFI,5,0),1,0)*Table_NFI[[#This Row],[Winter Items Other]],Table_NFI[Winter Items Other])</f>
        <v>0</v>
      </c>
      <c r="AL397" s="436">
        <f>IF(NFI_Expiration=1,IF($A397&lt;VLOOKUP(M$5,NFI,5,0),1,0)*Table_NFI[[#This Row],[Winter Blanket]],Table_NFI[[#This Row],[Winter Blanket]])</f>
        <v>0</v>
      </c>
      <c r="AM397" s="436">
        <f>IF(Table_NFI[[#This Row],[Winter Clothes Adult]]+Table_NFI[[#This Row],[Winter Clothes Children]]+Table_NFI[[#This Row],[Winter Items Other]]+Table_NFI[[#This Row],[Winter Blanket]]&gt;0,1,0)</f>
        <v>1</v>
      </c>
      <c r="AN397" s="439">
        <f>IF(NFI_Expiration=1,IF($A397&lt;VLOOKUP(V$5,NFI,5,0),1,0)*Table_NFI[[#This Row],[Jerry Can]],Table_NFI[Jerry Can])</f>
        <v>0</v>
      </c>
      <c r="AO397" s="771" t="str">
        <f>IFERROR(VLOOKUP(Table_NFI[[#This Row],[Camp Name]],CL,2,0),"")</f>
        <v>MMR015CMP018</v>
      </c>
      <c r="AP397" s="772">
        <f ca="1">IF(Table_NFI[[#This Row],[Pcode]]="","",IF(OFFSET(CampList[Opening Date],MATCH(Table_NFI[[#This Row],[Pcode]],CampList[CP_Pcode],0)-1,0,1,1)&gt;=NFI_Monitor_Date,1,0))</f>
        <v>0</v>
      </c>
      <c r="AQ397" s="771" t="str">
        <f>IFERROR(VLOOKUP(Table_NFI[[#This Row],[Camp Name]],CL,3,0),"")</f>
        <v>Open</v>
      </c>
      <c r="AR397" s="436" t="str">
        <f ca="1">IF(Table_NFI[[#This Row],[Pcode]]="","",OFFSET(CampList[Priority],MATCH(Table_NFI[[#This Row],[Pcode]],CampList[CP_Pcode],0)-1,0,1,1))</f>
        <v>P3</v>
      </c>
      <c r="AS397" s="438">
        <f>IFERROR(Table_NFI[[#This Row],[Kitchen Set]]/VLOOKUP(Table_NFI[[#This Row],[Camp Name]],CL,4,0),"")</f>
        <v>0</v>
      </c>
      <c r="AT397" s="769" t="s">
        <v>1099</v>
      </c>
      <c r="AU397" s="773"/>
    </row>
    <row r="398" spans="1:47" s="774" customFormat="1" x14ac:dyDescent="0.25">
      <c r="A398" s="451">
        <f t="shared" si="6"/>
        <v>25.4</v>
      </c>
      <c r="B398" s="768">
        <v>41608</v>
      </c>
      <c r="C398" s="769" t="s">
        <v>912</v>
      </c>
      <c r="D398" s="769"/>
      <c r="E398" s="769" t="s">
        <v>380</v>
      </c>
      <c r="F398" s="435" t="s">
        <v>185</v>
      </c>
      <c r="G398" s="435" t="s">
        <v>209</v>
      </c>
      <c r="H398" s="436"/>
      <c r="I398" s="436"/>
      <c r="J398" s="436"/>
      <c r="K398" s="436"/>
      <c r="L398" s="437"/>
      <c r="M398" s="437"/>
      <c r="N398" s="437"/>
      <c r="O398" s="437"/>
      <c r="P398" s="439"/>
      <c r="Q398" s="439">
        <v>906</v>
      </c>
      <c r="R398" s="436"/>
      <c r="S398" s="436"/>
      <c r="T398" s="436"/>
      <c r="U398" s="436"/>
      <c r="V398" s="436"/>
      <c r="W398" s="436"/>
      <c r="X398" s="436"/>
      <c r="Y398" s="436">
        <f>IF(NFI_Expiration=1,IF($A398&lt;VLOOKUP(H$5,NFI,5,0),1,0)*Table_NFI[[#This Row],[Hygiene Kit]],Table_NFI[Hygiene Kit])</f>
        <v>0</v>
      </c>
      <c r="Z398" s="436">
        <f>IF(NFI_Expiration=1,IF($A398&lt;VLOOKUP(I$5,NFI,5,0),1,0)*Table_NFI[[#This Row],[NFI Core Kit]],Table_NFI[NFI Core Kit])</f>
        <v>0</v>
      </c>
      <c r="AA398" s="436">
        <f>IF(NFI_Expiration=1,IF($A398&lt;VLOOKUP(J$5,NFI,5,0),1,0)*Table_NFI[[#This Row],[Sanitary Kit]],Table_NFI[Sanitary Kit])</f>
        <v>0</v>
      </c>
      <c r="AB398" s="436">
        <f>IF(NFI_Expiration=1,IF($A398&lt;VLOOKUP(K$5,NFI,5,0),1,0)*Table_NFI[[#This Row],[Mosquito net]],Table_NFI[Mosquito net])</f>
        <v>0</v>
      </c>
      <c r="AC398" s="436">
        <f>IF(NFI_Expiration=1,IF($A398&lt;VLOOKUP(L$5,NFI,5,0),1,0)*Table_NFI[[#This Row],[Tarpaulin]],Table_NFI[[#This Row],[Tarpaulin]])</f>
        <v>0</v>
      </c>
      <c r="AD398" s="436">
        <f>IF(NFI_Expiration=1,IF($A398&lt;VLOOKUP(M$5,NFI,5,0),1,0)*Table_NFI[[#This Row],[Blanket]],Table_NFI[[#This Row],[Blanket]])</f>
        <v>0</v>
      </c>
      <c r="AE398" s="436">
        <f>IF(NFI_Expiration=1,IF($A398&lt;VLOOKUP(N$5,NFI,5,0),1,0)*Table_NFI[[#This Row],[Kitchen Set]],Table_NFI[Kitchen Set])</f>
        <v>0</v>
      </c>
      <c r="AF398" s="436">
        <f>IF(NFI_Expiration=1,IF($A398&lt;VLOOKUP(O$5,NFI,5,0),1,0)*Table_NFI[[#This Row],[Clothes Kit]],Table_NFI[Clothes Kit])</f>
        <v>0</v>
      </c>
      <c r="AG398" s="436">
        <f>IF(NFI_Expiration=1,IF($A398&lt;VLOOKUP(P$5,NFI,5,0),1,0)*Table_NFI[[#This Row],[Plastic Bucket]],Table_NFI[Plastic Bucket])</f>
        <v>0</v>
      </c>
      <c r="AH398" s="436">
        <f>IF(NFI_Expiration=1,IF($A398&lt;VLOOKUP(Q$5,NFI,5,0),1,0)*Table_NFI[[#This Row],[Plastic Mat]],Table_NFI[Plastic Mat])*IF(Table_NFI[[#This Row],[Distribution Date]]&gt;"2014-04-01",1,2.5)</f>
        <v>0</v>
      </c>
      <c r="AI398" s="436">
        <f>IF(NFI_Expiration=1,IF($A398&lt;VLOOKUP(R$5,NFI,5,0),1,0)*Table_NFI[[#This Row],[Winter Clothes Adult]],Table_NFI[Winter Clothes Adult])</f>
        <v>0</v>
      </c>
      <c r="AJ398" s="436">
        <f>IF(NFI_Expiration=1,IF($A398&lt;VLOOKUP(S$5,NFI,5,0),1,0)*Table_NFI[[#This Row],[Winter Clothes Children]],Table_NFI[Winter Clothes Children])</f>
        <v>0</v>
      </c>
      <c r="AK398" s="436">
        <f>IF(NFI_Expiration=1,IF($A398&lt;VLOOKUP(T$5,NFI,5,0),1,0)*Table_NFI[[#This Row],[Winter Items Other]],Table_NFI[Winter Items Other])</f>
        <v>0</v>
      </c>
      <c r="AL398" s="436">
        <f>IF(NFI_Expiration=1,IF($A398&lt;VLOOKUP(M$5,NFI,5,0),1,0)*Table_NFI[[#This Row],[Winter Blanket]],Table_NFI[[#This Row],[Winter Blanket]])</f>
        <v>0</v>
      </c>
      <c r="AM398" s="436">
        <f>IF(Table_NFI[[#This Row],[Winter Clothes Adult]]+Table_NFI[[#This Row],[Winter Clothes Children]]+Table_NFI[[#This Row],[Winter Items Other]]+Table_NFI[[#This Row],[Winter Blanket]]&gt;0,1,0)</f>
        <v>0</v>
      </c>
      <c r="AN398" s="439">
        <f>IF(NFI_Expiration=1,IF($A398&lt;VLOOKUP(V$5,NFI,5,0),1,0)*Table_NFI[[#This Row],[Jerry Can]],Table_NFI[Jerry Can])</f>
        <v>0</v>
      </c>
      <c r="AO398" s="771" t="str">
        <f>IFERROR(VLOOKUP(Table_NFI[[#This Row],[Camp Name]],CL,2,0),"")</f>
        <v>MMR001CMP056</v>
      </c>
      <c r="AP398" s="772">
        <f ca="1">IF(Table_NFI[[#This Row],[Pcode]]="","",IF(OFFSET(CampList[Opening Date],MATCH(Table_NFI[[#This Row],[Pcode]],CampList[CP_Pcode],0)-1,0,1,1)&gt;=NFI_Monitor_Date,1,0))</f>
        <v>0</v>
      </c>
      <c r="AQ398" s="771" t="str">
        <f>IFERROR(VLOOKUP(Table_NFI[[#This Row],[Camp Name]],CL,3,0),"")</f>
        <v>Open</v>
      </c>
      <c r="AR398" s="436" t="str">
        <f ca="1">IF(Table_NFI[[#This Row],[Pcode]]="","",OFFSET(CampList[Priority],MATCH(Table_NFI[[#This Row],[Pcode]],CampList[CP_Pcode],0)-1,0,1,1))</f>
        <v>P4</v>
      </c>
      <c r="AS398" s="438">
        <f>IFERROR(Table_NFI[[#This Row],[Kitchen Set]]/VLOOKUP(Table_NFI[[#This Row],[Camp Name]],CL,4,0),"")</f>
        <v>0</v>
      </c>
      <c r="AT398" s="769" t="s">
        <v>1099</v>
      </c>
      <c r="AU398" s="773"/>
    </row>
    <row r="399" spans="1:47" s="774" customFormat="1" x14ac:dyDescent="0.25">
      <c r="A399" s="451">
        <f t="shared" si="6"/>
        <v>25.4</v>
      </c>
      <c r="B399" s="768">
        <v>41608</v>
      </c>
      <c r="C399" s="769" t="s">
        <v>912</v>
      </c>
      <c r="D399" s="769"/>
      <c r="E399" s="769" t="s">
        <v>380</v>
      </c>
      <c r="F399" s="435" t="s">
        <v>185</v>
      </c>
      <c r="G399" s="435" t="s">
        <v>211</v>
      </c>
      <c r="H399" s="436"/>
      <c r="I399" s="436"/>
      <c r="J399" s="436"/>
      <c r="K399" s="436"/>
      <c r="L399" s="437"/>
      <c r="M399" s="437"/>
      <c r="N399" s="437"/>
      <c r="O399" s="437"/>
      <c r="P399" s="439"/>
      <c r="Q399" s="439">
        <v>543</v>
      </c>
      <c r="R399" s="436"/>
      <c r="S399" s="436"/>
      <c r="T399" s="436"/>
      <c r="U399" s="436"/>
      <c r="V399" s="436"/>
      <c r="W399" s="436"/>
      <c r="X399" s="436"/>
      <c r="Y399" s="436">
        <f>IF(NFI_Expiration=1,IF($A399&lt;VLOOKUP(H$5,NFI,5,0),1,0)*Table_NFI[[#This Row],[Hygiene Kit]],Table_NFI[Hygiene Kit])</f>
        <v>0</v>
      </c>
      <c r="Z399" s="436">
        <f>IF(NFI_Expiration=1,IF($A399&lt;VLOOKUP(I$5,NFI,5,0),1,0)*Table_NFI[[#This Row],[NFI Core Kit]],Table_NFI[NFI Core Kit])</f>
        <v>0</v>
      </c>
      <c r="AA399" s="436">
        <f>IF(NFI_Expiration=1,IF($A399&lt;VLOOKUP(J$5,NFI,5,0),1,0)*Table_NFI[[#This Row],[Sanitary Kit]],Table_NFI[Sanitary Kit])</f>
        <v>0</v>
      </c>
      <c r="AB399" s="436">
        <f>IF(NFI_Expiration=1,IF($A399&lt;VLOOKUP(K$5,NFI,5,0),1,0)*Table_NFI[[#This Row],[Mosquito net]],Table_NFI[Mosquito net])</f>
        <v>0</v>
      </c>
      <c r="AC399" s="436">
        <f>IF(NFI_Expiration=1,IF($A399&lt;VLOOKUP(L$5,NFI,5,0),1,0)*Table_NFI[[#This Row],[Tarpaulin]],Table_NFI[[#This Row],[Tarpaulin]])</f>
        <v>0</v>
      </c>
      <c r="AD399" s="436">
        <f>IF(NFI_Expiration=1,IF($A399&lt;VLOOKUP(M$5,NFI,5,0),1,0)*Table_NFI[[#This Row],[Blanket]],Table_NFI[[#This Row],[Blanket]])</f>
        <v>0</v>
      </c>
      <c r="AE399" s="436">
        <f>IF(NFI_Expiration=1,IF($A399&lt;VLOOKUP(N$5,NFI,5,0),1,0)*Table_NFI[[#This Row],[Kitchen Set]],Table_NFI[Kitchen Set])</f>
        <v>0</v>
      </c>
      <c r="AF399" s="436">
        <f>IF(NFI_Expiration=1,IF($A399&lt;VLOOKUP(O$5,NFI,5,0),1,0)*Table_NFI[[#This Row],[Clothes Kit]],Table_NFI[Clothes Kit])</f>
        <v>0</v>
      </c>
      <c r="AG399" s="436">
        <f>IF(NFI_Expiration=1,IF($A399&lt;VLOOKUP(P$5,NFI,5,0),1,0)*Table_NFI[[#This Row],[Plastic Bucket]],Table_NFI[Plastic Bucket])</f>
        <v>0</v>
      </c>
      <c r="AH399" s="436">
        <f>IF(NFI_Expiration=1,IF($A399&lt;VLOOKUP(Q$5,NFI,5,0),1,0)*Table_NFI[[#This Row],[Plastic Mat]],Table_NFI[Plastic Mat])*IF(Table_NFI[[#This Row],[Distribution Date]]&gt;"2014-04-01",1,2.5)</f>
        <v>0</v>
      </c>
      <c r="AI399" s="436">
        <f>IF(NFI_Expiration=1,IF($A399&lt;VLOOKUP(R$5,NFI,5,0),1,0)*Table_NFI[[#This Row],[Winter Clothes Adult]],Table_NFI[Winter Clothes Adult])</f>
        <v>0</v>
      </c>
      <c r="AJ399" s="436">
        <f>IF(NFI_Expiration=1,IF($A399&lt;VLOOKUP(S$5,NFI,5,0),1,0)*Table_NFI[[#This Row],[Winter Clothes Children]],Table_NFI[Winter Clothes Children])</f>
        <v>0</v>
      </c>
      <c r="AK399" s="436">
        <f>IF(NFI_Expiration=1,IF($A399&lt;VLOOKUP(T$5,NFI,5,0),1,0)*Table_NFI[[#This Row],[Winter Items Other]],Table_NFI[Winter Items Other])</f>
        <v>0</v>
      </c>
      <c r="AL399" s="436">
        <f>IF(NFI_Expiration=1,IF($A399&lt;VLOOKUP(M$5,NFI,5,0),1,0)*Table_NFI[[#This Row],[Winter Blanket]],Table_NFI[[#This Row],[Winter Blanket]])</f>
        <v>0</v>
      </c>
      <c r="AM399" s="436">
        <f>IF(Table_NFI[[#This Row],[Winter Clothes Adult]]+Table_NFI[[#This Row],[Winter Clothes Children]]+Table_NFI[[#This Row],[Winter Items Other]]+Table_NFI[[#This Row],[Winter Blanket]]&gt;0,1,0)</f>
        <v>0</v>
      </c>
      <c r="AN399" s="439">
        <f>IF(NFI_Expiration=1,IF($A399&lt;VLOOKUP(V$5,NFI,5,0),1,0)*Table_NFI[[#This Row],[Jerry Can]],Table_NFI[Jerry Can])</f>
        <v>0</v>
      </c>
      <c r="AO399" s="771" t="str">
        <f>IFERROR(VLOOKUP(Table_NFI[[#This Row],[Camp Name]],CL,2,0),"")</f>
        <v>MMR001CMP057</v>
      </c>
      <c r="AP399" s="772">
        <f ca="1">IF(Table_NFI[[#This Row],[Pcode]]="","",IF(OFFSET(CampList[Opening Date],MATCH(Table_NFI[[#This Row],[Pcode]],CampList[CP_Pcode],0)-1,0,1,1)&gt;=NFI_Monitor_Date,1,0))</f>
        <v>0</v>
      </c>
      <c r="AQ399" s="771" t="str">
        <f>IFERROR(VLOOKUP(Table_NFI[[#This Row],[Camp Name]],CL,3,0),"")</f>
        <v>Closed</v>
      </c>
      <c r="AR399" s="436" t="str">
        <f ca="1">IF(Table_NFI[[#This Row],[Pcode]]="","",OFFSET(CampList[Priority],MATCH(Table_NFI[[#This Row],[Pcode]],CampList[CP_Pcode],0)-1,0,1,1))</f>
        <v>P4</v>
      </c>
      <c r="AS399" s="438" t="str">
        <f>IFERROR(Table_NFI[[#This Row],[Kitchen Set]]/VLOOKUP(Table_NFI[[#This Row],[Camp Name]],CL,4,0),"")</f>
        <v/>
      </c>
      <c r="AT399" s="769" t="s">
        <v>1099</v>
      </c>
      <c r="AU399" s="773"/>
    </row>
    <row r="400" spans="1:47" s="774" customFormat="1" x14ac:dyDescent="0.25">
      <c r="A400" s="451">
        <f t="shared" si="6"/>
        <v>25.4</v>
      </c>
      <c r="B400" s="768">
        <v>41608</v>
      </c>
      <c r="C400" s="769" t="s">
        <v>912</v>
      </c>
      <c r="D400" s="769" t="s">
        <v>462</v>
      </c>
      <c r="E400" s="769" t="s">
        <v>380</v>
      </c>
      <c r="F400" s="435" t="s">
        <v>151</v>
      </c>
      <c r="G400" s="435" t="s">
        <v>164</v>
      </c>
      <c r="H400" s="436"/>
      <c r="I400" s="436"/>
      <c r="J400" s="436"/>
      <c r="K400" s="436"/>
      <c r="L400" s="437"/>
      <c r="M400" s="437"/>
      <c r="N400" s="437"/>
      <c r="O400" s="437"/>
      <c r="P400" s="439"/>
      <c r="Q400" s="439"/>
      <c r="R400" s="436"/>
      <c r="S400" s="436"/>
      <c r="T400" s="436"/>
      <c r="U400" s="436"/>
      <c r="V400" s="436"/>
      <c r="W400" s="436"/>
      <c r="X400" s="436"/>
      <c r="Y400" s="436">
        <f>IF(NFI_Expiration=1,IF($A400&lt;VLOOKUP(H$5,NFI,5,0),1,0)*Table_NFI[[#This Row],[Hygiene Kit]],Table_NFI[Hygiene Kit])</f>
        <v>0</v>
      </c>
      <c r="Z400" s="436">
        <f>IF(NFI_Expiration=1,IF($A400&lt;VLOOKUP(I$5,NFI,5,0),1,0)*Table_NFI[[#This Row],[NFI Core Kit]],Table_NFI[NFI Core Kit])</f>
        <v>0</v>
      </c>
      <c r="AA400" s="436">
        <f>IF(NFI_Expiration=1,IF($A400&lt;VLOOKUP(J$5,NFI,5,0),1,0)*Table_NFI[[#This Row],[Sanitary Kit]],Table_NFI[Sanitary Kit])</f>
        <v>0</v>
      </c>
      <c r="AB400" s="436">
        <f>IF(NFI_Expiration=1,IF($A400&lt;VLOOKUP(K$5,NFI,5,0),1,0)*Table_NFI[[#This Row],[Mosquito net]],Table_NFI[Mosquito net])</f>
        <v>0</v>
      </c>
      <c r="AC400" s="436">
        <f>IF(NFI_Expiration=1,IF($A400&lt;VLOOKUP(L$5,NFI,5,0),1,0)*Table_NFI[[#This Row],[Tarpaulin]],Table_NFI[[#This Row],[Tarpaulin]])</f>
        <v>0</v>
      </c>
      <c r="AD400" s="436">
        <f>IF(NFI_Expiration=1,IF($A400&lt;VLOOKUP(M$5,NFI,5,0),1,0)*Table_NFI[[#This Row],[Blanket]],Table_NFI[[#This Row],[Blanket]])</f>
        <v>0</v>
      </c>
      <c r="AE400" s="436">
        <f>IF(NFI_Expiration=1,IF($A400&lt;VLOOKUP(N$5,NFI,5,0),1,0)*Table_NFI[[#This Row],[Kitchen Set]],Table_NFI[Kitchen Set])</f>
        <v>0</v>
      </c>
      <c r="AF400" s="436">
        <f>IF(NFI_Expiration=1,IF($A400&lt;VLOOKUP(O$5,NFI,5,0),1,0)*Table_NFI[[#This Row],[Clothes Kit]],Table_NFI[Clothes Kit])</f>
        <v>0</v>
      </c>
      <c r="AG400" s="436">
        <f>IF(NFI_Expiration=1,IF($A400&lt;VLOOKUP(P$5,NFI,5,0),1,0)*Table_NFI[[#This Row],[Plastic Bucket]],Table_NFI[Plastic Bucket])</f>
        <v>0</v>
      </c>
      <c r="AH400" s="436">
        <f>IF(NFI_Expiration=1,IF($A400&lt;VLOOKUP(Q$5,NFI,5,0),1,0)*Table_NFI[[#This Row],[Plastic Mat]],Table_NFI[Plastic Mat])*IF(Table_NFI[[#This Row],[Distribution Date]]&gt;"2014-04-01",1,2.5)</f>
        <v>0</v>
      </c>
      <c r="AI400" s="436">
        <f>IF(NFI_Expiration=1,IF($A400&lt;VLOOKUP(R$5,NFI,5,0),1,0)*Table_NFI[[#This Row],[Winter Clothes Adult]],Table_NFI[Winter Clothes Adult])</f>
        <v>0</v>
      </c>
      <c r="AJ400" s="436">
        <f>IF(NFI_Expiration=1,IF($A400&lt;VLOOKUP(S$5,NFI,5,0),1,0)*Table_NFI[[#This Row],[Winter Clothes Children]],Table_NFI[Winter Clothes Children])</f>
        <v>0</v>
      </c>
      <c r="AK400" s="436">
        <f>IF(NFI_Expiration=1,IF($A400&lt;VLOOKUP(T$5,NFI,5,0),1,0)*Table_NFI[[#This Row],[Winter Items Other]],Table_NFI[Winter Items Other])</f>
        <v>0</v>
      </c>
      <c r="AL400" s="436">
        <f>IF(NFI_Expiration=1,IF($A400&lt;VLOOKUP(M$5,NFI,5,0),1,0)*Table_NFI[[#This Row],[Winter Blanket]],Table_NFI[[#This Row],[Winter Blanket]])</f>
        <v>0</v>
      </c>
      <c r="AM400" s="436">
        <f>IF(Table_NFI[[#This Row],[Winter Clothes Adult]]+Table_NFI[[#This Row],[Winter Clothes Children]]+Table_NFI[[#This Row],[Winter Items Other]]+Table_NFI[[#This Row],[Winter Blanket]]&gt;0,1,0)</f>
        <v>0</v>
      </c>
      <c r="AN400" s="439">
        <f>IF(NFI_Expiration=1,IF($A400&lt;VLOOKUP(V$5,NFI,5,0),1,0)*Table_NFI[[#This Row],[Jerry Can]],Table_NFI[Jerry Can])</f>
        <v>0</v>
      </c>
      <c r="AO400" s="771" t="str">
        <f>IFERROR(VLOOKUP(Table_NFI[[#This Row],[Camp Name]],CL,2,0),"")</f>
        <v>MMR001CMP137</v>
      </c>
      <c r="AP400" s="772">
        <f ca="1">IF(Table_NFI[[#This Row],[Pcode]]="","",IF(OFFSET(CampList[Opening Date],MATCH(Table_NFI[[#This Row],[Pcode]],CampList[CP_Pcode],0)-1,0,1,1)&gt;=NFI_Monitor_Date,1,0))</f>
        <v>0</v>
      </c>
      <c r="AQ400" s="771" t="str">
        <f>IFERROR(VLOOKUP(Table_NFI[[#This Row],[Camp Name]],CL,3,0),"")</f>
        <v>Closed</v>
      </c>
      <c r="AR400" s="436" t="str">
        <f ca="1">IF(Table_NFI[[#This Row],[Pcode]]="","",OFFSET(CampList[Priority],MATCH(Table_NFI[[#This Row],[Pcode]],CampList[CP_Pcode],0)-1,0,1,1))</f>
        <v/>
      </c>
      <c r="AS400" s="438" t="str">
        <f>IFERROR(Table_NFI[[#This Row],[Kitchen Set]]/VLOOKUP(Table_NFI[[#This Row],[Camp Name]],CL,4,0),"")</f>
        <v/>
      </c>
      <c r="AT400" s="769" t="s">
        <v>1099</v>
      </c>
      <c r="AU400" s="773"/>
    </row>
    <row r="401" spans="1:47" s="774" customFormat="1" x14ac:dyDescent="0.25">
      <c r="A401" s="451">
        <f t="shared" si="6"/>
        <v>25.4</v>
      </c>
      <c r="B401" s="768">
        <v>41608</v>
      </c>
      <c r="C401" s="769" t="s">
        <v>912</v>
      </c>
      <c r="D401" s="769"/>
      <c r="E401" s="769" t="s">
        <v>380</v>
      </c>
      <c r="F401" s="435" t="s">
        <v>5</v>
      </c>
      <c r="G401" s="435" t="s">
        <v>20</v>
      </c>
      <c r="H401" s="436"/>
      <c r="I401" s="436"/>
      <c r="J401" s="436"/>
      <c r="K401" s="436"/>
      <c r="L401" s="437"/>
      <c r="M401" s="437"/>
      <c r="N401" s="437"/>
      <c r="O401" s="437"/>
      <c r="P401" s="439"/>
      <c r="Q401" s="439">
        <v>57</v>
      </c>
      <c r="R401" s="436"/>
      <c r="S401" s="436"/>
      <c r="T401" s="436"/>
      <c r="U401" s="436"/>
      <c r="V401" s="436"/>
      <c r="W401" s="436"/>
      <c r="X401" s="436"/>
      <c r="Y401" s="436">
        <f>IF(NFI_Expiration=1,IF($A401&lt;VLOOKUP(H$5,NFI,5,0),1,0)*Table_NFI[[#This Row],[Hygiene Kit]],Table_NFI[Hygiene Kit])</f>
        <v>0</v>
      </c>
      <c r="Z401" s="436">
        <f>IF(NFI_Expiration=1,IF($A401&lt;VLOOKUP(I$5,NFI,5,0),1,0)*Table_NFI[[#This Row],[NFI Core Kit]],Table_NFI[NFI Core Kit])</f>
        <v>0</v>
      </c>
      <c r="AA401" s="436">
        <f>IF(NFI_Expiration=1,IF($A401&lt;VLOOKUP(J$5,NFI,5,0),1,0)*Table_NFI[[#This Row],[Sanitary Kit]],Table_NFI[Sanitary Kit])</f>
        <v>0</v>
      </c>
      <c r="AB401" s="436">
        <f>IF(NFI_Expiration=1,IF($A401&lt;VLOOKUP(K$5,NFI,5,0),1,0)*Table_NFI[[#This Row],[Mosquito net]],Table_NFI[Mosquito net])</f>
        <v>0</v>
      </c>
      <c r="AC401" s="436">
        <f>IF(NFI_Expiration=1,IF($A401&lt;VLOOKUP(L$5,NFI,5,0),1,0)*Table_NFI[[#This Row],[Tarpaulin]],Table_NFI[[#This Row],[Tarpaulin]])</f>
        <v>0</v>
      </c>
      <c r="AD401" s="436">
        <f>IF(NFI_Expiration=1,IF($A401&lt;VLOOKUP(M$5,NFI,5,0),1,0)*Table_NFI[[#This Row],[Blanket]],Table_NFI[[#This Row],[Blanket]])</f>
        <v>0</v>
      </c>
      <c r="AE401" s="436">
        <f>IF(NFI_Expiration=1,IF($A401&lt;VLOOKUP(N$5,NFI,5,0),1,0)*Table_NFI[[#This Row],[Kitchen Set]],Table_NFI[Kitchen Set])</f>
        <v>0</v>
      </c>
      <c r="AF401" s="436">
        <f>IF(NFI_Expiration=1,IF($A401&lt;VLOOKUP(O$5,NFI,5,0),1,0)*Table_NFI[[#This Row],[Clothes Kit]],Table_NFI[Clothes Kit])</f>
        <v>0</v>
      </c>
      <c r="AG401" s="436">
        <f>IF(NFI_Expiration=1,IF($A401&lt;VLOOKUP(P$5,NFI,5,0),1,0)*Table_NFI[[#This Row],[Plastic Bucket]],Table_NFI[Plastic Bucket])</f>
        <v>0</v>
      </c>
      <c r="AH401" s="436">
        <f>IF(NFI_Expiration=1,IF($A401&lt;VLOOKUP(Q$5,NFI,5,0),1,0)*Table_NFI[[#This Row],[Plastic Mat]],Table_NFI[Plastic Mat])*IF(Table_NFI[[#This Row],[Distribution Date]]&gt;"2014-04-01",1,2.5)</f>
        <v>0</v>
      </c>
      <c r="AI401" s="436">
        <f>IF(NFI_Expiration=1,IF($A401&lt;VLOOKUP(R$5,NFI,5,0),1,0)*Table_NFI[[#This Row],[Winter Clothes Adult]],Table_NFI[Winter Clothes Adult])</f>
        <v>0</v>
      </c>
      <c r="AJ401" s="436">
        <f>IF(NFI_Expiration=1,IF($A401&lt;VLOOKUP(S$5,NFI,5,0),1,0)*Table_NFI[[#This Row],[Winter Clothes Children]],Table_NFI[Winter Clothes Children])</f>
        <v>0</v>
      </c>
      <c r="AK401" s="436">
        <f>IF(NFI_Expiration=1,IF($A401&lt;VLOOKUP(T$5,NFI,5,0),1,0)*Table_NFI[[#This Row],[Winter Items Other]],Table_NFI[Winter Items Other])</f>
        <v>0</v>
      </c>
      <c r="AL401" s="436">
        <f>IF(NFI_Expiration=1,IF($A401&lt;VLOOKUP(M$5,NFI,5,0),1,0)*Table_NFI[[#This Row],[Winter Blanket]],Table_NFI[[#This Row],[Winter Blanket]])</f>
        <v>0</v>
      </c>
      <c r="AM401" s="436">
        <f>IF(Table_NFI[[#This Row],[Winter Clothes Adult]]+Table_NFI[[#This Row],[Winter Clothes Children]]+Table_NFI[[#This Row],[Winter Items Other]]+Table_NFI[[#This Row],[Winter Blanket]]&gt;0,1,0)</f>
        <v>0</v>
      </c>
      <c r="AN401" s="439">
        <f>IF(NFI_Expiration=1,IF($A401&lt;VLOOKUP(V$5,NFI,5,0),1,0)*Table_NFI[[#This Row],[Jerry Can]],Table_NFI[Jerry Can])</f>
        <v>0</v>
      </c>
      <c r="AO401" s="771" t="str">
        <f>IFERROR(VLOOKUP(Table_NFI[[#This Row],[Camp Name]],CL,2,0),"")</f>
        <v>MMR001CMP054</v>
      </c>
      <c r="AP401" s="772">
        <f ca="1">IF(Table_NFI[[#This Row],[Pcode]]="","",IF(OFFSET(CampList[Opening Date],MATCH(Table_NFI[[#This Row],[Pcode]],CampList[CP_Pcode],0)-1,0,1,1)&gt;=NFI_Monitor_Date,1,0))</f>
        <v>0</v>
      </c>
      <c r="AQ401" s="771" t="str">
        <f>IFERROR(VLOOKUP(Table_NFI[[#This Row],[Camp Name]],CL,3,0),"")</f>
        <v>Open</v>
      </c>
      <c r="AR401" s="436" t="str">
        <f ca="1">IF(Table_NFI[[#This Row],[Pcode]]="","",OFFSET(CampList[Priority],MATCH(Table_NFI[[#This Row],[Pcode]],CampList[CP_Pcode],0)-1,0,1,1))</f>
        <v>P4</v>
      </c>
      <c r="AS401" s="438">
        <f>IFERROR(Table_NFI[[#This Row],[Kitchen Set]]/VLOOKUP(Table_NFI[[#This Row],[Camp Name]],CL,4,0),"")</f>
        <v>0</v>
      </c>
      <c r="AT401" s="769" t="s">
        <v>1099</v>
      </c>
      <c r="AU401" s="773"/>
    </row>
    <row r="402" spans="1:47" s="774" customFormat="1" x14ac:dyDescent="0.25">
      <c r="A402" s="451">
        <f t="shared" si="6"/>
        <v>25.4</v>
      </c>
      <c r="B402" s="768">
        <v>41608</v>
      </c>
      <c r="C402" s="769" t="s">
        <v>1104</v>
      </c>
      <c r="D402" s="442" t="s">
        <v>951</v>
      </c>
      <c r="E402" s="775" t="s">
        <v>555</v>
      </c>
      <c r="F402" s="435" t="s">
        <v>784</v>
      </c>
      <c r="G402" s="435" t="s">
        <v>596</v>
      </c>
      <c r="H402" s="442"/>
      <c r="I402" s="442"/>
      <c r="J402" s="442"/>
      <c r="K402" s="775"/>
      <c r="L402" s="776"/>
      <c r="M402" s="443">
        <v>201</v>
      </c>
      <c r="N402" s="443"/>
      <c r="O402" s="443"/>
      <c r="P402" s="776"/>
      <c r="Q402" s="443"/>
      <c r="R402" s="442">
        <v>266</v>
      </c>
      <c r="S402" s="442">
        <v>126</v>
      </c>
      <c r="T402" s="442">
        <v>0</v>
      </c>
      <c r="U402" s="442"/>
      <c r="V402" s="442"/>
      <c r="W402" s="442"/>
      <c r="X402" s="442"/>
      <c r="Y402" s="436">
        <f>IF(NFI_Expiration=1,IF($A402&lt;VLOOKUP(H$5,NFI,5,0),1,0)*Table_NFI[[#This Row],[Hygiene Kit]],Table_NFI[Hygiene Kit])</f>
        <v>0</v>
      </c>
      <c r="Z402" s="436">
        <f>IF(NFI_Expiration=1,IF($A402&lt;VLOOKUP(I$5,NFI,5,0),1,0)*Table_NFI[[#This Row],[NFI Core Kit]],Table_NFI[NFI Core Kit])</f>
        <v>0</v>
      </c>
      <c r="AA402" s="436">
        <f>IF(NFI_Expiration=1,IF($A402&lt;VLOOKUP(J$5,NFI,5,0),1,0)*Table_NFI[[#This Row],[Sanitary Kit]],Table_NFI[Sanitary Kit])</f>
        <v>0</v>
      </c>
      <c r="AB402" s="436">
        <f>IF(NFI_Expiration=1,IF($A402&lt;VLOOKUP(K$5,NFI,5,0),1,0)*Table_NFI[[#This Row],[Mosquito net]],Table_NFI[Mosquito net])</f>
        <v>0</v>
      </c>
      <c r="AC402" s="436">
        <f>IF(NFI_Expiration=1,IF($A402&lt;VLOOKUP(L$5,NFI,5,0),1,0)*Table_NFI[[#This Row],[Tarpaulin]],Table_NFI[[#This Row],[Tarpaulin]])</f>
        <v>0</v>
      </c>
      <c r="AD402" s="436">
        <f>IF(NFI_Expiration=1,IF($A402&lt;VLOOKUP(M$5,NFI,5,0),1,0)*Table_NFI[[#This Row],[Blanket]],Table_NFI[[#This Row],[Blanket]])</f>
        <v>0</v>
      </c>
      <c r="AE402" s="436">
        <f>IF(NFI_Expiration=1,IF($A402&lt;VLOOKUP(N$5,NFI,5,0),1,0)*Table_NFI[[#This Row],[Kitchen Set]],Table_NFI[Kitchen Set])</f>
        <v>0</v>
      </c>
      <c r="AF402" s="436">
        <f>IF(NFI_Expiration=1,IF($A402&lt;VLOOKUP(O$5,NFI,5,0),1,0)*Table_NFI[[#This Row],[Clothes Kit]],Table_NFI[Clothes Kit])</f>
        <v>0</v>
      </c>
      <c r="AG402" s="436">
        <f>IF(NFI_Expiration=1,IF($A402&lt;VLOOKUP(P$5,NFI,5,0),1,0)*Table_NFI[[#This Row],[Plastic Bucket]],Table_NFI[Plastic Bucket])</f>
        <v>0</v>
      </c>
      <c r="AH402" s="436">
        <f>IF(NFI_Expiration=1,IF($A402&lt;VLOOKUP(Q$5,NFI,5,0),1,0)*Table_NFI[[#This Row],[Plastic Mat]],Table_NFI[Plastic Mat])*IF(Table_NFI[[#This Row],[Distribution Date]]&gt;"2014-04-01",1,2.5)</f>
        <v>0</v>
      </c>
      <c r="AI402" s="436">
        <f>IF(NFI_Expiration=1,IF($A402&lt;VLOOKUP(R$5,NFI,5,0),1,0)*Table_NFI[[#This Row],[Winter Clothes Adult]],Table_NFI[Winter Clothes Adult])</f>
        <v>0</v>
      </c>
      <c r="AJ402" s="436">
        <f>IF(NFI_Expiration=1,IF($A402&lt;VLOOKUP(S$5,NFI,5,0),1,0)*Table_NFI[[#This Row],[Winter Clothes Children]],Table_NFI[Winter Clothes Children])</f>
        <v>0</v>
      </c>
      <c r="AK402" s="436">
        <f>IF(NFI_Expiration=1,IF($A402&lt;VLOOKUP(T$5,NFI,5,0),1,0)*Table_NFI[[#This Row],[Winter Items Other]],Table_NFI[Winter Items Other])</f>
        <v>0</v>
      </c>
      <c r="AL402" s="436">
        <f>IF(NFI_Expiration=1,IF($A402&lt;VLOOKUP(M$5,NFI,5,0),1,0)*Table_NFI[[#This Row],[Winter Blanket]],Table_NFI[[#This Row],[Winter Blanket]])</f>
        <v>0</v>
      </c>
      <c r="AM402" s="436">
        <f>IF(Table_NFI[[#This Row],[Winter Clothes Adult]]+Table_NFI[[#This Row],[Winter Clothes Children]]+Table_NFI[[#This Row],[Winter Items Other]]+Table_NFI[[#This Row],[Winter Blanket]]&gt;0,1,0)</f>
        <v>1</v>
      </c>
      <c r="AN402" s="439">
        <f>IF(NFI_Expiration=1,IF($A402&lt;VLOOKUP(V$5,NFI,5,0),1,0)*Table_NFI[[#This Row],[Jerry Can]],Table_NFI[Jerry Can])</f>
        <v>0</v>
      </c>
      <c r="AO402" s="771" t="str">
        <f>IFERROR(VLOOKUP(Table_NFI[[#This Row],[Camp Name]],CL,2,0),"")</f>
        <v>MMR015CMP207</v>
      </c>
      <c r="AP402" s="772">
        <f ca="1">IF(Table_NFI[[#This Row],[Pcode]]="","",IF(OFFSET(CampList[Opening Date],MATCH(Table_NFI[[#This Row],[Pcode]],CampList[CP_Pcode],0)-1,0,1,1)&gt;=NFI_Monitor_Date,1,0))</f>
        <v>0</v>
      </c>
      <c r="AQ402" s="771" t="str">
        <f>IFERROR(VLOOKUP(Table_NFI[[#This Row],[Camp Name]],CL,3,0),"")</f>
        <v>Open</v>
      </c>
      <c r="AR402" s="436" t="str">
        <f ca="1">IF(Table_NFI[[#This Row],[Pcode]]="","",OFFSET(CampList[Priority],MATCH(Table_NFI[[#This Row],[Pcode]],CampList[CP_Pcode],0)-1,0,1,1))</f>
        <v>P4</v>
      </c>
      <c r="AS402" s="438">
        <f>IFERROR(Table_NFI[[#This Row],[Kitchen Set]]/VLOOKUP(Table_NFI[[#This Row],[Camp Name]],CL,4,0),"")</f>
        <v>0</v>
      </c>
      <c r="AT402" s="769" t="s">
        <v>1099</v>
      </c>
      <c r="AU402" s="773"/>
    </row>
    <row r="403" spans="1:47" s="774" customFormat="1" x14ac:dyDescent="0.25">
      <c r="A403" s="451">
        <f t="shared" si="6"/>
        <v>25.4</v>
      </c>
      <c r="B403" s="768">
        <v>41608</v>
      </c>
      <c r="C403" s="769" t="s">
        <v>912</v>
      </c>
      <c r="D403" s="769" t="s">
        <v>1009</v>
      </c>
      <c r="E403" s="769" t="s">
        <v>380</v>
      </c>
      <c r="F403" s="435" t="s">
        <v>185</v>
      </c>
      <c r="G403" s="435" t="s">
        <v>215</v>
      </c>
      <c r="H403" s="436"/>
      <c r="I403" s="436"/>
      <c r="J403" s="436"/>
      <c r="K403" s="436"/>
      <c r="L403" s="437"/>
      <c r="M403" s="437"/>
      <c r="N403" s="437"/>
      <c r="O403" s="437"/>
      <c r="P403" s="439"/>
      <c r="Q403" s="439"/>
      <c r="R403" s="436"/>
      <c r="S403" s="436"/>
      <c r="T403" s="436"/>
      <c r="U403" s="436"/>
      <c r="V403" s="436"/>
      <c r="W403" s="436"/>
      <c r="X403" s="436"/>
      <c r="Y403" s="436">
        <f>IF(NFI_Expiration=1,IF($A403&lt;VLOOKUP(H$5,NFI,5,0),1,0)*Table_NFI[[#This Row],[Hygiene Kit]],Table_NFI[Hygiene Kit])</f>
        <v>0</v>
      </c>
      <c r="Z403" s="436">
        <f>IF(NFI_Expiration=1,IF($A403&lt;VLOOKUP(I$5,NFI,5,0),1,0)*Table_NFI[[#This Row],[NFI Core Kit]],Table_NFI[NFI Core Kit])</f>
        <v>0</v>
      </c>
      <c r="AA403" s="436">
        <f>IF(NFI_Expiration=1,IF($A403&lt;VLOOKUP(J$5,NFI,5,0),1,0)*Table_NFI[[#This Row],[Sanitary Kit]],Table_NFI[Sanitary Kit])</f>
        <v>0</v>
      </c>
      <c r="AB403" s="436">
        <f>IF(NFI_Expiration=1,IF($A403&lt;VLOOKUP(K$5,NFI,5,0),1,0)*Table_NFI[[#This Row],[Mosquito net]],Table_NFI[Mosquito net])</f>
        <v>0</v>
      </c>
      <c r="AC403" s="436">
        <f>IF(NFI_Expiration=1,IF($A403&lt;VLOOKUP(L$5,NFI,5,0),1,0)*Table_NFI[[#This Row],[Tarpaulin]],Table_NFI[[#This Row],[Tarpaulin]])</f>
        <v>0</v>
      </c>
      <c r="AD403" s="436">
        <f>IF(NFI_Expiration=1,IF($A403&lt;VLOOKUP(M$5,NFI,5,0),1,0)*Table_NFI[[#This Row],[Blanket]],Table_NFI[[#This Row],[Blanket]])</f>
        <v>0</v>
      </c>
      <c r="AE403" s="436">
        <f>IF(NFI_Expiration=1,IF($A403&lt;VLOOKUP(N$5,NFI,5,0),1,0)*Table_NFI[[#This Row],[Kitchen Set]],Table_NFI[Kitchen Set])</f>
        <v>0</v>
      </c>
      <c r="AF403" s="436">
        <f>IF(NFI_Expiration=1,IF($A403&lt;VLOOKUP(O$5,NFI,5,0),1,0)*Table_NFI[[#This Row],[Clothes Kit]],Table_NFI[Clothes Kit])</f>
        <v>0</v>
      </c>
      <c r="AG403" s="436">
        <f>IF(NFI_Expiration=1,IF($A403&lt;VLOOKUP(P$5,NFI,5,0),1,0)*Table_NFI[[#This Row],[Plastic Bucket]],Table_NFI[Plastic Bucket])</f>
        <v>0</v>
      </c>
      <c r="AH403" s="436">
        <f>IF(NFI_Expiration=1,IF($A403&lt;VLOOKUP(Q$5,NFI,5,0),1,0)*Table_NFI[[#This Row],[Plastic Mat]],Table_NFI[Plastic Mat])*IF(Table_NFI[[#This Row],[Distribution Date]]&gt;"2014-04-01",1,2.5)</f>
        <v>0</v>
      </c>
      <c r="AI403" s="436">
        <f>IF(NFI_Expiration=1,IF($A403&lt;VLOOKUP(R$5,NFI,5,0),1,0)*Table_NFI[[#This Row],[Winter Clothes Adult]],Table_NFI[Winter Clothes Adult])</f>
        <v>0</v>
      </c>
      <c r="AJ403" s="436">
        <f>IF(NFI_Expiration=1,IF($A403&lt;VLOOKUP(S$5,NFI,5,0),1,0)*Table_NFI[[#This Row],[Winter Clothes Children]],Table_NFI[Winter Clothes Children])</f>
        <v>0</v>
      </c>
      <c r="AK403" s="436">
        <f>IF(NFI_Expiration=1,IF($A403&lt;VLOOKUP(T$5,NFI,5,0),1,0)*Table_NFI[[#This Row],[Winter Items Other]],Table_NFI[Winter Items Other])</f>
        <v>0</v>
      </c>
      <c r="AL403" s="436">
        <f>IF(NFI_Expiration=1,IF($A403&lt;VLOOKUP(M$5,NFI,5,0),1,0)*Table_NFI[[#This Row],[Winter Blanket]],Table_NFI[[#This Row],[Winter Blanket]])</f>
        <v>0</v>
      </c>
      <c r="AM403" s="436">
        <f>IF(Table_NFI[[#This Row],[Winter Clothes Adult]]+Table_NFI[[#This Row],[Winter Clothes Children]]+Table_NFI[[#This Row],[Winter Items Other]]+Table_NFI[[#This Row],[Winter Blanket]]&gt;0,1,0)</f>
        <v>0</v>
      </c>
      <c r="AN403" s="439">
        <f>IF(NFI_Expiration=1,IF($A403&lt;VLOOKUP(V$5,NFI,5,0),1,0)*Table_NFI[[#This Row],[Jerry Can]],Table_NFI[Jerry Can])</f>
        <v>0</v>
      </c>
      <c r="AO403" s="771" t="str">
        <f>IFERROR(VLOOKUP(Table_NFI[[#This Row],[Camp Name]],CL,2,0),"")</f>
        <v>MMR001CMP131</v>
      </c>
      <c r="AP403" s="772">
        <f ca="1">IF(Table_NFI[[#This Row],[Pcode]]="","",IF(OFFSET(CampList[Opening Date],MATCH(Table_NFI[[#This Row],[Pcode]],CampList[CP_Pcode],0)-1,0,1,1)&gt;=NFI_Monitor_Date,1,0))</f>
        <v>0</v>
      </c>
      <c r="AQ403" s="771" t="str">
        <f>IFERROR(VLOOKUP(Table_NFI[[#This Row],[Camp Name]],CL,3,0),"")</f>
        <v>Open</v>
      </c>
      <c r="AR403" s="436" t="str">
        <f ca="1">IF(Table_NFI[[#This Row],[Pcode]]="","",OFFSET(CampList[Priority],MATCH(Table_NFI[[#This Row],[Pcode]],CampList[CP_Pcode],0)-1,0,1,1))</f>
        <v>P1</v>
      </c>
      <c r="AS403" s="438">
        <f>IFERROR(Table_NFI[[#This Row],[Kitchen Set]]/VLOOKUP(Table_NFI[[#This Row],[Camp Name]],CL,4,0),"")</f>
        <v>0</v>
      </c>
      <c r="AT403" s="769" t="s">
        <v>1099</v>
      </c>
      <c r="AU403" s="773"/>
    </row>
    <row r="404" spans="1:47" s="774" customFormat="1" x14ac:dyDescent="0.25">
      <c r="A404" s="451">
        <f t="shared" si="6"/>
        <v>25.4</v>
      </c>
      <c r="B404" s="768">
        <v>41608</v>
      </c>
      <c r="C404" s="769" t="s">
        <v>912</v>
      </c>
      <c r="D404" s="769"/>
      <c r="E404" s="769" t="s">
        <v>380</v>
      </c>
      <c r="F404" s="435" t="s">
        <v>185</v>
      </c>
      <c r="G404" s="435" t="s">
        <v>217</v>
      </c>
      <c r="H404" s="436"/>
      <c r="I404" s="436"/>
      <c r="J404" s="436"/>
      <c r="K404" s="436"/>
      <c r="L404" s="437"/>
      <c r="M404" s="437"/>
      <c r="N404" s="437"/>
      <c r="O404" s="437"/>
      <c r="P404" s="439"/>
      <c r="Q404" s="439">
        <v>60</v>
      </c>
      <c r="R404" s="436"/>
      <c r="S404" s="436"/>
      <c r="T404" s="436"/>
      <c r="U404" s="436"/>
      <c r="V404" s="436"/>
      <c r="W404" s="436"/>
      <c r="X404" s="436"/>
      <c r="Y404" s="436">
        <f>IF(NFI_Expiration=1,IF($A404&lt;VLOOKUP(H$5,NFI,5,0),1,0)*Table_NFI[[#This Row],[Hygiene Kit]],Table_NFI[Hygiene Kit])</f>
        <v>0</v>
      </c>
      <c r="Z404" s="436">
        <f>IF(NFI_Expiration=1,IF($A404&lt;VLOOKUP(I$5,NFI,5,0),1,0)*Table_NFI[[#This Row],[NFI Core Kit]],Table_NFI[NFI Core Kit])</f>
        <v>0</v>
      </c>
      <c r="AA404" s="436">
        <f>IF(NFI_Expiration=1,IF($A404&lt;VLOOKUP(J$5,NFI,5,0),1,0)*Table_NFI[[#This Row],[Sanitary Kit]],Table_NFI[Sanitary Kit])</f>
        <v>0</v>
      </c>
      <c r="AB404" s="436">
        <f>IF(NFI_Expiration=1,IF($A404&lt;VLOOKUP(K$5,NFI,5,0),1,0)*Table_NFI[[#This Row],[Mosquito net]],Table_NFI[Mosquito net])</f>
        <v>0</v>
      </c>
      <c r="AC404" s="436">
        <f>IF(NFI_Expiration=1,IF($A404&lt;VLOOKUP(L$5,NFI,5,0),1,0)*Table_NFI[[#This Row],[Tarpaulin]],Table_NFI[[#This Row],[Tarpaulin]])</f>
        <v>0</v>
      </c>
      <c r="AD404" s="436">
        <f>IF(NFI_Expiration=1,IF($A404&lt;VLOOKUP(M$5,NFI,5,0),1,0)*Table_NFI[[#This Row],[Blanket]],Table_NFI[[#This Row],[Blanket]])</f>
        <v>0</v>
      </c>
      <c r="AE404" s="436">
        <f>IF(NFI_Expiration=1,IF($A404&lt;VLOOKUP(N$5,NFI,5,0),1,0)*Table_NFI[[#This Row],[Kitchen Set]],Table_NFI[Kitchen Set])</f>
        <v>0</v>
      </c>
      <c r="AF404" s="436">
        <f>IF(NFI_Expiration=1,IF($A404&lt;VLOOKUP(O$5,NFI,5,0),1,0)*Table_NFI[[#This Row],[Clothes Kit]],Table_NFI[Clothes Kit])</f>
        <v>0</v>
      </c>
      <c r="AG404" s="436">
        <f>IF(NFI_Expiration=1,IF($A404&lt;VLOOKUP(P$5,NFI,5,0),1,0)*Table_NFI[[#This Row],[Plastic Bucket]],Table_NFI[Plastic Bucket])</f>
        <v>0</v>
      </c>
      <c r="AH404" s="436">
        <f>IF(NFI_Expiration=1,IF($A404&lt;VLOOKUP(Q$5,NFI,5,0),1,0)*Table_NFI[[#This Row],[Plastic Mat]],Table_NFI[Plastic Mat])*IF(Table_NFI[[#This Row],[Distribution Date]]&gt;"2014-04-01",1,2.5)</f>
        <v>0</v>
      </c>
      <c r="AI404" s="436">
        <f>IF(NFI_Expiration=1,IF($A404&lt;VLOOKUP(R$5,NFI,5,0),1,0)*Table_NFI[[#This Row],[Winter Clothes Adult]],Table_NFI[Winter Clothes Adult])</f>
        <v>0</v>
      </c>
      <c r="AJ404" s="436">
        <f>IF(NFI_Expiration=1,IF($A404&lt;VLOOKUP(S$5,NFI,5,0),1,0)*Table_NFI[[#This Row],[Winter Clothes Children]],Table_NFI[Winter Clothes Children])</f>
        <v>0</v>
      </c>
      <c r="AK404" s="436">
        <f>IF(NFI_Expiration=1,IF($A404&lt;VLOOKUP(T$5,NFI,5,0),1,0)*Table_NFI[[#This Row],[Winter Items Other]],Table_NFI[Winter Items Other])</f>
        <v>0</v>
      </c>
      <c r="AL404" s="436">
        <f>IF(NFI_Expiration=1,IF($A404&lt;VLOOKUP(M$5,NFI,5,0),1,0)*Table_NFI[[#This Row],[Winter Blanket]],Table_NFI[[#This Row],[Winter Blanket]])</f>
        <v>0</v>
      </c>
      <c r="AM404" s="436">
        <f>IF(Table_NFI[[#This Row],[Winter Clothes Adult]]+Table_NFI[[#This Row],[Winter Clothes Children]]+Table_NFI[[#This Row],[Winter Items Other]]+Table_NFI[[#This Row],[Winter Blanket]]&gt;0,1,0)</f>
        <v>0</v>
      </c>
      <c r="AN404" s="439">
        <f>IF(NFI_Expiration=1,IF($A404&lt;VLOOKUP(V$5,NFI,5,0),1,0)*Table_NFI[[#This Row],[Jerry Can]],Table_NFI[Jerry Can])</f>
        <v>0</v>
      </c>
      <c r="AO404" s="771" t="str">
        <f>IFERROR(VLOOKUP(Table_NFI[[#This Row],[Camp Name]],CL,2,0),"")</f>
        <v>MMR001CMP059</v>
      </c>
      <c r="AP404" s="772">
        <f ca="1">IF(Table_NFI[[#This Row],[Pcode]]="","",IF(OFFSET(CampList[Opening Date],MATCH(Table_NFI[[#This Row],[Pcode]],CampList[CP_Pcode],0)-1,0,1,1)&gt;=NFI_Monitor_Date,1,0))</f>
        <v>0</v>
      </c>
      <c r="AQ404" s="771" t="str">
        <f>IFERROR(VLOOKUP(Table_NFI[[#This Row],[Camp Name]],CL,3,0),"")</f>
        <v>Open</v>
      </c>
      <c r="AR404" s="436" t="str">
        <f ca="1">IF(Table_NFI[[#This Row],[Pcode]]="","",OFFSET(CampList[Priority],MATCH(Table_NFI[[#This Row],[Pcode]],CampList[CP_Pcode],0)-1,0,1,1))</f>
        <v>P4</v>
      </c>
      <c r="AS404" s="438">
        <f>IFERROR(Table_NFI[[#This Row],[Kitchen Set]]/VLOOKUP(Table_NFI[[#This Row],[Camp Name]],CL,4,0),"")</f>
        <v>0</v>
      </c>
      <c r="AT404" s="769" t="s">
        <v>1099</v>
      </c>
      <c r="AU404" s="773"/>
    </row>
    <row r="405" spans="1:47" s="774" customFormat="1" x14ac:dyDescent="0.25">
      <c r="A405" s="451">
        <f t="shared" si="6"/>
        <v>25.4</v>
      </c>
      <c r="B405" s="768">
        <v>41608</v>
      </c>
      <c r="C405" s="769" t="s">
        <v>912</v>
      </c>
      <c r="D405" s="769"/>
      <c r="E405" s="769" t="s">
        <v>380</v>
      </c>
      <c r="F405" s="435" t="s">
        <v>185</v>
      </c>
      <c r="G405" s="435" t="s">
        <v>229</v>
      </c>
      <c r="H405" s="436"/>
      <c r="I405" s="436"/>
      <c r="J405" s="436"/>
      <c r="K405" s="436"/>
      <c r="L405" s="437"/>
      <c r="M405" s="437"/>
      <c r="N405" s="437"/>
      <c r="O405" s="437"/>
      <c r="P405" s="439"/>
      <c r="Q405" s="439">
        <v>135</v>
      </c>
      <c r="R405" s="436"/>
      <c r="S405" s="436"/>
      <c r="T405" s="436"/>
      <c r="U405" s="436"/>
      <c r="V405" s="436"/>
      <c r="W405" s="436"/>
      <c r="X405" s="436"/>
      <c r="Y405" s="436">
        <f>IF(NFI_Expiration=1,IF($A405&lt;VLOOKUP(H$5,NFI,5,0),1,0)*Table_NFI[[#This Row],[Hygiene Kit]],Table_NFI[Hygiene Kit])</f>
        <v>0</v>
      </c>
      <c r="Z405" s="436">
        <f>IF(NFI_Expiration=1,IF($A405&lt;VLOOKUP(I$5,NFI,5,0),1,0)*Table_NFI[[#This Row],[NFI Core Kit]],Table_NFI[NFI Core Kit])</f>
        <v>0</v>
      </c>
      <c r="AA405" s="436">
        <f>IF(NFI_Expiration=1,IF($A405&lt;VLOOKUP(J$5,NFI,5,0),1,0)*Table_NFI[[#This Row],[Sanitary Kit]],Table_NFI[Sanitary Kit])</f>
        <v>0</v>
      </c>
      <c r="AB405" s="436">
        <f>IF(NFI_Expiration=1,IF($A405&lt;VLOOKUP(K$5,NFI,5,0),1,0)*Table_NFI[[#This Row],[Mosquito net]],Table_NFI[Mosquito net])</f>
        <v>0</v>
      </c>
      <c r="AC405" s="436">
        <f>IF(NFI_Expiration=1,IF($A405&lt;VLOOKUP(L$5,NFI,5,0),1,0)*Table_NFI[[#This Row],[Tarpaulin]],Table_NFI[[#This Row],[Tarpaulin]])</f>
        <v>0</v>
      </c>
      <c r="AD405" s="436">
        <f>IF(NFI_Expiration=1,IF($A405&lt;VLOOKUP(M$5,NFI,5,0),1,0)*Table_NFI[[#This Row],[Blanket]],Table_NFI[[#This Row],[Blanket]])</f>
        <v>0</v>
      </c>
      <c r="AE405" s="436">
        <f>IF(NFI_Expiration=1,IF($A405&lt;VLOOKUP(N$5,NFI,5,0),1,0)*Table_NFI[[#This Row],[Kitchen Set]],Table_NFI[Kitchen Set])</f>
        <v>0</v>
      </c>
      <c r="AF405" s="436">
        <f>IF(NFI_Expiration=1,IF($A405&lt;VLOOKUP(O$5,NFI,5,0),1,0)*Table_NFI[[#This Row],[Clothes Kit]],Table_NFI[Clothes Kit])</f>
        <v>0</v>
      </c>
      <c r="AG405" s="436">
        <f>IF(NFI_Expiration=1,IF($A405&lt;VLOOKUP(P$5,NFI,5,0),1,0)*Table_NFI[[#This Row],[Plastic Bucket]],Table_NFI[Plastic Bucket])</f>
        <v>0</v>
      </c>
      <c r="AH405" s="436">
        <f>IF(NFI_Expiration=1,IF($A405&lt;VLOOKUP(Q$5,NFI,5,0),1,0)*Table_NFI[[#This Row],[Plastic Mat]],Table_NFI[Plastic Mat])*IF(Table_NFI[[#This Row],[Distribution Date]]&gt;"2014-04-01",1,2.5)</f>
        <v>0</v>
      </c>
      <c r="AI405" s="436">
        <f>IF(NFI_Expiration=1,IF($A405&lt;VLOOKUP(R$5,NFI,5,0),1,0)*Table_NFI[[#This Row],[Winter Clothes Adult]],Table_NFI[Winter Clothes Adult])</f>
        <v>0</v>
      </c>
      <c r="AJ405" s="436">
        <f>IF(NFI_Expiration=1,IF($A405&lt;VLOOKUP(S$5,NFI,5,0),1,0)*Table_NFI[[#This Row],[Winter Clothes Children]],Table_NFI[Winter Clothes Children])</f>
        <v>0</v>
      </c>
      <c r="AK405" s="436">
        <f>IF(NFI_Expiration=1,IF($A405&lt;VLOOKUP(T$5,NFI,5,0),1,0)*Table_NFI[[#This Row],[Winter Items Other]],Table_NFI[Winter Items Other])</f>
        <v>0</v>
      </c>
      <c r="AL405" s="436">
        <f>IF(NFI_Expiration=1,IF($A405&lt;VLOOKUP(M$5,NFI,5,0),1,0)*Table_NFI[[#This Row],[Winter Blanket]],Table_NFI[[#This Row],[Winter Blanket]])</f>
        <v>0</v>
      </c>
      <c r="AM405" s="436">
        <f>IF(Table_NFI[[#This Row],[Winter Clothes Adult]]+Table_NFI[[#This Row],[Winter Clothes Children]]+Table_NFI[[#This Row],[Winter Items Other]]+Table_NFI[[#This Row],[Winter Blanket]]&gt;0,1,0)</f>
        <v>0</v>
      </c>
      <c r="AN405" s="439">
        <f>IF(NFI_Expiration=1,IF($A405&lt;VLOOKUP(V$5,NFI,5,0),1,0)*Table_NFI[[#This Row],[Jerry Can]],Table_NFI[Jerry Can])</f>
        <v>0</v>
      </c>
      <c r="AO405" s="771" t="str">
        <f>IFERROR(VLOOKUP(Table_NFI[[#This Row],[Camp Name]],CL,2,0),"")</f>
        <v>MMR001CMP072</v>
      </c>
      <c r="AP405" s="772">
        <f ca="1">IF(Table_NFI[[#This Row],[Pcode]]="","",IF(OFFSET(CampList[Opening Date],MATCH(Table_NFI[[#This Row],[Pcode]],CampList[CP_Pcode],0)-1,0,1,1)&gt;=NFI_Monitor_Date,1,0))</f>
        <v>0</v>
      </c>
      <c r="AQ405" s="771" t="str">
        <f>IFERROR(VLOOKUP(Table_NFI[[#This Row],[Camp Name]],CL,3,0),"")</f>
        <v>Open</v>
      </c>
      <c r="AR405" s="436" t="str">
        <f ca="1">IF(Table_NFI[[#This Row],[Pcode]]="","",OFFSET(CampList[Priority],MATCH(Table_NFI[[#This Row],[Pcode]],CampList[CP_Pcode],0)-1,0,1,1))</f>
        <v>P3</v>
      </c>
      <c r="AS405" s="438">
        <f>IFERROR(Table_NFI[[#This Row],[Kitchen Set]]/VLOOKUP(Table_NFI[[#This Row],[Camp Name]],CL,4,0),"")</f>
        <v>0</v>
      </c>
      <c r="AT405" s="769" t="s">
        <v>1099</v>
      </c>
      <c r="AU405" s="773"/>
    </row>
    <row r="406" spans="1:47" s="774" customFormat="1" x14ac:dyDescent="0.25">
      <c r="A406" s="451">
        <f t="shared" si="6"/>
        <v>25.4</v>
      </c>
      <c r="B406" s="768">
        <v>41608</v>
      </c>
      <c r="C406" s="769" t="s">
        <v>912</v>
      </c>
      <c r="D406" s="769" t="s">
        <v>1009</v>
      </c>
      <c r="E406" s="769" t="s">
        <v>380</v>
      </c>
      <c r="F406" s="435" t="s">
        <v>185</v>
      </c>
      <c r="G406" s="435" t="s">
        <v>219</v>
      </c>
      <c r="H406" s="436"/>
      <c r="I406" s="436"/>
      <c r="J406" s="436"/>
      <c r="K406" s="436"/>
      <c r="L406" s="437"/>
      <c r="M406" s="437"/>
      <c r="N406" s="437"/>
      <c r="O406" s="437"/>
      <c r="P406" s="439"/>
      <c r="Q406" s="439"/>
      <c r="R406" s="436"/>
      <c r="S406" s="436"/>
      <c r="T406" s="436"/>
      <c r="U406" s="436"/>
      <c r="V406" s="436"/>
      <c r="W406" s="436"/>
      <c r="X406" s="436"/>
      <c r="Y406" s="436">
        <f>IF(NFI_Expiration=1,IF($A406&lt;VLOOKUP(H$5,NFI,5,0),1,0)*Table_NFI[[#This Row],[Hygiene Kit]],Table_NFI[Hygiene Kit])</f>
        <v>0</v>
      </c>
      <c r="Z406" s="436">
        <f>IF(NFI_Expiration=1,IF($A406&lt;VLOOKUP(I$5,NFI,5,0),1,0)*Table_NFI[[#This Row],[NFI Core Kit]],Table_NFI[NFI Core Kit])</f>
        <v>0</v>
      </c>
      <c r="AA406" s="436">
        <f>IF(NFI_Expiration=1,IF($A406&lt;VLOOKUP(J$5,NFI,5,0),1,0)*Table_NFI[[#This Row],[Sanitary Kit]],Table_NFI[Sanitary Kit])</f>
        <v>0</v>
      </c>
      <c r="AB406" s="436">
        <f>IF(NFI_Expiration=1,IF($A406&lt;VLOOKUP(K$5,NFI,5,0),1,0)*Table_NFI[[#This Row],[Mosquito net]],Table_NFI[Mosquito net])</f>
        <v>0</v>
      </c>
      <c r="AC406" s="436">
        <f>IF(NFI_Expiration=1,IF($A406&lt;VLOOKUP(L$5,NFI,5,0),1,0)*Table_NFI[[#This Row],[Tarpaulin]],Table_NFI[[#This Row],[Tarpaulin]])</f>
        <v>0</v>
      </c>
      <c r="AD406" s="436">
        <f>IF(NFI_Expiration=1,IF($A406&lt;VLOOKUP(M$5,NFI,5,0),1,0)*Table_NFI[[#This Row],[Blanket]],Table_NFI[[#This Row],[Blanket]])</f>
        <v>0</v>
      </c>
      <c r="AE406" s="436">
        <f>IF(NFI_Expiration=1,IF($A406&lt;VLOOKUP(N$5,NFI,5,0),1,0)*Table_NFI[[#This Row],[Kitchen Set]],Table_NFI[Kitchen Set])</f>
        <v>0</v>
      </c>
      <c r="AF406" s="436">
        <f>IF(NFI_Expiration=1,IF($A406&lt;VLOOKUP(O$5,NFI,5,0),1,0)*Table_NFI[[#This Row],[Clothes Kit]],Table_NFI[Clothes Kit])</f>
        <v>0</v>
      </c>
      <c r="AG406" s="436">
        <f>IF(NFI_Expiration=1,IF($A406&lt;VLOOKUP(P$5,NFI,5,0),1,0)*Table_NFI[[#This Row],[Plastic Bucket]],Table_NFI[Plastic Bucket])</f>
        <v>0</v>
      </c>
      <c r="AH406" s="436">
        <f>IF(NFI_Expiration=1,IF($A406&lt;VLOOKUP(Q$5,NFI,5,0),1,0)*Table_NFI[[#This Row],[Plastic Mat]],Table_NFI[Plastic Mat])*IF(Table_NFI[[#This Row],[Distribution Date]]&gt;"2014-04-01",1,2.5)</f>
        <v>0</v>
      </c>
      <c r="AI406" s="436">
        <f>IF(NFI_Expiration=1,IF($A406&lt;VLOOKUP(R$5,NFI,5,0),1,0)*Table_NFI[[#This Row],[Winter Clothes Adult]],Table_NFI[Winter Clothes Adult])</f>
        <v>0</v>
      </c>
      <c r="AJ406" s="436">
        <f>IF(NFI_Expiration=1,IF($A406&lt;VLOOKUP(S$5,NFI,5,0),1,0)*Table_NFI[[#This Row],[Winter Clothes Children]],Table_NFI[Winter Clothes Children])</f>
        <v>0</v>
      </c>
      <c r="AK406" s="436">
        <f>IF(NFI_Expiration=1,IF($A406&lt;VLOOKUP(T$5,NFI,5,0),1,0)*Table_NFI[[#This Row],[Winter Items Other]],Table_NFI[Winter Items Other])</f>
        <v>0</v>
      </c>
      <c r="AL406" s="436">
        <f>IF(NFI_Expiration=1,IF($A406&lt;VLOOKUP(M$5,NFI,5,0),1,0)*Table_NFI[[#This Row],[Winter Blanket]],Table_NFI[[#This Row],[Winter Blanket]])</f>
        <v>0</v>
      </c>
      <c r="AM406" s="436">
        <f>IF(Table_NFI[[#This Row],[Winter Clothes Adult]]+Table_NFI[[#This Row],[Winter Clothes Children]]+Table_NFI[[#This Row],[Winter Items Other]]+Table_NFI[[#This Row],[Winter Blanket]]&gt;0,1,0)</f>
        <v>0</v>
      </c>
      <c r="AN406" s="439">
        <f>IF(NFI_Expiration=1,IF($A406&lt;VLOOKUP(V$5,NFI,5,0),1,0)*Table_NFI[[#This Row],[Jerry Can]],Table_NFI[Jerry Can])</f>
        <v>0</v>
      </c>
      <c r="AO406" s="771" t="str">
        <f>IFERROR(VLOOKUP(Table_NFI[[#This Row],[Camp Name]],CL,2,0),"")</f>
        <v>MMR001CMP126</v>
      </c>
      <c r="AP406" s="772">
        <f ca="1">IF(Table_NFI[[#This Row],[Pcode]]="","",IF(OFFSET(CampList[Opening Date],MATCH(Table_NFI[[#This Row],[Pcode]],CampList[CP_Pcode],0)-1,0,1,1)&gt;=NFI_Monitor_Date,1,0))</f>
        <v>0</v>
      </c>
      <c r="AQ406" s="771" t="str">
        <f>IFERROR(VLOOKUP(Table_NFI[[#This Row],[Camp Name]],CL,3,0),"")</f>
        <v>Open</v>
      </c>
      <c r="AR406" s="436" t="str">
        <f ca="1">IF(Table_NFI[[#This Row],[Pcode]]="","",OFFSET(CampList[Priority],MATCH(Table_NFI[[#This Row],[Pcode]],CampList[CP_Pcode],0)-1,0,1,1))</f>
        <v>P2</v>
      </c>
      <c r="AS406" s="438">
        <f>IFERROR(Table_NFI[[#This Row],[Kitchen Set]]/VLOOKUP(Table_NFI[[#This Row],[Camp Name]],CL,4,0),"")</f>
        <v>0</v>
      </c>
      <c r="AT406" s="769" t="s">
        <v>1099</v>
      </c>
      <c r="AU406" s="773"/>
    </row>
    <row r="407" spans="1:47" s="774" customFormat="1" x14ac:dyDescent="0.25">
      <c r="A407" s="451">
        <f t="shared" si="6"/>
        <v>25.4</v>
      </c>
      <c r="B407" s="768">
        <v>41608</v>
      </c>
      <c r="C407" s="769" t="s">
        <v>454</v>
      </c>
      <c r="D407" s="442" t="s">
        <v>454</v>
      </c>
      <c r="E407" s="775" t="s">
        <v>380</v>
      </c>
      <c r="F407" s="435" t="s">
        <v>185</v>
      </c>
      <c r="G407" s="435" t="s">
        <v>219</v>
      </c>
      <c r="H407" s="442"/>
      <c r="I407" s="442"/>
      <c r="J407" s="442"/>
      <c r="K407" s="775"/>
      <c r="L407" s="776"/>
      <c r="M407" s="443"/>
      <c r="N407" s="443"/>
      <c r="O407" s="443"/>
      <c r="P407" s="776"/>
      <c r="Q407" s="443"/>
      <c r="R407" s="442"/>
      <c r="S407" s="442"/>
      <c r="T407" s="442"/>
      <c r="U407" s="442"/>
      <c r="V407" s="442"/>
      <c r="W407" s="442"/>
      <c r="X407" s="442"/>
      <c r="Y407" s="436">
        <f>IF(NFI_Expiration=1,IF($A407&lt;VLOOKUP(H$5,NFI,5,0),1,0)*Table_NFI[[#This Row],[Hygiene Kit]],Table_NFI[Hygiene Kit])</f>
        <v>0</v>
      </c>
      <c r="Z407" s="436">
        <f>IF(NFI_Expiration=1,IF($A407&lt;VLOOKUP(I$5,NFI,5,0),1,0)*Table_NFI[[#This Row],[NFI Core Kit]],Table_NFI[NFI Core Kit])</f>
        <v>0</v>
      </c>
      <c r="AA407" s="436">
        <f>IF(NFI_Expiration=1,IF($A407&lt;VLOOKUP(J$5,NFI,5,0),1,0)*Table_NFI[[#This Row],[Sanitary Kit]],Table_NFI[Sanitary Kit])</f>
        <v>0</v>
      </c>
      <c r="AB407" s="436">
        <f>IF(NFI_Expiration=1,IF($A407&lt;VLOOKUP(K$5,NFI,5,0),1,0)*Table_NFI[[#This Row],[Mosquito net]],Table_NFI[Mosquito net])</f>
        <v>0</v>
      </c>
      <c r="AC407" s="436">
        <f>IF(NFI_Expiration=1,IF($A407&lt;VLOOKUP(L$5,NFI,5,0),1,0)*Table_NFI[[#This Row],[Tarpaulin]],Table_NFI[[#This Row],[Tarpaulin]])</f>
        <v>0</v>
      </c>
      <c r="AD407" s="436">
        <f>IF(NFI_Expiration=1,IF($A407&lt;VLOOKUP(M$5,NFI,5,0),1,0)*Table_NFI[[#This Row],[Blanket]],Table_NFI[[#This Row],[Blanket]])</f>
        <v>0</v>
      </c>
      <c r="AE407" s="436">
        <f>IF(NFI_Expiration=1,IF($A407&lt;VLOOKUP(N$5,NFI,5,0),1,0)*Table_NFI[[#This Row],[Kitchen Set]],Table_NFI[Kitchen Set])</f>
        <v>0</v>
      </c>
      <c r="AF407" s="436">
        <f>IF(NFI_Expiration=1,IF($A407&lt;VLOOKUP(O$5,NFI,5,0),1,0)*Table_NFI[[#This Row],[Clothes Kit]],Table_NFI[Clothes Kit])</f>
        <v>0</v>
      </c>
      <c r="AG407" s="436">
        <f>IF(NFI_Expiration=1,IF($A407&lt;VLOOKUP(P$5,NFI,5,0),1,0)*Table_NFI[[#This Row],[Plastic Bucket]],Table_NFI[Plastic Bucket])</f>
        <v>0</v>
      </c>
      <c r="AH407" s="436">
        <f>IF(NFI_Expiration=1,IF($A407&lt;VLOOKUP(Q$5,NFI,5,0),1,0)*Table_NFI[[#This Row],[Plastic Mat]],Table_NFI[Plastic Mat])*IF(Table_NFI[[#This Row],[Distribution Date]]&gt;"2014-04-01",1,2.5)</f>
        <v>0</v>
      </c>
      <c r="AI407" s="436">
        <f>IF(NFI_Expiration=1,IF($A407&lt;VLOOKUP(R$5,NFI,5,0),1,0)*Table_NFI[[#This Row],[Winter Clothes Adult]],Table_NFI[Winter Clothes Adult])</f>
        <v>0</v>
      </c>
      <c r="AJ407" s="436">
        <f>IF(NFI_Expiration=1,IF($A407&lt;VLOOKUP(S$5,NFI,5,0),1,0)*Table_NFI[[#This Row],[Winter Clothes Children]],Table_NFI[Winter Clothes Children])</f>
        <v>0</v>
      </c>
      <c r="AK407" s="436">
        <f>IF(NFI_Expiration=1,IF($A407&lt;VLOOKUP(T$5,NFI,5,0),1,0)*Table_NFI[[#This Row],[Winter Items Other]],Table_NFI[Winter Items Other])</f>
        <v>0</v>
      </c>
      <c r="AL407" s="436">
        <f>IF(NFI_Expiration=1,IF($A407&lt;VLOOKUP(M$5,NFI,5,0),1,0)*Table_NFI[[#This Row],[Winter Blanket]],Table_NFI[[#This Row],[Winter Blanket]])</f>
        <v>0</v>
      </c>
      <c r="AM407" s="436">
        <f>IF(Table_NFI[[#This Row],[Winter Clothes Adult]]+Table_NFI[[#This Row],[Winter Clothes Children]]+Table_NFI[[#This Row],[Winter Items Other]]+Table_NFI[[#This Row],[Winter Blanket]]&gt;0,1,0)</f>
        <v>0</v>
      </c>
      <c r="AN407" s="439">
        <f>IF(NFI_Expiration=1,IF($A407&lt;VLOOKUP(V$5,NFI,5,0),1,0)*Table_NFI[[#This Row],[Jerry Can]],Table_NFI[Jerry Can])</f>
        <v>0</v>
      </c>
      <c r="AO407" s="771" t="str">
        <f>IFERROR(VLOOKUP(Table_NFI[[#This Row],[Camp Name]],CL,2,0),"")</f>
        <v>MMR001CMP126</v>
      </c>
      <c r="AP407" s="772">
        <f ca="1">IF(Table_NFI[[#This Row],[Pcode]]="","",IF(OFFSET(CampList[Opening Date],MATCH(Table_NFI[[#This Row],[Pcode]],CampList[CP_Pcode],0)-1,0,1,1)&gt;=NFI_Monitor_Date,1,0))</f>
        <v>0</v>
      </c>
      <c r="AQ407" s="781" t="str">
        <f>IFERROR(VLOOKUP(Table_NFI[[#This Row],[Camp Name]],CL,3,0),"")</f>
        <v>Open</v>
      </c>
      <c r="AR407" s="439" t="str">
        <f ca="1">IF(Table_NFI[[#This Row],[Pcode]]="","",OFFSET(CampList[Priority],MATCH(Table_NFI[[#This Row],[Pcode]],CampList[CP_Pcode],0)-1,0,1,1))</f>
        <v>P2</v>
      </c>
      <c r="AS407" s="438">
        <f>IFERROR(Table_NFI[[#This Row],[Kitchen Set]]/VLOOKUP(Table_NFI[[#This Row],[Camp Name]],CL,4,0),"")</f>
        <v>0</v>
      </c>
      <c r="AT407" s="769" t="s">
        <v>1099</v>
      </c>
      <c r="AU407" s="773"/>
    </row>
    <row r="408" spans="1:47" s="774" customFormat="1" x14ac:dyDescent="0.25">
      <c r="A408" s="451">
        <f t="shared" si="6"/>
        <v>25.4</v>
      </c>
      <c r="B408" s="768">
        <v>41608</v>
      </c>
      <c r="C408" s="769" t="s">
        <v>912</v>
      </c>
      <c r="D408" s="442" t="s">
        <v>462</v>
      </c>
      <c r="E408" s="769" t="s">
        <v>380</v>
      </c>
      <c r="F408" s="435" t="s">
        <v>310</v>
      </c>
      <c r="G408" s="435" t="s">
        <v>1257</v>
      </c>
      <c r="H408" s="442"/>
      <c r="I408" s="442"/>
      <c r="J408" s="442"/>
      <c r="K408" s="775"/>
      <c r="L408" s="776"/>
      <c r="M408" s="443"/>
      <c r="N408" s="443"/>
      <c r="O408" s="443"/>
      <c r="P408" s="776"/>
      <c r="Q408" s="443"/>
      <c r="R408" s="442"/>
      <c r="S408" s="442"/>
      <c r="T408" s="442"/>
      <c r="U408" s="442"/>
      <c r="V408" s="442"/>
      <c r="W408" s="442"/>
      <c r="X408" s="442"/>
      <c r="Y408" s="436">
        <f>IF(NFI_Expiration=1,IF($A408&lt;VLOOKUP(H$5,NFI,5,0),1,0)*Table_NFI[[#This Row],[Hygiene Kit]],Table_NFI[Hygiene Kit])</f>
        <v>0</v>
      </c>
      <c r="Z408" s="436">
        <f>IF(NFI_Expiration=1,IF($A408&lt;VLOOKUP(I$5,NFI,5,0),1,0)*Table_NFI[[#This Row],[NFI Core Kit]],Table_NFI[NFI Core Kit])</f>
        <v>0</v>
      </c>
      <c r="AA408" s="436">
        <f>IF(NFI_Expiration=1,IF($A408&lt;VLOOKUP(J$5,NFI,5,0),1,0)*Table_NFI[[#This Row],[Sanitary Kit]],Table_NFI[Sanitary Kit])</f>
        <v>0</v>
      </c>
      <c r="AB408" s="436">
        <f>IF(NFI_Expiration=1,IF($A408&lt;VLOOKUP(K$5,NFI,5,0),1,0)*Table_NFI[[#This Row],[Mosquito net]],Table_NFI[Mosquito net])</f>
        <v>0</v>
      </c>
      <c r="AC408" s="436">
        <f>IF(NFI_Expiration=1,IF($A408&lt;VLOOKUP(L$5,NFI,5,0),1,0)*Table_NFI[[#This Row],[Tarpaulin]],Table_NFI[[#This Row],[Tarpaulin]])</f>
        <v>0</v>
      </c>
      <c r="AD408" s="436">
        <f>IF(NFI_Expiration=1,IF($A408&lt;VLOOKUP(M$5,NFI,5,0),1,0)*Table_NFI[[#This Row],[Blanket]],Table_NFI[[#This Row],[Blanket]])</f>
        <v>0</v>
      </c>
      <c r="AE408" s="436">
        <f>IF(NFI_Expiration=1,IF($A408&lt;VLOOKUP(N$5,NFI,5,0),1,0)*Table_NFI[[#This Row],[Kitchen Set]],Table_NFI[Kitchen Set])</f>
        <v>0</v>
      </c>
      <c r="AF408" s="436">
        <f>IF(NFI_Expiration=1,IF($A408&lt;VLOOKUP(O$5,NFI,5,0),1,0)*Table_NFI[[#This Row],[Clothes Kit]],Table_NFI[Clothes Kit])</f>
        <v>0</v>
      </c>
      <c r="AG408" s="436">
        <f>IF(NFI_Expiration=1,IF($A408&lt;VLOOKUP(P$5,NFI,5,0),1,0)*Table_NFI[[#This Row],[Plastic Bucket]],Table_NFI[Plastic Bucket])</f>
        <v>0</v>
      </c>
      <c r="AH408" s="436">
        <f>IF(NFI_Expiration=1,IF($A408&lt;VLOOKUP(Q$5,NFI,5,0),1,0)*Table_NFI[[#This Row],[Plastic Mat]],Table_NFI[Plastic Mat])*IF(Table_NFI[[#This Row],[Distribution Date]]&gt;"2014-04-01",1,2.5)</f>
        <v>0</v>
      </c>
      <c r="AI408" s="436">
        <f>IF(NFI_Expiration=1,IF($A408&lt;VLOOKUP(R$5,NFI,5,0),1,0)*Table_NFI[[#This Row],[Winter Clothes Adult]],Table_NFI[Winter Clothes Adult])</f>
        <v>0</v>
      </c>
      <c r="AJ408" s="436">
        <f>IF(NFI_Expiration=1,IF($A408&lt;VLOOKUP(S$5,NFI,5,0),1,0)*Table_NFI[[#This Row],[Winter Clothes Children]],Table_NFI[Winter Clothes Children])</f>
        <v>0</v>
      </c>
      <c r="AK408" s="436">
        <f>IF(NFI_Expiration=1,IF($A408&lt;VLOOKUP(T$5,NFI,5,0),1,0)*Table_NFI[[#This Row],[Winter Items Other]],Table_NFI[Winter Items Other])</f>
        <v>0</v>
      </c>
      <c r="AL408" s="436">
        <f>IF(NFI_Expiration=1,IF($A408&lt;VLOOKUP(M$5,NFI,5,0),1,0)*Table_NFI[[#This Row],[Winter Blanket]],Table_NFI[[#This Row],[Winter Blanket]])</f>
        <v>0</v>
      </c>
      <c r="AM408" s="436">
        <f>IF(Table_NFI[[#This Row],[Winter Clothes Adult]]+Table_NFI[[#This Row],[Winter Clothes Children]]+Table_NFI[[#This Row],[Winter Items Other]]+Table_NFI[[#This Row],[Winter Blanket]]&gt;0,1,0)</f>
        <v>0</v>
      </c>
      <c r="AN408" s="439">
        <f>IF(NFI_Expiration=1,IF($A408&lt;VLOOKUP(V$5,NFI,5,0),1,0)*Table_NFI[[#This Row],[Jerry Can]],Table_NFI[Jerry Can])</f>
        <v>0</v>
      </c>
      <c r="AO408" s="771" t="str">
        <f>IFERROR(VLOOKUP(Table_NFI[[#This Row],[Camp Name]],CL,2,0),"")</f>
        <v>MMR001CMP120</v>
      </c>
      <c r="AP408" s="772">
        <f ca="1">IF(Table_NFI[[#This Row],[Pcode]]="","",IF(OFFSET(CampList[Opening Date],MATCH(Table_NFI[[#This Row],[Pcode]],CampList[CP_Pcode],0)-1,0,1,1)&gt;=NFI_Monitor_Date,1,0))</f>
        <v>0</v>
      </c>
      <c r="AQ408" s="771" t="str">
        <f>IFERROR(VLOOKUP(Table_NFI[[#This Row],[Camp Name]],CL,3,0),"")</f>
        <v>Open</v>
      </c>
      <c r="AR408" s="436" t="str">
        <f ca="1">IF(Table_NFI[[#This Row],[Pcode]]="","",OFFSET(CampList[Priority],MATCH(Table_NFI[[#This Row],[Pcode]],CampList[CP_Pcode],0)-1,0,1,1))</f>
        <v>P1</v>
      </c>
      <c r="AS408" s="438">
        <f>IFERROR(Table_NFI[[#This Row],[Kitchen Set]]/VLOOKUP(Table_NFI[[#This Row],[Camp Name]],CL,4,0),"")</f>
        <v>0</v>
      </c>
      <c r="AT408" s="769" t="s">
        <v>1099</v>
      </c>
      <c r="AU408" s="773"/>
    </row>
    <row r="409" spans="1:47" s="774" customFormat="1" x14ac:dyDescent="0.25">
      <c r="A409" s="451">
        <f t="shared" si="6"/>
        <v>25.4</v>
      </c>
      <c r="B409" s="768">
        <v>41608</v>
      </c>
      <c r="C409" s="769" t="s">
        <v>1104</v>
      </c>
      <c r="D409" s="442" t="s">
        <v>951</v>
      </c>
      <c r="E409" s="775" t="s">
        <v>380</v>
      </c>
      <c r="F409" s="435" t="s">
        <v>5</v>
      </c>
      <c r="G409" s="435" t="s">
        <v>366</v>
      </c>
      <c r="H409" s="442"/>
      <c r="I409" s="442"/>
      <c r="J409" s="442"/>
      <c r="K409" s="775"/>
      <c r="L409" s="776"/>
      <c r="M409" s="443">
        <v>320</v>
      </c>
      <c r="N409" s="443"/>
      <c r="O409" s="443"/>
      <c r="P409" s="776"/>
      <c r="Q409" s="443"/>
      <c r="R409" s="442">
        <v>234</v>
      </c>
      <c r="S409" s="442">
        <v>336</v>
      </c>
      <c r="T409" s="442">
        <v>0</v>
      </c>
      <c r="U409" s="442"/>
      <c r="V409" s="442"/>
      <c r="W409" s="442"/>
      <c r="X409" s="442"/>
      <c r="Y409" s="436">
        <f>IF(NFI_Expiration=1,IF($A409&lt;VLOOKUP(H$5,NFI,5,0),1,0)*Table_NFI[[#This Row],[Hygiene Kit]],Table_NFI[Hygiene Kit])</f>
        <v>0</v>
      </c>
      <c r="Z409" s="436">
        <f>IF(NFI_Expiration=1,IF($A409&lt;VLOOKUP(I$5,NFI,5,0),1,0)*Table_NFI[[#This Row],[NFI Core Kit]],Table_NFI[NFI Core Kit])</f>
        <v>0</v>
      </c>
      <c r="AA409" s="436">
        <f>IF(NFI_Expiration=1,IF($A409&lt;VLOOKUP(J$5,NFI,5,0),1,0)*Table_NFI[[#This Row],[Sanitary Kit]],Table_NFI[Sanitary Kit])</f>
        <v>0</v>
      </c>
      <c r="AB409" s="436">
        <f>IF(NFI_Expiration=1,IF($A409&lt;VLOOKUP(K$5,NFI,5,0),1,0)*Table_NFI[[#This Row],[Mosquito net]],Table_NFI[Mosquito net])</f>
        <v>0</v>
      </c>
      <c r="AC409" s="436">
        <f>IF(NFI_Expiration=1,IF($A409&lt;VLOOKUP(L$5,NFI,5,0),1,0)*Table_NFI[[#This Row],[Tarpaulin]],Table_NFI[[#This Row],[Tarpaulin]])</f>
        <v>0</v>
      </c>
      <c r="AD409" s="436">
        <f>IF(NFI_Expiration=1,IF($A409&lt;VLOOKUP(M$5,NFI,5,0),1,0)*Table_NFI[[#This Row],[Blanket]],Table_NFI[[#This Row],[Blanket]])</f>
        <v>0</v>
      </c>
      <c r="AE409" s="436">
        <f>IF(NFI_Expiration=1,IF($A409&lt;VLOOKUP(N$5,NFI,5,0),1,0)*Table_NFI[[#This Row],[Kitchen Set]],Table_NFI[Kitchen Set])</f>
        <v>0</v>
      </c>
      <c r="AF409" s="436">
        <f>IF(NFI_Expiration=1,IF($A409&lt;VLOOKUP(O$5,NFI,5,0),1,0)*Table_NFI[[#This Row],[Clothes Kit]],Table_NFI[Clothes Kit])</f>
        <v>0</v>
      </c>
      <c r="AG409" s="436">
        <f>IF(NFI_Expiration=1,IF($A409&lt;VLOOKUP(P$5,NFI,5,0),1,0)*Table_NFI[[#This Row],[Plastic Bucket]],Table_NFI[Plastic Bucket])</f>
        <v>0</v>
      </c>
      <c r="AH409" s="436">
        <f>IF(NFI_Expiration=1,IF($A409&lt;VLOOKUP(Q$5,NFI,5,0),1,0)*Table_NFI[[#This Row],[Plastic Mat]],Table_NFI[Plastic Mat])*IF(Table_NFI[[#This Row],[Distribution Date]]&gt;"2014-04-01",1,2.5)</f>
        <v>0</v>
      </c>
      <c r="AI409" s="436">
        <f>IF(NFI_Expiration=1,IF($A409&lt;VLOOKUP(R$5,NFI,5,0),1,0)*Table_NFI[[#This Row],[Winter Clothes Adult]],Table_NFI[Winter Clothes Adult])</f>
        <v>0</v>
      </c>
      <c r="AJ409" s="436">
        <f>IF(NFI_Expiration=1,IF($A409&lt;VLOOKUP(S$5,NFI,5,0),1,0)*Table_NFI[[#This Row],[Winter Clothes Children]],Table_NFI[Winter Clothes Children])</f>
        <v>0</v>
      </c>
      <c r="AK409" s="436">
        <f>IF(NFI_Expiration=1,IF($A409&lt;VLOOKUP(T$5,NFI,5,0),1,0)*Table_NFI[[#This Row],[Winter Items Other]],Table_NFI[Winter Items Other])</f>
        <v>0</v>
      </c>
      <c r="AL409" s="436">
        <f>IF(NFI_Expiration=1,IF($A409&lt;VLOOKUP(M$5,NFI,5,0),1,0)*Table_NFI[[#This Row],[Winter Blanket]],Table_NFI[[#This Row],[Winter Blanket]])</f>
        <v>0</v>
      </c>
      <c r="AM409" s="436">
        <f>IF(Table_NFI[[#This Row],[Winter Clothes Adult]]+Table_NFI[[#This Row],[Winter Clothes Children]]+Table_NFI[[#This Row],[Winter Items Other]]+Table_NFI[[#This Row],[Winter Blanket]]&gt;0,1,0)</f>
        <v>1</v>
      </c>
      <c r="AN409" s="439">
        <f>IF(NFI_Expiration=1,IF($A409&lt;VLOOKUP(V$5,NFI,5,0),1,0)*Table_NFI[[#This Row],[Jerry Can]],Table_NFI[Jerry Can])</f>
        <v>0</v>
      </c>
      <c r="AO409" s="771" t="str">
        <f>IFERROR(VLOOKUP(Table_NFI[[#This Row],[Camp Name]],CL,2,0),"")</f>
        <v>MMR001CMP193</v>
      </c>
      <c r="AP409" s="772">
        <f ca="1">IF(Table_NFI[[#This Row],[Pcode]]="","",IF(OFFSET(CampList[Opening Date],MATCH(Table_NFI[[#This Row],[Pcode]],CampList[CP_Pcode],0)-1,0,1,1)&gt;=NFI_Monitor_Date,1,0))</f>
        <v>0</v>
      </c>
      <c r="AQ409" s="771" t="str">
        <f>IFERROR(VLOOKUP(Table_NFI[[#This Row],[Camp Name]],CL,3,0),"")</f>
        <v>Open</v>
      </c>
      <c r="AR409" s="436" t="str">
        <f ca="1">IF(Table_NFI[[#This Row],[Pcode]]="","",OFFSET(CampList[Priority],MATCH(Table_NFI[[#This Row],[Pcode]],CampList[CP_Pcode],0)-1,0,1,1))</f>
        <v>P4</v>
      </c>
      <c r="AS409" s="438">
        <f>IFERROR(Table_NFI[[#This Row],[Kitchen Set]]/VLOOKUP(Table_NFI[[#This Row],[Camp Name]],CL,4,0),"")</f>
        <v>0</v>
      </c>
      <c r="AT409" s="769" t="s">
        <v>1099</v>
      </c>
      <c r="AU409" s="773"/>
    </row>
    <row r="410" spans="1:47" s="774" customFormat="1" ht="14.45" customHeight="1" x14ac:dyDescent="0.25">
      <c r="A410" s="451">
        <f t="shared" si="6"/>
        <v>25.4</v>
      </c>
      <c r="B410" s="768">
        <v>41608</v>
      </c>
      <c r="C410" s="769" t="s">
        <v>912</v>
      </c>
      <c r="D410" s="769"/>
      <c r="E410" s="769" t="s">
        <v>380</v>
      </c>
      <c r="F410" s="435" t="s">
        <v>5</v>
      </c>
      <c r="G410" s="435" t="s">
        <v>366</v>
      </c>
      <c r="H410" s="436"/>
      <c r="I410" s="436"/>
      <c r="J410" s="436"/>
      <c r="K410" s="436"/>
      <c r="L410" s="437"/>
      <c r="M410" s="437"/>
      <c r="N410" s="437"/>
      <c r="O410" s="437"/>
      <c r="P410" s="439"/>
      <c r="Q410" s="439"/>
      <c r="R410" s="436"/>
      <c r="S410" s="436"/>
      <c r="T410" s="436"/>
      <c r="U410" s="436"/>
      <c r="V410" s="436"/>
      <c r="W410" s="436"/>
      <c r="X410" s="436"/>
      <c r="Y410" s="436">
        <f>IF(NFI_Expiration=1,IF($A410&lt;VLOOKUP(H$5,NFI,5,0),1,0)*Table_NFI[[#This Row],[Hygiene Kit]],Table_NFI[Hygiene Kit])</f>
        <v>0</v>
      </c>
      <c r="Z410" s="436">
        <f>IF(NFI_Expiration=1,IF($A410&lt;VLOOKUP(I$5,NFI,5,0),1,0)*Table_NFI[[#This Row],[NFI Core Kit]],Table_NFI[NFI Core Kit])</f>
        <v>0</v>
      </c>
      <c r="AA410" s="436">
        <f>IF(NFI_Expiration=1,IF($A410&lt;VLOOKUP(J$5,NFI,5,0),1,0)*Table_NFI[[#This Row],[Sanitary Kit]],Table_NFI[Sanitary Kit])</f>
        <v>0</v>
      </c>
      <c r="AB410" s="436">
        <f>IF(NFI_Expiration=1,IF($A410&lt;VLOOKUP(K$5,NFI,5,0),1,0)*Table_NFI[[#This Row],[Mosquito net]],Table_NFI[Mosquito net])</f>
        <v>0</v>
      </c>
      <c r="AC410" s="436">
        <f>IF(NFI_Expiration=1,IF($A410&lt;VLOOKUP(L$5,NFI,5,0),1,0)*Table_NFI[[#This Row],[Tarpaulin]],Table_NFI[[#This Row],[Tarpaulin]])</f>
        <v>0</v>
      </c>
      <c r="AD410" s="436">
        <f>IF(NFI_Expiration=1,IF($A410&lt;VLOOKUP(M$5,NFI,5,0),1,0)*Table_NFI[[#This Row],[Blanket]],Table_NFI[[#This Row],[Blanket]])</f>
        <v>0</v>
      </c>
      <c r="AE410" s="436">
        <f>IF(NFI_Expiration=1,IF($A410&lt;VLOOKUP(N$5,NFI,5,0),1,0)*Table_NFI[[#This Row],[Kitchen Set]],Table_NFI[Kitchen Set])</f>
        <v>0</v>
      </c>
      <c r="AF410" s="436">
        <f>IF(NFI_Expiration=1,IF($A410&lt;VLOOKUP(O$5,NFI,5,0),1,0)*Table_NFI[[#This Row],[Clothes Kit]],Table_NFI[Clothes Kit])</f>
        <v>0</v>
      </c>
      <c r="AG410" s="436">
        <f>IF(NFI_Expiration=1,IF($A410&lt;VLOOKUP(P$5,NFI,5,0),1,0)*Table_NFI[[#This Row],[Plastic Bucket]],Table_NFI[Plastic Bucket])</f>
        <v>0</v>
      </c>
      <c r="AH410" s="436">
        <f>IF(NFI_Expiration=1,IF($A410&lt;VLOOKUP(Q$5,NFI,5,0),1,0)*Table_NFI[[#This Row],[Plastic Mat]],Table_NFI[Plastic Mat])*IF(Table_NFI[[#This Row],[Distribution Date]]&gt;"2014-04-01",1,2.5)</f>
        <v>0</v>
      </c>
      <c r="AI410" s="436">
        <f>IF(NFI_Expiration=1,IF($A410&lt;VLOOKUP(R$5,NFI,5,0),1,0)*Table_NFI[[#This Row],[Winter Clothes Adult]],Table_NFI[Winter Clothes Adult])</f>
        <v>0</v>
      </c>
      <c r="AJ410" s="436">
        <f>IF(NFI_Expiration=1,IF($A410&lt;VLOOKUP(S$5,NFI,5,0),1,0)*Table_NFI[[#This Row],[Winter Clothes Children]],Table_NFI[Winter Clothes Children])</f>
        <v>0</v>
      </c>
      <c r="AK410" s="436">
        <f>IF(NFI_Expiration=1,IF($A410&lt;VLOOKUP(T$5,NFI,5,0),1,0)*Table_NFI[[#This Row],[Winter Items Other]],Table_NFI[Winter Items Other])</f>
        <v>0</v>
      </c>
      <c r="AL410" s="436">
        <f>IF(NFI_Expiration=1,IF($A410&lt;VLOOKUP(M$5,NFI,5,0),1,0)*Table_NFI[[#This Row],[Winter Blanket]],Table_NFI[[#This Row],[Winter Blanket]])</f>
        <v>0</v>
      </c>
      <c r="AM410" s="436">
        <f>IF(Table_NFI[[#This Row],[Winter Clothes Adult]]+Table_NFI[[#This Row],[Winter Clothes Children]]+Table_NFI[[#This Row],[Winter Items Other]]+Table_NFI[[#This Row],[Winter Blanket]]&gt;0,1,0)</f>
        <v>0</v>
      </c>
      <c r="AN410" s="439">
        <f>IF(NFI_Expiration=1,IF($A410&lt;VLOOKUP(V$5,NFI,5,0),1,0)*Table_NFI[[#This Row],[Jerry Can]],Table_NFI[Jerry Can])</f>
        <v>0</v>
      </c>
      <c r="AO410" s="771" t="str">
        <f>IFERROR(VLOOKUP(Table_NFI[[#This Row],[Camp Name]],CL,2,0),"")</f>
        <v>MMR001CMP193</v>
      </c>
      <c r="AP410" s="772">
        <f ca="1">IF(Table_NFI[[#This Row],[Pcode]]="","",IF(OFFSET(CampList[Opening Date],MATCH(Table_NFI[[#This Row],[Pcode]],CampList[CP_Pcode],0)-1,0,1,1)&gt;=NFI_Monitor_Date,1,0))</f>
        <v>0</v>
      </c>
      <c r="AQ410" s="771" t="str">
        <f>IFERROR(VLOOKUP(Table_NFI[[#This Row],[Camp Name]],CL,3,0),"")</f>
        <v>Open</v>
      </c>
      <c r="AR410" s="436" t="str">
        <f ca="1">IF(Table_NFI[[#This Row],[Pcode]]="","",OFFSET(CampList[Priority],MATCH(Table_NFI[[#This Row],[Pcode]],CampList[CP_Pcode],0)-1,0,1,1))</f>
        <v>P4</v>
      </c>
      <c r="AS410" s="438">
        <f>IFERROR(Table_NFI[[#This Row],[Kitchen Set]]/VLOOKUP(Table_NFI[[#This Row],[Camp Name]],CL,4,0),"")</f>
        <v>0</v>
      </c>
      <c r="AT410" s="769" t="s">
        <v>1099</v>
      </c>
      <c r="AU410" s="773"/>
    </row>
    <row r="411" spans="1:47" s="774" customFormat="1" x14ac:dyDescent="0.25">
      <c r="A411" s="451">
        <f t="shared" si="6"/>
        <v>25.4</v>
      </c>
      <c r="B411" s="768">
        <v>41608</v>
      </c>
      <c r="C411" s="769" t="s">
        <v>912</v>
      </c>
      <c r="D411" s="442" t="s">
        <v>462</v>
      </c>
      <c r="E411" s="769" t="s">
        <v>380</v>
      </c>
      <c r="F411" s="435" t="s">
        <v>310</v>
      </c>
      <c r="G411" s="435" t="s">
        <v>355</v>
      </c>
      <c r="H411" s="442"/>
      <c r="I411" s="442"/>
      <c r="J411" s="442"/>
      <c r="K411" s="775"/>
      <c r="L411" s="776"/>
      <c r="M411" s="443"/>
      <c r="N411" s="443"/>
      <c r="O411" s="443"/>
      <c r="P411" s="776"/>
      <c r="Q411" s="443"/>
      <c r="R411" s="442"/>
      <c r="S411" s="442"/>
      <c r="T411" s="442"/>
      <c r="U411" s="442"/>
      <c r="V411" s="442"/>
      <c r="W411" s="442"/>
      <c r="X411" s="442"/>
      <c r="Y411" s="436">
        <f>IF(NFI_Expiration=1,IF($A411&lt;VLOOKUP(H$5,NFI,5,0),1,0)*Table_NFI[[#This Row],[Hygiene Kit]],Table_NFI[Hygiene Kit])</f>
        <v>0</v>
      </c>
      <c r="Z411" s="436">
        <f>IF(NFI_Expiration=1,IF($A411&lt;VLOOKUP(I$5,NFI,5,0),1,0)*Table_NFI[[#This Row],[NFI Core Kit]],Table_NFI[NFI Core Kit])</f>
        <v>0</v>
      </c>
      <c r="AA411" s="436">
        <f>IF(NFI_Expiration=1,IF($A411&lt;VLOOKUP(J$5,NFI,5,0),1,0)*Table_NFI[[#This Row],[Sanitary Kit]],Table_NFI[Sanitary Kit])</f>
        <v>0</v>
      </c>
      <c r="AB411" s="436">
        <f>IF(NFI_Expiration=1,IF($A411&lt;VLOOKUP(K$5,NFI,5,0),1,0)*Table_NFI[[#This Row],[Mosquito net]],Table_NFI[Mosquito net])</f>
        <v>0</v>
      </c>
      <c r="AC411" s="436">
        <f>IF(NFI_Expiration=1,IF($A411&lt;VLOOKUP(L$5,NFI,5,0),1,0)*Table_NFI[[#This Row],[Tarpaulin]],Table_NFI[[#This Row],[Tarpaulin]])</f>
        <v>0</v>
      </c>
      <c r="AD411" s="436">
        <f>IF(NFI_Expiration=1,IF($A411&lt;VLOOKUP(M$5,NFI,5,0),1,0)*Table_NFI[[#This Row],[Blanket]],Table_NFI[[#This Row],[Blanket]])</f>
        <v>0</v>
      </c>
      <c r="AE411" s="436">
        <f>IF(NFI_Expiration=1,IF($A411&lt;VLOOKUP(N$5,NFI,5,0),1,0)*Table_NFI[[#This Row],[Kitchen Set]],Table_NFI[Kitchen Set])</f>
        <v>0</v>
      </c>
      <c r="AF411" s="436">
        <f>IF(NFI_Expiration=1,IF($A411&lt;VLOOKUP(O$5,NFI,5,0),1,0)*Table_NFI[[#This Row],[Clothes Kit]],Table_NFI[Clothes Kit])</f>
        <v>0</v>
      </c>
      <c r="AG411" s="436">
        <f>IF(NFI_Expiration=1,IF($A411&lt;VLOOKUP(P$5,NFI,5,0),1,0)*Table_NFI[[#This Row],[Plastic Bucket]],Table_NFI[Plastic Bucket])</f>
        <v>0</v>
      </c>
      <c r="AH411" s="436">
        <f>IF(NFI_Expiration=1,IF($A411&lt;VLOOKUP(Q$5,NFI,5,0),1,0)*Table_NFI[[#This Row],[Plastic Mat]],Table_NFI[Plastic Mat])*IF(Table_NFI[[#This Row],[Distribution Date]]&gt;"2014-04-01",1,2.5)</f>
        <v>0</v>
      </c>
      <c r="AI411" s="436">
        <f>IF(NFI_Expiration=1,IF($A411&lt;VLOOKUP(R$5,NFI,5,0),1,0)*Table_NFI[[#This Row],[Winter Clothes Adult]],Table_NFI[Winter Clothes Adult])</f>
        <v>0</v>
      </c>
      <c r="AJ411" s="436">
        <f>IF(NFI_Expiration=1,IF($A411&lt;VLOOKUP(S$5,NFI,5,0),1,0)*Table_NFI[[#This Row],[Winter Clothes Children]],Table_NFI[Winter Clothes Children])</f>
        <v>0</v>
      </c>
      <c r="AK411" s="436">
        <f>IF(NFI_Expiration=1,IF($A411&lt;VLOOKUP(T$5,NFI,5,0),1,0)*Table_NFI[[#This Row],[Winter Items Other]],Table_NFI[Winter Items Other])</f>
        <v>0</v>
      </c>
      <c r="AL411" s="436">
        <f>IF(NFI_Expiration=1,IF($A411&lt;VLOOKUP(M$5,NFI,5,0),1,0)*Table_NFI[[#This Row],[Winter Blanket]],Table_NFI[[#This Row],[Winter Blanket]])</f>
        <v>0</v>
      </c>
      <c r="AM411" s="436">
        <f>IF(Table_NFI[[#This Row],[Winter Clothes Adult]]+Table_NFI[[#This Row],[Winter Clothes Children]]+Table_NFI[[#This Row],[Winter Items Other]]+Table_NFI[[#This Row],[Winter Blanket]]&gt;0,1,0)</f>
        <v>0</v>
      </c>
      <c r="AN411" s="439">
        <f>IF(NFI_Expiration=1,IF($A411&lt;VLOOKUP(V$5,NFI,5,0),1,0)*Table_NFI[[#This Row],[Jerry Can]],Table_NFI[Jerry Can])</f>
        <v>0</v>
      </c>
      <c r="AO411" s="771" t="str">
        <f>IFERROR(VLOOKUP(Table_NFI[[#This Row],[Camp Name]],CL,2,0),"")</f>
        <v>MMR001CMP160</v>
      </c>
      <c r="AP411" s="772">
        <f ca="1">IF(Table_NFI[[#This Row],[Pcode]]="","",IF(OFFSET(CampList[Opening Date],MATCH(Table_NFI[[#This Row],[Pcode]],CampList[CP_Pcode],0)-1,0,1,1)&gt;=NFI_Monitor_Date,1,0))</f>
        <v>0</v>
      </c>
      <c r="AQ411" s="771" t="str">
        <f>IFERROR(VLOOKUP(Table_NFI[[#This Row],[Camp Name]],CL,3,0),"")</f>
        <v>Open</v>
      </c>
      <c r="AR411" s="436" t="str">
        <f ca="1">IF(Table_NFI[[#This Row],[Pcode]]="","",OFFSET(CampList[Priority],MATCH(Table_NFI[[#This Row],[Pcode]],CampList[CP_Pcode],0)-1,0,1,1))</f>
        <v>P1</v>
      </c>
      <c r="AS411" s="438">
        <f>IFERROR(Table_NFI[[#This Row],[Kitchen Set]]/VLOOKUP(Table_NFI[[#This Row],[Camp Name]],CL,4,0),"")</f>
        <v>0</v>
      </c>
      <c r="AT411" s="769" t="s">
        <v>1099</v>
      </c>
      <c r="AU411" s="773"/>
    </row>
    <row r="412" spans="1:47" s="774" customFormat="1" x14ac:dyDescent="0.25">
      <c r="A412" s="451">
        <f t="shared" si="6"/>
        <v>25.4</v>
      </c>
      <c r="B412" s="768">
        <v>41608</v>
      </c>
      <c r="C412" s="769" t="s">
        <v>912</v>
      </c>
      <c r="D412" s="442" t="s">
        <v>462</v>
      </c>
      <c r="E412" s="769" t="s">
        <v>380</v>
      </c>
      <c r="F412" s="435" t="s">
        <v>310</v>
      </c>
      <c r="G412" s="435" t="s">
        <v>342</v>
      </c>
      <c r="H412" s="442"/>
      <c r="I412" s="442"/>
      <c r="J412" s="442"/>
      <c r="K412" s="775"/>
      <c r="L412" s="776"/>
      <c r="M412" s="443"/>
      <c r="N412" s="443"/>
      <c r="O412" s="443"/>
      <c r="P412" s="776"/>
      <c r="Q412" s="443"/>
      <c r="R412" s="442"/>
      <c r="S412" s="442"/>
      <c r="T412" s="442"/>
      <c r="U412" s="442"/>
      <c r="V412" s="442"/>
      <c r="W412" s="442"/>
      <c r="X412" s="442"/>
      <c r="Y412" s="436">
        <f>IF(NFI_Expiration=1,IF($A412&lt;VLOOKUP(H$5,NFI,5,0),1,0)*Table_NFI[[#This Row],[Hygiene Kit]],Table_NFI[Hygiene Kit])</f>
        <v>0</v>
      </c>
      <c r="Z412" s="436">
        <f>IF(NFI_Expiration=1,IF($A412&lt;VLOOKUP(I$5,NFI,5,0),1,0)*Table_NFI[[#This Row],[NFI Core Kit]],Table_NFI[NFI Core Kit])</f>
        <v>0</v>
      </c>
      <c r="AA412" s="436">
        <f>IF(NFI_Expiration=1,IF($A412&lt;VLOOKUP(J$5,NFI,5,0),1,0)*Table_NFI[[#This Row],[Sanitary Kit]],Table_NFI[Sanitary Kit])</f>
        <v>0</v>
      </c>
      <c r="AB412" s="436">
        <f>IF(NFI_Expiration=1,IF($A412&lt;VLOOKUP(K$5,NFI,5,0),1,0)*Table_NFI[[#This Row],[Mosquito net]],Table_NFI[Mosquito net])</f>
        <v>0</v>
      </c>
      <c r="AC412" s="436">
        <f>IF(NFI_Expiration=1,IF($A412&lt;VLOOKUP(L$5,NFI,5,0),1,0)*Table_NFI[[#This Row],[Tarpaulin]],Table_NFI[[#This Row],[Tarpaulin]])</f>
        <v>0</v>
      </c>
      <c r="AD412" s="436">
        <f>IF(NFI_Expiration=1,IF($A412&lt;VLOOKUP(M$5,NFI,5,0),1,0)*Table_NFI[[#This Row],[Blanket]],Table_NFI[[#This Row],[Blanket]])</f>
        <v>0</v>
      </c>
      <c r="AE412" s="436">
        <f>IF(NFI_Expiration=1,IF($A412&lt;VLOOKUP(N$5,NFI,5,0),1,0)*Table_NFI[[#This Row],[Kitchen Set]],Table_NFI[Kitchen Set])</f>
        <v>0</v>
      </c>
      <c r="AF412" s="436">
        <f>IF(NFI_Expiration=1,IF($A412&lt;VLOOKUP(O$5,NFI,5,0),1,0)*Table_NFI[[#This Row],[Clothes Kit]],Table_NFI[Clothes Kit])</f>
        <v>0</v>
      </c>
      <c r="AG412" s="436">
        <f>IF(NFI_Expiration=1,IF($A412&lt;VLOOKUP(P$5,NFI,5,0),1,0)*Table_NFI[[#This Row],[Plastic Bucket]],Table_NFI[Plastic Bucket])</f>
        <v>0</v>
      </c>
      <c r="AH412" s="436">
        <f>IF(NFI_Expiration=1,IF($A412&lt;VLOOKUP(Q$5,NFI,5,0),1,0)*Table_NFI[[#This Row],[Plastic Mat]],Table_NFI[Plastic Mat])*IF(Table_NFI[[#This Row],[Distribution Date]]&gt;"2014-04-01",1,2.5)</f>
        <v>0</v>
      </c>
      <c r="AI412" s="436">
        <f>IF(NFI_Expiration=1,IF($A412&lt;VLOOKUP(R$5,NFI,5,0),1,0)*Table_NFI[[#This Row],[Winter Clothes Adult]],Table_NFI[Winter Clothes Adult])</f>
        <v>0</v>
      </c>
      <c r="AJ412" s="436">
        <f>IF(NFI_Expiration=1,IF($A412&lt;VLOOKUP(S$5,NFI,5,0),1,0)*Table_NFI[[#This Row],[Winter Clothes Children]],Table_NFI[Winter Clothes Children])</f>
        <v>0</v>
      </c>
      <c r="AK412" s="436">
        <f>IF(NFI_Expiration=1,IF($A412&lt;VLOOKUP(T$5,NFI,5,0),1,0)*Table_NFI[[#This Row],[Winter Items Other]],Table_NFI[Winter Items Other])</f>
        <v>0</v>
      </c>
      <c r="AL412" s="436">
        <f>IF(NFI_Expiration=1,IF($A412&lt;VLOOKUP(M$5,NFI,5,0),1,0)*Table_NFI[[#This Row],[Winter Blanket]],Table_NFI[[#This Row],[Winter Blanket]])</f>
        <v>0</v>
      </c>
      <c r="AM412" s="436">
        <f>IF(Table_NFI[[#This Row],[Winter Clothes Adult]]+Table_NFI[[#This Row],[Winter Clothes Children]]+Table_NFI[[#This Row],[Winter Items Other]]+Table_NFI[[#This Row],[Winter Blanket]]&gt;0,1,0)</f>
        <v>0</v>
      </c>
      <c r="AN412" s="439">
        <f>IF(NFI_Expiration=1,IF($A412&lt;VLOOKUP(V$5,NFI,5,0),1,0)*Table_NFI[[#This Row],[Jerry Can]],Table_NFI[Jerry Can])</f>
        <v>0</v>
      </c>
      <c r="AO412" s="771" t="str">
        <f>IFERROR(VLOOKUP(Table_NFI[[#This Row],[Camp Name]],CL,2,0),"")</f>
        <v>MMR001CMP025</v>
      </c>
      <c r="AP412" s="772">
        <f ca="1">IF(Table_NFI[[#This Row],[Pcode]]="","",IF(OFFSET(CampList[Opening Date],MATCH(Table_NFI[[#This Row],[Pcode]],CampList[CP_Pcode],0)-1,0,1,1)&gt;=NFI_Monitor_Date,1,0))</f>
        <v>0</v>
      </c>
      <c r="AQ412" s="771" t="str">
        <f>IFERROR(VLOOKUP(Table_NFI[[#This Row],[Camp Name]],CL,3,0),"")</f>
        <v>Open</v>
      </c>
      <c r="AR412" s="436" t="str">
        <f ca="1">IF(Table_NFI[[#This Row],[Pcode]]="","",OFFSET(CampList[Priority],MATCH(Table_NFI[[#This Row],[Pcode]],CampList[CP_Pcode],0)-1,0,1,1))</f>
        <v>P4</v>
      </c>
      <c r="AS412" s="438">
        <f>IFERROR(Table_NFI[[#This Row],[Kitchen Set]]/VLOOKUP(Table_NFI[[#This Row],[Camp Name]],CL,4,0),"")</f>
        <v>0</v>
      </c>
      <c r="AT412" s="769" t="s">
        <v>1099</v>
      </c>
      <c r="AU412" s="773"/>
    </row>
    <row r="413" spans="1:47" s="774" customFormat="1" x14ac:dyDescent="0.25">
      <c r="A413" s="451">
        <f t="shared" si="6"/>
        <v>25.4</v>
      </c>
      <c r="B413" s="768">
        <v>41608</v>
      </c>
      <c r="C413" s="769" t="s">
        <v>912</v>
      </c>
      <c r="D413" s="442" t="s">
        <v>462</v>
      </c>
      <c r="E413" s="769" t="s">
        <v>380</v>
      </c>
      <c r="F413" s="435" t="s">
        <v>310</v>
      </c>
      <c r="G413" s="435" t="s">
        <v>338</v>
      </c>
      <c r="H413" s="442"/>
      <c r="I413" s="442"/>
      <c r="J413" s="442"/>
      <c r="K413" s="775"/>
      <c r="L413" s="776"/>
      <c r="M413" s="443"/>
      <c r="N413" s="443"/>
      <c r="O413" s="443"/>
      <c r="P413" s="776"/>
      <c r="Q413" s="443"/>
      <c r="R413" s="442"/>
      <c r="S413" s="442"/>
      <c r="T413" s="442"/>
      <c r="U413" s="442"/>
      <c r="V413" s="442"/>
      <c r="W413" s="442"/>
      <c r="X413" s="442"/>
      <c r="Y413" s="436">
        <f>IF(NFI_Expiration=1,IF($A413&lt;VLOOKUP(H$5,NFI,5,0),1,0)*Table_NFI[[#This Row],[Hygiene Kit]],Table_NFI[Hygiene Kit])</f>
        <v>0</v>
      </c>
      <c r="Z413" s="436">
        <f>IF(NFI_Expiration=1,IF($A413&lt;VLOOKUP(I$5,NFI,5,0),1,0)*Table_NFI[[#This Row],[NFI Core Kit]],Table_NFI[NFI Core Kit])</f>
        <v>0</v>
      </c>
      <c r="AA413" s="436">
        <f>IF(NFI_Expiration=1,IF($A413&lt;VLOOKUP(J$5,NFI,5,0),1,0)*Table_NFI[[#This Row],[Sanitary Kit]],Table_NFI[Sanitary Kit])</f>
        <v>0</v>
      </c>
      <c r="AB413" s="436">
        <f>IF(NFI_Expiration=1,IF($A413&lt;VLOOKUP(K$5,NFI,5,0),1,0)*Table_NFI[[#This Row],[Mosquito net]],Table_NFI[Mosquito net])</f>
        <v>0</v>
      </c>
      <c r="AC413" s="436">
        <f>IF(NFI_Expiration=1,IF($A413&lt;VLOOKUP(L$5,NFI,5,0),1,0)*Table_NFI[[#This Row],[Tarpaulin]],Table_NFI[[#This Row],[Tarpaulin]])</f>
        <v>0</v>
      </c>
      <c r="AD413" s="436">
        <f>IF(NFI_Expiration=1,IF($A413&lt;VLOOKUP(M$5,NFI,5,0),1,0)*Table_NFI[[#This Row],[Blanket]],Table_NFI[[#This Row],[Blanket]])</f>
        <v>0</v>
      </c>
      <c r="AE413" s="436">
        <f>IF(NFI_Expiration=1,IF($A413&lt;VLOOKUP(N$5,NFI,5,0),1,0)*Table_NFI[[#This Row],[Kitchen Set]],Table_NFI[Kitchen Set])</f>
        <v>0</v>
      </c>
      <c r="AF413" s="436">
        <f>IF(NFI_Expiration=1,IF($A413&lt;VLOOKUP(O$5,NFI,5,0),1,0)*Table_NFI[[#This Row],[Clothes Kit]],Table_NFI[Clothes Kit])</f>
        <v>0</v>
      </c>
      <c r="AG413" s="436">
        <f>IF(NFI_Expiration=1,IF($A413&lt;VLOOKUP(P$5,NFI,5,0),1,0)*Table_NFI[[#This Row],[Plastic Bucket]],Table_NFI[Plastic Bucket])</f>
        <v>0</v>
      </c>
      <c r="AH413" s="436">
        <f>IF(NFI_Expiration=1,IF($A413&lt;VLOOKUP(Q$5,NFI,5,0),1,0)*Table_NFI[[#This Row],[Plastic Mat]],Table_NFI[Plastic Mat])*IF(Table_NFI[[#This Row],[Distribution Date]]&gt;"2014-04-01",1,2.5)</f>
        <v>0</v>
      </c>
      <c r="AI413" s="436">
        <f>IF(NFI_Expiration=1,IF($A413&lt;VLOOKUP(R$5,NFI,5,0),1,0)*Table_NFI[[#This Row],[Winter Clothes Adult]],Table_NFI[Winter Clothes Adult])</f>
        <v>0</v>
      </c>
      <c r="AJ413" s="436">
        <f>IF(NFI_Expiration=1,IF($A413&lt;VLOOKUP(S$5,NFI,5,0),1,0)*Table_NFI[[#This Row],[Winter Clothes Children]],Table_NFI[Winter Clothes Children])</f>
        <v>0</v>
      </c>
      <c r="AK413" s="436">
        <f>IF(NFI_Expiration=1,IF($A413&lt;VLOOKUP(T$5,NFI,5,0),1,0)*Table_NFI[[#This Row],[Winter Items Other]],Table_NFI[Winter Items Other])</f>
        <v>0</v>
      </c>
      <c r="AL413" s="436">
        <f>IF(NFI_Expiration=1,IF($A413&lt;VLOOKUP(M$5,NFI,5,0),1,0)*Table_NFI[[#This Row],[Winter Blanket]],Table_NFI[[#This Row],[Winter Blanket]])</f>
        <v>0</v>
      </c>
      <c r="AM413" s="436">
        <f>IF(Table_NFI[[#This Row],[Winter Clothes Adult]]+Table_NFI[[#This Row],[Winter Clothes Children]]+Table_NFI[[#This Row],[Winter Items Other]]+Table_NFI[[#This Row],[Winter Blanket]]&gt;0,1,0)</f>
        <v>0</v>
      </c>
      <c r="AN413" s="439">
        <f>IF(NFI_Expiration=1,IF($A413&lt;VLOOKUP(V$5,NFI,5,0),1,0)*Table_NFI[[#This Row],[Jerry Can]],Table_NFI[Jerry Can])</f>
        <v>0</v>
      </c>
      <c r="AO413" s="771" t="str">
        <f>IFERROR(VLOOKUP(Table_NFI[[#This Row],[Camp Name]],CL,2,0),"")</f>
        <v>MMR001CMP030</v>
      </c>
      <c r="AP413" s="772">
        <f ca="1">IF(Table_NFI[[#This Row],[Pcode]]="","",IF(OFFSET(CampList[Opening Date],MATCH(Table_NFI[[#This Row],[Pcode]],CampList[CP_Pcode],0)-1,0,1,1)&gt;=NFI_Monitor_Date,1,0))</f>
        <v>0</v>
      </c>
      <c r="AQ413" s="771" t="str">
        <f>IFERROR(VLOOKUP(Table_NFI[[#This Row],[Camp Name]],CL,3,0),"")</f>
        <v>Open</v>
      </c>
      <c r="AR413" s="436" t="str">
        <f ca="1">IF(Table_NFI[[#This Row],[Pcode]]="","",OFFSET(CampList[Priority],MATCH(Table_NFI[[#This Row],[Pcode]],CampList[CP_Pcode],0)-1,0,1,1))</f>
        <v>P4</v>
      </c>
      <c r="AS413" s="438">
        <f>IFERROR(Table_NFI[[#This Row],[Kitchen Set]]/VLOOKUP(Table_NFI[[#This Row],[Camp Name]],CL,4,0),"")</f>
        <v>0</v>
      </c>
      <c r="AT413" s="769" t="s">
        <v>1099</v>
      </c>
      <c r="AU413" s="773"/>
    </row>
    <row r="414" spans="1:47" s="774" customFormat="1" x14ac:dyDescent="0.25">
      <c r="A414" s="451">
        <f t="shared" si="6"/>
        <v>25.4</v>
      </c>
      <c r="B414" s="768">
        <v>41608</v>
      </c>
      <c r="C414" s="769" t="s">
        <v>912</v>
      </c>
      <c r="D414" s="769" t="s">
        <v>462</v>
      </c>
      <c r="E414" s="769" t="s">
        <v>380</v>
      </c>
      <c r="F414" s="435" t="s">
        <v>310</v>
      </c>
      <c r="G414" s="435" t="s">
        <v>351</v>
      </c>
      <c r="H414" s="436"/>
      <c r="I414" s="436"/>
      <c r="J414" s="436"/>
      <c r="K414" s="436"/>
      <c r="L414" s="437"/>
      <c r="M414" s="437"/>
      <c r="N414" s="437"/>
      <c r="O414" s="437"/>
      <c r="P414" s="439"/>
      <c r="Q414" s="439"/>
      <c r="R414" s="436"/>
      <c r="S414" s="436"/>
      <c r="T414" s="436"/>
      <c r="U414" s="436"/>
      <c r="V414" s="436"/>
      <c r="W414" s="436"/>
      <c r="X414" s="436"/>
      <c r="Y414" s="436">
        <f>IF(NFI_Expiration=1,IF($A414&lt;VLOOKUP(H$5,NFI,5,0),1,0)*Table_NFI[[#This Row],[Hygiene Kit]],Table_NFI[Hygiene Kit])</f>
        <v>0</v>
      </c>
      <c r="Z414" s="436">
        <f>IF(NFI_Expiration=1,IF($A414&lt;VLOOKUP(I$5,NFI,5,0),1,0)*Table_NFI[[#This Row],[NFI Core Kit]],Table_NFI[NFI Core Kit])</f>
        <v>0</v>
      </c>
      <c r="AA414" s="436">
        <f>IF(NFI_Expiration=1,IF($A414&lt;VLOOKUP(J$5,NFI,5,0),1,0)*Table_NFI[[#This Row],[Sanitary Kit]],Table_NFI[Sanitary Kit])</f>
        <v>0</v>
      </c>
      <c r="AB414" s="436">
        <f>IF(NFI_Expiration=1,IF($A414&lt;VLOOKUP(K$5,NFI,5,0),1,0)*Table_NFI[[#This Row],[Mosquito net]],Table_NFI[Mosquito net])</f>
        <v>0</v>
      </c>
      <c r="AC414" s="436">
        <f>IF(NFI_Expiration=1,IF($A414&lt;VLOOKUP(L$5,NFI,5,0),1,0)*Table_NFI[[#This Row],[Tarpaulin]],Table_NFI[[#This Row],[Tarpaulin]])</f>
        <v>0</v>
      </c>
      <c r="AD414" s="436">
        <f>IF(NFI_Expiration=1,IF($A414&lt;VLOOKUP(M$5,NFI,5,0),1,0)*Table_NFI[[#This Row],[Blanket]],Table_NFI[[#This Row],[Blanket]])</f>
        <v>0</v>
      </c>
      <c r="AE414" s="436">
        <f>IF(NFI_Expiration=1,IF($A414&lt;VLOOKUP(N$5,NFI,5,0),1,0)*Table_NFI[[#This Row],[Kitchen Set]],Table_NFI[Kitchen Set])</f>
        <v>0</v>
      </c>
      <c r="AF414" s="436">
        <f>IF(NFI_Expiration=1,IF($A414&lt;VLOOKUP(O$5,NFI,5,0),1,0)*Table_NFI[[#This Row],[Clothes Kit]],Table_NFI[Clothes Kit])</f>
        <v>0</v>
      </c>
      <c r="AG414" s="436">
        <f>IF(NFI_Expiration=1,IF($A414&lt;VLOOKUP(P$5,NFI,5,0),1,0)*Table_NFI[[#This Row],[Plastic Bucket]],Table_NFI[Plastic Bucket])</f>
        <v>0</v>
      </c>
      <c r="AH414" s="436">
        <f>IF(NFI_Expiration=1,IF($A414&lt;VLOOKUP(Q$5,NFI,5,0),1,0)*Table_NFI[[#This Row],[Plastic Mat]],Table_NFI[Plastic Mat])*IF(Table_NFI[[#This Row],[Distribution Date]]&gt;"2014-04-01",1,2.5)</f>
        <v>0</v>
      </c>
      <c r="AI414" s="436">
        <f>IF(NFI_Expiration=1,IF($A414&lt;VLOOKUP(R$5,NFI,5,0),1,0)*Table_NFI[[#This Row],[Winter Clothes Adult]],Table_NFI[Winter Clothes Adult])</f>
        <v>0</v>
      </c>
      <c r="AJ414" s="436">
        <f>IF(NFI_Expiration=1,IF($A414&lt;VLOOKUP(S$5,NFI,5,0),1,0)*Table_NFI[[#This Row],[Winter Clothes Children]],Table_NFI[Winter Clothes Children])</f>
        <v>0</v>
      </c>
      <c r="AK414" s="436">
        <f>IF(NFI_Expiration=1,IF($A414&lt;VLOOKUP(T$5,NFI,5,0),1,0)*Table_NFI[[#This Row],[Winter Items Other]],Table_NFI[Winter Items Other])</f>
        <v>0</v>
      </c>
      <c r="AL414" s="436">
        <f>IF(NFI_Expiration=1,IF($A414&lt;VLOOKUP(M$5,NFI,5,0),1,0)*Table_NFI[[#This Row],[Winter Blanket]],Table_NFI[[#This Row],[Winter Blanket]])</f>
        <v>0</v>
      </c>
      <c r="AM414" s="436">
        <f>IF(Table_NFI[[#This Row],[Winter Clothes Adult]]+Table_NFI[[#This Row],[Winter Clothes Children]]+Table_NFI[[#This Row],[Winter Items Other]]+Table_NFI[[#This Row],[Winter Blanket]]&gt;0,1,0)</f>
        <v>0</v>
      </c>
      <c r="AN414" s="439">
        <f>IF(NFI_Expiration=1,IF($A414&lt;VLOOKUP(V$5,NFI,5,0),1,0)*Table_NFI[[#This Row],[Jerry Can]],Table_NFI[Jerry Can])</f>
        <v>0</v>
      </c>
      <c r="AO414" s="771" t="str">
        <f>IFERROR(VLOOKUP(Table_NFI[[#This Row],[Camp Name]],CL,2,0),"")</f>
        <v>MMR001CMP026</v>
      </c>
      <c r="AP414" s="772">
        <f ca="1">IF(Table_NFI[[#This Row],[Pcode]]="","",IF(OFFSET(CampList[Opening Date],MATCH(Table_NFI[[#This Row],[Pcode]],CampList[CP_Pcode],0)-1,0,1,1)&gt;=NFI_Monitor_Date,1,0))</f>
        <v>0</v>
      </c>
      <c r="AQ414" s="771" t="str">
        <f>IFERROR(VLOOKUP(Table_NFI[[#This Row],[Camp Name]],CL,3,0),"")</f>
        <v>Open</v>
      </c>
      <c r="AR414" s="436" t="str">
        <f ca="1">IF(Table_NFI[[#This Row],[Pcode]]="","",OFFSET(CampList[Priority],MATCH(Table_NFI[[#This Row],[Pcode]],CampList[CP_Pcode],0)-1,0,1,1))</f>
        <v>P4</v>
      </c>
      <c r="AS414" s="438">
        <f>IFERROR(Table_NFI[[#This Row],[Kitchen Set]]/VLOOKUP(Table_NFI[[#This Row],[Camp Name]],CL,4,0),"")</f>
        <v>0</v>
      </c>
      <c r="AT414" s="769" t="s">
        <v>1099</v>
      </c>
      <c r="AU414" s="773"/>
    </row>
    <row r="415" spans="1:47" s="774" customFormat="1" x14ac:dyDescent="0.25">
      <c r="A415" s="451">
        <f t="shared" si="6"/>
        <v>25.4</v>
      </c>
      <c r="B415" s="768">
        <v>41608</v>
      </c>
      <c r="C415" s="769" t="s">
        <v>912</v>
      </c>
      <c r="D415" s="769"/>
      <c r="E415" s="769" t="s">
        <v>380</v>
      </c>
      <c r="F415" s="435" t="s">
        <v>5</v>
      </c>
      <c r="G415" s="435" t="s">
        <v>22</v>
      </c>
      <c r="H415" s="436"/>
      <c r="I415" s="436"/>
      <c r="J415" s="436"/>
      <c r="K415" s="436"/>
      <c r="L415" s="437"/>
      <c r="M415" s="437"/>
      <c r="N415" s="437"/>
      <c r="O415" s="437"/>
      <c r="P415" s="439"/>
      <c r="Q415" s="439">
        <v>1164</v>
      </c>
      <c r="R415" s="436"/>
      <c r="S415" s="436"/>
      <c r="T415" s="436"/>
      <c r="U415" s="436"/>
      <c r="V415" s="436"/>
      <c r="W415" s="436"/>
      <c r="X415" s="436"/>
      <c r="Y415" s="436">
        <f>IF(NFI_Expiration=1,IF($A415&lt;VLOOKUP(H$5,NFI,5,0),1,0)*Table_NFI[[#This Row],[Hygiene Kit]],Table_NFI[Hygiene Kit])</f>
        <v>0</v>
      </c>
      <c r="Z415" s="436">
        <f>IF(NFI_Expiration=1,IF($A415&lt;VLOOKUP(I$5,NFI,5,0),1,0)*Table_NFI[[#This Row],[NFI Core Kit]],Table_NFI[NFI Core Kit])</f>
        <v>0</v>
      </c>
      <c r="AA415" s="436">
        <f>IF(NFI_Expiration=1,IF($A415&lt;VLOOKUP(J$5,NFI,5,0),1,0)*Table_NFI[[#This Row],[Sanitary Kit]],Table_NFI[Sanitary Kit])</f>
        <v>0</v>
      </c>
      <c r="AB415" s="436">
        <f>IF(NFI_Expiration=1,IF($A415&lt;VLOOKUP(K$5,NFI,5,0),1,0)*Table_NFI[[#This Row],[Mosquito net]],Table_NFI[Mosquito net])</f>
        <v>0</v>
      </c>
      <c r="AC415" s="436">
        <f>IF(NFI_Expiration=1,IF($A415&lt;VLOOKUP(L$5,NFI,5,0),1,0)*Table_NFI[[#This Row],[Tarpaulin]],Table_NFI[[#This Row],[Tarpaulin]])</f>
        <v>0</v>
      </c>
      <c r="AD415" s="436">
        <f>IF(NFI_Expiration=1,IF($A415&lt;VLOOKUP(M$5,NFI,5,0),1,0)*Table_NFI[[#This Row],[Blanket]],Table_NFI[[#This Row],[Blanket]])</f>
        <v>0</v>
      </c>
      <c r="AE415" s="436">
        <f>IF(NFI_Expiration=1,IF($A415&lt;VLOOKUP(N$5,NFI,5,0),1,0)*Table_NFI[[#This Row],[Kitchen Set]],Table_NFI[Kitchen Set])</f>
        <v>0</v>
      </c>
      <c r="AF415" s="436">
        <f>IF(NFI_Expiration=1,IF($A415&lt;VLOOKUP(O$5,NFI,5,0),1,0)*Table_NFI[[#This Row],[Clothes Kit]],Table_NFI[Clothes Kit])</f>
        <v>0</v>
      </c>
      <c r="AG415" s="436">
        <f>IF(NFI_Expiration=1,IF($A415&lt;VLOOKUP(P$5,NFI,5,0),1,0)*Table_NFI[[#This Row],[Plastic Bucket]],Table_NFI[Plastic Bucket])</f>
        <v>0</v>
      </c>
      <c r="AH415" s="436">
        <f>IF(NFI_Expiration=1,IF($A415&lt;VLOOKUP(Q$5,NFI,5,0),1,0)*Table_NFI[[#This Row],[Plastic Mat]],Table_NFI[Plastic Mat])*IF(Table_NFI[[#This Row],[Distribution Date]]&gt;"2014-04-01",1,2.5)</f>
        <v>0</v>
      </c>
      <c r="AI415" s="436">
        <f>IF(NFI_Expiration=1,IF($A415&lt;VLOOKUP(R$5,NFI,5,0),1,0)*Table_NFI[[#This Row],[Winter Clothes Adult]],Table_NFI[Winter Clothes Adult])</f>
        <v>0</v>
      </c>
      <c r="AJ415" s="436">
        <f>IF(NFI_Expiration=1,IF($A415&lt;VLOOKUP(S$5,NFI,5,0),1,0)*Table_NFI[[#This Row],[Winter Clothes Children]],Table_NFI[Winter Clothes Children])</f>
        <v>0</v>
      </c>
      <c r="AK415" s="436">
        <f>IF(NFI_Expiration=1,IF($A415&lt;VLOOKUP(T$5,NFI,5,0),1,0)*Table_NFI[[#This Row],[Winter Items Other]],Table_NFI[Winter Items Other])</f>
        <v>0</v>
      </c>
      <c r="AL415" s="436">
        <f>IF(NFI_Expiration=1,IF($A415&lt;VLOOKUP(M$5,NFI,5,0),1,0)*Table_NFI[[#This Row],[Winter Blanket]],Table_NFI[[#This Row],[Winter Blanket]])</f>
        <v>0</v>
      </c>
      <c r="AM415" s="436">
        <f>IF(Table_NFI[[#This Row],[Winter Clothes Adult]]+Table_NFI[[#This Row],[Winter Clothes Children]]+Table_NFI[[#This Row],[Winter Items Other]]+Table_NFI[[#This Row],[Winter Blanket]]&gt;0,1,0)</f>
        <v>0</v>
      </c>
      <c r="AN415" s="439">
        <f>IF(NFI_Expiration=1,IF($A415&lt;VLOOKUP(V$5,NFI,5,0),1,0)*Table_NFI[[#This Row],[Jerry Can]],Table_NFI[Jerry Can])</f>
        <v>0</v>
      </c>
      <c r="AO415" s="771" t="str">
        <f>IFERROR(VLOOKUP(Table_NFI[[#This Row],[Camp Name]],CL,2,0),"")</f>
        <v>MMR001CMP047</v>
      </c>
      <c r="AP415" s="772">
        <f ca="1">IF(Table_NFI[[#This Row],[Pcode]]="","",IF(OFFSET(CampList[Opening Date],MATCH(Table_NFI[[#This Row],[Pcode]],CampList[CP_Pcode],0)-1,0,1,1)&gt;=NFI_Monitor_Date,1,0))</f>
        <v>0</v>
      </c>
      <c r="AQ415" s="771" t="str">
        <f>IFERROR(VLOOKUP(Table_NFI[[#This Row],[Camp Name]],CL,3,0),"")</f>
        <v>Open</v>
      </c>
      <c r="AR415" s="436" t="str">
        <f ca="1">IF(Table_NFI[[#This Row],[Pcode]]="","",OFFSET(CampList[Priority],MATCH(Table_NFI[[#This Row],[Pcode]],CampList[CP_Pcode],0)-1,0,1,1))</f>
        <v>P4</v>
      </c>
      <c r="AS415" s="438">
        <f>IFERROR(Table_NFI[[#This Row],[Kitchen Set]]/VLOOKUP(Table_NFI[[#This Row],[Camp Name]],CL,4,0),"")</f>
        <v>0</v>
      </c>
      <c r="AT415" s="769" t="s">
        <v>1099</v>
      </c>
      <c r="AU415" s="773"/>
    </row>
    <row r="416" spans="1:47" s="774" customFormat="1" x14ac:dyDescent="0.25">
      <c r="A416" s="451">
        <f t="shared" si="6"/>
        <v>25.4</v>
      </c>
      <c r="B416" s="768">
        <v>41608</v>
      </c>
      <c r="C416" s="769" t="s">
        <v>454</v>
      </c>
      <c r="D416" s="442" t="s">
        <v>454</v>
      </c>
      <c r="E416" s="775" t="s">
        <v>380</v>
      </c>
      <c r="F416" s="775" t="s">
        <v>5</v>
      </c>
      <c r="G416" s="435" t="s">
        <v>22</v>
      </c>
      <c r="H416" s="442"/>
      <c r="I416" s="442"/>
      <c r="J416" s="442"/>
      <c r="K416" s="775">
        <v>75</v>
      </c>
      <c r="L416" s="776">
        <v>36</v>
      </c>
      <c r="M416" s="443">
        <v>75</v>
      </c>
      <c r="N416" s="443">
        <v>36</v>
      </c>
      <c r="O416" s="443">
        <v>36</v>
      </c>
      <c r="P416" s="776"/>
      <c r="Q416" s="443"/>
      <c r="R416" s="442"/>
      <c r="S416" s="442"/>
      <c r="T416" s="442"/>
      <c r="U416" s="442"/>
      <c r="V416" s="442"/>
      <c r="W416" s="442"/>
      <c r="X416" s="442"/>
      <c r="Y416" s="436">
        <f>IF(NFI_Expiration=1,IF($A416&lt;VLOOKUP(H$5,NFI,5,0),1,0)*Table_NFI[[#This Row],[Hygiene Kit]],Table_NFI[Hygiene Kit])</f>
        <v>0</v>
      </c>
      <c r="Z416" s="436">
        <f>IF(NFI_Expiration=1,IF($A416&lt;VLOOKUP(I$5,NFI,5,0),1,0)*Table_NFI[[#This Row],[NFI Core Kit]],Table_NFI[NFI Core Kit])</f>
        <v>0</v>
      </c>
      <c r="AA416" s="436">
        <f>IF(NFI_Expiration=1,IF($A416&lt;VLOOKUP(J$5,NFI,5,0),1,0)*Table_NFI[[#This Row],[Sanitary Kit]],Table_NFI[Sanitary Kit])</f>
        <v>0</v>
      </c>
      <c r="AB416" s="436">
        <f>IF(NFI_Expiration=1,IF($A416&lt;VLOOKUP(K$5,NFI,5,0),1,0)*Table_NFI[[#This Row],[Mosquito net]],Table_NFI[Mosquito net])</f>
        <v>0</v>
      </c>
      <c r="AC416" s="436">
        <f>IF(NFI_Expiration=1,IF($A416&lt;VLOOKUP(L$5,NFI,5,0),1,0)*Table_NFI[[#This Row],[Tarpaulin]],Table_NFI[[#This Row],[Tarpaulin]])</f>
        <v>0</v>
      </c>
      <c r="AD416" s="436">
        <f>IF(NFI_Expiration=1,IF($A416&lt;VLOOKUP(M$5,NFI,5,0),1,0)*Table_NFI[[#This Row],[Blanket]],Table_NFI[[#This Row],[Blanket]])</f>
        <v>0</v>
      </c>
      <c r="AE416" s="436">
        <f>IF(NFI_Expiration=1,IF($A416&lt;VLOOKUP(N$5,NFI,5,0),1,0)*Table_NFI[[#This Row],[Kitchen Set]],Table_NFI[Kitchen Set])</f>
        <v>0</v>
      </c>
      <c r="AF416" s="436">
        <f>IF(NFI_Expiration=1,IF($A416&lt;VLOOKUP(O$5,NFI,5,0),1,0)*Table_NFI[[#This Row],[Clothes Kit]],Table_NFI[Clothes Kit])</f>
        <v>0</v>
      </c>
      <c r="AG416" s="436">
        <f>IF(NFI_Expiration=1,IF($A416&lt;VLOOKUP(P$5,NFI,5,0),1,0)*Table_NFI[[#This Row],[Plastic Bucket]],Table_NFI[Plastic Bucket])</f>
        <v>0</v>
      </c>
      <c r="AH416" s="436">
        <f>IF(NFI_Expiration=1,IF($A416&lt;VLOOKUP(Q$5,NFI,5,0),1,0)*Table_NFI[[#This Row],[Plastic Mat]],Table_NFI[Plastic Mat])*IF(Table_NFI[[#This Row],[Distribution Date]]&gt;"2014-04-01",1,2.5)</f>
        <v>0</v>
      </c>
      <c r="AI416" s="436">
        <f>IF(NFI_Expiration=1,IF($A416&lt;VLOOKUP(R$5,NFI,5,0),1,0)*Table_NFI[[#This Row],[Winter Clothes Adult]],Table_NFI[Winter Clothes Adult])</f>
        <v>0</v>
      </c>
      <c r="AJ416" s="436">
        <f>IF(NFI_Expiration=1,IF($A416&lt;VLOOKUP(S$5,NFI,5,0),1,0)*Table_NFI[[#This Row],[Winter Clothes Children]],Table_NFI[Winter Clothes Children])</f>
        <v>0</v>
      </c>
      <c r="AK416" s="436">
        <f>IF(NFI_Expiration=1,IF($A416&lt;VLOOKUP(T$5,NFI,5,0),1,0)*Table_NFI[[#This Row],[Winter Items Other]],Table_NFI[Winter Items Other])</f>
        <v>0</v>
      </c>
      <c r="AL416" s="436">
        <f>IF(NFI_Expiration=1,IF($A416&lt;VLOOKUP(M$5,NFI,5,0),1,0)*Table_NFI[[#This Row],[Winter Blanket]],Table_NFI[[#This Row],[Winter Blanket]])</f>
        <v>0</v>
      </c>
      <c r="AM416" s="436">
        <f>IF(Table_NFI[[#This Row],[Winter Clothes Adult]]+Table_NFI[[#This Row],[Winter Clothes Children]]+Table_NFI[[#This Row],[Winter Items Other]]+Table_NFI[[#This Row],[Winter Blanket]]&gt;0,1,0)</f>
        <v>0</v>
      </c>
      <c r="AN416" s="439">
        <f>IF(NFI_Expiration=1,IF($A416&lt;VLOOKUP(V$5,NFI,5,0),1,0)*Table_NFI[[#This Row],[Jerry Can]],Table_NFI[Jerry Can])</f>
        <v>0</v>
      </c>
      <c r="AO416" s="771" t="str">
        <f>IFERROR(VLOOKUP(Table_NFI[[#This Row],[Camp Name]],CL,2,0),"")</f>
        <v>MMR001CMP047</v>
      </c>
      <c r="AP416" s="772">
        <f ca="1">IF(Table_NFI[[#This Row],[Pcode]]="","",IF(OFFSET(CampList[Opening Date],MATCH(Table_NFI[[#This Row],[Pcode]],CampList[CP_Pcode],0)-1,0,1,1)&gt;=NFI_Monitor_Date,1,0))</f>
        <v>0</v>
      </c>
      <c r="AQ416" s="781" t="str">
        <f>IFERROR(VLOOKUP(Table_NFI[[#This Row],[Camp Name]],CL,3,0),"")</f>
        <v>Open</v>
      </c>
      <c r="AR416" s="439" t="str">
        <f ca="1">IF(Table_NFI[[#This Row],[Pcode]]="","",OFFSET(CampList[Priority],MATCH(Table_NFI[[#This Row],[Pcode]],CampList[CP_Pcode],0)-1,0,1,1))</f>
        <v>P4</v>
      </c>
      <c r="AS416" s="438">
        <f>IFERROR(Table_NFI[[#This Row],[Kitchen Set]]/VLOOKUP(Table_NFI[[#This Row],[Camp Name]],CL,4,0),"")</f>
        <v>5.5214723926380369E-2</v>
      </c>
      <c r="AT416" s="769" t="s">
        <v>1099</v>
      </c>
      <c r="AU416" s="773"/>
    </row>
    <row r="417" spans="1:47" s="774" customFormat="1" x14ac:dyDescent="0.25">
      <c r="A417" s="451">
        <f t="shared" si="6"/>
        <v>25.4</v>
      </c>
      <c r="B417" s="768">
        <v>41608</v>
      </c>
      <c r="C417" s="769" t="s">
        <v>912</v>
      </c>
      <c r="D417" s="769"/>
      <c r="E417" s="769" t="s">
        <v>380</v>
      </c>
      <c r="F417" s="435" t="s">
        <v>185</v>
      </c>
      <c r="G417" s="435" t="s">
        <v>225</v>
      </c>
      <c r="H417" s="436"/>
      <c r="I417" s="436"/>
      <c r="J417" s="436"/>
      <c r="K417" s="436"/>
      <c r="L417" s="437"/>
      <c r="M417" s="437"/>
      <c r="N417" s="437"/>
      <c r="O417" s="437"/>
      <c r="P417" s="439"/>
      <c r="Q417" s="439">
        <v>99</v>
      </c>
      <c r="R417" s="436"/>
      <c r="S417" s="436"/>
      <c r="T417" s="436"/>
      <c r="U417" s="436"/>
      <c r="V417" s="436"/>
      <c r="W417" s="436"/>
      <c r="X417" s="436"/>
      <c r="Y417" s="436">
        <f>IF(NFI_Expiration=1,IF($A417&lt;VLOOKUP(H$5,NFI,5,0),1,0)*Table_NFI[[#This Row],[Hygiene Kit]],Table_NFI[Hygiene Kit])</f>
        <v>0</v>
      </c>
      <c r="Z417" s="436">
        <f>IF(NFI_Expiration=1,IF($A417&lt;VLOOKUP(I$5,NFI,5,0),1,0)*Table_NFI[[#This Row],[NFI Core Kit]],Table_NFI[NFI Core Kit])</f>
        <v>0</v>
      </c>
      <c r="AA417" s="436">
        <f>IF(NFI_Expiration=1,IF($A417&lt;VLOOKUP(J$5,NFI,5,0),1,0)*Table_NFI[[#This Row],[Sanitary Kit]],Table_NFI[Sanitary Kit])</f>
        <v>0</v>
      </c>
      <c r="AB417" s="436">
        <f>IF(NFI_Expiration=1,IF($A417&lt;VLOOKUP(K$5,NFI,5,0),1,0)*Table_NFI[[#This Row],[Mosquito net]],Table_NFI[Mosquito net])</f>
        <v>0</v>
      </c>
      <c r="AC417" s="436">
        <f>IF(NFI_Expiration=1,IF($A417&lt;VLOOKUP(L$5,NFI,5,0),1,0)*Table_NFI[[#This Row],[Tarpaulin]],Table_NFI[[#This Row],[Tarpaulin]])</f>
        <v>0</v>
      </c>
      <c r="AD417" s="436">
        <f>IF(NFI_Expiration=1,IF($A417&lt;VLOOKUP(M$5,NFI,5,0),1,0)*Table_NFI[[#This Row],[Blanket]],Table_NFI[[#This Row],[Blanket]])</f>
        <v>0</v>
      </c>
      <c r="AE417" s="436">
        <f>IF(NFI_Expiration=1,IF($A417&lt;VLOOKUP(N$5,NFI,5,0),1,0)*Table_NFI[[#This Row],[Kitchen Set]],Table_NFI[Kitchen Set])</f>
        <v>0</v>
      </c>
      <c r="AF417" s="436">
        <f>IF(NFI_Expiration=1,IF($A417&lt;VLOOKUP(O$5,NFI,5,0),1,0)*Table_NFI[[#This Row],[Clothes Kit]],Table_NFI[Clothes Kit])</f>
        <v>0</v>
      </c>
      <c r="AG417" s="436">
        <f>IF(NFI_Expiration=1,IF($A417&lt;VLOOKUP(P$5,NFI,5,0),1,0)*Table_NFI[[#This Row],[Plastic Bucket]],Table_NFI[Plastic Bucket])</f>
        <v>0</v>
      </c>
      <c r="AH417" s="436">
        <f>IF(NFI_Expiration=1,IF($A417&lt;VLOOKUP(Q$5,NFI,5,0),1,0)*Table_NFI[[#This Row],[Plastic Mat]],Table_NFI[Plastic Mat])*IF(Table_NFI[[#This Row],[Distribution Date]]&gt;"2014-04-01",1,2.5)</f>
        <v>0</v>
      </c>
      <c r="AI417" s="436">
        <f>IF(NFI_Expiration=1,IF($A417&lt;VLOOKUP(R$5,NFI,5,0),1,0)*Table_NFI[[#This Row],[Winter Clothes Adult]],Table_NFI[Winter Clothes Adult])</f>
        <v>0</v>
      </c>
      <c r="AJ417" s="436">
        <f>IF(NFI_Expiration=1,IF($A417&lt;VLOOKUP(S$5,NFI,5,0),1,0)*Table_NFI[[#This Row],[Winter Clothes Children]],Table_NFI[Winter Clothes Children])</f>
        <v>0</v>
      </c>
      <c r="AK417" s="436">
        <f>IF(NFI_Expiration=1,IF($A417&lt;VLOOKUP(T$5,NFI,5,0),1,0)*Table_NFI[[#This Row],[Winter Items Other]],Table_NFI[Winter Items Other])</f>
        <v>0</v>
      </c>
      <c r="AL417" s="436">
        <f>IF(NFI_Expiration=1,IF($A417&lt;VLOOKUP(M$5,NFI,5,0),1,0)*Table_NFI[[#This Row],[Winter Blanket]],Table_NFI[[#This Row],[Winter Blanket]])</f>
        <v>0</v>
      </c>
      <c r="AM417" s="436">
        <f>IF(Table_NFI[[#This Row],[Winter Clothes Adult]]+Table_NFI[[#This Row],[Winter Clothes Children]]+Table_NFI[[#This Row],[Winter Items Other]]+Table_NFI[[#This Row],[Winter Blanket]]&gt;0,1,0)</f>
        <v>0</v>
      </c>
      <c r="AN417" s="439">
        <f>IF(NFI_Expiration=1,IF($A417&lt;VLOOKUP(V$5,NFI,5,0),1,0)*Table_NFI[[#This Row],[Jerry Can]],Table_NFI[Jerry Can])</f>
        <v>0</v>
      </c>
      <c r="AO417" s="771" t="str">
        <f>IFERROR(VLOOKUP(Table_NFI[[#This Row],[Camp Name]],CL,2,0),"")</f>
        <v>MMR001CMP073</v>
      </c>
      <c r="AP417" s="772">
        <f ca="1">IF(Table_NFI[[#This Row],[Pcode]]="","",IF(OFFSET(CampList[Opening Date],MATCH(Table_NFI[[#This Row],[Pcode]],CampList[CP_Pcode],0)-1,0,1,1)&gt;=NFI_Monitor_Date,1,0))</f>
        <v>0</v>
      </c>
      <c r="AQ417" s="771" t="str">
        <f>IFERROR(VLOOKUP(Table_NFI[[#This Row],[Camp Name]],CL,3,0),"")</f>
        <v>Open</v>
      </c>
      <c r="AR417" s="436" t="str">
        <f ca="1">IF(Table_NFI[[#This Row],[Pcode]]="","",OFFSET(CampList[Priority],MATCH(Table_NFI[[#This Row],[Pcode]],CampList[CP_Pcode],0)-1,0,1,1))</f>
        <v>P3</v>
      </c>
      <c r="AS417" s="438">
        <f>IFERROR(Table_NFI[[#This Row],[Kitchen Set]]/VLOOKUP(Table_NFI[[#This Row],[Camp Name]],CL,4,0),"")</f>
        <v>0</v>
      </c>
      <c r="AT417" s="769" t="s">
        <v>1099</v>
      </c>
      <c r="AU417" s="773"/>
    </row>
    <row r="418" spans="1:47" s="774" customFormat="1" x14ac:dyDescent="0.25">
      <c r="A418" s="451">
        <f t="shared" si="6"/>
        <v>25.4</v>
      </c>
      <c r="B418" s="768">
        <v>41608</v>
      </c>
      <c r="C418" s="769" t="s">
        <v>912</v>
      </c>
      <c r="D418" s="769" t="s">
        <v>462</v>
      </c>
      <c r="E418" s="769" t="s">
        <v>380</v>
      </c>
      <c r="F418" s="435" t="s">
        <v>310</v>
      </c>
      <c r="G418" s="435" t="s">
        <v>347</v>
      </c>
      <c r="H418" s="436"/>
      <c r="I418" s="436"/>
      <c r="J418" s="436"/>
      <c r="K418" s="436"/>
      <c r="L418" s="437"/>
      <c r="M418" s="437"/>
      <c r="N418" s="437"/>
      <c r="O418" s="437"/>
      <c r="P418" s="439"/>
      <c r="Q418" s="439"/>
      <c r="R418" s="436"/>
      <c r="S418" s="436"/>
      <c r="T418" s="436"/>
      <c r="U418" s="436"/>
      <c r="V418" s="436"/>
      <c r="W418" s="436"/>
      <c r="X418" s="436"/>
      <c r="Y418" s="436">
        <f>IF(NFI_Expiration=1,IF($A418&lt;VLOOKUP(H$5,NFI,5,0),1,0)*Table_NFI[[#This Row],[Hygiene Kit]],Table_NFI[Hygiene Kit])</f>
        <v>0</v>
      </c>
      <c r="Z418" s="436">
        <f>IF(NFI_Expiration=1,IF($A418&lt;VLOOKUP(I$5,NFI,5,0),1,0)*Table_NFI[[#This Row],[NFI Core Kit]],Table_NFI[NFI Core Kit])</f>
        <v>0</v>
      </c>
      <c r="AA418" s="436">
        <f>IF(NFI_Expiration=1,IF($A418&lt;VLOOKUP(J$5,NFI,5,0),1,0)*Table_NFI[[#This Row],[Sanitary Kit]],Table_NFI[Sanitary Kit])</f>
        <v>0</v>
      </c>
      <c r="AB418" s="436">
        <f>IF(NFI_Expiration=1,IF($A418&lt;VLOOKUP(K$5,NFI,5,0),1,0)*Table_NFI[[#This Row],[Mosquito net]],Table_NFI[Mosquito net])</f>
        <v>0</v>
      </c>
      <c r="AC418" s="436">
        <f>IF(NFI_Expiration=1,IF($A418&lt;VLOOKUP(L$5,NFI,5,0),1,0)*Table_NFI[[#This Row],[Tarpaulin]],Table_NFI[[#This Row],[Tarpaulin]])</f>
        <v>0</v>
      </c>
      <c r="AD418" s="436">
        <f>IF(NFI_Expiration=1,IF($A418&lt;VLOOKUP(M$5,NFI,5,0),1,0)*Table_NFI[[#This Row],[Blanket]],Table_NFI[[#This Row],[Blanket]])</f>
        <v>0</v>
      </c>
      <c r="AE418" s="436">
        <f>IF(NFI_Expiration=1,IF($A418&lt;VLOOKUP(N$5,NFI,5,0),1,0)*Table_NFI[[#This Row],[Kitchen Set]],Table_NFI[Kitchen Set])</f>
        <v>0</v>
      </c>
      <c r="AF418" s="436">
        <f>IF(NFI_Expiration=1,IF($A418&lt;VLOOKUP(O$5,NFI,5,0),1,0)*Table_NFI[[#This Row],[Clothes Kit]],Table_NFI[Clothes Kit])</f>
        <v>0</v>
      </c>
      <c r="AG418" s="436">
        <f>IF(NFI_Expiration=1,IF($A418&lt;VLOOKUP(P$5,NFI,5,0),1,0)*Table_NFI[[#This Row],[Plastic Bucket]],Table_NFI[Plastic Bucket])</f>
        <v>0</v>
      </c>
      <c r="AH418" s="436">
        <f>IF(NFI_Expiration=1,IF($A418&lt;VLOOKUP(Q$5,NFI,5,0),1,0)*Table_NFI[[#This Row],[Plastic Mat]],Table_NFI[Plastic Mat])*IF(Table_NFI[[#This Row],[Distribution Date]]&gt;"2014-04-01",1,2.5)</f>
        <v>0</v>
      </c>
      <c r="AI418" s="436">
        <f>IF(NFI_Expiration=1,IF($A418&lt;VLOOKUP(R$5,NFI,5,0),1,0)*Table_NFI[[#This Row],[Winter Clothes Adult]],Table_NFI[Winter Clothes Adult])</f>
        <v>0</v>
      </c>
      <c r="AJ418" s="436">
        <f>IF(NFI_Expiration=1,IF($A418&lt;VLOOKUP(S$5,NFI,5,0),1,0)*Table_NFI[[#This Row],[Winter Clothes Children]],Table_NFI[Winter Clothes Children])</f>
        <v>0</v>
      </c>
      <c r="AK418" s="436">
        <f>IF(NFI_Expiration=1,IF($A418&lt;VLOOKUP(T$5,NFI,5,0),1,0)*Table_NFI[[#This Row],[Winter Items Other]],Table_NFI[Winter Items Other])</f>
        <v>0</v>
      </c>
      <c r="AL418" s="436">
        <f>IF(NFI_Expiration=1,IF($A418&lt;VLOOKUP(M$5,NFI,5,0),1,0)*Table_NFI[[#This Row],[Winter Blanket]],Table_NFI[[#This Row],[Winter Blanket]])</f>
        <v>0</v>
      </c>
      <c r="AM418" s="436">
        <f>IF(Table_NFI[[#This Row],[Winter Clothes Adult]]+Table_NFI[[#This Row],[Winter Clothes Children]]+Table_NFI[[#This Row],[Winter Items Other]]+Table_NFI[[#This Row],[Winter Blanket]]&gt;0,1,0)</f>
        <v>0</v>
      </c>
      <c r="AN418" s="439">
        <f>IF(NFI_Expiration=1,IF($A418&lt;VLOOKUP(V$5,NFI,5,0),1,0)*Table_NFI[[#This Row],[Jerry Can]],Table_NFI[Jerry Can])</f>
        <v>0</v>
      </c>
      <c r="AO418" s="771" t="str">
        <f>IFERROR(VLOOKUP(Table_NFI[[#This Row],[Camp Name]],CL,2,0),"")</f>
        <v>MMR001CMP041</v>
      </c>
      <c r="AP418" s="772">
        <f ca="1">IF(Table_NFI[[#This Row],[Pcode]]="","",IF(OFFSET(CampList[Opening Date],MATCH(Table_NFI[[#This Row],[Pcode]],CampList[CP_Pcode],0)-1,0,1,1)&gt;=NFI_Monitor_Date,1,0))</f>
        <v>0</v>
      </c>
      <c r="AQ418" s="771" t="str">
        <f>IFERROR(VLOOKUP(Table_NFI[[#This Row],[Camp Name]],CL,3,0),"")</f>
        <v>Open</v>
      </c>
      <c r="AR418" s="436" t="str">
        <f ca="1">IF(Table_NFI[[#This Row],[Pcode]]="","",OFFSET(CampList[Priority],MATCH(Table_NFI[[#This Row],[Pcode]],CampList[CP_Pcode],0)-1,0,1,1))</f>
        <v>P1</v>
      </c>
      <c r="AS418" s="438">
        <f>IFERROR(Table_NFI[[#This Row],[Kitchen Set]]/VLOOKUP(Table_NFI[[#This Row],[Camp Name]],CL,4,0),"")</f>
        <v>0</v>
      </c>
      <c r="AT418" s="769" t="s">
        <v>1099</v>
      </c>
      <c r="AU418" s="773"/>
    </row>
    <row r="419" spans="1:47" s="774" customFormat="1" x14ac:dyDescent="0.25">
      <c r="A419" s="451">
        <f t="shared" si="6"/>
        <v>25.4</v>
      </c>
      <c r="B419" s="768">
        <v>41608</v>
      </c>
      <c r="C419" s="769" t="s">
        <v>912</v>
      </c>
      <c r="D419" s="769" t="s">
        <v>462</v>
      </c>
      <c r="E419" s="769" t="s">
        <v>380</v>
      </c>
      <c r="F419" s="435" t="s">
        <v>310</v>
      </c>
      <c r="G419" s="435" t="s">
        <v>349</v>
      </c>
      <c r="H419" s="436"/>
      <c r="I419" s="436"/>
      <c r="J419" s="436"/>
      <c r="K419" s="436"/>
      <c r="L419" s="437"/>
      <c r="M419" s="437"/>
      <c r="N419" s="437"/>
      <c r="O419" s="437"/>
      <c r="P419" s="439"/>
      <c r="Q419" s="439"/>
      <c r="R419" s="436"/>
      <c r="S419" s="436"/>
      <c r="T419" s="436"/>
      <c r="U419" s="436"/>
      <c r="V419" s="436"/>
      <c r="W419" s="436"/>
      <c r="X419" s="436"/>
      <c r="Y419" s="436">
        <f>IF(NFI_Expiration=1,IF($A419&lt;VLOOKUP(H$5,NFI,5,0),1,0)*Table_NFI[[#This Row],[Hygiene Kit]],Table_NFI[Hygiene Kit])</f>
        <v>0</v>
      </c>
      <c r="Z419" s="436">
        <f>IF(NFI_Expiration=1,IF($A419&lt;VLOOKUP(I$5,NFI,5,0),1,0)*Table_NFI[[#This Row],[NFI Core Kit]],Table_NFI[NFI Core Kit])</f>
        <v>0</v>
      </c>
      <c r="AA419" s="436">
        <f>IF(NFI_Expiration=1,IF($A419&lt;VLOOKUP(J$5,NFI,5,0),1,0)*Table_NFI[[#This Row],[Sanitary Kit]],Table_NFI[Sanitary Kit])</f>
        <v>0</v>
      </c>
      <c r="AB419" s="436">
        <f>IF(NFI_Expiration=1,IF($A419&lt;VLOOKUP(K$5,NFI,5,0),1,0)*Table_NFI[[#This Row],[Mosquito net]],Table_NFI[Mosquito net])</f>
        <v>0</v>
      </c>
      <c r="AC419" s="436">
        <f>IF(NFI_Expiration=1,IF($A419&lt;VLOOKUP(L$5,NFI,5,0),1,0)*Table_NFI[[#This Row],[Tarpaulin]],Table_NFI[[#This Row],[Tarpaulin]])</f>
        <v>0</v>
      </c>
      <c r="AD419" s="436">
        <f>IF(NFI_Expiration=1,IF($A419&lt;VLOOKUP(M$5,NFI,5,0),1,0)*Table_NFI[[#This Row],[Blanket]],Table_NFI[[#This Row],[Blanket]])</f>
        <v>0</v>
      </c>
      <c r="AE419" s="436">
        <f>IF(NFI_Expiration=1,IF($A419&lt;VLOOKUP(N$5,NFI,5,0),1,0)*Table_NFI[[#This Row],[Kitchen Set]],Table_NFI[Kitchen Set])</f>
        <v>0</v>
      </c>
      <c r="AF419" s="436">
        <f>IF(NFI_Expiration=1,IF($A419&lt;VLOOKUP(O$5,NFI,5,0),1,0)*Table_NFI[[#This Row],[Clothes Kit]],Table_NFI[Clothes Kit])</f>
        <v>0</v>
      </c>
      <c r="AG419" s="436">
        <f>IF(NFI_Expiration=1,IF($A419&lt;VLOOKUP(P$5,NFI,5,0),1,0)*Table_NFI[[#This Row],[Plastic Bucket]],Table_NFI[Plastic Bucket])</f>
        <v>0</v>
      </c>
      <c r="AH419" s="436">
        <f>IF(NFI_Expiration=1,IF($A419&lt;VLOOKUP(Q$5,NFI,5,0),1,0)*Table_NFI[[#This Row],[Plastic Mat]],Table_NFI[Plastic Mat])*IF(Table_NFI[[#This Row],[Distribution Date]]&gt;"2014-04-01",1,2.5)</f>
        <v>0</v>
      </c>
      <c r="AI419" s="436">
        <f>IF(NFI_Expiration=1,IF($A419&lt;VLOOKUP(R$5,NFI,5,0),1,0)*Table_NFI[[#This Row],[Winter Clothes Adult]],Table_NFI[Winter Clothes Adult])</f>
        <v>0</v>
      </c>
      <c r="AJ419" s="436">
        <f>IF(NFI_Expiration=1,IF($A419&lt;VLOOKUP(S$5,NFI,5,0),1,0)*Table_NFI[[#This Row],[Winter Clothes Children]],Table_NFI[Winter Clothes Children])</f>
        <v>0</v>
      </c>
      <c r="AK419" s="436">
        <f>IF(NFI_Expiration=1,IF($A419&lt;VLOOKUP(T$5,NFI,5,0),1,0)*Table_NFI[[#This Row],[Winter Items Other]],Table_NFI[Winter Items Other])</f>
        <v>0</v>
      </c>
      <c r="AL419" s="436">
        <f>IF(NFI_Expiration=1,IF($A419&lt;VLOOKUP(M$5,NFI,5,0),1,0)*Table_NFI[[#This Row],[Winter Blanket]],Table_NFI[[#This Row],[Winter Blanket]])</f>
        <v>0</v>
      </c>
      <c r="AM419" s="436">
        <f>IF(Table_NFI[[#This Row],[Winter Clothes Adult]]+Table_NFI[[#This Row],[Winter Clothes Children]]+Table_NFI[[#This Row],[Winter Items Other]]+Table_NFI[[#This Row],[Winter Blanket]]&gt;0,1,0)</f>
        <v>0</v>
      </c>
      <c r="AN419" s="439">
        <f>IF(NFI_Expiration=1,IF($A419&lt;VLOOKUP(V$5,NFI,5,0),1,0)*Table_NFI[[#This Row],[Jerry Can]],Table_NFI[Jerry Can])</f>
        <v>0</v>
      </c>
      <c r="AO419" s="771" t="str">
        <f>IFERROR(VLOOKUP(Table_NFI[[#This Row],[Camp Name]],CL,2,0),"")</f>
        <v>MMR001CMP037</v>
      </c>
      <c r="AP419" s="772">
        <f ca="1">IF(Table_NFI[[#This Row],[Pcode]]="","",IF(OFFSET(CampList[Opening Date],MATCH(Table_NFI[[#This Row],[Pcode]],CampList[CP_Pcode],0)-1,0,1,1)&gt;=NFI_Monitor_Date,1,0))</f>
        <v>0</v>
      </c>
      <c r="AQ419" s="771" t="str">
        <f>IFERROR(VLOOKUP(Table_NFI[[#This Row],[Camp Name]],CL,3,0),"")</f>
        <v>Open</v>
      </c>
      <c r="AR419" s="436" t="str">
        <f ca="1">IF(Table_NFI[[#This Row],[Pcode]]="","",OFFSET(CampList[Priority],MATCH(Table_NFI[[#This Row],[Pcode]],CampList[CP_Pcode],0)-1,0,1,1))</f>
        <v>P4</v>
      </c>
      <c r="AS419" s="438">
        <f>IFERROR(Table_NFI[[#This Row],[Kitchen Set]]/VLOOKUP(Table_NFI[[#This Row],[Camp Name]],CL,4,0),"")</f>
        <v>0</v>
      </c>
      <c r="AT419" s="769" t="s">
        <v>1099</v>
      </c>
      <c r="AU419" s="773"/>
    </row>
    <row r="420" spans="1:47" s="774" customFormat="1" x14ac:dyDescent="0.25">
      <c r="A420" s="451">
        <f t="shared" si="6"/>
        <v>25.4</v>
      </c>
      <c r="B420" s="768">
        <v>41608</v>
      </c>
      <c r="C420" s="769" t="s">
        <v>912</v>
      </c>
      <c r="D420" s="769" t="s">
        <v>462</v>
      </c>
      <c r="E420" s="769" t="s">
        <v>380</v>
      </c>
      <c r="F420" s="435" t="s">
        <v>310</v>
      </c>
      <c r="G420" s="435" t="s">
        <v>316</v>
      </c>
      <c r="H420" s="436"/>
      <c r="I420" s="436"/>
      <c r="J420" s="436"/>
      <c r="K420" s="436"/>
      <c r="L420" s="437"/>
      <c r="M420" s="437"/>
      <c r="N420" s="437"/>
      <c r="O420" s="437"/>
      <c r="P420" s="439"/>
      <c r="Q420" s="439"/>
      <c r="R420" s="436"/>
      <c r="S420" s="436"/>
      <c r="T420" s="436"/>
      <c r="U420" s="436"/>
      <c r="V420" s="436"/>
      <c r="W420" s="436"/>
      <c r="X420" s="436"/>
      <c r="Y420" s="436">
        <f>IF(NFI_Expiration=1,IF($A420&lt;VLOOKUP(H$5,NFI,5,0),1,0)*Table_NFI[[#This Row],[Hygiene Kit]],Table_NFI[Hygiene Kit])</f>
        <v>0</v>
      </c>
      <c r="Z420" s="436">
        <f>IF(NFI_Expiration=1,IF($A420&lt;VLOOKUP(I$5,NFI,5,0),1,0)*Table_NFI[[#This Row],[NFI Core Kit]],Table_NFI[NFI Core Kit])</f>
        <v>0</v>
      </c>
      <c r="AA420" s="436">
        <f>IF(NFI_Expiration=1,IF($A420&lt;VLOOKUP(J$5,NFI,5,0),1,0)*Table_NFI[[#This Row],[Sanitary Kit]],Table_NFI[Sanitary Kit])</f>
        <v>0</v>
      </c>
      <c r="AB420" s="436">
        <f>IF(NFI_Expiration=1,IF($A420&lt;VLOOKUP(K$5,NFI,5,0),1,0)*Table_NFI[[#This Row],[Mosquito net]],Table_NFI[Mosquito net])</f>
        <v>0</v>
      </c>
      <c r="AC420" s="436">
        <f>IF(NFI_Expiration=1,IF($A420&lt;VLOOKUP(L$5,NFI,5,0),1,0)*Table_NFI[[#This Row],[Tarpaulin]],Table_NFI[[#This Row],[Tarpaulin]])</f>
        <v>0</v>
      </c>
      <c r="AD420" s="436">
        <f>IF(NFI_Expiration=1,IF($A420&lt;VLOOKUP(M$5,NFI,5,0),1,0)*Table_NFI[[#This Row],[Blanket]],Table_NFI[[#This Row],[Blanket]])</f>
        <v>0</v>
      </c>
      <c r="AE420" s="436">
        <f>IF(NFI_Expiration=1,IF($A420&lt;VLOOKUP(N$5,NFI,5,0),1,0)*Table_NFI[[#This Row],[Kitchen Set]],Table_NFI[Kitchen Set])</f>
        <v>0</v>
      </c>
      <c r="AF420" s="436">
        <f>IF(NFI_Expiration=1,IF($A420&lt;VLOOKUP(O$5,NFI,5,0),1,0)*Table_NFI[[#This Row],[Clothes Kit]],Table_NFI[Clothes Kit])</f>
        <v>0</v>
      </c>
      <c r="AG420" s="436">
        <f>IF(NFI_Expiration=1,IF($A420&lt;VLOOKUP(P$5,NFI,5,0),1,0)*Table_NFI[[#This Row],[Plastic Bucket]],Table_NFI[Plastic Bucket])</f>
        <v>0</v>
      </c>
      <c r="AH420" s="436">
        <f>IF(NFI_Expiration=1,IF($A420&lt;VLOOKUP(Q$5,NFI,5,0),1,0)*Table_NFI[[#This Row],[Plastic Mat]],Table_NFI[Plastic Mat])*IF(Table_NFI[[#This Row],[Distribution Date]]&gt;"2014-04-01",1,2.5)</f>
        <v>0</v>
      </c>
      <c r="AI420" s="436">
        <f>IF(NFI_Expiration=1,IF($A420&lt;VLOOKUP(R$5,NFI,5,0),1,0)*Table_NFI[[#This Row],[Winter Clothes Adult]],Table_NFI[Winter Clothes Adult])</f>
        <v>0</v>
      </c>
      <c r="AJ420" s="436">
        <f>IF(NFI_Expiration=1,IF($A420&lt;VLOOKUP(S$5,NFI,5,0),1,0)*Table_NFI[[#This Row],[Winter Clothes Children]],Table_NFI[Winter Clothes Children])</f>
        <v>0</v>
      </c>
      <c r="AK420" s="436">
        <f>IF(NFI_Expiration=1,IF($A420&lt;VLOOKUP(T$5,NFI,5,0),1,0)*Table_NFI[[#This Row],[Winter Items Other]],Table_NFI[Winter Items Other])</f>
        <v>0</v>
      </c>
      <c r="AL420" s="436">
        <f>IF(NFI_Expiration=1,IF($A420&lt;VLOOKUP(M$5,NFI,5,0),1,0)*Table_NFI[[#This Row],[Winter Blanket]],Table_NFI[[#This Row],[Winter Blanket]])</f>
        <v>0</v>
      </c>
      <c r="AM420" s="436">
        <f>IF(Table_NFI[[#This Row],[Winter Clothes Adult]]+Table_NFI[[#This Row],[Winter Clothes Children]]+Table_NFI[[#This Row],[Winter Items Other]]+Table_NFI[[#This Row],[Winter Blanket]]&gt;0,1,0)</f>
        <v>0</v>
      </c>
      <c r="AN420" s="439">
        <f>IF(NFI_Expiration=1,IF($A420&lt;VLOOKUP(V$5,NFI,5,0),1,0)*Table_NFI[[#This Row],[Jerry Can]],Table_NFI[Jerry Can])</f>
        <v>0</v>
      </c>
      <c r="AO420" s="771" t="str">
        <f>IFERROR(VLOOKUP(Table_NFI[[#This Row],[Camp Name]],CL,2,0),"")</f>
        <v>MMR001CMP038</v>
      </c>
      <c r="AP420" s="772">
        <f ca="1">IF(Table_NFI[[#This Row],[Pcode]]="","",IF(OFFSET(CampList[Opening Date],MATCH(Table_NFI[[#This Row],[Pcode]],CampList[CP_Pcode],0)-1,0,1,1)&gt;=NFI_Monitor_Date,1,0))</f>
        <v>0</v>
      </c>
      <c r="AQ420" s="771" t="str">
        <f>IFERROR(VLOOKUP(Table_NFI[[#This Row],[Camp Name]],CL,3,0),"")</f>
        <v>Open</v>
      </c>
      <c r="AR420" s="436" t="str">
        <f ca="1">IF(Table_NFI[[#This Row],[Pcode]]="","",OFFSET(CampList[Priority],MATCH(Table_NFI[[#This Row],[Pcode]],CampList[CP_Pcode],0)-1,0,1,1))</f>
        <v>P4</v>
      </c>
      <c r="AS420" s="438">
        <f>IFERROR(Table_NFI[[#This Row],[Kitchen Set]]/VLOOKUP(Table_NFI[[#This Row],[Camp Name]],CL,4,0),"")</f>
        <v>0</v>
      </c>
      <c r="AT420" s="769" t="s">
        <v>1099</v>
      </c>
      <c r="AU420" s="773"/>
    </row>
    <row r="421" spans="1:47" s="774" customFormat="1" x14ac:dyDescent="0.25">
      <c r="A421" s="451">
        <f t="shared" si="6"/>
        <v>25.4</v>
      </c>
      <c r="B421" s="768">
        <v>41608</v>
      </c>
      <c r="C421" s="769" t="s">
        <v>912</v>
      </c>
      <c r="D421" s="769" t="s">
        <v>462</v>
      </c>
      <c r="E421" s="769" t="s">
        <v>380</v>
      </c>
      <c r="F421" s="435" t="s">
        <v>310</v>
      </c>
      <c r="G421" s="435" t="s">
        <v>353</v>
      </c>
      <c r="H421" s="436"/>
      <c r="I421" s="436"/>
      <c r="J421" s="436"/>
      <c r="K421" s="436"/>
      <c r="L421" s="437"/>
      <c r="M421" s="437"/>
      <c r="N421" s="437"/>
      <c r="O421" s="437"/>
      <c r="P421" s="439"/>
      <c r="Q421" s="439">
        <v>1851</v>
      </c>
      <c r="R421" s="436"/>
      <c r="S421" s="436"/>
      <c r="T421" s="436"/>
      <c r="U421" s="436"/>
      <c r="V421" s="436"/>
      <c r="W421" s="436"/>
      <c r="X421" s="436"/>
      <c r="Y421" s="436">
        <f>IF(NFI_Expiration=1,IF($A421&lt;VLOOKUP(H$5,NFI,5,0),1,0)*Table_NFI[[#This Row],[Hygiene Kit]],Table_NFI[Hygiene Kit])</f>
        <v>0</v>
      </c>
      <c r="Z421" s="436">
        <f>IF(NFI_Expiration=1,IF($A421&lt;VLOOKUP(I$5,NFI,5,0),1,0)*Table_NFI[[#This Row],[NFI Core Kit]],Table_NFI[NFI Core Kit])</f>
        <v>0</v>
      </c>
      <c r="AA421" s="436">
        <f>IF(NFI_Expiration=1,IF($A421&lt;VLOOKUP(J$5,NFI,5,0),1,0)*Table_NFI[[#This Row],[Sanitary Kit]],Table_NFI[Sanitary Kit])</f>
        <v>0</v>
      </c>
      <c r="AB421" s="436">
        <f>IF(NFI_Expiration=1,IF($A421&lt;VLOOKUP(K$5,NFI,5,0),1,0)*Table_NFI[[#This Row],[Mosquito net]],Table_NFI[Mosquito net])</f>
        <v>0</v>
      </c>
      <c r="AC421" s="436">
        <f>IF(NFI_Expiration=1,IF($A421&lt;VLOOKUP(L$5,NFI,5,0),1,0)*Table_NFI[[#This Row],[Tarpaulin]],Table_NFI[[#This Row],[Tarpaulin]])</f>
        <v>0</v>
      </c>
      <c r="AD421" s="436">
        <f>IF(NFI_Expiration=1,IF($A421&lt;VLOOKUP(M$5,NFI,5,0),1,0)*Table_NFI[[#This Row],[Blanket]],Table_NFI[[#This Row],[Blanket]])</f>
        <v>0</v>
      </c>
      <c r="AE421" s="436">
        <f>IF(NFI_Expiration=1,IF($A421&lt;VLOOKUP(N$5,NFI,5,0),1,0)*Table_NFI[[#This Row],[Kitchen Set]],Table_NFI[Kitchen Set])</f>
        <v>0</v>
      </c>
      <c r="AF421" s="436">
        <f>IF(NFI_Expiration=1,IF($A421&lt;VLOOKUP(O$5,NFI,5,0),1,0)*Table_NFI[[#This Row],[Clothes Kit]],Table_NFI[Clothes Kit])</f>
        <v>0</v>
      </c>
      <c r="AG421" s="436">
        <f>IF(NFI_Expiration=1,IF($A421&lt;VLOOKUP(P$5,NFI,5,0),1,0)*Table_NFI[[#This Row],[Plastic Bucket]],Table_NFI[Plastic Bucket])</f>
        <v>0</v>
      </c>
      <c r="AH421" s="436">
        <f>IF(NFI_Expiration=1,IF($A421&lt;VLOOKUP(Q$5,NFI,5,0),1,0)*Table_NFI[[#This Row],[Plastic Mat]],Table_NFI[Plastic Mat])*IF(Table_NFI[[#This Row],[Distribution Date]]&gt;"2014-04-01",1,2.5)</f>
        <v>0</v>
      </c>
      <c r="AI421" s="436">
        <f>IF(NFI_Expiration=1,IF($A421&lt;VLOOKUP(R$5,NFI,5,0),1,0)*Table_NFI[[#This Row],[Winter Clothes Adult]],Table_NFI[Winter Clothes Adult])</f>
        <v>0</v>
      </c>
      <c r="AJ421" s="436">
        <f>IF(NFI_Expiration=1,IF($A421&lt;VLOOKUP(S$5,NFI,5,0),1,0)*Table_NFI[[#This Row],[Winter Clothes Children]],Table_NFI[Winter Clothes Children])</f>
        <v>0</v>
      </c>
      <c r="AK421" s="436">
        <f>IF(NFI_Expiration=1,IF($A421&lt;VLOOKUP(T$5,NFI,5,0),1,0)*Table_NFI[[#This Row],[Winter Items Other]],Table_NFI[Winter Items Other])</f>
        <v>0</v>
      </c>
      <c r="AL421" s="436">
        <f>IF(NFI_Expiration=1,IF($A421&lt;VLOOKUP(M$5,NFI,5,0),1,0)*Table_NFI[[#This Row],[Winter Blanket]],Table_NFI[[#This Row],[Winter Blanket]])</f>
        <v>0</v>
      </c>
      <c r="AM421" s="436">
        <f>IF(Table_NFI[[#This Row],[Winter Clothes Adult]]+Table_NFI[[#This Row],[Winter Clothes Children]]+Table_NFI[[#This Row],[Winter Items Other]]+Table_NFI[[#This Row],[Winter Blanket]]&gt;0,1,0)</f>
        <v>0</v>
      </c>
      <c r="AN421" s="439">
        <f>IF(NFI_Expiration=1,IF($A421&lt;VLOOKUP(V$5,NFI,5,0),1,0)*Table_NFI[[#This Row],[Jerry Can]],Table_NFI[Jerry Can])</f>
        <v>0</v>
      </c>
      <c r="AO421" s="771" t="str">
        <f>IFERROR(VLOOKUP(Table_NFI[[#This Row],[Camp Name]],CL,2,0),"")</f>
        <v>MMR001CMP116</v>
      </c>
      <c r="AP421" s="772">
        <f ca="1">IF(Table_NFI[[#This Row],[Pcode]]="","",IF(OFFSET(CampList[Opening Date],MATCH(Table_NFI[[#This Row],[Pcode]],CampList[CP_Pcode],0)-1,0,1,1)&gt;=NFI_Monitor_Date,1,0))</f>
        <v>0</v>
      </c>
      <c r="AQ421" s="771" t="str">
        <f>IFERROR(VLOOKUP(Table_NFI[[#This Row],[Camp Name]],CL,3,0),"")</f>
        <v>Open</v>
      </c>
      <c r="AR421" s="436" t="str">
        <f ca="1">IF(Table_NFI[[#This Row],[Pcode]]="","",OFFSET(CampList[Priority],MATCH(Table_NFI[[#This Row],[Pcode]],CampList[CP_Pcode],0)-1,0,1,1))</f>
        <v>P4</v>
      </c>
      <c r="AS421" s="438">
        <f>IFERROR(Table_NFI[[#This Row],[Kitchen Set]]/VLOOKUP(Table_NFI[[#This Row],[Camp Name]],CL,4,0),"")</f>
        <v>0</v>
      </c>
      <c r="AT421" s="769" t="s">
        <v>1099</v>
      </c>
      <c r="AU421" s="773"/>
    </row>
    <row r="422" spans="1:47" s="774" customFormat="1" x14ac:dyDescent="0.25">
      <c r="A422" s="451">
        <f t="shared" si="6"/>
        <v>25.4</v>
      </c>
      <c r="B422" s="768">
        <v>41608</v>
      </c>
      <c r="C422" s="769" t="s">
        <v>1104</v>
      </c>
      <c r="D422" s="442" t="s">
        <v>951</v>
      </c>
      <c r="E422" s="775" t="s">
        <v>380</v>
      </c>
      <c r="F422" s="435" t="s">
        <v>5</v>
      </c>
      <c r="G422" s="435" t="s">
        <v>26</v>
      </c>
      <c r="H422" s="442"/>
      <c r="I422" s="442"/>
      <c r="J422" s="442"/>
      <c r="K422" s="775"/>
      <c r="L422" s="776"/>
      <c r="M422" s="443">
        <v>64</v>
      </c>
      <c r="N422" s="443"/>
      <c r="O422" s="443"/>
      <c r="P422" s="776"/>
      <c r="Q422" s="443"/>
      <c r="R422" s="442">
        <v>58</v>
      </c>
      <c r="S422" s="442">
        <v>52</v>
      </c>
      <c r="T422" s="442">
        <v>0</v>
      </c>
      <c r="U422" s="442"/>
      <c r="V422" s="442"/>
      <c r="W422" s="442"/>
      <c r="X422" s="442"/>
      <c r="Y422" s="436">
        <f>IF(NFI_Expiration=1,IF($A422&lt;VLOOKUP(H$5,NFI,5,0),1,0)*Table_NFI[[#This Row],[Hygiene Kit]],Table_NFI[Hygiene Kit])</f>
        <v>0</v>
      </c>
      <c r="Z422" s="436">
        <f>IF(NFI_Expiration=1,IF($A422&lt;VLOOKUP(I$5,NFI,5,0),1,0)*Table_NFI[[#This Row],[NFI Core Kit]],Table_NFI[NFI Core Kit])</f>
        <v>0</v>
      </c>
      <c r="AA422" s="436">
        <f>IF(NFI_Expiration=1,IF($A422&lt;VLOOKUP(J$5,NFI,5,0),1,0)*Table_NFI[[#This Row],[Sanitary Kit]],Table_NFI[Sanitary Kit])</f>
        <v>0</v>
      </c>
      <c r="AB422" s="436">
        <f>IF(NFI_Expiration=1,IF($A422&lt;VLOOKUP(K$5,NFI,5,0),1,0)*Table_NFI[[#This Row],[Mosquito net]],Table_NFI[Mosquito net])</f>
        <v>0</v>
      </c>
      <c r="AC422" s="436">
        <f>IF(NFI_Expiration=1,IF($A422&lt;VLOOKUP(L$5,NFI,5,0),1,0)*Table_NFI[[#This Row],[Tarpaulin]],Table_NFI[[#This Row],[Tarpaulin]])</f>
        <v>0</v>
      </c>
      <c r="AD422" s="436">
        <f>IF(NFI_Expiration=1,IF($A422&lt;VLOOKUP(M$5,NFI,5,0),1,0)*Table_NFI[[#This Row],[Blanket]],Table_NFI[[#This Row],[Blanket]])</f>
        <v>0</v>
      </c>
      <c r="AE422" s="436">
        <f>IF(NFI_Expiration=1,IF($A422&lt;VLOOKUP(N$5,NFI,5,0),1,0)*Table_NFI[[#This Row],[Kitchen Set]],Table_NFI[Kitchen Set])</f>
        <v>0</v>
      </c>
      <c r="AF422" s="436">
        <f>IF(NFI_Expiration=1,IF($A422&lt;VLOOKUP(O$5,NFI,5,0),1,0)*Table_NFI[[#This Row],[Clothes Kit]],Table_NFI[Clothes Kit])</f>
        <v>0</v>
      </c>
      <c r="AG422" s="436">
        <f>IF(NFI_Expiration=1,IF($A422&lt;VLOOKUP(P$5,NFI,5,0),1,0)*Table_NFI[[#This Row],[Plastic Bucket]],Table_NFI[Plastic Bucket])</f>
        <v>0</v>
      </c>
      <c r="AH422" s="436">
        <f>IF(NFI_Expiration=1,IF($A422&lt;VLOOKUP(Q$5,NFI,5,0),1,0)*Table_NFI[[#This Row],[Plastic Mat]],Table_NFI[Plastic Mat])*IF(Table_NFI[[#This Row],[Distribution Date]]&gt;"2014-04-01",1,2.5)</f>
        <v>0</v>
      </c>
      <c r="AI422" s="436">
        <f>IF(NFI_Expiration=1,IF($A422&lt;VLOOKUP(R$5,NFI,5,0),1,0)*Table_NFI[[#This Row],[Winter Clothes Adult]],Table_NFI[Winter Clothes Adult])</f>
        <v>0</v>
      </c>
      <c r="AJ422" s="436">
        <f>IF(NFI_Expiration=1,IF($A422&lt;VLOOKUP(S$5,NFI,5,0),1,0)*Table_NFI[[#This Row],[Winter Clothes Children]],Table_NFI[Winter Clothes Children])</f>
        <v>0</v>
      </c>
      <c r="AK422" s="436">
        <f>IF(NFI_Expiration=1,IF($A422&lt;VLOOKUP(T$5,NFI,5,0),1,0)*Table_NFI[[#This Row],[Winter Items Other]],Table_NFI[Winter Items Other])</f>
        <v>0</v>
      </c>
      <c r="AL422" s="436">
        <f>IF(NFI_Expiration=1,IF($A422&lt;VLOOKUP(M$5,NFI,5,0),1,0)*Table_NFI[[#This Row],[Winter Blanket]],Table_NFI[[#This Row],[Winter Blanket]])</f>
        <v>0</v>
      </c>
      <c r="AM422" s="436">
        <f>IF(Table_NFI[[#This Row],[Winter Clothes Adult]]+Table_NFI[[#This Row],[Winter Clothes Children]]+Table_NFI[[#This Row],[Winter Items Other]]+Table_NFI[[#This Row],[Winter Blanket]]&gt;0,1,0)</f>
        <v>1</v>
      </c>
      <c r="AN422" s="439">
        <f>IF(NFI_Expiration=1,IF($A422&lt;VLOOKUP(V$5,NFI,5,0),1,0)*Table_NFI[[#This Row],[Jerry Can]],Table_NFI[Jerry Can])</f>
        <v>0</v>
      </c>
      <c r="AO422" s="771" t="str">
        <f>IFERROR(VLOOKUP(Table_NFI[[#This Row],[Camp Name]],CL,2,0),"")</f>
        <v>MMR001CMP053</v>
      </c>
      <c r="AP422" s="772">
        <f ca="1">IF(Table_NFI[[#This Row],[Pcode]]="","",IF(OFFSET(CampList[Opening Date],MATCH(Table_NFI[[#This Row],[Pcode]],CampList[CP_Pcode],0)-1,0,1,1)&gt;=NFI_Monitor_Date,1,0))</f>
        <v>0</v>
      </c>
      <c r="AQ422" s="771" t="str">
        <f>IFERROR(VLOOKUP(Table_NFI[[#This Row],[Camp Name]],CL,3,0),"")</f>
        <v>Open</v>
      </c>
      <c r="AR422" s="436" t="str">
        <f ca="1">IF(Table_NFI[[#This Row],[Pcode]]="","",OFFSET(CampList[Priority],MATCH(Table_NFI[[#This Row],[Pcode]],CampList[CP_Pcode],0)-1,0,1,1))</f>
        <v>P4</v>
      </c>
      <c r="AS422" s="438">
        <f>IFERROR(Table_NFI[[#This Row],[Kitchen Set]]/VLOOKUP(Table_NFI[[#This Row],[Camp Name]],CL,4,0),"")</f>
        <v>0</v>
      </c>
      <c r="AT422" s="769" t="s">
        <v>1099</v>
      </c>
      <c r="AU422" s="773"/>
    </row>
    <row r="423" spans="1:47" s="774" customFormat="1" x14ac:dyDescent="0.25">
      <c r="A423" s="451">
        <f t="shared" si="6"/>
        <v>25.4</v>
      </c>
      <c r="B423" s="768">
        <v>41608</v>
      </c>
      <c r="C423" s="769" t="s">
        <v>912</v>
      </c>
      <c r="D423" s="769"/>
      <c r="E423" s="769" t="s">
        <v>380</v>
      </c>
      <c r="F423" s="435" t="s">
        <v>5</v>
      </c>
      <c r="G423" s="435" t="s">
        <v>26</v>
      </c>
      <c r="H423" s="436"/>
      <c r="I423" s="436"/>
      <c r="J423" s="436"/>
      <c r="K423" s="436"/>
      <c r="L423" s="437"/>
      <c r="M423" s="437"/>
      <c r="N423" s="437"/>
      <c r="O423" s="437"/>
      <c r="P423" s="439"/>
      <c r="Q423" s="439">
        <v>99</v>
      </c>
      <c r="R423" s="436"/>
      <c r="S423" s="436"/>
      <c r="T423" s="436"/>
      <c r="U423" s="436"/>
      <c r="V423" s="436"/>
      <c r="W423" s="436"/>
      <c r="X423" s="436"/>
      <c r="Y423" s="436">
        <f>IF(NFI_Expiration=1,IF($A423&lt;VLOOKUP(H$5,NFI,5,0),1,0)*Table_NFI[[#This Row],[Hygiene Kit]],Table_NFI[Hygiene Kit])</f>
        <v>0</v>
      </c>
      <c r="Z423" s="436">
        <f>IF(NFI_Expiration=1,IF($A423&lt;VLOOKUP(I$5,NFI,5,0),1,0)*Table_NFI[[#This Row],[NFI Core Kit]],Table_NFI[NFI Core Kit])</f>
        <v>0</v>
      </c>
      <c r="AA423" s="436">
        <f>IF(NFI_Expiration=1,IF($A423&lt;VLOOKUP(J$5,NFI,5,0),1,0)*Table_NFI[[#This Row],[Sanitary Kit]],Table_NFI[Sanitary Kit])</f>
        <v>0</v>
      </c>
      <c r="AB423" s="436">
        <f>IF(NFI_Expiration=1,IF($A423&lt;VLOOKUP(K$5,NFI,5,0),1,0)*Table_NFI[[#This Row],[Mosquito net]],Table_NFI[Mosquito net])</f>
        <v>0</v>
      </c>
      <c r="AC423" s="436">
        <f>IF(NFI_Expiration=1,IF($A423&lt;VLOOKUP(L$5,NFI,5,0),1,0)*Table_NFI[[#This Row],[Tarpaulin]],Table_NFI[[#This Row],[Tarpaulin]])</f>
        <v>0</v>
      </c>
      <c r="AD423" s="436">
        <f>IF(NFI_Expiration=1,IF($A423&lt;VLOOKUP(M$5,NFI,5,0),1,0)*Table_NFI[[#This Row],[Blanket]],Table_NFI[[#This Row],[Blanket]])</f>
        <v>0</v>
      </c>
      <c r="AE423" s="436">
        <f>IF(NFI_Expiration=1,IF($A423&lt;VLOOKUP(N$5,NFI,5,0),1,0)*Table_NFI[[#This Row],[Kitchen Set]],Table_NFI[Kitchen Set])</f>
        <v>0</v>
      </c>
      <c r="AF423" s="436">
        <f>IF(NFI_Expiration=1,IF($A423&lt;VLOOKUP(O$5,NFI,5,0),1,0)*Table_NFI[[#This Row],[Clothes Kit]],Table_NFI[Clothes Kit])</f>
        <v>0</v>
      </c>
      <c r="AG423" s="436">
        <f>IF(NFI_Expiration=1,IF($A423&lt;VLOOKUP(P$5,NFI,5,0),1,0)*Table_NFI[[#This Row],[Plastic Bucket]],Table_NFI[Plastic Bucket])</f>
        <v>0</v>
      </c>
      <c r="AH423" s="436">
        <f>IF(NFI_Expiration=1,IF($A423&lt;VLOOKUP(Q$5,NFI,5,0),1,0)*Table_NFI[[#This Row],[Plastic Mat]],Table_NFI[Plastic Mat])*IF(Table_NFI[[#This Row],[Distribution Date]]&gt;"2014-04-01",1,2.5)</f>
        <v>0</v>
      </c>
      <c r="AI423" s="436">
        <f>IF(NFI_Expiration=1,IF($A423&lt;VLOOKUP(R$5,NFI,5,0),1,0)*Table_NFI[[#This Row],[Winter Clothes Adult]],Table_NFI[Winter Clothes Adult])</f>
        <v>0</v>
      </c>
      <c r="AJ423" s="436">
        <f>IF(NFI_Expiration=1,IF($A423&lt;VLOOKUP(S$5,NFI,5,0),1,0)*Table_NFI[[#This Row],[Winter Clothes Children]],Table_NFI[Winter Clothes Children])</f>
        <v>0</v>
      </c>
      <c r="AK423" s="436">
        <f>IF(NFI_Expiration=1,IF($A423&lt;VLOOKUP(T$5,NFI,5,0),1,0)*Table_NFI[[#This Row],[Winter Items Other]],Table_NFI[Winter Items Other])</f>
        <v>0</v>
      </c>
      <c r="AL423" s="436">
        <f>IF(NFI_Expiration=1,IF($A423&lt;VLOOKUP(M$5,NFI,5,0),1,0)*Table_NFI[[#This Row],[Winter Blanket]],Table_NFI[[#This Row],[Winter Blanket]])</f>
        <v>0</v>
      </c>
      <c r="AM423" s="436">
        <f>IF(Table_NFI[[#This Row],[Winter Clothes Adult]]+Table_NFI[[#This Row],[Winter Clothes Children]]+Table_NFI[[#This Row],[Winter Items Other]]+Table_NFI[[#This Row],[Winter Blanket]]&gt;0,1,0)</f>
        <v>0</v>
      </c>
      <c r="AN423" s="439">
        <f>IF(NFI_Expiration=1,IF($A423&lt;VLOOKUP(V$5,NFI,5,0),1,0)*Table_NFI[[#This Row],[Jerry Can]],Table_NFI[Jerry Can])</f>
        <v>0</v>
      </c>
      <c r="AO423" s="771" t="str">
        <f>IFERROR(VLOOKUP(Table_NFI[[#This Row],[Camp Name]],CL,2,0),"")</f>
        <v>MMR001CMP053</v>
      </c>
      <c r="AP423" s="772">
        <f ca="1">IF(Table_NFI[[#This Row],[Pcode]]="","",IF(OFFSET(CampList[Opening Date],MATCH(Table_NFI[[#This Row],[Pcode]],CampList[CP_Pcode],0)-1,0,1,1)&gt;=NFI_Monitor_Date,1,0))</f>
        <v>0</v>
      </c>
      <c r="AQ423" s="771" t="str">
        <f>IFERROR(VLOOKUP(Table_NFI[[#This Row],[Camp Name]],CL,3,0),"")</f>
        <v>Open</v>
      </c>
      <c r="AR423" s="436" t="str">
        <f ca="1">IF(Table_NFI[[#This Row],[Pcode]]="","",OFFSET(CampList[Priority],MATCH(Table_NFI[[#This Row],[Pcode]],CampList[CP_Pcode],0)-1,0,1,1))</f>
        <v>P4</v>
      </c>
      <c r="AS423" s="438">
        <f>IFERROR(Table_NFI[[#This Row],[Kitchen Set]]/VLOOKUP(Table_NFI[[#This Row],[Camp Name]],CL,4,0),"")</f>
        <v>0</v>
      </c>
      <c r="AT423" s="769" t="s">
        <v>1099</v>
      </c>
      <c r="AU423" s="773"/>
    </row>
    <row r="424" spans="1:47" s="774" customFormat="1" x14ac:dyDescent="0.25">
      <c r="A424" s="451">
        <f t="shared" si="6"/>
        <v>25.4</v>
      </c>
      <c r="B424" s="768">
        <v>41608</v>
      </c>
      <c r="C424" s="769" t="s">
        <v>912</v>
      </c>
      <c r="D424" s="769" t="s">
        <v>462</v>
      </c>
      <c r="E424" s="769" t="s">
        <v>380</v>
      </c>
      <c r="F424" s="435" t="s">
        <v>310</v>
      </c>
      <c r="G424" s="435" t="s">
        <v>1259</v>
      </c>
      <c r="H424" s="436"/>
      <c r="I424" s="436"/>
      <c r="J424" s="436"/>
      <c r="K424" s="436"/>
      <c r="L424" s="437"/>
      <c r="M424" s="437"/>
      <c r="N424" s="437"/>
      <c r="O424" s="437"/>
      <c r="P424" s="439"/>
      <c r="Q424" s="439"/>
      <c r="R424" s="436"/>
      <c r="S424" s="436"/>
      <c r="T424" s="436"/>
      <c r="U424" s="436"/>
      <c r="V424" s="436"/>
      <c r="W424" s="436"/>
      <c r="X424" s="436"/>
      <c r="Y424" s="436">
        <f>IF(NFI_Expiration=1,IF($A424&lt;VLOOKUP(H$5,NFI,5,0),1,0)*Table_NFI[[#This Row],[Hygiene Kit]],Table_NFI[Hygiene Kit])</f>
        <v>0</v>
      </c>
      <c r="Z424" s="436">
        <f>IF(NFI_Expiration=1,IF($A424&lt;VLOOKUP(I$5,NFI,5,0),1,0)*Table_NFI[[#This Row],[NFI Core Kit]],Table_NFI[NFI Core Kit])</f>
        <v>0</v>
      </c>
      <c r="AA424" s="436">
        <f>IF(NFI_Expiration=1,IF($A424&lt;VLOOKUP(J$5,NFI,5,0),1,0)*Table_NFI[[#This Row],[Sanitary Kit]],Table_NFI[Sanitary Kit])</f>
        <v>0</v>
      </c>
      <c r="AB424" s="436">
        <f>IF(NFI_Expiration=1,IF($A424&lt;VLOOKUP(K$5,NFI,5,0),1,0)*Table_NFI[[#This Row],[Mosquito net]],Table_NFI[Mosquito net])</f>
        <v>0</v>
      </c>
      <c r="AC424" s="436">
        <f>IF(NFI_Expiration=1,IF($A424&lt;VLOOKUP(L$5,NFI,5,0),1,0)*Table_NFI[[#This Row],[Tarpaulin]],Table_NFI[[#This Row],[Tarpaulin]])</f>
        <v>0</v>
      </c>
      <c r="AD424" s="436">
        <f>IF(NFI_Expiration=1,IF($A424&lt;VLOOKUP(M$5,NFI,5,0),1,0)*Table_NFI[[#This Row],[Blanket]],Table_NFI[[#This Row],[Blanket]])</f>
        <v>0</v>
      </c>
      <c r="AE424" s="436">
        <f>IF(NFI_Expiration=1,IF($A424&lt;VLOOKUP(N$5,NFI,5,0),1,0)*Table_NFI[[#This Row],[Kitchen Set]],Table_NFI[Kitchen Set])</f>
        <v>0</v>
      </c>
      <c r="AF424" s="436">
        <f>IF(NFI_Expiration=1,IF($A424&lt;VLOOKUP(O$5,NFI,5,0),1,0)*Table_NFI[[#This Row],[Clothes Kit]],Table_NFI[Clothes Kit])</f>
        <v>0</v>
      </c>
      <c r="AG424" s="436">
        <f>IF(NFI_Expiration=1,IF($A424&lt;VLOOKUP(P$5,NFI,5,0),1,0)*Table_NFI[[#This Row],[Plastic Bucket]],Table_NFI[Plastic Bucket])</f>
        <v>0</v>
      </c>
      <c r="AH424" s="436">
        <f>IF(NFI_Expiration=1,IF($A424&lt;VLOOKUP(Q$5,NFI,5,0),1,0)*Table_NFI[[#This Row],[Plastic Mat]],Table_NFI[Plastic Mat])*IF(Table_NFI[[#This Row],[Distribution Date]]&gt;"2014-04-01",1,2.5)</f>
        <v>0</v>
      </c>
      <c r="AI424" s="436">
        <f>IF(NFI_Expiration=1,IF($A424&lt;VLOOKUP(R$5,NFI,5,0),1,0)*Table_NFI[[#This Row],[Winter Clothes Adult]],Table_NFI[Winter Clothes Adult])</f>
        <v>0</v>
      </c>
      <c r="AJ424" s="436">
        <f>IF(NFI_Expiration=1,IF($A424&lt;VLOOKUP(S$5,NFI,5,0),1,0)*Table_NFI[[#This Row],[Winter Clothes Children]],Table_NFI[Winter Clothes Children])</f>
        <v>0</v>
      </c>
      <c r="AK424" s="436">
        <f>IF(NFI_Expiration=1,IF($A424&lt;VLOOKUP(T$5,NFI,5,0),1,0)*Table_NFI[[#This Row],[Winter Items Other]],Table_NFI[Winter Items Other])</f>
        <v>0</v>
      </c>
      <c r="AL424" s="436">
        <f>IF(NFI_Expiration=1,IF($A424&lt;VLOOKUP(M$5,NFI,5,0),1,0)*Table_NFI[[#This Row],[Winter Blanket]],Table_NFI[[#This Row],[Winter Blanket]])</f>
        <v>0</v>
      </c>
      <c r="AM424" s="436">
        <f>IF(Table_NFI[[#This Row],[Winter Clothes Adult]]+Table_NFI[[#This Row],[Winter Clothes Children]]+Table_NFI[[#This Row],[Winter Items Other]]+Table_NFI[[#This Row],[Winter Blanket]]&gt;0,1,0)</f>
        <v>0</v>
      </c>
      <c r="AN424" s="439">
        <f>IF(NFI_Expiration=1,IF($A424&lt;VLOOKUP(V$5,NFI,5,0),1,0)*Table_NFI[[#This Row],[Jerry Can]],Table_NFI[Jerry Can])</f>
        <v>0</v>
      </c>
      <c r="AO424" s="771" t="str">
        <f>IFERROR(VLOOKUP(Table_NFI[[#This Row],[Camp Name]],CL,2,0),"")</f>
        <v>MMR001CMP111</v>
      </c>
      <c r="AP424" s="772">
        <f ca="1">IF(Table_NFI[[#This Row],[Pcode]]="","",IF(OFFSET(CampList[Opening Date],MATCH(Table_NFI[[#This Row],[Pcode]],CampList[CP_Pcode],0)-1,0,1,1)&gt;=NFI_Monitor_Date,1,0))</f>
        <v>0</v>
      </c>
      <c r="AQ424" s="771" t="str">
        <f>IFERROR(VLOOKUP(Table_NFI[[#This Row],[Camp Name]],CL,3,0),"")</f>
        <v>Open</v>
      </c>
      <c r="AR424" s="436" t="str">
        <f ca="1">IF(Table_NFI[[#This Row],[Pcode]]="","",OFFSET(CampList[Priority],MATCH(Table_NFI[[#This Row],[Pcode]],CampList[CP_Pcode],0)-1,0,1,1))</f>
        <v>P2</v>
      </c>
      <c r="AS424" s="438">
        <f>IFERROR(Table_NFI[[#This Row],[Kitchen Set]]/VLOOKUP(Table_NFI[[#This Row],[Camp Name]],CL,4,0),"")</f>
        <v>0</v>
      </c>
      <c r="AT424" s="769" t="s">
        <v>1099</v>
      </c>
      <c r="AU424" s="773"/>
    </row>
    <row r="425" spans="1:47" s="774" customFormat="1" x14ac:dyDescent="0.25">
      <c r="A425" s="451">
        <f t="shared" si="6"/>
        <v>25.4</v>
      </c>
      <c r="B425" s="768">
        <v>41608</v>
      </c>
      <c r="C425" s="769" t="s">
        <v>1104</v>
      </c>
      <c r="D425" s="442" t="s">
        <v>951</v>
      </c>
      <c r="E425" s="775" t="s">
        <v>380</v>
      </c>
      <c r="F425" s="435" t="s">
        <v>5</v>
      </c>
      <c r="G425" s="435" t="s">
        <v>24</v>
      </c>
      <c r="H425" s="442"/>
      <c r="I425" s="442"/>
      <c r="J425" s="442"/>
      <c r="K425" s="775"/>
      <c r="L425" s="776"/>
      <c r="M425" s="443">
        <v>135</v>
      </c>
      <c r="N425" s="443"/>
      <c r="O425" s="443"/>
      <c r="P425" s="776"/>
      <c r="Q425" s="443"/>
      <c r="R425" s="442">
        <v>68</v>
      </c>
      <c r="S425" s="442">
        <v>61</v>
      </c>
      <c r="T425" s="442">
        <v>0</v>
      </c>
      <c r="U425" s="442"/>
      <c r="V425" s="442"/>
      <c r="W425" s="442"/>
      <c r="X425" s="442"/>
      <c r="Y425" s="436">
        <f>IF(NFI_Expiration=1,IF($A425&lt;VLOOKUP(H$5,NFI,5,0),1,0)*Table_NFI[[#This Row],[Hygiene Kit]],Table_NFI[Hygiene Kit])</f>
        <v>0</v>
      </c>
      <c r="Z425" s="436">
        <f>IF(NFI_Expiration=1,IF($A425&lt;VLOOKUP(I$5,NFI,5,0),1,0)*Table_NFI[[#This Row],[NFI Core Kit]],Table_NFI[NFI Core Kit])</f>
        <v>0</v>
      </c>
      <c r="AA425" s="436">
        <f>IF(NFI_Expiration=1,IF($A425&lt;VLOOKUP(J$5,NFI,5,0),1,0)*Table_NFI[[#This Row],[Sanitary Kit]],Table_NFI[Sanitary Kit])</f>
        <v>0</v>
      </c>
      <c r="AB425" s="436">
        <f>IF(NFI_Expiration=1,IF($A425&lt;VLOOKUP(K$5,NFI,5,0),1,0)*Table_NFI[[#This Row],[Mosquito net]],Table_NFI[Mosquito net])</f>
        <v>0</v>
      </c>
      <c r="AC425" s="436">
        <f>IF(NFI_Expiration=1,IF($A425&lt;VLOOKUP(L$5,NFI,5,0),1,0)*Table_NFI[[#This Row],[Tarpaulin]],Table_NFI[[#This Row],[Tarpaulin]])</f>
        <v>0</v>
      </c>
      <c r="AD425" s="436">
        <f>IF(NFI_Expiration=1,IF($A425&lt;VLOOKUP(M$5,NFI,5,0),1,0)*Table_NFI[[#This Row],[Blanket]],Table_NFI[[#This Row],[Blanket]])</f>
        <v>0</v>
      </c>
      <c r="AE425" s="436">
        <f>IF(NFI_Expiration=1,IF($A425&lt;VLOOKUP(N$5,NFI,5,0),1,0)*Table_NFI[[#This Row],[Kitchen Set]],Table_NFI[Kitchen Set])</f>
        <v>0</v>
      </c>
      <c r="AF425" s="436">
        <f>IF(NFI_Expiration=1,IF($A425&lt;VLOOKUP(O$5,NFI,5,0),1,0)*Table_NFI[[#This Row],[Clothes Kit]],Table_NFI[Clothes Kit])</f>
        <v>0</v>
      </c>
      <c r="AG425" s="436">
        <f>IF(NFI_Expiration=1,IF($A425&lt;VLOOKUP(P$5,NFI,5,0),1,0)*Table_NFI[[#This Row],[Plastic Bucket]],Table_NFI[Plastic Bucket])</f>
        <v>0</v>
      </c>
      <c r="AH425" s="436">
        <f>IF(NFI_Expiration=1,IF($A425&lt;VLOOKUP(Q$5,NFI,5,0),1,0)*Table_NFI[[#This Row],[Plastic Mat]],Table_NFI[Plastic Mat])*IF(Table_NFI[[#This Row],[Distribution Date]]&gt;"2014-04-01",1,2.5)</f>
        <v>0</v>
      </c>
      <c r="AI425" s="436">
        <f>IF(NFI_Expiration=1,IF($A425&lt;VLOOKUP(R$5,NFI,5,0),1,0)*Table_NFI[[#This Row],[Winter Clothes Adult]],Table_NFI[Winter Clothes Adult])</f>
        <v>0</v>
      </c>
      <c r="AJ425" s="436">
        <f>IF(NFI_Expiration=1,IF($A425&lt;VLOOKUP(S$5,NFI,5,0),1,0)*Table_NFI[[#This Row],[Winter Clothes Children]],Table_NFI[Winter Clothes Children])</f>
        <v>0</v>
      </c>
      <c r="AK425" s="436">
        <f>IF(NFI_Expiration=1,IF($A425&lt;VLOOKUP(T$5,NFI,5,0),1,0)*Table_NFI[[#This Row],[Winter Items Other]],Table_NFI[Winter Items Other])</f>
        <v>0</v>
      </c>
      <c r="AL425" s="436">
        <f>IF(NFI_Expiration=1,IF($A425&lt;VLOOKUP(M$5,NFI,5,0),1,0)*Table_NFI[[#This Row],[Winter Blanket]],Table_NFI[[#This Row],[Winter Blanket]])</f>
        <v>0</v>
      </c>
      <c r="AM425" s="436">
        <f>IF(Table_NFI[[#This Row],[Winter Clothes Adult]]+Table_NFI[[#This Row],[Winter Clothes Children]]+Table_NFI[[#This Row],[Winter Items Other]]+Table_NFI[[#This Row],[Winter Blanket]]&gt;0,1,0)</f>
        <v>1</v>
      </c>
      <c r="AN425" s="439">
        <f>IF(NFI_Expiration=1,IF($A425&lt;VLOOKUP(V$5,NFI,5,0),1,0)*Table_NFI[[#This Row],[Jerry Can]],Table_NFI[Jerry Can])</f>
        <v>0</v>
      </c>
      <c r="AO425" s="771" t="str">
        <f>IFERROR(VLOOKUP(Table_NFI[[#This Row],[Camp Name]],CL,2,0),"")</f>
        <v>MMR001CMP055</v>
      </c>
      <c r="AP425" s="772">
        <f ca="1">IF(Table_NFI[[#This Row],[Pcode]]="","",IF(OFFSET(CampList[Opening Date],MATCH(Table_NFI[[#This Row],[Pcode]],CampList[CP_Pcode],0)-1,0,1,1)&gt;=NFI_Monitor_Date,1,0))</f>
        <v>0</v>
      </c>
      <c r="AQ425" s="771" t="str">
        <f>IFERROR(VLOOKUP(Table_NFI[[#This Row],[Camp Name]],CL,3,0),"")</f>
        <v>Open</v>
      </c>
      <c r="AR425" s="436" t="str">
        <f ca="1">IF(Table_NFI[[#This Row],[Pcode]]="","",OFFSET(CampList[Priority],MATCH(Table_NFI[[#This Row],[Pcode]],CampList[CP_Pcode],0)-1,0,1,1))</f>
        <v>P4</v>
      </c>
      <c r="AS425" s="438">
        <f>IFERROR(Table_NFI[[#This Row],[Kitchen Set]]/VLOOKUP(Table_NFI[[#This Row],[Camp Name]],CL,4,0),"")</f>
        <v>0</v>
      </c>
      <c r="AT425" s="769" t="s">
        <v>1099</v>
      </c>
      <c r="AU425" s="773"/>
    </row>
    <row r="426" spans="1:47" s="774" customFormat="1" x14ac:dyDescent="0.25">
      <c r="A426" s="451">
        <f t="shared" si="6"/>
        <v>25.4</v>
      </c>
      <c r="B426" s="768">
        <v>41608</v>
      </c>
      <c r="C426" s="769" t="s">
        <v>912</v>
      </c>
      <c r="D426" s="769"/>
      <c r="E426" s="769" t="s">
        <v>380</v>
      </c>
      <c r="F426" s="435" t="s">
        <v>5</v>
      </c>
      <c r="G426" s="435" t="s">
        <v>24</v>
      </c>
      <c r="H426" s="436"/>
      <c r="I426" s="436"/>
      <c r="J426" s="436"/>
      <c r="K426" s="436"/>
      <c r="L426" s="437"/>
      <c r="M426" s="437"/>
      <c r="N426" s="437"/>
      <c r="O426" s="437"/>
      <c r="P426" s="439"/>
      <c r="Q426" s="439"/>
      <c r="R426" s="436"/>
      <c r="S426" s="436"/>
      <c r="T426" s="436"/>
      <c r="U426" s="436"/>
      <c r="V426" s="436"/>
      <c r="W426" s="436"/>
      <c r="X426" s="436"/>
      <c r="Y426" s="436">
        <f>IF(NFI_Expiration=1,IF($A426&lt;VLOOKUP(H$5,NFI,5,0),1,0)*Table_NFI[[#This Row],[Hygiene Kit]],Table_NFI[Hygiene Kit])</f>
        <v>0</v>
      </c>
      <c r="Z426" s="436">
        <f>IF(NFI_Expiration=1,IF($A426&lt;VLOOKUP(I$5,NFI,5,0),1,0)*Table_NFI[[#This Row],[NFI Core Kit]],Table_NFI[NFI Core Kit])</f>
        <v>0</v>
      </c>
      <c r="AA426" s="436">
        <f>IF(NFI_Expiration=1,IF($A426&lt;VLOOKUP(J$5,NFI,5,0),1,0)*Table_NFI[[#This Row],[Sanitary Kit]],Table_NFI[Sanitary Kit])</f>
        <v>0</v>
      </c>
      <c r="AB426" s="436">
        <f>IF(NFI_Expiration=1,IF($A426&lt;VLOOKUP(K$5,NFI,5,0),1,0)*Table_NFI[[#This Row],[Mosquito net]],Table_NFI[Mosquito net])</f>
        <v>0</v>
      </c>
      <c r="AC426" s="436">
        <f>IF(NFI_Expiration=1,IF($A426&lt;VLOOKUP(L$5,NFI,5,0),1,0)*Table_NFI[[#This Row],[Tarpaulin]],Table_NFI[[#This Row],[Tarpaulin]])</f>
        <v>0</v>
      </c>
      <c r="AD426" s="436">
        <f>IF(NFI_Expiration=1,IF($A426&lt;VLOOKUP(M$5,NFI,5,0),1,0)*Table_NFI[[#This Row],[Blanket]],Table_NFI[[#This Row],[Blanket]])</f>
        <v>0</v>
      </c>
      <c r="AE426" s="436">
        <f>IF(NFI_Expiration=1,IF($A426&lt;VLOOKUP(N$5,NFI,5,0),1,0)*Table_NFI[[#This Row],[Kitchen Set]],Table_NFI[Kitchen Set])</f>
        <v>0</v>
      </c>
      <c r="AF426" s="436">
        <f>IF(NFI_Expiration=1,IF($A426&lt;VLOOKUP(O$5,NFI,5,0),1,0)*Table_NFI[[#This Row],[Clothes Kit]],Table_NFI[Clothes Kit])</f>
        <v>0</v>
      </c>
      <c r="AG426" s="436">
        <f>IF(NFI_Expiration=1,IF($A426&lt;VLOOKUP(P$5,NFI,5,0),1,0)*Table_NFI[[#This Row],[Plastic Bucket]],Table_NFI[Plastic Bucket])</f>
        <v>0</v>
      </c>
      <c r="AH426" s="436">
        <f>IF(NFI_Expiration=1,IF($A426&lt;VLOOKUP(Q$5,NFI,5,0),1,0)*Table_NFI[[#This Row],[Plastic Mat]],Table_NFI[Plastic Mat])*IF(Table_NFI[[#This Row],[Distribution Date]]&gt;"2014-04-01",1,2.5)</f>
        <v>0</v>
      </c>
      <c r="AI426" s="436">
        <f>IF(NFI_Expiration=1,IF($A426&lt;VLOOKUP(R$5,NFI,5,0),1,0)*Table_NFI[[#This Row],[Winter Clothes Adult]],Table_NFI[Winter Clothes Adult])</f>
        <v>0</v>
      </c>
      <c r="AJ426" s="436">
        <f>IF(NFI_Expiration=1,IF($A426&lt;VLOOKUP(S$5,NFI,5,0),1,0)*Table_NFI[[#This Row],[Winter Clothes Children]],Table_NFI[Winter Clothes Children])</f>
        <v>0</v>
      </c>
      <c r="AK426" s="436">
        <f>IF(NFI_Expiration=1,IF($A426&lt;VLOOKUP(T$5,NFI,5,0),1,0)*Table_NFI[[#This Row],[Winter Items Other]],Table_NFI[Winter Items Other])</f>
        <v>0</v>
      </c>
      <c r="AL426" s="436">
        <f>IF(NFI_Expiration=1,IF($A426&lt;VLOOKUP(M$5,NFI,5,0),1,0)*Table_NFI[[#This Row],[Winter Blanket]],Table_NFI[[#This Row],[Winter Blanket]])</f>
        <v>0</v>
      </c>
      <c r="AM426" s="436">
        <f>IF(Table_NFI[[#This Row],[Winter Clothes Adult]]+Table_NFI[[#This Row],[Winter Clothes Children]]+Table_NFI[[#This Row],[Winter Items Other]]+Table_NFI[[#This Row],[Winter Blanket]]&gt;0,1,0)</f>
        <v>0</v>
      </c>
      <c r="AN426" s="439">
        <f>IF(NFI_Expiration=1,IF($A426&lt;VLOOKUP(V$5,NFI,5,0),1,0)*Table_NFI[[#This Row],[Jerry Can]],Table_NFI[Jerry Can])</f>
        <v>0</v>
      </c>
      <c r="AO426" s="771" t="str">
        <f>IFERROR(VLOOKUP(Table_NFI[[#This Row],[Camp Name]],CL,2,0),"")</f>
        <v>MMR001CMP055</v>
      </c>
      <c r="AP426" s="772">
        <f ca="1">IF(Table_NFI[[#This Row],[Pcode]]="","",IF(OFFSET(CampList[Opening Date],MATCH(Table_NFI[[#This Row],[Pcode]],CampList[CP_Pcode],0)-1,0,1,1)&gt;=NFI_Monitor_Date,1,0))</f>
        <v>0</v>
      </c>
      <c r="AQ426" s="771" t="str">
        <f>IFERROR(VLOOKUP(Table_NFI[[#This Row],[Camp Name]],CL,3,0),"")</f>
        <v>Open</v>
      </c>
      <c r="AR426" s="436" t="str">
        <f ca="1">IF(Table_NFI[[#This Row],[Pcode]]="","",OFFSET(CampList[Priority],MATCH(Table_NFI[[#This Row],[Pcode]],CampList[CP_Pcode],0)-1,0,1,1))</f>
        <v>P4</v>
      </c>
      <c r="AS426" s="438">
        <f>IFERROR(Table_NFI[[#This Row],[Kitchen Set]]/VLOOKUP(Table_NFI[[#This Row],[Camp Name]],CL,4,0),"")</f>
        <v>0</v>
      </c>
      <c r="AT426" s="769" t="s">
        <v>1099</v>
      </c>
      <c r="AU426" s="773"/>
    </row>
    <row r="427" spans="1:47" s="774" customFormat="1" x14ac:dyDescent="0.25">
      <c r="A427" s="451">
        <f t="shared" si="6"/>
        <v>25.433333333333334</v>
      </c>
      <c r="B427" s="768">
        <v>41607</v>
      </c>
      <c r="C427" s="769" t="s">
        <v>912</v>
      </c>
      <c r="D427" s="769" t="s">
        <v>462</v>
      </c>
      <c r="E427" s="769" t="s">
        <v>380</v>
      </c>
      <c r="F427" s="769" t="s">
        <v>310</v>
      </c>
      <c r="G427" s="769" t="s">
        <v>336</v>
      </c>
      <c r="H427" s="436"/>
      <c r="I427" s="436"/>
      <c r="J427" s="436"/>
      <c r="K427" s="436"/>
      <c r="L427" s="437"/>
      <c r="M427" s="437"/>
      <c r="N427" s="437"/>
      <c r="O427" s="437"/>
      <c r="P427" s="439"/>
      <c r="Q427" s="439"/>
      <c r="R427" s="436">
        <v>177</v>
      </c>
      <c r="S427" s="436">
        <v>354</v>
      </c>
      <c r="T427" s="436">
        <v>1062</v>
      </c>
      <c r="U427" s="436">
        <v>531</v>
      </c>
      <c r="V427" s="436"/>
      <c r="W427" s="436"/>
      <c r="X427" s="436"/>
      <c r="Y427" s="436">
        <f>IF(NFI_Expiration=1,IF($A427&lt;VLOOKUP(H$5,NFI,5,0),1,0)*Table_NFI[[#This Row],[Hygiene Kit]],Table_NFI[Hygiene Kit])</f>
        <v>0</v>
      </c>
      <c r="Z427" s="436">
        <f>IF(NFI_Expiration=1,IF($A427&lt;VLOOKUP(I$5,NFI,5,0),1,0)*Table_NFI[[#This Row],[NFI Core Kit]],Table_NFI[NFI Core Kit])</f>
        <v>0</v>
      </c>
      <c r="AA427" s="436">
        <f>IF(NFI_Expiration=1,IF($A427&lt;VLOOKUP(J$5,NFI,5,0),1,0)*Table_NFI[[#This Row],[Sanitary Kit]],Table_NFI[Sanitary Kit])</f>
        <v>0</v>
      </c>
      <c r="AB427" s="436">
        <f>IF(NFI_Expiration=1,IF($A427&lt;VLOOKUP(K$5,NFI,5,0),1,0)*Table_NFI[[#This Row],[Mosquito net]],Table_NFI[Mosquito net])</f>
        <v>0</v>
      </c>
      <c r="AC427" s="436">
        <f>IF(NFI_Expiration=1,IF($A427&lt;VLOOKUP(L$5,NFI,5,0),1,0)*Table_NFI[[#This Row],[Tarpaulin]],Table_NFI[[#This Row],[Tarpaulin]])</f>
        <v>0</v>
      </c>
      <c r="AD427" s="436">
        <f>IF(NFI_Expiration=1,IF($A427&lt;VLOOKUP(M$5,NFI,5,0),1,0)*Table_NFI[[#This Row],[Blanket]],Table_NFI[[#This Row],[Blanket]])</f>
        <v>0</v>
      </c>
      <c r="AE427" s="436">
        <f>IF(NFI_Expiration=1,IF($A427&lt;VLOOKUP(N$5,NFI,5,0),1,0)*Table_NFI[[#This Row],[Kitchen Set]],Table_NFI[Kitchen Set])</f>
        <v>0</v>
      </c>
      <c r="AF427" s="436">
        <f>IF(NFI_Expiration=1,IF($A427&lt;VLOOKUP(O$5,NFI,5,0),1,0)*Table_NFI[[#This Row],[Clothes Kit]],Table_NFI[Clothes Kit])</f>
        <v>0</v>
      </c>
      <c r="AG427" s="436">
        <f>IF(NFI_Expiration=1,IF($A427&lt;VLOOKUP(P$5,NFI,5,0),1,0)*Table_NFI[[#This Row],[Plastic Bucket]],Table_NFI[Plastic Bucket])</f>
        <v>0</v>
      </c>
      <c r="AH427" s="436">
        <f>IF(NFI_Expiration=1,IF($A427&lt;VLOOKUP(Q$5,NFI,5,0),1,0)*Table_NFI[[#This Row],[Plastic Mat]],Table_NFI[Plastic Mat])*IF(Table_NFI[[#This Row],[Distribution Date]]&gt;"2014-04-01",1,2.5)</f>
        <v>0</v>
      </c>
      <c r="AI427" s="436">
        <f>IF(NFI_Expiration=1,IF($A427&lt;VLOOKUP(R$5,NFI,5,0),1,0)*Table_NFI[[#This Row],[Winter Clothes Adult]],Table_NFI[Winter Clothes Adult])</f>
        <v>0</v>
      </c>
      <c r="AJ427" s="436">
        <f>IF(NFI_Expiration=1,IF($A427&lt;VLOOKUP(S$5,NFI,5,0),1,0)*Table_NFI[[#This Row],[Winter Clothes Children]],Table_NFI[Winter Clothes Children])</f>
        <v>0</v>
      </c>
      <c r="AK427" s="436">
        <f>IF(NFI_Expiration=1,IF($A427&lt;VLOOKUP(T$5,NFI,5,0),1,0)*Table_NFI[[#This Row],[Winter Items Other]],Table_NFI[Winter Items Other])</f>
        <v>0</v>
      </c>
      <c r="AL427" s="436">
        <f>IF(NFI_Expiration=1,IF($A427&lt;VLOOKUP(M$5,NFI,5,0),1,0)*Table_NFI[[#This Row],[Winter Blanket]],Table_NFI[[#This Row],[Winter Blanket]])</f>
        <v>0</v>
      </c>
      <c r="AM427" s="436">
        <f>IF(Table_NFI[[#This Row],[Winter Clothes Adult]]+Table_NFI[[#This Row],[Winter Clothes Children]]+Table_NFI[[#This Row],[Winter Items Other]]+Table_NFI[[#This Row],[Winter Blanket]]&gt;0,1,0)</f>
        <v>1</v>
      </c>
      <c r="AN427" s="439">
        <f>IF(NFI_Expiration=1,IF($A427&lt;VLOOKUP(V$5,NFI,5,0),1,0)*Table_NFI[[#This Row],[Jerry Can]],Table_NFI[Jerry Can])</f>
        <v>0</v>
      </c>
      <c r="AO427" s="771" t="str">
        <f>IFERROR(VLOOKUP(Table_NFI[[#This Row],[Camp Name]],CL,2,0),"")</f>
        <v>MMR001CMP115</v>
      </c>
      <c r="AP427" s="772">
        <f ca="1">IF(Table_NFI[[#This Row],[Pcode]]="","",IF(OFFSET(CampList[Opening Date],MATCH(Table_NFI[[#This Row],[Pcode]],CampList[CP_Pcode],0)-1,0,1,1)&gt;=NFI_Monitor_Date,1,0))</f>
        <v>0</v>
      </c>
      <c r="AQ427" s="771" t="str">
        <f>IFERROR(VLOOKUP(Table_NFI[[#This Row],[Camp Name]],CL,3,0),"")</f>
        <v>Open</v>
      </c>
      <c r="AR427" s="436" t="str">
        <f ca="1">IF(Table_NFI[[#This Row],[Pcode]]="","",OFFSET(CampList[Priority],MATCH(Table_NFI[[#This Row],[Pcode]],CampList[CP_Pcode],0)-1,0,1,1))</f>
        <v>P1</v>
      </c>
      <c r="AS427" s="438">
        <f>IFERROR(Table_NFI[[#This Row],[Kitchen Set]]/VLOOKUP(Table_NFI[[#This Row],[Camp Name]],CL,4,0),"")</f>
        <v>0</v>
      </c>
      <c r="AT427" s="769"/>
      <c r="AU427" s="773"/>
    </row>
    <row r="428" spans="1:47" s="774" customFormat="1" x14ac:dyDescent="0.25">
      <c r="A428" s="451">
        <f t="shared" si="6"/>
        <v>25.466666666666665</v>
      </c>
      <c r="B428" s="768">
        <v>41606</v>
      </c>
      <c r="C428" s="442" t="s">
        <v>454</v>
      </c>
      <c r="D428" s="442" t="s">
        <v>454</v>
      </c>
      <c r="E428" s="769" t="s">
        <v>380</v>
      </c>
      <c r="F428" s="435" t="s">
        <v>151</v>
      </c>
      <c r="G428" s="435" t="s">
        <v>152</v>
      </c>
      <c r="H428" s="442"/>
      <c r="I428" s="442"/>
      <c r="J428" s="442"/>
      <c r="K428" s="775">
        <v>20</v>
      </c>
      <c r="L428" s="776">
        <v>7</v>
      </c>
      <c r="M428" s="443">
        <v>22</v>
      </c>
      <c r="N428" s="443">
        <v>7</v>
      </c>
      <c r="O428" s="443">
        <v>7</v>
      </c>
      <c r="P428" s="776"/>
      <c r="Q428" s="443"/>
      <c r="R428" s="442"/>
      <c r="S428" s="442"/>
      <c r="T428" s="442"/>
      <c r="U428" s="442"/>
      <c r="V428" s="442"/>
      <c r="W428" s="442"/>
      <c r="X428" s="442"/>
      <c r="Y428" s="436">
        <f>IF(NFI_Expiration=1,IF($A428&lt;VLOOKUP(H$5,NFI,5,0),1,0)*Table_NFI[[#This Row],[Hygiene Kit]],Table_NFI[Hygiene Kit])</f>
        <v>0</v>
      </c>
      <c r="Z428" s="436">
        <f>IF(NFI_Expiration=1,IF($A428&lt;VLOOKUP(I$5,NFI,5,0),1,0)*Table_NFI[[#This Row],[NFI Core Kit]],Table_NFI[NFI Core Kit])</f>
        <v>0</v>
      </c>
      <c r="AA428" s="436">
        <f>IF(NFI_Expiration=1,IF($A428&lt;VLOOKUP(J$5,NFI,5,0),1,0)*Table_NFI[[#This Row],[Sanitary Kit]],Table_NFI[Sanitary Kit])</f>
        <v>0</v>
      </c>
      <c r="AB428" s="436">
        <f>IF(NFI_Expiration=1,IF($A428&lt;VLOOKUP(K$5,NFI,5,0),1,0)*Table_NFI[[#This Row],[Mosquito net]],Table_NFI[Mosquito net])</f>
        <v>0</v>
      </c>
      <c r="AC428" s="436">
        <f>IF(NFI_Expiration=1,IF($A428&lt;VLOOKUP(L$5,NFI,5,0),1,0)*Table_NFI[[#This Row],[Tarpaulin]],Table_NFI[[#This Row],[Tarpaulin]])</f>
        <v>0</v>
      </c>
      <c r="AD428" s="436">
        <f>IF(NFI_Expiration=1,IF($A428&lt;VLOOKUP(M$5,NFI,5,0),1,0)*Table_NFI[[#This Row],[Blanket]],Table_NFI[[#This Row],[Blanket]])</f>
        <v>0</v>
      </c>
      <c r="AE428" s="436">
        <f>IF(NFI_Expiration=1,IF($A428&lt;VLOOKUP(N$5,NFI,5,0),1,0)*Table_NFI[[#This Row],[Kitchen Set]],Table_NFI[Kitchen Set])</f>
        <v>0</v>
      </c>
      <c r="AF428" s="436">
        <f>IF(NFI_Expiration=1,IF($A428&lt;VLOOKUP(O$5,NFI,5,0),1,0)*Table_NFI[[#This Row],[Clothes Kit]],Table_NFI[Clothes Kit])</f>
        <v>0</v>
      </c>
      <c r="AG428" s="436">
        <f>IF(NFI_Expiration=1,IF($A428&lt;VLOOKUP(P$5,NFI,5,0),1,0)*Table_NFI[[#This Row],[Plastic Bucket]],Table_NFI[Plastic Bucket])</f>
        <v>0</v>
      </c>
      <c r="AH428" s="436">
        <f>IF(NFI_Expiration=1,IF($A428&lt;VLOOKUP(Q$5,NFI,5,0),1,0)*Table_NFI[[#This Row],[Plastic Mat]],Table_NFI[Plastic Mat])*IF(Table_NFI[[#This Row],[Distribution Date]]&gt;"2014-04-01",1,2.5)</f>
        <v>0</v>
      </c>
      <c r="AI428" s="436">
        <f>IF(NFI_Expiration=1,IF($A428&lt;VLOOKUP(R$5,NFI,5,0),1,0)*Table_NFI[[#This Row],[Winter Clothes Adult]],Table_NFI[Winter Clothes Adult])</f>
        <v>0</v>
      </c>
      <c r="AJ428" s="436">
        <f>IF(NFI_Expiration=1,IF($A428&lt;VLOOKUP(S$5,NFI,5,0),1,0)*Table_NFI[[#This Row],[Winter Clothes Children]],Table_NFI[Winter Clothes Children])</f>
        <v>0</v>
      </c>
      <c r="AK428" s="436">
        <f>IF(NFI_Expiration=1,IF($A428&lt;VLOOKUP(T$5,NFI,5,0),1,0)*Table_NFI[[#This Row],[Winter Items Other]],Table_NFI[Winter Items Other])</f>
        <v>0</v>
      </c>
      <c r="AL428" s="436">
        <f>IF(NFI_Expiration=1,IF($A428&lt;VLOOKUP(M$5,NFI,5,0),1,0)*Table_NFI[[#This Row],[Winter Blanket]],Table_NFI[[#This Row],[Winter Blanket]])</f>
        <v>0</v>
      </c>
      <c r="AM428" s="436">
        <f>IF(Table_NFI[[#This Row],[Winter Clothes Adult]]+Table_NFI[[#This Row],[Winter Clothes Children]]+Table_NFI[[#This Row],[Winter Items Other]]+Table_NFI[[#This Row],[Winter Blanket]]&gt;0,1,0)</f>
        <v>0</v>
      </c>
      <c r="AN428" s="439">
        <f>IF(NFI_Expiration=1,IF($A428&lt;VLOOKUP(V$5,NFI,5,0),1,0)*Table_NFI[[#This Row],[Jerry Can]],Table_NFI[Jerry Can])</f>
        <v>0</v>
      </c>
      <c r="AO428" s="771" t="str">
        <f>IFERROR(VLOOKUP(Table_NFI[[#This Row],[Camp Name]],CL,2,0),"")</f>
        <v>MMR001CMP066</v>
      </c>
      <c r="AP428" s="772">
        <f ca="1">IF(Table_NFI[[#This Row],[Pcode]]="","",IF(OFFSET(CampList[Opening Date],MATCH(Table_NFI[[#This Row],[Pcode]],CampList[CP_Pcode],0)-1,0,1,1)&gt;=NFI_Monitor_Date,1,0))</f>
        <v>0</v>
      </c>
      <c r="AQ428" s="781" t="str">
        <f>IFERROR(VLOOKUP(Table_NFI[[#This Row],[Camp Name]],CL,3,0),"")</f>
        <v>Open</v>
      </c>
      <c r="AR428" s="439" t="str">
        <f ca="1">IF(Table_NFI[[#This Row],[Pcode]]="","",OFFSET(CampList[Priority],MATCH(Table_NFI[[#This Row],[Pcode]],CampList[CP_Pcode],0)-1,0,1,1))</f>
        <v>P4</v>
      </c>
      <c r="AS428" s="438">
        <f>IFERROR(Table_NFI[[#This Row],[Kitchen Set]]/VLOOKUP(Table_NFI[[#This Row],[Camp Name]],CL,4,0),"")</f>
        <v>3.1674208144796379E-2</v>
      </c>
      <c r="AT428" s="769" t="s">
        <v>1099</v>
      </c>
      <c r="AU428" s="773"/>
    </row>
    <row r="429" spans="1:47" s="774" customFormat="1" x14ac:dyDescent="0.25">
      <c r="A429" s="451">
        <f t="shared" si="6"/>
        <v>25.466666666666665</v>
      </c>
      <c r="B429" s="768">
        <v>41606</v>
      </c>
      <c r="C429" s="769" t="s">
        <v>912</v>
      </c>
      <c r="D429" s="769" t="s">
        <v>462</v>
      </c>
      <c r="E429" s="769" t="s">
        <v>380</v>
      </c>
      <c r="F429" s="769" t="s">
        <v>310</v>
      </c>
      <c r="G429" s="769" t="s">
        <v>1259</v>
      </c>
      <c r="H429" s="436"/>
      <c r="I429" s="436"/>
      <c r="J429" s="436"/>
      <c r="K429" s="436"/>
      <c r="L429" s="437"/>
      <c r="M429" s="437"/>
      <c r="N429" s="437"/>
      <c r="O429" s="437"/>
      <c r="P429" s="439"/>
      <c r="Q429" s="439"/>
      <c r="R429" s="436">
        <v>636</v>
      </c>
      <c r="S429" s="436">
        <v>1272</v>
      </c>
      <c r="T429" s="436">
        <v>3816</v>
      </c>
      <c r="U429" s="436">
        <v>1908</v>
      </c>
      <c r="V429" s="436"/>
      <c r="W429" s="436"/>
      <c r="X429" s="436"/>
      <c r="Y429" s="436">
        <f>IF(NFI_Expiration=1,IF($A429&lt;VLOOKUP(H$5,NFI,5,0),1,0)*Table_NFI[[#This Row],[Hygiene Kit]],Table_NFI[Hygiene Kit])</f>
        <v>0</v>
      </c>
      <c r="Z429" s="436">
        <f>IF(NFI_Expiration=1,IF($A429&lt;VLOOKUP(I$5,NFI,5,0),1,0)*Table_NFI[[#This Row],[NFI Core Kit]],Table_NFI[NFI Core Kit])</f>
        <v>0</v>
      </c>
      <c r="AA429" s="436">
        <f>IF(NFI_Expiration=1,IF($A429&lt;VLOOKUP(J$5,NFI,5,0),1,0)*Table_NFI[[#This Row],[Sanitary Kit]],Table_NFI[Sanitary Kit])</f>
        <v>0</v>
      </c>
      <c r="AB429" s="436">
        <f>IF(NFI_Expiration=1,IF($A429&lt;VLOOKUP(K$5,NFI,5,0),1,0)*Table_NFI[[#This Row],[Mosquito net]],Table_NFI[Mosquito net])</f>
        <v>0</v>
      </c>
      <c r="AC429" s="436">
        <f>IF(NFI_Expiration=1,IF($A429&lt;VLOOKUP(L$5,NFI,5,0),1,0)*Table_NFI[[#This Row],[Tarpaulin]],Table_NFI[[#This Row],[Tarpaulin]])</f>
        <v>0</v>
      </c>
      <c r="AD429" s="436">
        <f>IF(NFI_Expiration=1,IF($A429&lt;VLOOKUP(M$5,NFI,5,0),1,0)*Table_NFI[[#This Row],[Blanket]],Table_NFI[[#This Row],[Blanket]])</f>
        <v>0</v>
      </c>
      <c r="AE429" s="436">
        <f>IF(NFI_Expiration=1,IF($A429&lt;VLOOKUP(N$5,NFI,5,0),1,0)*Table_NFI[[#This Row],[Kitchen Set]],Table_NFI[Kitchen Set])</f>
        <v>0</v>
      </c>
      <c r="AF429" s="436">
        <f>IF(NFI_Expiration=1,IF($A429&lt;VLOOKUP(O$5,NFI,5,0),1,0)*Table_NFI[[#This Row],[Clothes Kit]],Table_NFI[Clothes Kit])</f>
        <v>0</v>
      </c>
      <c r="AG429" s="436">
        <f>IF(NFI_Expiration=1,IF($A429&lt;VLOOKUP(P$5,NFI,5,0),1,0)*Table_NFI[[#This Row],[Plastic Bucket]],Table_NFI[Plastic Bucket])</f>
        <v>0</v>
      </c>
      <c r="AH429" s="436">
        <f>IF(NFI_Expiration=1,IF($A429&lt;VLOOKUP(Q$5,NFI,5,0),1,0)*Table_NFI[[#This Row],[Plastic Mat]],Table_NFI[Plastic Mat])*IF(Table_NFI[[#This Row],[Distribution Date]]&gt;"2014-04-01",1,2.5)</f>
        <v>0</v>
      </c>
      <c r="AI429" s="436">
        <f>IF(NFI_Expiration=1,IF($A429&lt;VLOOKUP(R$5,NFI,5,0),1,0)*Table_NFI[[#This Row],[Winter Clothes Adult]],Table_NFI[Winter Clothes Adult])</f>
        <v>0</v>
      </c>
      <c r="AJ429" s="436">
        <f>IF(NFI_Expiration=1,IF($A429&lt;VLOOKUP(S$5,NFI,5,0),1,0)*Table_NFI[[#This Row],[Winter Clothes Children]],Table_NFI[Winter Clothes Children])</f>
        <v>0</v>
      </c>
      <c r="AK429" s="436">
        <f>IF(NFI_Expiration=1,IF($A429&lt;VLOOKUP(T$5,NFI,5,0),1,0)*Table_NFI[[#This Row],[Winter Items Other]],Table_NFI[Winter Items Other])</f>
        <v>0</v>
      </c>
      <c r="AL429" s="436">
        <f>IF(NFI_Expiration=1,IF($A429&lt;VLOOKUP(M$5,NFI,5,0),1,0)*Table_NFI[[#This Row],[Winter Blanket]],Table_NFI[[#This Row],[Winter Blanket]])</f>
        <v>0</v>
      </c>
      <c r="AM429" s="436">
        <f>IF(Table_NFI[[#This Row],[Winter Clothes Adult]]+Table_NFI[[#This Row],[Winter Clothes Children]]+Table_NFI[[#This Row],[Winter Items Other]]+Table_NFI[[#This Row],[Winter Blanket]]&gt;0,1,0)</f>
        <v>1</v>
      </c>
      <c r="AN429" s="439">
        <f>IF(NFI_Expiration=1,IF($A429&lt;VLOOKUP(V$5,NFI,5,0),1,0)*Table_NFI[[#This Row],[Jerry Can]],Table_NFI[Jerry Can])</f>
        <v>0</v>
      </c>
      <c r="AO429" s="771" t="str">
        <f>IFERROR(VLOOKUP(Table_NFI[[#This Row],[Camp Name]],CL,2,0),"")</f>
        <v>MMR001CMP111</v>
      </c>
      <c r="AP429" s="772">
        <f ca="1">IF(Table_NFI[[#This Row],[Pcode]]="","",IF(OFFSET(CampList[Opening Date],MATCH(Table_NFI[[#This Row],[Pcode]],CampList[CP_Pcode],0)-1,0,1,1)&gt;=NFI_Monitor_Date,1,0))</f>
        <v>0</v>
      </c>
      <c r="AQ429" s="771" t="str">
        <f>IFERROR(VLOOKUP(Table_NFI[[#This Row],[Camp Name]],CL,3,0),"")</f>
        <v>Open</v>
      </c>
      <c r="AR429" s="436" t="str">
        <f ca="1">IF(Table_NFI[[#This Row],[Pcode]]="","",OFFSET(CampList[Priority],MATCH(Table_NFI[[#This Row],[Pcode]],CampList[CP_Pcode],0)-1,0,1,1))</f>
        <v>P2</v>
      </c>
      <c r="AS429" s="438">
        <f>IFERROR(Table_NFI[[#This Row],[Kitchen Set]]/VLOOKUP(Table_NFI[[#This Row],[Camp Name]],CL,4,0),"")</f>
        <v>0</v>
      </c>
      <c r="AT429" s="769"/>
      <c r="AU429" s="773"/>
    </row>
    <row r="430" spans="1:47" s="774" customFormat="1" x14ac:dyDescent="0.25">
      <c r="A430" s="451">
        <f t="shared" si="6"/>
        <v>25.533333333333335</v>
      </c>
      <c r="B430" s="768">
        <v>41604</v>
      </c>
      <c r="C430" s="442" t="s">
        <v>454</v>
      </c>
      <c r="D430" s="442" t="s">
        <v>454</v>
      </c>
      <c r="E430" s="769" t="s">
        <v>380</v>
      </c>
      <c r="F430" s="769" t="s">
        <v>5</v>
      </c>
      <c r="G430" s="435" t="s">
        <v>514</v>
      </c>
      <c r="H430" s="442"/>
      <c r="I430" s="442"/>
      <c r="J430" s="442"/>
      <c r="K430" s="775">
        <v>11</v>
      </c>
      <c r="L430" s="776">
        <v>5</v>
      </c>
      <c r="M430" s="443">
        <v>11</v>
      </c>
      <c r="N430" s="443">
        <v>5</v>
      </c>
      <c r="O430" s="443">
        <v>5</v>
      </c>
      <c r="P430" s="776"/>
      <c r="Q430" s="443"/>
      <c r="R430" s="442"/>
      <c r="S430" s="442"/>
      <c r="T430" s="442"/>
      <c r="U430" s="442"/>
      <c r="V430" s="442"/>
      <c r="W430" s="442"/>
      <c r="X430" s="442"/>
      <c r="Y430" s="436">
        <f>IF(NFI_Expiration=1,IF($A430&lt;VLOOKUP(H$5,NFI,5,0),1,0)*Table_NFI[[#This Row],[Hygiene Kit]],Table_NFI[Hygiene Kit])</f>
        <v>0</v>
      </c>
      <c r="Z430" s="436">
        <f>IF(NFI_Expiration=1,IF($A430&lt;VLOOKUP(I$5,NFI,5,0),1,0)*Table_NFI[[#This Row],[NFI Core Kit]],Table_NFI[NFI Core Kit])</f>
        <v>0</v>
      </c>
      <c r="AA430" s="436">
        <f>IF(NFI_Expiration=1,IF($A430&lt;VLOOKUP(J$5,NFI,5,0),1,0)*Table_NFI[[#This Row],[Sanitary Kit]],Table_NFI[Sanitary Kit])</f>
        <v>0</v>
      </c>
      <c r="AB430" s="436">
        <f>IF(NFI_Expiration=1,IF($A430&lt;VLOOKUP(K$5,NFI,5,0),1,0)*Table_NFI[[#This Row],[Mosquito net]],Table_NFI[Mosquito net])</f>
        <v>0</v>
      </c>
      <c r="AC430" s="436">
        <f>IF(NFI_Expiration=1,IF($A430&lt;VLOOKUP(L$5,NFI,5,0),1,0)*Table_NFI[[#This Row],[Tarpaulin]],Table_NFI[[#This Row],[Tarpaulin]])</f>
        <v>0</v>
      </c>
      <c r="AD430" s="436">
        <f>IF(NFI_Expiration=1,IF($A430&lt;VLOOKUP(M$5,NFI,5,0),1,0)*Table_NFI[[#This Row],[Blanket]],Table_NFI[[#This Row],[Blanket]])</f>
        <v>0</v>
      </c>
      <c r="AE430" s="436">
        <f>IF(NFI_Expiration=1,IF($A430&lt;VLOOKUP(N$5,NFI,5,0),1,0)*Table_NFI[[#This Row],[Kitchen Set]],Table_NFI[Kitchen Set])</f>
        <v>0</v>
      </c>
      <c r="AF430" s="436">
        <f>IF(NFI_Expiration=1,IF($A430&lt;VLOOKUP(O$5,NFI,5,0),1,0)*Table_NFI[[#This Row],[Clothes Kit]],Table_NFI[Clothes Kit])</f>
        <v>0</v>
      </c>
      <c r="AG430" s="436">
        <f>IF(NFI_Expiration=1,IF($A430&lt;VLOOKUP(P$5,NFI,5,0),1,0)*Table_NFI[[#This Row],[Plastic Bucket]],Table_NFI[Plastic Bucket])</f>
        <v>0</v>
      </c>
      <c r="AH430" s="436">
        <f>IF(NFI_Expiration=1,IF($A430&lt;VLOOKUP(Q$5,NFI,5,0),1,0)*Table_NFI[[#This Row],[Plastic Mat]],Table_NFI[Plastic Mat])*IF(Table_NFI[[#This Row],[Distribution Date]]&gt;"2014-04-01",1,2.5)</f>
        <v>0</v>
      </c>
      <c r="AI430" s="436">
        <f>IF(NFI_Expiration=1,IF($A430&lt;VLOOKUP(R$5,NFI,5,0),1,0)*Table_NFI[[#This Row],[Winter Clothes Adult]],Table_NFI[Winter Clothes Adult])</f>
        <v>0</v>
      </c>
      <c r="AJ430" s="436">
        <f>IF(NFI_Expiration=1,IF($A430&lt;VLOOKUP(S$5,NFI,5,0),1,0)*Table_NFI[[#This Row],[Winter Clothes Children]],Table_NFI[Winter Clothes Children])</f>
        <v>0</v>
      </c>
      <c r="AK430" s="436">
        <f>IF(NFI_Expiration=1,IF($A430&lt;VLOOKUP(T$5,NFI,5,0),1,0)*Table_NFI[[#This Row],[Winter Items Other]],Table_NFI[Winter Items Other])</f>
        <v>0</v>
      </c>
      <c r="AL430" s="436">
        <f>IF(NFI_Expiration=1,IF($A430&lt;VLOOKUP(M$5,NFI,5,0),1,0)*Table_NFI[[#This Row],[Winter Blanket]],Table_NFI[[#This Row],[Winter Blanket]])</f>
        <v>0</v>
      </c>
      <c r="AM430" s="436">
        <f>IF(Table_NFI[[#This Row],[Winter Clothes Adult]]+Table_NFI[[#This Row],[Winter Clothes Children]]+Table_NFI[[#This Row],[Winter Items Other]]+Table_NFI[[#This Row],[Winter Blanket]]&gt;0,1,0)</f>
        <v>0</v>
      </c>
      <c r="AN430" s="439">
        <f>IF(NFI_Expiration=1,IF($A430&lt;VLOOKUP(V$5,NFI,5,0),1,0)*Table_NFI[[#This Row],[Jerry Can]],Table_NFI[Jerry Can])</f>
        <v>0</v>
      </c>
      <c r="AO430" s="771" t="str">
        <f>IFERROR(VLOOKUP(Table_NFI[[#This Row],[Camp Name]],CL,2,0),"")</f>
        <v>MMR001CMP194</v>
      </c>
      <c r="AP430" s="772">
        <f ca="1">IF(Table_NFI[[#This Row],[Pcode]]="","",IF(OFFSET(CampList[Opening Date],MATCH(Table_NFI[[#This Row],[Pcode]],CampList[CP_Pcode],0)-1,0,1,1)&gt;=NFI_Monitor_Date,1,0))</f>
        <v>0</v>
      </c>
      <c r="AQ430" s="781" t="str">
        <f>IFERROR(VLOOKUP(Table_NFI[[#This Row],[Camp Name]],CL,3,0),"")</f>
        <v>Open</v>
      </c>
      <c r="AR430" s="439" t="str">
        <f ca="1">IF(Table_NFI[[#This Row],[Pcode]]="","",OFFSET(CampList[Priority],MATCH(Table_NFI[[#This Row],[Pcode]],CampList[CP_Pcode],0)-1,0,1,1))</f>
        <v>P4</v>
      </c>
      <c r="AS430" s="438">
        <f>IFERROR(Table_NFI[[#This Row],[Kitchen Set]]/VLOOKUP(Table_NFI[[#This Row],[Camp Name]],CL,4,0),"")</f>
        <v>0.41666666666666669</v>
      </c>
      <c r="AT430" s="769" t="s">
        <v>1099</v>
      </c>
      <c r="AU430" s="773"/>
    </row>
    <row r="431" spans="1:47" s="774" customFormat="1" x14ac:dyDescent="0.25">
      <c r="A431" s="451">
        <f t="shared" si="6"/>
        <v>25.533333333333335</v>
      </c>
      <c r="B431" s="768">
        <v>41604</v>
      </c>
      <c r="C431" s="442" t="s">
        <v>454</v>
      </c>
      <c r="D431" s="442" t="s">
        <v>454</v>
      </c>
      <c r="E431" s="769" t="s">
        <v>380</v>
      </c>
      <c r="F431" s="769" t="s">
        <v>5</v>
      </c>
      <c r="G431" s="435" t="s">
        <v>12</v>
      </c>
      <c r="H431" s="442"/>
      <c r="I431" s="442"/>
      <c r="J431" s="442"/>
      <c r="K431" s="775">
        <v>25</v>
      </c>
      <c r="L431" s="776">
        <v>13</v>
      </c>
      <c r="M431" s="443">
        <v>25</v>
      </c>
      <c r="N431" s="443">
        <v>13</v>
      </c>
      <c r="O431" s="443">
        <v>13</v>
      </c>
      <c r="P431" s="776"/>
      <c r="Q431" s="443"/>
      <c r="R431" s="442"/>
      <c r="S431" s="442"/>
      <c r="T431" s="442"/>
      <c r="U431" s="442"/>
      <c r="V431" s="442"/>
      <c r="W431" s="442"/>
      <c r="X431" s="442"/>
      <c r="Y431" s="436">
        <f>IF(NFI_Expiration=1,IF($A431&lt;VLOOKUP(H$5,NFI,5,0),1,0)*Table_NFI[[#This Row],[Hygiene Kit]],Table_NFI[Hygiene Kit])</f>
        <v>0</v>
      </c>
      <c r="Z431" s="436">
        <f>IF(NFI_Expiration=1,IF($A431&lt;VLOOKUP(I$5,NFI,5,0),1,0)*Table_NFI[[#This Row],[NFI Core Kit]],Table_NFI[NFI Core Kit])</f>
        <v>0</v>
      </c>
      <c r="AA431" s="436">
        <f>IF(NFI_Expiration=1,IF($A431&lt;VLOOKUP(J$5,NFI,5,0),1,0)*Table_NFI[[#This Row],[Sanitary Kit]],Table_NFI[Sanitary Kit])</f>
        <v>0</v>
      </c>
      <c r="AB431" s="436">
        <f>IF(NFI_Expiration=1,IF($A431&lt;VLOOKUP(K$5,NFI,5,0),1,0)*Table_NFI[[#This Row],[Mosquito net]],Table_NFI[Mosquito net])</f>
        <v>0</v>
      </c>
      <c r="AC431" s="436">
        <f>IF(NFI_Expiration=1,IF($A431&lt;VLOOKUP(L$5,NFI,5,0),1,0)*Table_NFI[[#This Row],[Tarpaulin]],Table_NFI[[#This Row],[Tarpaulin]])</f>
        <v>0</v>
      </c>
      <c r="AD431" s="436">
        <f>IF(NFI_Expiration=1,IF($A431&lt;VLOOKUP(M$5,NFI,5,0),1,0)*Table_NFI[[#This Row],[Blanket]],Table_NFI[[#This Row],[Blanket]])</f>
        <v>0</v>
      </c>
      <c r="AE431" s="436">
        <f>IF(NFI_Expiration=1,IF($A431&lt;VLOOKUP(N$5,NFI,5,0),1,0)*Table_NFI[[#This Row],[Kitchen Set]],Table_NFI[Kitchen Set])</f>
        <v>0</v>
      </c>
      <c r="AF431" s="436">
        <f>IF(NFI_Expiration=1,IF($A431&lt;VLOOKUP(O$5,NFI,5,0),1,0)*Table_NFI[[#This Row],[Clothes Kit]],Table_NFI[Clothes Kit])</f>
        <v>0</v>
      </c>
      <c r="AG431" s="436">
        <f>IF(NFI_Expiration=1,IF($A431&lt;VLOOKUP(P$5,NFI,5,0),1,0)*Table_NFI[[#This Row],[Plastic Bucket]],Table_NFI[Plastic Bucket])</f>
        <v>0</v>
      </c>
      <c r="AH431" s="436">
        <f>IF(NFI_Expiration=1,IF($A431&lt;VLOOKUP(Q$5,NFI,5,0),1,0)*Table_NFI[[#This Row],[Plastic Mat]],Table_NFI[Plastic Mat])*IF(Table_NFI[[#This Row],[Distribution Date]]&gt;"2014-04-01",1,2.5)</f>
        <v>0</v>
      </c>
      <c r="AI431" s="436">
        <f>IF(NFI_Expiration=1,IF($A431&lt;VLOOKUP(R$5,NFI,5,0),1,0)*Table_NFI[[#This Row],[Winter Clothes Adult]],Table_NFI[Winter Clothes Adult])</f>
        <v>0</v>
      </c>
      <c r="AJ431" s="436">
        <f>IF(NFI_Expiration=1,IF($A431&lt;VLOOKUP(S$5,NFI,5,0),1,0)*Table_NFI[[#This Row],[Winter Clothes Children]],Table_NFI[Winter Clothes Children])</f>
        <v>0</v>
      </c>
      <c r="AK431" s="436">
        <f>IF(NFI_Expiration=1,IF($A431&lt;VLOOKUP(T$5,NFI,5,0),1,0)*Table_NFI[[#This Row],[Winter Items Other]],Table_NFI[Winter Items Other])</f>
        <v>0</v>
      </c>
      <c r="AL431" s="436">
        <f>IF(NFI_Expiration=1,IF($A431&lt;VLOOKUP(M$5,NFI,5,0),1,0)*Table_NFI[[#This Row],[Winter Blanket]],Table_NFI[[#This Row],[Winter Blanket]])</f>
        <v>0</v>
      </c>
      <c r="AM431" s="436">
        <f>IF(Table_NFI[[#This Row],[Winter Clothes Adult]]+Table_NFI[[#This Row],[Winter Clothes Children]]+Table_NFI[[#This Row],[Winter Items Other]]+Table_NFI[[#This Row],[Winter Blanket]]&gt;0,1,0)</f>
        <v>0</v>
      </c>
      <c r="AN431" s="439">
        <f>IF(NFI_Expiration=1,IF($A431&lt;VLOOKUP(V$5,NFI,5,0),1,0)*Table_NFI[[#This Row],[Jerry Can]],Table_NFI[Jerry Can])</f>
        <v>0</v>
      </c>
      <c r="AO431" s="771" t="str">
        <f>IFERROR(VLOOKUP(Table_NFI[[#This Row],[Camp Name]],CL,2,0),"")</f>
        <v>MMR001CMP163</v>
      </c>
      <c r="AP431" s="772">
        <f ca="1">IF(Table_NFI[[#This Row],[Pcode]]="","",IF(OFFSET(CampList[Opening Date],MATCH(Table_NFI[[#This Row],[Pcode]],CampList[CP_Pcode],0)-1,0,1,1)&gt;=NFI_Monitor_Date,1,0))</f>
        <v>0</v>
      </c>
      <c r="AQ431" s="781" t="str">
        <f>IFERROR(VLOOKUP(Table_NFI[[#This Row],[Camp Name]],CL,3,0),"")</f>
        <v>Open</v>
      </c>
      <c r="AR431" s="439" t="str">
        <f ca="1">IF(Table_NFI[[#This Row],[Pcode]]="","",OFFSET(CampList[Priority],MATCH(Table_NFI[[#This Row],[Pcode]],CampList[CP_Pcode],0)-1,0,1,1))</f>
        <v>P4</v>
      </c>
      <c r="AS431" s="438">
        <f>IFERROR(Table_NFI[[#This Row],[Kitchen Set]]/VLOOKUP(Table_NFI[[#This Row],[Camp Name]],CL,4,0),"")</f>
        <v>6.1611374407582936E-2</v>
      </c>
      <c r="AT431" s="769" t="s">
        <v>1099</v>
      </c>
      <c r="AU431" s="773"/>
    </row>
    <row r="432" spans="1:47" s="774" customFormat="1" x14ac:dyDescent="0.25">
      <c r="A432" s="451">
        <f t="shared" si="6"/>
        <v>25.533333333333335</v>
      </c>
      <c r="B432" s="768">
        <v>41604</v>
      </c>
      <c r="C432" s="769" t="s">
        <v>912</v>
      </c>
      <c r="D432" s="769" t="s">
        <v>912</v>
      </c>
      <c r="E432" s="769" t="s">
        <v>380</v>
      </c>
      <c r="F432" s="769" t="s">
        <v>151</v>
      </c>
      <c r="G432" s="769" t="s">
        <v>518</v>
      </c>
      <c r="H432" s="436"/>
      <c r="I432" s="436"/>
      <c r="J432" s="436"/>
      <c r="K432" s="436"/>
      <c r="L432" s="437"/>
      <c r="M432" s="437"/>
      <c r="N432" s="437"/>
      <c r="O432" s="437"/>
      <c r="P432" s="439"/>
      <c r="Q432" s="439"/>
      <c r="R432" s="436">
        <v>80</v>
      </c>
      <c r="S432" s="436">
        <v>160</v>
      </c>
      <c r="T432" s="436">
        <v>480</v>
      </c>
      <c r="U432" s="436">
        <v>240</v>
      </c>
      <c r="V432" s="436"/>
      <c r="W432" s="436"/>
      <c r="X432" s="436"/>
      <c r="Y432" s="436">
        <f>IF(NFI_Expiration=1,IF($A432&lt;VLOOKUP(H$5,NFI,5,0),1,0)*Table_NFI[[#This Row],[Hygiene Kit]],Table_NFI[Hygiene Kit])</f>
        <v>0</v>
      </c>
      <c r="Z432" s="436">
        <f>IF(NFI_Expiration=1,IF($A432&lt;VLOOKUP(I$5,NFI,5,0),1,0)*Table_NFI[[#This Row],[NFI Core Kit]],Table_NFI[NFI Core Kit])</f>
        <v>0</v>
      </c>
      <c r="AA432" s="436">
        <f>IF(NFI_Expiration=1,IF($A432&lt;VLOOKUP(J$5,NFI,5,0),1,0)*Table_NFI[[#This Row],[Sanitary Kit]],Table_NFI[Sanitary Kit])</f>
        <v>0</v>
      </c>
      <c r="AB432" s="436">
        <f>IF(NFI_Expiration=1,IF($A432&lt;VLOOKUP(K$5,NFI,5,0),1,0)*Table_NFI[[#This Row],[Mosquito net]],Table_NFI[Mosquito net])</f>
        <v>0</v>
      </c>
      <c r="AC432" s="436">
        <f>IF(NFI_Expiration=1,IF($A432&lt;VLOOKUP(L$5,NFI,5,0),1,0)*Table_NFI[[#This Row],[Tarpaulin]],Table_NFI[[#This Row],[Tarpaulin]])</f>
        <v>0</v>
      </c>
      <c r="AD432" s="436">
        <f>IF(NFI_Expiration=1,IF($A432&lt;VLOOKUP(M$5,NFI,5,0),1,0)*Table_NFI[[#This Row],[Blanket]],Table_NFI[[#This Row],[Blanket]])</f>
        <v>0</v>
      </c>
      <c r="AE432" s="436">
        <f>IF(NFI_Expiration=1,IF($A432&lt;VLOOKUP(N$5,NFI,5,0),1,0)*Table_NFI[[#This Row],[Kitchen Set]],Table_NFI[Kitchen Set])</f>
        <v>0</v>
      </c>
      <c r="AF432" s="436">
        <f>IF(NFI_Expiration=1,IF($A432&lt;VLOOKUP(O$5,NFI,5,0),1,0)*Table_NFI[[#This Row],[Clothes Kit]],Table_NFI[Clothes Kit])</f>
        <v>0</v>
      </c>
      <c r="AG432" s="436">
        <f>IF(NFI_Expiration=1,IF($A432&lt;VLOOKUP(P$5,NFI,5,0),1,0)*Table_NFI[[#This Row],[Plastic Bucket]],Table_NFI[Plastic Bucket])</f>
        <v>0</v>
      </c>
      <c r="AH432" s="436">
        <f>IF(NFI_Expiration=1,IF($A432&lt;VLOOKUP(Q$5,NFI,5,0),1,0)*Table_NFI[[#This Row],[Plastic Mat]],Table_NFI[Plastic Mat])*IF(Table_NFI[[#This Row],[Distribution Date]]&gt;"2014-04-01",1,2.5)</f>
        <v>0</v>
      </c>
      <c r="AI432" s="436">
        <f>IF(NFI_Expiration=1,IF($A432&lt;VLOOKUP(R$5,NFI,5,0),1,0)*Table_NFI[[#This Row],[Winter Clothes Adult]],Table_NFI[Winter Clothes Adult])</f>
        <v>0</v>
      </c>
      <c r="AJ432" s="436">
        <f>IF(NFI_Expiration=1,IF($A432&lt;VLOOKUP(S$5,NFI,5,0),1,0)*Table_NFI[[#This Row],[Winter Clothes Children]],Table_NFI[Winter Clothes Children])</f>
        <v>0</v>
      </c>
      <c r="AK432" s="436">
        <f>IF(NFI_Expiration=1,IF($A432&lt;VLOOKUP(T$5,NFI,5,0),1,0)*Table_NFI[[#This Row],[Winter Items Other]],Table_NFI[Winter Items Other])</f>
        <v>0</v>
      </c>
      <c r="AL432" s="436">
        <f>IF(NFI_Expiration=1,IF($A432&lt;VLOOKUP(M$5,NFI,5,0),1,0)*Table_NFI[[#This Row],[Winter Blanket]],Table_NFI[[#This Row],[Winter Blanket]])</f>
        <v>0</v>
      </c>
      <c r="AM432" s="436">
        <f>IF(Table_NFI[[#This Row],[Winter Clothes Adult]]+Table_NFI[[#This Row],[Winter Clothes Children]]+Table_NFI[[#This Row],[Winter Items Other]]+Table_NFI[[#This Row],[Winter Blanket]]&gt;0,1,0)</f>
        <v>1</v>
      </c>
      <c r="AN432" s="439">
        <f>IF(NFI_Expiration=1,IF($A432&lt;VLOOKUP(V$5,NFI,5,0),1,0)*Table_NFI[[#This Row],[Jerry Can]],Table_NFI[Jerry Can])</f>
        <v>0</v>
      </c>
      <c r="AO432" s="771" t="str">
        <f>IFERROR(VLOOKUP(Table_NFI[[#This Row],[Camp Name]],CL,2,0),"")</f>
        <v>MMR001CMP202</v>
      </c>
      <c r="AP432" s="772">
        <f ca="1">IF(Table_NFI[[#This Row],[Pcode]]="","",IF(OFFSET(CampList[Opening Date],MATCH(Table_NFI[[#This Row],[Pcode]],CampList[CP_Pcode],0)-1,0,1,1)&gt;=NFI_Monitor_Date,1,0))</f>
        <v>0</v>
      </c>
      <c r="AQ432" s="771" t="str">
        <f>IFERROR(VLOOKUP(Table_NFI[[#This Row],[Camp Name]],CL,3,0),"")</f>
        <v>Closed</v>
      </c>
      <c r="AR432" s="436" t="str">
        <f ca="1">IF(Table_NFI[[#This Row],[Pcode]]="","",OFFSET(CampList[Priority],MATCH(Table_NFI[[#This Row],[Pcode]],CampList[CP_Pcode],0)-1,0,1,1))</f>
        <v>P4</v>
      </c>
      <c r="AS432" s="438" t="str">
        <f>IFERROR(Table_NFI[[#This Row],[Kitchen Set]]/VLOOKUP(Table_NFI[[#This Row],[Camp Name]],CL,4,0),"")</f>
        <v/>
      </c>
      <c r="AT432" s="769"/>
      <c r="AU432" s="773"/>
    </row>
    <row r="433" spans="1:47" s="774" customFormat="1" x14ac:dyDescent="0.25">
      <c r="A433" s="451">
        <f t="shared" si="6"/>
        <v>25.533333333333335</v>
      </c>
      <c r="B433" s="768">
        <v>41604</v>
      </c>
      <c r="C433" s="442" t="s">
        <v>454</v>
      </c>
      <c r="D433" s="442" t="s">
        <v>454</v>
      </c>
      <c r="E433" s="769" t="s">
        <v>380</v>
      </c>
      <c r="F433" s="769" t="s">
        <v>5</v>
      </c>
      <c r="G433" s="435" t="s">
        <v>18</v>
      </c>
      <c r="H433" s="442"/>
      <c r="I433" s="442"/>
      <c r="J433" s="442"/>
      <c r="K433" s="775">
        <v>31</v>
      </c>
      <c r="L433" s="776">
        <v>13</v>
      </c>
      <c r="M433" s="443">
        <v>31</v>
      </c>
      <c r="N433" s="443">
        <v>13</v>
      </c>
      <c r="O433" s="443">
        <v>13</v>
      </c>
      <c r="P433" s="776"/>
      <c r="Q433" s="443"/>
      <c r="R433" s="442"/>
      <c r="S433" s="442"/>
      <c r="T433" s="442"/>
      <c r="U433" s="442"/>
      <c r="V433" s="442"/>
      <c r="W433" s="442"/>
      <c r="X433" s="442"/>
      <c r="Y433" s="436">
        <f>IF(NFI_Expiration=1,IF($A433&lt;VLOOKUP(H$5,NFI,5,0),1,0)*Table_NFI[[#This Row],[Hygiene Kit]],Table_NFI[Hygiene Kit])</f>
        <v>0</v>
      </c>
      <c r="Z433" s="436">
        <f>IF(NFI_Expiration=1,IF($A433&lt;VLOOKUP(I$5,NFI,5,0),1,0)*Table_NFI[[#This Row],[NFI Core Kit]],Table_NFI[NFI Core Kit])</f>
        <v>0</v>
      </c>
      <c r="AA433" s="436">
        <f>IF(NFI_Expiration=1,IF($A433&lt;VLOOKUP(J$5,NFI,5,0),1,0)*Table_NFI[[#This Row],[Sanitary Kit]],Table_NFI[Sanitary Kit])</f>
        <v>0</v>
      </c>
      <c r="AB433" s="436">
        <f>IF(NFI_Expiration=1,IF($A433&lt;VLOOKUP(K$5,NFI,5,0),1,0)*Table_NFI[[#This Row],[Mosquito net]],Table_NFI[Mosquito net])</f>
        <v>0</v>
      </c>
      <c r="AC433" s="436">
        <f>IF(NFI_Expiration=1,IF($A433&lt;VLOOKUP(L$5,NFI,5,0),1,0)*Table_NFI[[#This Row],[Tarpaulin]],Table_NFI[[#This Row],[Tarpaulin]])</f>
        <v>0</v>
      </c>
      <c r="AD433" s="436">
        <f>IF(NFI_Expiration=1,IF($A433&lt;VLOOKUP(M$5,NFI,5,0),1,0)*Table_NFI[[#This Row],[Blanket]],Table_NFI[[#This Row],[Blanket]])</f>
        <v>0</v>
      </c>
      <c r="AE433" s="436">
        <f>IF(NFI_Expiration=1,IF($A433&lt;VLOOKUP(N$5,NFI,5,0),1,0)*Table_NFI[[#This Row],[Kitchen Set]],Table_NFI[Kitchen Set])</f>
        <v>0</v>
      </c>
      <c r="AF433" s="436">
        <f>IF(NFI_Expiration=1,IF($A433&lt;VLOOKUP(O$5,NFI,5,0),1,0)*Table_NFI[[#This Row],[Clothes Kit]],Table_NFI[Clothes Kit])</f>
        <v>0</v>
      </c>
      <c r="AG433" s="436">
        <f>IF(NFI_Expiration=1,IF($A433&lt;VLOOKUP(P$5,NFI,5,0),1,0)*Table_NFI[[#This Row],[Plastic Bucket]],Table_NFI[Plastic Bucket])</f>
        <v>0</v>
      </c>
      <c r="AH433" s="436">
        <f>IF(NFI_Expiration=1,IF($A433&lt;VLOOKUP(Q$5,NFI,5,0),1,0)*Table_NFI[[#This Row],[Plastic Mat]],Table_NFI[Plastic Mat])*IF(Table_NFI[[#This Row],[Distribution Date]]&gt;"2014-04-01",1,2.5)</f>
        <v>0</v>
      </c>
      <c r="AI433" s="436">
        <f>IF(NFI_Expiration=1,IF($A433&lt;VLOOKUP(R$5,NFI,5,0),1,0)*Table_NFI[[#This Row],[Winter Clothes Adult]],Table_NFI[Winter Clothes Adult])</f>
        <v>0</v>
      </c>
      <c r="AJ433" s="436">
        <f>IF(NFI_Expiration=1,IF($A433&lt;VLOOKUP(S$5,NFI,5,0),1,0)*Table_NFI[[#This Row],[Winter Clothes Children]],Table_NFI[Winter Clothes Children])</f>
        <v>0</v>
      </c>
      <c r="AK433" s="436">
        <f>IF(NFI_Expiration=1,IF($A433&lt;VLOOKUP(T$5,NFI,5,0),1,0)*Table_NFI[[#This Row],[Winter Items Other]],Table_NFI[Winter Items Other])</f>
        <v>0</v>
      </c>
      <c r="AL433" s="436">
        <f>IF(NFI_Expiration=1,IF($A433&lt;VLOOKUP(M$5,NFI,5,0),1,0)*Table_NFI[[#This Row],[Winter Blanket]],Table_NFI[[#This Row],[Winter Blanket]])</f>
        <v>0</v>
      </c>
      <c r="AM433" s="436">
        <f>IF(Table_NFI[[#This Row],[Winter Clothes Adult]]+Table_NFI[[#This Row],[Winter Clothes Children]]+Table_NFI[[#This Row],[Winter Items Other]]+Table_NFI[[#This Row],[Winter Blanket]]&gt;0,1,0)</f>
        <v>0</v>
      </c>
      <c r="AN433" s="439">
        <f>IF(NFI_Expiration=1,IF($A433&lt;VLOOKUP(V$5,NFI,5,0),1,0)*Table_NFI[[#This Row],[Jerry Can]],Table_NFI[Jerry Can])</f>
        <v>0</v>
      </c>
      <c r="AO433" s="771" t="str">
        <f>IFERROR(VLOOKUP(Table_NFI[[#This Row],[Camp Name]],CL,2,0),"")</f>
        <v>MMR001CMP049</v>
      </c>
      <c r="AP433" s="772">
        <f ca="1">IF(Table_NFI[[#This Row],[Pcode]]="","",IF(OFFSET(CampList[Opening Date],MATCH(Table_NFI[[#This Row],[Pcode]],CampList[CP_Pcode],0)-1,0,1,1)&gt;=NFI_Monitor_Date,1,0))</f>
        <v>0</v>
      </c>
      <c r="AQ433" s="781" t="str">
        <f>IFERROR(VLOOKUP(Table_NFI[[#This Row],[Camp Name]],CL,3,0),"")</f>
        <v>Open</v>
      </c>
      <c r="AR433" s="439" t="str">
        <f ca="1">IF(Table_NFI[[#This Row],[Pcode]]="","",OFFSET(CampList[Priority],MATCH(Table_NFI[[#This Row],[Pcode]],CampList[CP_Pcode],0)-1,0,1,1))</f>
        <v>P4</v>
      </c>
      <c r="AS433" s="438">
        <f>IFERROR(Table_NFI[[#This Row],[Kitchen Set]]/VLOOKUP(Table_NFI[[#This Row],[Camp Name]],CL,4,0),"")</f>
        <v>0.11206896551724138</v>
      </c>
      <c r="AT433" s="769" t="s">
        <v>1099</v>
      </c>
      <c r="AU433" s="773"/>
    </row>
    <row r="434" spans="1:47" s="774" customFormat="1" x14ac:dyDescent="0.25">
      <c r="A434" s="451">
        <f t="shared" si="6"/>
        <v>25.533333333333335</v>
      </c>
      <c r="B434" s="768">
        <v>41604</v>
      </c>
      <c r="C434" s="442" t="s">
        <v>454</v>
      </c>
      <c r="D434" s="442" t="s">
        <v>454</v>
      </c>
      <c r="E434" s="769" t="s">
        <v>380</v>
      </c>
      <c r="F434" s="435" t="s">
        <v>5</v>
      </c>
      <c r="G434" s="435" t="s">
        <v>8</v>
      </c>
      <c r="H434" s="442"/>
      <c r="I434" s="442"/>
      <c r="J434" s="442"/>
      <c r="K434" s="775">
        <v>22</v>
      </c>
      <c r="L434" s="776">
        <v>11</v>
      </c>
      <c r="M434" s="443">
        <v>22</v>
      </c>
      <c r="N434" s="443">
        <v>11</v>
      </c>
      <c r="O434" s="443">
        <v>11</v>
      </c>
      <c r="P434" s="776"/>
      <c r="Q434" s="443"/>
      <c r="R434" s="442"/>
      <c r="S434" s="442"/>
      <c r="T434" s="442"/>
      <c r="U434" s="442"/>
      <c r="V434" s="442"/>
      <c r="W434" s="442"/>
      <c r="X434" s="442"/>
      <c r="Y434" s="436">
        <f>IF(NFI_Expiration=1,IF($A434&lt;VLOOKUP(H$5,NFI,5,0),1,0)*Table_NFI[[#This Row],[Hygiene Kit]],Table_NFI[Hygiene Kit])</f>
        <v>0</v>
      </c>
      <c r="Z434" s="436">
        <f>IF(NFI_Expiration=1,IF($A434&lt;VLOOKUP(I$5,NFI,5,0),1,0)*Table_NFI[[#This Row],[NFI Core Kit]],Table_NFI[NFI Core Kit])</f>
        <v>0</v>
      </c>
      <c r="AA434" s="436">
        <f>IF(NFI_Expiration=1,IF($A434&lt;VLOOKUP(J$5,NFI,5,0),1,0)*Table_NFI[[#This Row],[Sanitary Kit]],Table_NFI[Sanitary Kit])</f>
        <v>0</v>
      </c>
      <c r="AB434" s="436">
        <f>IF(NFI_Expiration=1,IF($A434&lt;VLOOKUP(K$5,NFI,5,0),1,0)*Table_NFI[[#This Row],[Mosquito net]],Table_NFI[Mosquito net])</f>
        <v>0</v>
      </c>
      <c r="AC434" s="436">
        <f>IF(NFI_Expiration=1,IF($A434&lt;VLOOKUP(L$5,NFI,5,0),1,0)*Table_NFI[[#This Row],[Tarpaulin]],Table_NFI[[#This Row],[Tarpaulin]])</f>
        <v>0</v>
      </c>
      <c r="AD434" s="436">
        <f>IF(NFI_Expiration=1,IF($A434&lt;VLOOKUP(M$5,NFI,5,0),1,0)*Table_NFI[[#This Row],[Blanket]],Table_NFI[[#This Row],[Blanket]])</f>
        <v>0</v>
      </c>
      <c r="AE434" s="436">
        <f>IF(NFI_Expiration=1,IF($A434&lt;VLOOKUP(N$5,NFI,5,0),1,0)*Table_NFI[[#This Row],[Kitchen Set]],Table_NFI[Kitchen Set])</f>
        <v>0</v>
      </c>
      <c r="AF434" s="436">
        <f>IF(NFI_Expiration=1,IF($A434&lt;VLOOKUP(O$5,NFI,5,0),1,0)*Table_NFI[[#This Row],[Clothes Kit]],Table_NFI[Clothes Kit])</f>
        <v>0</v>
      </c>
      <c r="AG434" s="436">
        <f>IF(NFI_Expiration=1,IF($A434&lt;VLOOKUP(P$5,NFI,5,0),1,0)*Table_NFI[[#This Row],[Plastic Bucket]],Table_NFI[Plastic Bucket])</f>
        <v>0</v>
      </c>
      <c r="AH434" s="436">
        <f>IF(NFI_Expiration=1,IF($A434&lt;VLOOKUP(Q$5,NFI,5,0),1,0)*Table_NFI[[#This Row],[Plastic Mat]],Table_NFI[Plastic Mat])*IF(Table_NFI[[#This Row],[Distribution Date]]&gt;"2014-04-01",1,2.5)</f>
        <v>0</v>
      </c>
      <c r="AI434" s="436">
        <f>IF(NFI_Expiration=1,IF($A434&lt;VLOOKUP(R$5,NFI,5,0),1,0)*Table_NFI[[#This Row],[Winter Clothes Adult]],Table_NFI[Winter Clothes Adult])</f>
        <v>0</v>
      </c>
      <c r="AJ434" s="436">
        <f>IF(NFI_Expiration=1,IF($A434&lt;VLOOKUP(S$5,NFI,5,0),1,0)*Table_NFI[[#This Row],[Winter Clothes Children]],Table_NFI[Winter Clothes Children])</f>
        <v>0</v>
      </c>
      <c r="AK434" s="436">
        <f>IF(NFI_Expiration=1,IF($A434&lt;VLOOKUP(T$5,NFI,5,0),1,0)*Table_NFI[[#This Row],[Winter Items Other]],Table_NFI[Winter Items Other])</f>
        <v>0</v>
      </c>
      <c r="AL434" s="436">
        <f>IF(NFI_Expiration=1,IF($A434&lt;VLOOKUP(M$5,NFI,5,0),1,0)*Table_NFI[[#This Row],[Winter Blanket]],Table_NFI[[#This Row],[Winter Blanket]])</f>
        <v>0</v>
      </c>
      <c r="AM434" s="436">
        <f>IF(Table_NFI[[#This Row],[Winter Clothes Adult]]+Table_NFI[[#This Row],[Winter Clothes Children]]+Table_NFI[[#This Row],[Winter Items Other]]+Table_NFI[[#This Row],[Winter Blanket]]&gt;0,1,0)</f>
        <v>0</v>
      </c>
      <c r="AN434" s="439">
        <f>IF(NFI_Expiration=1,IF($A434&lt;VLOOKUP(V$5,NFI,5,0),1,0)*Table_NFI[[#This Row],[Jerry Can]],Table_NFI[Jerry Can])</f>
        <v>0</v>
      </c>
      <c r="AO434" s="771" t="str">
        <f>IFERROR(VLOOKUP(Table_NFI[[#This Row],[Camp Name]],CL,2,0),"")</f>
        <v>MMR001CMP051</v>
      </c>
      <c r="AP434" s="772">
        <f ca="1">IF(Table_NFI[[#This Row],[Pcode]]="","",IF(OFFSET(CampList[Opening Date],MATCH(Table_NFI[[#This Row],[Pcode]],CampList[CP_Pcode],0)-1,0,1,1)&gt;=NFI_Monitor_Date,1,0))</f>
        <v>0</v>
      </c>
      <c r="AQ434" s="781" t="str">
        <f>IFERROR(VLOOKUP(Table_NFI[[#This Row],[Camp Name]],CL,3,0),"")</f>
        <v>Open</v>
      </c>
      <c r="AR434" s="439" t="str">
        <f ca="1">IF(Table_NFI[[#This Row],[Pcode]]="","",OFFSET(CampList[Priority],MATCH(Table_NFI[[#This Row],[Pcode]],CampList[CP_Pcode],0)-1,0,1,1))</f>
        <v>P4</v>
      </c>
      <c r="AS434" s="438">
        <f>IFERROR(Table_NFI[[#This Row],[Kitchen Set]]/VLOOKUP(Table_NFI[[#This Row],[Camp Name]],CL,4,0),"")</f>
        <v>0.47826086956521741</v>
      </c>
      <c r="AT434" s="769" t="s">
        <v>1099</v>
      </c>
      <c r="AU434" s="773"/>
    </row>
    <row r="435" spans="1:47" s="774" customFormat="1" x14ac:dyDescent="0.25">
      <c r="A435" s="451">
        <f t="shared" si="6"/>
        <v>25.533333333333335</v>
      </c>
      <c r="B435" s="768">
        <v>41604</v>
      </c>
      <c r="C435" s="769" t="s">
        <v>912</v>
      </c>
      <c r="D435" s="769" t="s">
        <v>462</v>
      </c>
      <c r="E435" s="769" t="s">
        <v>380</v>
      </c>
      <c r="F435" s="769" t="s">
        <v>310</v>
      </c>
      <c r="G435" s="769" t="s">
        <v>1257</v>
      </c>
      <c r="H435" s="436"/>
      <c r="I435" s="436"/>
      <c r="J435" s="436"/>
      <c r="K435" s="436"/>
      <c r="L435" s="437"/>
      <c r="M435" s="437"/>
      <c r="N435" s="437"/>
      <c r="O435" s="437"/>
      <c r="P435" s="439"/>
      <c r="Q435" s="439"/>
      <c r="R435" s="436">
        <v>98</v>
      </c>
      <c r="S435" s="436">
        <v>196</v>
      </c>
      <c r="T435" s="436">
        <v>588</v>
      </c>
      <c r="U435" s="436">
        <v>294</v>
      </c>
      <c r="V435" s="436"/>
      <c r="W435" s="436"/>
      <c r="X435" s="436"/>
      <c r="Y435" s="436">
        <f>IF(NFI_Expiration=1,IF($A435&lt;VLOOKUP(H$5,NFI,5,0),1,0)*Table_NFI[[#This Row],[Hygiene Kit]],Table_NFI[Hygiene Kit])</f>
        <v>0</v>
      </c>
      <c r="Z435" s="436">
        <f>IF(NFI_Expiration=1,IF($A435&lt;VLOOKUP(I$5,NFI,5,0),1,0)*Table_NFI[[#This Row],[NFI Core Kit]],Table_NFI[NFI Core Kit])</f>
        <v>0</v>
      </c>
      <c r="AA435" s="436">
        <f>IF(NFI_Expiration=1,IF($A435&lt;VLOOKUP(J$5,NFI,5,0),1,0)*Table_NFI[[#This Row],[Sanitary Kit]],Table_NFI[Sanitary Kit])</f>
        <v>0</v>
      </c>
      <c r="AB435" s="436">
        <f>IF(NFI_Expiration=1,IF($A435&lt;VLOOKUP(K$5,NFI,5,0),1,0)*Table_NFI[[#This Row],[Mosquito net]],Table_NFI[Mosquito net])</f>
        <v>0</v>
      </c>
      <c r="AC435" s="436">
        <f>IF(NFI_Expiration=1,IF($A435&lt;VLOOKUP(L$5,NFI,5,0),1,0)*Table_NFI[[#This Row],[Tarpaulin]],Table_NFI[[#This Row],[Tarpaulin]])</f>
        <v>0</v>
      </c>
      <c r="AD435" s="436">
        <f>IF(NFI_Expiration=1,IF($A435&lt;VLOOKUP(M$5,NFI,5,0),1,0)*Table_NFI[[#This Row],[Blanket]],Table_NFI[[#This Row],[Blanket]])</f>
        <v>0</v>
      </c>
      <c r="AE435" s="436">
        <f>IF(NFI_Expiration=1,IF($A435&lt;VLOOKUP(N$5,NFI,5,0),1,0)*Table_NFI[[#This Row],[Kitchen Set]],Table_NFI[Kitchen Set])</f>
        <v>0</v>
      </c>
      <c r="AF435" s="436">
        <f>IF(NFI_Expiration=1,IF($A435&lt;VLOOKUP(O$5,NFI,5,0),1,0)*Table_NFI[[#This Row],[Clothes Kit]],Table_NFI[Clothes Kit])</f>
        <v>0</v>
      </c>
      <c r="AG435" s="436">
        <f>IF(NFI_Expiration=1,IF($A435&lt;VLOOKUP(P$5,NFI,5,0),1,0)*Table_NFI[[#This Row],[Plastic Bucket]],Table_NFI[Plastic Bucket])</f>
        <v>0</v>
      </c>
      <c r="AH435" s="436">
        <f>IF(NFI_Expiration=1,IF($A435&lt;VLOOKUP(Q$5,NFI,5,0),1,0)*Table_NFI[[#This Row],[Plastic Mat]],Table_NFI[Plastic Mat])*IF(Table_NFI[[#This Row],[Distribution Date]]&gt;"2014-04-01",1,2.5)</f>
        <v>0</v>
      </c>
      <c r="AI435" s="436">
        <f>IF(NFI_Expiration=1,IF($A435&lt;VLOOKUP(R$5,NFI,5,0),1,0)*Table_NFI[[#This Row],[Winter Clothes Adult]],Table_NFI[Winter Clothes Adult])</f>
        <v>0</v>
      </c>
      <c r="AJ435" s="436">
        <f>IF(NFI_Expiration=1,IF($A435&lt;VLOOKUP(S$5,NFI,5,0),1,0)*Table_NFI[[#This Row],[Winter Clothes Children]],Table_NFI[Winter Clothes Children])</f>
        <v>0</v>
      </c>
      <c r="AK435" s="436">
        <f>IF(NFI_Expiration=1,IF($A435&lt;VLOOKUP(T$5,NFI,5,0),1,0)*Table_NFI[[#This Row],[Winter Items Other]],Table_NFI[Winter Items Other])</f>
        <v>0</v>
      </c>
      <c r="AL435" s="436">
        <f>IF(NFI_Expiration=1,IF($A435&lt;VLOOKUP(M$5,NFI,5,0),1,0)*Table_NFI[[#This Row],[Winter Blanket]],Table_NFI[[#This Row],[Winter Blanket]])</f>
        <v>0</v>
      </c>
      <c r="AM435" s="436">
        <f>IF(Table_NFI[[#This Row],[Winter Clothes Adult]]+Table_NFI[[#This Row],[Winter Clothes Children]]+Table_NFI[[#This Row],[Winter Items Other]]+Table_NFI[[#This Row],[Winter Blanket]]&gt;0,1,0)</f>
        <v>1</v>
      </c>
      <c r="AN435" s="439">
        <f>IF(NFI_Expiration=1,IF($A435&lt;VLOOKUP(V$5,NFI,5,0),1,0)*Table_NFI[[#This Row],[Jerry Can]],Table_NFI[Jerry Can])</f>
        <v>0</v>
      </c>
      <c r="AO435" s="771" t="str">
        <f>IFERROR(VLOOKUP(Table_NFI[[#This Row],[Camp Name]],CL,2,0),"")</f>
        <v>MMR001CMP120</v>
      </c>
      <c r="AP435" s="772">
        <f ca="1">IF(Table_NFI[[#This Row],[Pcode]]="","",IF(OFFSET(CampList[Opening Date],MATCH(Table_NFI[[#This Row],[Pcode]],CampList[CP_Pcode],0)-1,0,1,1)&gt;=NFI_Monitor_Date,1,0))</f>
        <v>0</v>
      </c>
      <c r="AQ435" s="771" t="str">
        <f>IFERROR(VLOOKUP(Table_NFI[[#This Row],[Camp Name]],CL,3,0),"")</f>
        <v>Open</v>
      </c>
      <c r="AR435" s="436" t="str">
        <f ca="1">IF(Table_NFI[[#This Row],[Pcode]]="","",OFFSET(CampList[Priority],MATCH(Table_NFI[[#This Row],[Pcode]],CampList[CP_Pcode],0)-1,0,1,1))</f>
        <v>P1</v>
      </c>
      <c r="AS435" s="438">
        <f>IFERROR(Table_NFI[[#This Row],[Kitchen Set]]/VLOOKUP(Table_NFI[[#This Row],[Camp Name]],CL,4,0),"")</f>
        <v>0</v>
      </c>
      <c r="AT435" s="769"/>
      <c r="AU435" s="773"/>
    </row>
    <row r="436" spans="1:47" s="774" customFormat="1" x14ac:dyDescent="0.25">
      <c r="A436" s="451">
        <f t="shared" si="6"/>
        <v>25.566666666666666</v>
      </c>
      <c r="B436" s="768">
        <v>41603</v>
      </c>
      <c r="C436" s="769" t="s">
        <v>912</v>
      </c>
      <c r="D436" s="769" t="s">
        <v>912</v>
      </c>
      <c r="E436" s="769" t="s">
        <v>380</v>
      </c>
      <c r="F436" s="769" t="s">
        <v>151</v>
      </c>
      <c r="G436" s="769" t="s">
        <v>160</v>
      </c>
      <c r="H436" s="436"/>
      <c r="I436" s="436"/>
      <c r="J436" s="436"/>
      <c r="K436" s="436"/>
      <c r="L436" s="437"/>
      <c r="M436" s="437"/>
      <c r="N436" s="437"/>
      <c r="O436" s="437"/>
      <c r="P436" s="439"/>
      <c r="Q436" s="439"/>
      <c r="R436" s="436"/>
      <c r="S436" s="436"/>
      <c r="T436" s="436"/>
      <c r="U436" s="436"/>
      <c r="V436" s="436"/>
      <c r="W436" s="436"/>
      <c r="X436" s="436"/>
      <c r="Y436" s="436">
        <f>IF(NFI_Expiration=1,IF($A436&lt;VLOOKUP(H$5,NFI,5,0),1,0)*Table_NFI[[#This Row],[Hygiene Kit]],Table_NFI[Hygiene Kit])</f>
        <v>0</v>
      </c>
      <c r="Z436" s="436">
        <f>IF(NFI_Expiration=1,IF($A436&lt;VLOOKUP(I$5,NFI,5,0),1,0)*Table_NFI[[#This Row],[NFI Core Kit]],Table_NFI[NFI Core Kit])</f>
        <v>0</v>
      </c>
      <c r="AA436" s="436">
        <f>IF(NFI_Expiration=1,IF($A436&lt;VLOOKUP(J$5,NFI,5,0),1,0)*Table_NFI[[#This Row],[Sanitary Kit]],Table_NFI[Sanitary Kit])</f>
        <v>0</v>
      </c>
      <c r="AB436" s="436">
        <f>IF(NFI_Expiration=1,IF($A436&lt;VLOOKUP(K$5,NFI,5,0),1,0)*Table_NFI[[#This Row],[Mosquito net]],Table_NFI[Mosquito net])</f>
        <v>0</v>
      </c>
      <c r="AC436" s="436">
        <f>IF(NFI_Expiration=1,IF($A436&lt;VLOOKUP(L$5,NFI,5,0),1,0)*Table_NFI[[#This Row],[Tarpaulin]],Table_NFI[[#This Row],[Tarpaulin]])</f>
        <v>0</v>
      </c>
      <c r="AD436" s="436">
        <f>IF(NFI_Expiration=1,IF($A436&lt;VLOOKUP(M$5,NFI,5,0),1,0)*Table_NFI[[#This Row],[Blanket]],Table_NFI[[#This Row],[Blanket]])</f>
        <v>0</v>
      </c>
      <c r="AE436" s="436">
        <f>IF(NFI_Expiration=1,IF($A436&lt;VLOOKUP(N$5,NFI,5,0),1,0)*Table_NFI[[#This Row],[Kitchen Set]],Table_NFI[Kitchen Set])</f>
        <v>0</v>
      </c>
      <c r="AF436" s="436">
        <f>IF(NFI_Expiration=1,IF($A436&lt;VLOOKUP(O$5,NFI,5,0),1,0)*Table_NFI[[#This Row],[Clothes Kit]],Table_NFI[Clothes Kit])</f>
        <v>0</v>
      </c>
      <c r="AG436" s="436">
        <f>IF(NFI_Expiration=1,IF($A436&lt;VLOOKUP(P$5,NFI,5,0),1,0)*Table_NFI[[#This Row],[Plastic Bucket]],Table_NFI[Plastic Bucket])</f>
        <v>0</v>
      </c>
      <c r="AH436" s="436">
        <f>IF(NFI_Expiration=1,IF($A436&lt;VLOOKUP(Q$5,NFI,5,0),1,0)*Table_NFI[[#This Row],[Plastic Mat]],Table_NFI[Plastic Mat])*IF(Table_NFI[[#This Row],[Distribution Date]]&gt;"2014-04-01",1,2.5)</f>
        <v>0</v>
      </c>
      <c r="AI436" s="436">
        <f>IF(NFI_Expiration=1,IF($A436&lt;VLOOKUP(R$5,NFI,5,0),1,0)*Table_NFI[[#This Row],[Winter Clothes Adult]],Table_NFI[Winter Clothes Adult])</f>
        <v>0</v>
      </c>
      <c r="AJ436" s="436">
        <f>IF(NFI_Expiration=1,IF($A436&lt;VLOOKUP(S$5,NFI,5,0),1,0)*Table_NFI[[#This Row],[Winter Clothes Children]],Table_NFI[Winter Clothes Children])</f>
        <v>0</v>
      </c>
      <c r="AK436" s="436">
        <f>IF(NFI_Expiration=1,IF($A436&lt;VLOOKUP(T$5,NFI,5,0),1,0)*Table_NFI[[#This Row],[Winter Items Other]],Table_NFI[Winter Items Other])</f>
        <v>0</v>
      </c>
      <c r="AL436" s="436">
        <f>IF(NFI_Expiration=1,IF($A436&lt;VLOOKUP(M$5,NFI,5,0),1,0)*Table_NFI[[#This Row],[Winter Blanket]],Table_NFI[[#This Row],[Winter Blanket]])</f>
        <v>0</v>
      </c>
      <c r="AM436" s="436">
        <f>IF(Table_NFI[[#This Row],[Winter Clothes Adult]]+Table_NFI[[#This Row],[Winter Clothes Children]]+Table_NFI[[#This Row],[Winter Items Other]]+Table_NFI[[#This Row],[Winter Blanket]]&gt;0,1,0)</f>
        <v>0</v>
      </c>
      <c r="AN436" s="439">
        <f>IF(NFI_Expiration=1,IF($A436&lt;VLOOKUP(V$5,NFI,5,0),1,0)*Table_NFI[[#This Row],[Jerry Can]],Table_NFI[Jerry Can])</f>
        <v>0</v>
      </c>
      <c r="AO436" s="771" t="str">
        <f>IFERROR(VLOOKUP(Table_NFI[[#This Row],[Camp Name]],CL,2,0),"")</f>
        <v>MMR001CMP133</v>
      </c>
      <c r="AP436" s="772">
        <f ca="1">IF(Table_NFI[[#This Row],[Pcode]]="","",IF(OFFSET(CampList[Opening Date],MATCH(Table_NFI[[#This Row],[Pcode]],CampList[CP_Pcode],0)-1,0,1,1)&gt;=NFI_Monitor_Date,1,0))</f>
        <v>0</v>
      </c>
      <c r="AQ436" s="771" t="str">
        <f>IFERROR(VLOOKUP(Table_NFI[[#This Row],[Camp Name]],CL,3,0),"")</f>
        <v>Open</v>
      </c>
      <c r="AR436" s="436" t="str">
        <f ca="1">IF(Table_NFI[[#This Row],[Pcode]]="","",OFFSET(CampList[Priority],MATCH(Table_NFI[[#This Row],[Pcode]],CampList[CP_Pcode],0)-1,0,1,1))</f>
        <v>P4</v>
      </c>
      <c r="AS436" s="438">
        <f>IFERROR(Table_NFI[[#This Row],[Kitchen Set]]/VLOOKUP(Table_NFI[[#This Row],[Camp Name]],CL,4,0),"")</f>
        <v>0</v>
      </c>
      <c r="AT436" s="769"/>
      <c r="AU436" s="773"/>
    </row>
    <row r="437" spans="1:47" s="774" customFormat="1" x14ac:dyDescent="0.25">
      <c r="A437" s="451">
        <f t="shared" si="6"/>
        <v>25.566666666666666</v>
      </c>
      <c r="B437" s="768">
        <v>41603</v>
      </c>
      <c r="C437" s="769" t="s">
        <v>912</v>
      </c>
      <c r="D437" s="769" t="s">
        <v>912</v>
      </c>
      <c r="E437" s="769" t="s">
        <v>380</v>
      </c>
      <c r="F437" s="769" t="s">
        <v>151</v>
      </c>
      <c r="G437" s="769" t="s">
        <v>160</v>
      </c>
      <c r="H437" s="436"/>
      <c r="I437" s="436"/>
      <c r="J437" s="436"/>
      <c r="K437" s="436"/>
      <c r="L437" s="437"/>
      <c r="M437" s="437"/>
      <c r="N437" s="437"/>
      <c r="O437" s="437"/>
      <c r="P437" s="439"/>
      <c r="Q437" s="439"/>
      <c r="R437" s="436">
        <v>19</v>
      </c>
      <c r="S437" s="436">
        <v>38</v>
      </c>
      <c r="T437" s="436">
        <v>114</v>
      </c>
      <c r="U437" s="436">
        <v>57</v>
      </c>
      <c r="V437" s="436"/>
      <c r="W437" s="436"/>
      <c r="X437" s="436"/>
      <c r="Y437" s="436">
        <f>IF(NFI_Expiration=1,IF($A437&lt;VLOOKUP(H$5,NFI,5,0),1,0)*Table_NFI[[#This Row],[Hygiene Kit]],Table_NFI[Hygiene Kit])</f>
        <v>0</v>
      </c>
      <c r="Z437" s="436">
        <f>IF(NFI_Expiration=1,IF($A437&lt;VLOOKUP(I$5,NFI,5,0),1,0)*Table_NFI[[#This Row],[NFI Core Kit]],Table_NFI[NFI Core Kit])</f>
        <v>0</v>
      </c>
      <c r="AA437" s="436">
        <f>IF(NFI_Expiration=1,IF($A437&lt;VLOOKUP(J$5,NFI,5,0),1,0)*Table_NFI[[#This Row],[Sanitary Kit]],Table_NFI[Sanitary Kit])</f>
        <v>0</v>
      </c>
      <c r="AB437" s="436">
        <f>IF(NFI_Expiration=1,IF($A437&lt;VLOOKUP(K$5,NFI,5,0),1,0)*Table_NFI[[#This Row],[Mosquito net]],Table_NFI[Mosquito net])</f>
        <v>0</v>
      </c>
      <c r="AC437" s="436">
        <f>IF(NFI_Expiration=1,IF($A437&lt;VLOOKUP(L$5,NFI,5,0),1,0)*Table_NFI[[#This Row],[Tarpaulin]],Table_NFI[[#This Row],[Tarpaulin]])</f>
        <v>0</v>
      </c>
      <c r="AD437" s="436">
        <f>IF(NFI_Expiration=1,IF($A437&lt;VLOOKUP(M$5,NFI,5,0),1,0)*Table_NFI[[#This Row],[Blanket]],Table_NFI[[#This Row],[Blanket]])</f>
        <v>0</v>
      </c>
      <c r="AE437" s="436">
        <f>IF(NFI_Expiration=1,IF($A437&lt;VLOOKUP(N$5,NFI,5,0),1,0)*Table_NFI[[#This Row],[Kitchen Set]],Table_NFI[Kitchen Set])</f>
        <v>0</v>
      </c>
      <c r="AF437" s="436">
        <f>IF(NFI_Expiration=1,IF($A437&lt;VLOOKUP(O$5,NFI,5,0),1,0)*Table_NFI[[#This Row],[Clothes Kit]],Table_NFI[Clothes Kit])</f>
        <v>0</v>
      </c>
      <c r="AG437" s="436">
        <f>IF(NFI_Expiration=1,IF($A437&lt;VLOOKUP(P$5,NFI,5,0),1,0)*Table_NFI[[#This Row],[Plastic Bucket]],Table_NFI[Plastic Bucket])</f>
        <v>0</v>
      </c>
      <c r="AH437" s="436">
        <f>IF(NFI_Expiration=1,IF($A437&lt;VLOOKUP(Q$5,NFI,5,0),1,0)*Table_NFI[[#This Row],[Plastic Mat]],Table_NFI[Plastic Mat])*IF(Table_NFI[[#This Row],[Distribution Date]]&gt;"2014-04-01",1,2.5)</f>
        <v>0</v>
      </c>
      <c r="AI437" s="436">
        <f>IF(NFI_Expiration=1,IF($A437&lt;VLOOKUP(R$5,NFI,5,0),1,0)*Table_NFI[[#This Row],[Winter Clothes Adult]],Table_NFI[Winter Clothes Adult])</f>
        <v>0</v>
      </c>
      <c r="AJ437" s="436">
        <f>IF(NFI_Expiration=1,IF($A437&lt;VLOOKUP(S$5,NFI,5,0),1,0)*Table_NFI[[#This Row],[Winter Clothes Children]],Table_NFI[Winter Clothes Children])</f>
        <v>0</v>
      </c>
      <c r="AK437" s="436">
        <f>IF(NFI_Expiration=1,IF($A437&lt;VLOOKUP(T$5,NFI,5,0),1,0)*Table_NFI[[#This Row],[Winter Items Other]],Table_NFI[Winter Items Other])</f>
        <v>0</v>
      </c>
      <c r="AL437" s="436">
        <f>IF(NFI_Expiration=1,IF($A437&lt;VLOOKUP(M$5,NFI,5,0),1,0)*Table_NFI[[#This Row],[Winter Blanket]],Table_NFI[[#This Row],[Winter Blanket]])</f>
        <v>0</v>
      </c>
      <c r="AM437" s="436">
        <f>IF(Table_NFI[[#This Row],[Winter Clothes Adult]]+Table_NFI[[#This Row],[Winter Clothes Children]]+Table_NFI[[#This Row],[Winter Items Other]]+Table_NFI[[#This Row],[Winter Blanket]]&gt;0,1,0)</f>
        <v>1</v>
      </c>
      <c r="AN437" s="439">
        <f>IF(NFI_Expiration=1,IF($A437&lt;VLOOKUP(V$5,NFI,5,0),1,0)*Table_NFI[[#This Row],[Jerry Can]],Table_NFI[Jerry Can])</f>
        <v>0</v>
      </c>
      <c r="AO437" s="771" t="str">
        <f>IFERROR(VLOOKUP(Table_NFI[[#This Row],[Camp Name]],CL,2,0),"")</f>
        <v>MMR001CMP133</v>
      </c>
      <c r="AP437" s="772">
        <f ca="1">IF(Table_NFI[[#This Row],[Pcode]]="","",IF(OFFSET(CampList[Opening Date],MATCH(Table_NFI[[#This Row],[Pcode]],CampList[CP_Pcode],0)-1,0,1,1)&gt;=NFI_Monitor_Date,1,0))</f>
        <v>0</v>
      </c>
      <c r="AQ437" s="771" t="str">
        <f>IFERROR(VLOOKUP(Table_NFI[[#This Row],[Camp Name]],CL,3,0),"")</f>
        <v>Open</v>
      </c>
      <c r="AR437" s="436" t="str">
        <f ca="1">IF(Table_NFI[[#This Row],[Pcode]]="","",OFFSET(CampList[Priority],MATCH(Table_NFI[[#This Row],[Pcode]],CampList[CP_Pcode],0)-1,0,1,1))</f>
        <v>P4</v>
      </c>
      <c r="AS437" s="438">
        <f>IFERROR(Table_NFI[[#This Row],[Kitchen Set]]/VLOOKUP(Table_NFI[[#This Row],[Camp Name]],CL,4,0),"")</f>
        <v>0</v>
      </c>
      <c r="AT437" s="769"/>
      <c r="AU437" s="773"/>
    </row>
    <row r="438" spans="1:47" s="774" customFormat="1" x14ac:dyDescent="0.25">
      <c r="A438" s="451">
        <f t="shared" si="6"/>
        <v>25.566666666666666</v>
      </c>
      <c r="B438" s="768">
        <v>41603</v>
      </c>
      <c r="C438" s="769" t="s">
        <v>912</v>
      </c>
      <c r="D438" s="769" t="s">
        <v>912</v>
      </c>
      <c r="E438" s="769" t="s">
        <v>380</v>
      </c>
      <c r="F438" s="769" t="s">
        <v>151</v>
      </c>
      <c r="G438" s="769" t="s">
        <v>154</v>
      </c>
      <c r="H438" s="436"/>
      <c r="I438" s="436"/>
      <c r="J438" s="436"/>
      <c r="K438" s="436"/>
      <c r="L438" s="437"/>
      <c r="M438" s="437"/>
      <c r="N438" s="437"/>
      <c r="O438" s="437"/>
      <c r="P438" s="439"/>
      <c r="Q438" s="439"/>
      <c r="R438" s="436">
        <v>60</v>
      </c>
      <c r="S438" s="436">
        <v>120</v>
      </c>
      <c r="T438" s="436">
        <v>360</v>
      </c>
      <c r="U438" s="436">
        <v>180</v>
      </c>
      <c r="V438" s="436"/>
      <c r="W438" s="436"/>
      <c r="X438" s="436"/>
      <c r="Y438" s="436">
        <f>IF(NFI_Expiration=1,IF($A438&lt;VLOOKUP(H$5,NFI,5,0),1,0)*Table_NFI[[#This Row],[Hygiene Kit]],Table_NFI[Hygiene Kit])</f>
        <v>0</v>
      </c>
      <c r="Z438" s="436">
        <f>IF(NFI_Expiration=1,IF($A438&lt;VLOOKUP(I$5,NFI,5,0),1,0)*Table_NFI[[#This Row],[NFI Core Kit]],Table_NFI[NFI Core Kit])</f>
        <v>0</v>
      </c>
      <c r="AA438" s="436">
        <f>IF(NFI_Expiration=1,IF($A438&lt;VLOOKUP(J$5,NFI,5,0),1,0)*Table_NFI[[#This Row],[Sanitary Kit]],Table_NFI[Sanitary Kit])</f>
        <v>0</v>
      </c>
      <c r="AB438" s="436">
        <f>IF(NFI_Expiration=1,IF($A438&lt;VLOOKUP(K$5,NFI,5,0),1,0)*Table_NFI[[#This Row],[Mosquito net]],Table_NFI[Mosquito net])</f>
        <v>0</v>
      </c>
      <c r="AC438" s="436">
        <f>IF(NFI_Expiration=1,IF($A438&lt;VLOOKUP(L$5,NFI,5,0),1,0)*Table_NFI[[#This Row],[Tarpaulin]],Table_NFI[[#This Row],[Tarpaulin]])</f>
        <v>0</v>
      </c>
      <c r="AD438" s="436">
        <f>IF(NFI_Expiration=1,IF($A438&lt;VLOOKUP(M$5,NFI,5,0),1,0)*Table_NFI[[#This Row],[Blanket]],Table_NFI[[#This Row],[Blanket]])</f>
        <v>0</v>
      </c>
      <c r="AE438" s="436">
        <f>IF(NFI_Expiration=1,IF($A438&lt;VLOOKUP(N$5,NFI,5,0),1,0)*Table_NFI[[#This Row],[Kitchen Set]],Table_NFI[Kitchen Set])</f>
        <v>0</v>
      </c>
      <c r="AF438" s="436">
        <f>IF(NFI_Expiration=1,IF($A438&lt;VLOOKUP(O$5,NFI,5,0),1,0)*Table_NFI[[#This Row],[Clothes Kit]],Table_NFI[Clothes Kit])</f>
        <v>0</v>
      </c>
      <c r="AG438" s="436">
        <f>IF(NFI_Expiration=1,IF($A438&lt;VLOOKUP(P$5,NFI,5,0),1,0)*Table_NFI[[#This Row],[Plastic Bucket]],Table_NFI[Plastic Bucket])</f>
        <v>0</v>
      </c>
      <c r="AH438" s="436">
        <f>IF(NFI_Expiration=1,IF($A438&lt;VLOOKUP(Q$5,NFI,5,0),1,0)*Table_NFI[[#This Row],[Plastic Mat]],Table_NFI[Plastic Mat])*IF(Table_NFI[[#This Row],[Distribution Date]]&gt;"2014-04-01",1,2.5)</f>
        <v>0</v>
      </c>
      <c r="AI438" s="436">
        <f>IF(NFI_Expiration=1,IF($A438&lt;VLOOKUP(R$5,NFI,5,0),1,0)*Table_NFI[[#This Row],[Winter Clothes Adult]],Table_NFI[Winter Clothes Adult])</f>
        <v>0</v>
      </c>
      <c r="AJ438" s="436">
        <f>IF(NFI_Expiration=1,IF($A438&lt;VLOOKUP(S$5,NFI,5,0),1,0)*Table_NFI[[#This Row],[Winter Clothes Children]],Table_NFI[Winter Clothes Children])</f>
        <v>0</v>
      </c>
      <c r="AK438" s="436">
        <f>IF(NFI_Expiration=1,IF($A438&lt;VLOOKUP(T$5,NFI,5,0),1,0)*Table_NFI[[#This Row],[Winter Items Other]],Table_NFI[Winter Items Other])</f>
        <v>0</v>
      </c>
      <c r="AL438" s="436">
        <f>IF(NFI_Expiration=1,IF($A438&lt;VLOOKUP(M$5,NFI,5,0),1,0)*Table_NFI[[#This Row],[Winter Blanket]],Table_NFI[[#This Row],[Winter Blanket]])</f>
        <v>0</v>
      </c>
      <c r="AM438" s="436">
        <f>IF(Table_NFI[[#This Row],[Winter Clothes Adult]]+Table_NFI[[#This Row],[Winter Clothes Children]]+Table_NFI[[#This Row],[Winter Items Other]]+Table_NFI[[#This Row],[Winter Blanket]]&gt;0,1,0)</f>
        <v>1</v>
      </c>
      <c r="AN438" s="439">
        <f>IF(NFI_Expiration=1,IF($A438&lt;VLOOKUP(V$5,NFI,5,0),1,0)*Table_NFI[[#This Row],[Jerry Can]],Table_NFI[Jerry Can])</f>
        <v>0</v>
      </c>
      <c r="AO438" s="771" t="str">
        <f>IFERROR(VLOOKUP(Table_NFI[[#This Row],[Camp Name]],CL,2,0),"")</f>
        <v>MMR001CMP132</v>
      </c>
      <c r="AP438" s="772">
        <f ca="1">IF(Table_NFI[[#This Row],[Pcode]]="","",IF(OFFSET(CampList[Opening Date],MATCH(Table_NFI[[#This Row],[Pcode]],CampList[CP_Pcode],0)-1,0,1,1)&gt;=NFI_Monitor_Date,1,0))</f>
        <v>0</v>
      </c>
      <c r="AQ438" s="771" t="str">
        <f>IFERROR(VLOOKUP(Table_NFI[[#This Row],[Camp Name]],CL,3,0),"")</f>
        <v>Open</v>
      </c>
      <c r="AR438" s="436" t="str">
        <f ca="1">IF(Table_NFI[[#This Row],[Pcode]]="","",OFFSET(CampList[Priority],MATCH(Table_NFI[[#This Row],[Pcode]],CampList[CP_Pcode],0)-1,0,1,1))</f>
        <v>P4</v>
      </c>
      <c r="AS438" s="438">
        <f>IFERROR(Table_NFI[[#This Row],[Kitchen Set]]/VLOOKUP(Table_NFI[[#This Row],[Camp Name]],CL,4,0),"")</f>
        <v>0</v>
      </c>
      <c r="AT438" s="769"/>
      <c r="AU438" s="773"/>
    </row>
    <row r="439" spans="1:47" s="774" customFormat="1" x14ac:dyDescent="0.25">
      <c r="A439" s="451">
        <f t="shared" si="6"/>
        <v>25.6</v>
      </c>
      <c r="B439" s="768">
        <v>41602</v>
      </c>
      <c r="C439" s="769" t="s">
        <v>912</v>
      </c>
      <c r="D439" s="769" t="s">
        <v>912</v>
      </c>
      <c r="E439" s="769" t="s">
        <v>380</v>
      </c>
      <c r="F439" s="769" t="s">
        <v>151</v>
      </c>
      <c r="G439" s="769" t="s">
        <v>888</v>
      </c>
      <c r="H439" s="436"/>
      <c r="I439" s="436"/>
      <c r="J439" s="436"/>
      <c r="K439" s="436"/>
      <c r="L439" s="437"/>
      <c r="M439" s="437"/>
      <c r="N439" s="437"/>
      <c r="O439" s="437"/>
      <c r="P439" s="439"/>
      <c r="Q439" s="439"/>
      <c r="R439" s="436">
        <v>24</v>
      </c>
      <c r="S439" s="436">
        <v>48</v>
      </c>
      <c r="T439" s="436">
        <v>144</v>
      </c>
      <c r="U439" s="436">
        <v>72</v>
      </c>
      <c r="V439" s="436"/>
      <c r="W439" s="436"/>
      <c r="X439" s="436"/>
      <c r="Y439" s="436">
        <f>IF(NFI_Expiration=1,IF($A439&lt;VLOOKUP(H$5,NFI,5,0),1,0)*Table_NFI[[#This Row],[Hygiene Kit]],Table_NFI[Hygiene Kit])</f>
        <v>0</v>
      </c>
      <c r="Z439" s="436">
        <f>IF(NFI_Expiration=1,IF($A439&lt;VLOOKUP(I$5,NFI,5,0),1,0)*Table_NFI[[#This Row],[NFI Core Kit]],Table_NFI[NFI Core Kit])</f>
        <v>0</v>
      </c>
      <c r="AA439" s="436">
        <f>IF(NFI_Expiration=1,IF($A439&lt;VLOOKUP(J$5,NFI,5,0),1,0)*Table_NFI[[#This Row],[Sanitary Kit]],Table_NFI[Sanitary Kit])</f>
        <v>0</v>
      </c>
      <c r="AB439" s="436">
        <f>IF(NFI_Expiration=1,IF($A439&lt;VLOOKUP(K$5,NFI,5,0),1,0)*Table_NFI[[#This Row],[Mosquito net]],Table_NFI[Mosquito net])</f>
        <v>0</v>
      </c>
      <c r="AC439" s="436">
        <f>IF(NFI_Expiration=1,IF($A439&lt;VLOOKUP(L$5,NFI,5,0),1,0)*Table_NFI[[#This Row],[Tarpaulin]],Table_NFI[[#This Row],[Tarpaulin]])</f>
        <v>0</v>
      </c>
      <c r="AD439" s="436">
        <f>IF(NFI_Expiration=1,IF($A439&lt;VLOOKUP(M$5,NFI,5,0),1,0)*Table_NFI[[#This Row],[Blanket]],Table_NFI[[#This Row],[Blanket]])</f>
        <v>0</v>
      </c>
      <c r="AE439" s="436">
        <f>IF(NFI_Expiration=1,IF($A439&lt;VLOOKUP(N$5,NFI,5,0),1,0)*Table_NFI[[#This Row],[Kitchen Set]],Table_NFI[Kitchen Set])</f>
        <v>0</v>
      </c>
      <c r="AF439" s="436">
        <f>IF(NFI_Expiration=1,IF($A439&lt;VLOOKUP(O$5,NFI,5,0),1,0)*Table_NFI[[#This Row],[Clothes Kit]],Table_NFI[Clothes Kit])</f>
        <v>0</v>
      </c>
      <c r="AG439" s="436">
        <f>IF(NFI_Expiration=1,IF($A439&lt;VLOOKUP(P$5,NFI,5,0),1,0)*Table_NFI[[#This Row],[Plastic Bucket]],Table_NFI[Plastic Bucket])</f>
        <v>0</v>
      </c>
      <c r="AH439" s="436">
        <f>IF(NFI_Expiration=1,IF($A439&lt;VLOOKUP(Q$5,NFI,5,0),1,0)*Table_NFI[[#This Row],[Plastic Mat]],Table_NFI[Plastic Mat])*IF(Table_NFI[[#This Row],[Distribution Date]]&gt;"2014-04-01",1,2.5)</f>
        <v>0</v>
      </c>
      <c r="AI439" s="436">
        <f>IF(NFI_Expiration=1,IF($A439&lt;VLOOKUP(R$5,NFI,5,0),1,0)*Table_NFI[[#This Row],[Winter Clothes Adult]],Table_NFI[Winter Clothes Adult])</f>
        <v>0</v>
      </c>
      <c r="AJ439" s="436">
        <f>IF(NFI_Expiration=1,IF($A439&lt;VLOOKUP(S$5,NFI,5,0),1,0)*Table_NFI[[#This Row],[Winter Clothes Children]],Table_NFI[Winter Clothes Children])</f>
        <v>0</v>
      </c>
      <c r="AK439" s="436">
        <f>IF(NFI_Expiration=1,IF($A439&lt;VLOOKUP(T$5,NFI,5,0),1,0)*Table_NFI[[#This Row],[Winter Items Other]],Table_NFI[Winter Items Other])</f>
        <v>0</v>
      </c>
      <c r="AL439" s="436">
        <f>IF(NFI_Expiration=1,IF($A439&lt;VLOOKUP(M$5,NFI,5,0),1,0)*Table_NFI[[#This Row],[Winter Blanket]],Table_NFI[[#This Row],[Winter Blanket]])</f>
        <v>0</v>
      </c>
      <c r="AM439" s="436">
        <f>IF(Table_NFI[[#This Row],[Winter Clothes Adult]]+Table_NFI[[#This Row],[Winter Clothes Children]]+Table_NFI[[#This Row],[Winter Items Other]]+Table_NFI[[#This Row],[Winter Blanket]]&gt;0,1,0)</f>
        <v>1</v>
      </c>
      <c r="AN439" s="439">
        <f>IF(NFI_Expiration=1,IF($A439&lt;VLOOKUP(V$5,NFI,5,0),1,0)*Table_NFI[[#This Row],[Jerry Can]],Table_NFI[Jerry Can])</f>
        <v>0</v>
      </c>
      <c r="AO439" s="771" t="str">
        <f>IFERROR(VLOOKUP(Table_NFI[[#This Row],[Camp Name]],CL,2,0),"")</f>
        <v>MMR001CMP215</v>
      </c>
      <c r="AP439" s="772">
        <f ca="1">IF(Table_NFI[[#This Row],[Pcode]]="","",IF(OFFSET(CampList[Opening Date],MATCH(Table_NFI[[#This Row],[Pcode]],CampList[CP_Pcode],0)-1,0,1,1)&gt;=NFI_Monitor_Date,1,0))</f>
        <v>0</v>
      </c>
      <c r="AQ439" s="771" t="str">
        <f>IFERROR(VLOOKUP(Table_NFI[[#This Row],[Camp Name]],CL,3,0),"")</f>
        <v>Closed</v>
      </c>
      <c r="AR439" s="436" t="str">
        <f ca="1">IF(Table_NFI[[#This Row],[Pcode]]="","",OFFSET(CampList[Priority],MATCH(Table_NFI[[#This Row],[Pcode]],CampList[CP_Pcode],0)-1,0,1,1))</f>
        <v/>
      </c>
      <c r="AS439" s="438" t="str">
        <f>IFERROR(Table_NFI[[#This Row],[Kitchen Set]]/VLOOKUP(Table_NFI[[#This Row],[Camp Name]],CL,4,0),"")</f>
        <v/>
      </c>
      <c r="AT439" s="769"/>
      <c r="AU439" s="773"/>
    </row>
    <row r="440" spans="1:47" s="774" customFormat="1" x14ac:dyDescent="0.25">
      <c r="A440" s="451">
        <f t="shared" si="6"/>
        <v>25.6</v>
      </c>
      <c r="B440" s="768">
        <v>41602</v>
      </c>
      <c r="C440" s="769" t="s">
        <v>912</v>
      </c>
      <c r="D440" s="769" t="s">
        <v>912</v>
      </c>
      <c r="E440" s="769" t="s">
        <v>380</v>
      </c>
      <c r="F440" s="769" t="s">
        <v>151</v>
      </c>
      <c r="G440" s="769" t="s">
        <v>884</v>
      </c>
      <c r="H440" s="436"/>
      <c r="I440" s="436"/>
      <c r="J440" s="436"/>
      <c r="K440" s="436"/>
      <c r="L440" s="437"/>
      <c r="M440" s="437"/>
      <c r="N440" s="437"/>
      <c r="O440" s="437"/>
      <c r="P440" s="439"/>
      <c r="Q440" s="439"/>
      <c r="R440" s="436">
        <v>135</v>
      </c>
      <c r="S440" s="436">
        <v>270</v>
      </c>
      <c r="T440" s="436">
        <v>810</v>
      </c>
      <c r="U440" s="436">
        <v>405</v>
      </c>
      <c r="V440" s="436"/>
      <c r="W440" s="436"/>
      <c r="X440" s="436"/>
      <c r="Y440" s="436">
        <f>IF(NFI_Expiration=1,IF($A440&lt;VLOOKUP(H$5,NFI,5,0),1,0)*Table_NFI[[#This Row],[Hygiene Kit]],Table_NFI[Hygiene Kit])</f>
        <v>0</v>
      </c>
      <c r="Z440" s="436">
        <f>IF(NFI_Expiration=1,IF($A440&lt;VLOOKUP(I$5,NFI,5,0),1,0)*Table_NFI[[#This Row],[NFI Core Kit]],Table_NFI[NFI Core Kit])</f>
        <v>0</v>
      </c>
      <c r="AA440" s="436">
        <f>IF(NFI_Expiration=1,IF($A440&lt;VLOOKUP(J$5,NFI,5,0),1,0)*Table_NFI[[#This Row],[Sanitary Kit]],Table_NFI[Sanitary Kit])</f>
        <v>0</v>
      </c>
      <c r="AB440" s="436">
        <f>IF(NFI_Expiration=1,IF($A440&lt;VLOOKUP(K$5,NFI,5,0),1,0)*Table_NFI[[#This Row],[Mosquito net]],Table_NFI[Mosquito net])</f>
        <v>0</v>
      </c>
      <c r="AC440" s="436">
        <f>IF(NFI_Expiration=1,IF($A440&lt;VLOOKUP(L$5,NFI,5,0),1,0)*Table_NFI[[#This Row],[Tarpaulin]],Table_NFI[[#This Row],[Tarpaulin]])</f>
        <v>0</v>
      </c>
      <c r="AD440" s="436">
        <f>IF(NFI_Expiration=1,IF($A440&lt;VLOOKUP(M$5,NFI,5,0),1,0)*Table_NFI[[#This Row],[Blanket]],Table_NFI[[#This Row],[Blanket]])</f>
        <v>0</v>
      </c>
      <c r="AE440" s="436">
        <f>IF(NFI_Expiration=1,IF($A440&lt;VLOOKUP(N$5,NFI,5,0),1,0)*Table_NFI[[#This Row],[Kitchen Set]],Table_NFI[Kitchen Set])</f>
        <v>0</v>
      </c>
      <c r="AF440" s="436">
        <f>IF(NFI_Expiration=1,IF($A440&lt;VLOOKUP(O$5,NFI,5,0),1,0)*Table_NFI[[#This Row],[Clothes Kit]],Table_NFI[Clothes Kit])</f>
        <v>0</v>
      </c>
      <c r="AG440" s="436">
        <f>IF(NFI_Expiration=1,IF($A440&lt;VLOOKUP(P$5,NFI,5,0),1,0)*Table_NFI[[#This Row],[Plastic Bucket]],Table_NFI[Plastic Bucket])</f>
        <v>0</v>
      </c>
      <c r="AH440" s="436">
        <f>IF(NFI_Expiration=1,IF($A440&lt;VLOOKUP(Q$5,NFI,5,0),1,0)*Table_NFI[[#This Row],[Plastic Mat]],Table_NFI[Plastic Mat])*IF(Table_NFI[[#This Row],[Distribution Date]]&gt;"2014-04-01",1,2.5)</f>
        <v>0</v>
      </c>
      <c r="AI440" s="436">
        <f>IF(NFI_Expiration=1,IF($A440&lt;VLOOKUP(R$5,NFI,5,0),1,0)*Table_NFI[[#This Row],[Winter Clothes Adult]],Table_NFI[Winter Clothes Adult])</f>
        <v>0</v>
      </c>
      <c r="AJ440" s="436">
        <f>IF(NFI_Expiration=1,IF($A440&lt;VLOOKUP(S$5,NFI,5,0),1,0)*Table_NFI[[#This Row],[Winter Clothes Children]],Table_NFI[Winter Clothes Children])</f>
        <v>0</v>
      </c>
      <c r="AK440" s="436">
        <f>IF(NFI_Expiration=1,IF($A440&lt;VLOOKUP(T$5,NFI,5,0),1,0)*Table_NFI[[#This Row],[Winter Items Other]],Table_NFI[Winter Items Other])</f>
        <v>0</v>
      </c>
      <c r="AL440" s="436">
        <f>IF(NFI_Expiration=1,IF($A440&lt;VLOOKUP(M$5,NFI,5,0),1,0)*Table_NFI[[#This Row],[Winter Blanket]],Table_NFI[[#This Row],[Winter Blanket]])</f>
        <v>0</v>
      </c>
      <c r="AM440" s="436">
        <f>IF(Table_NFI[[#This Row],[Winter Clothes Adult]]+Table_NFI[[#This Row],[Winter Clothes Children]]+Table_NFI[[#This Row],[Winter Items Other]]+Table_NFI[[#This Row],[Winter Blanket]]&gt;0,1,0)</f>
        <v>1</v>
      </c>
      <c r="AN440" s="439">
        <f>IF(NFI_Expiration=1,IF($A440&lt;VLOOKUP(V$5,NFI,5,0),1,0)*Table_NFI[[#This Row],[Jerry Can]],Table_NFI[Jerry Can])</f>
        <v>0</v>
      </c>
      <c r="AO440" s="771" t="str">
        <f>IFERROR(VLOOKUP(Table_NFI[[#This Row],[Camp Name]],CL,2,0),"")</f>
        <v>MMR001CMP214</v>
      </c>
      <c r="AP440" s="772">
        <f ca="1">IF(Table_NFI[[#This Row],[Pcode]]="","",IF(OFFSET(CampList[Opening Date],MATCH(Table_NFI[[#This Row],[Pcode]],CampList[CP_Pcode],0)-1,0,1,1)&gt;=NFI_Monitor_Date,1,0))</f>
        <v>0</v>
      </c>
      <c r="AQ440" s="771" t="str">
        <f>IFERROR(VLOOKUP(Table_NFI[[#This Row],[Camp Name]],CL,3,0),"")</f>
        <v>Closed</v>
      </c>
      <c r="AR440" s="436" t="str">
        <f ca="1">IF(Table_NFI[[#This Row],[Pcode]]="","",OFFSET(CampList[Priority],MATCH(Table_NFI[[#This Row],[Pcode]],CampList[CP_Pcode],0)-1,0,1,1))</f>
        <v/>
      </c>
      <c r="AS440" s="438" t="str">
        <f>IFERROR(Table_NFI[[#This Row],[Kitchen Set]]/VLOOKUP(Table_NFI[[#This Row],[Camp Name]],CL,4,0),"")</f>
        <v/>
      </c>
      <c r="AT440" s="769"/>
      <c r="AU440" s="773"/>
    </row>
    <row r="441" spans="1:47" s="774" customFormat="1" x14ac:dyDescent="0.25">
      <c r="A441" s="451">
        <f t="shared" si="6"/>
        <v>25.6</v>
      </c>
      <c r="B441" s="768">
        <v>41602</v>
      </c>
      <c r="C441" s="769" t="s">
        <v>912</v>
      </c>
      <c r="D441" s="769" t="s">
        <v>912</v>
      </c>
      <c r="E441" s="769" t="s">
        <v>380</v>
      </c>
      <c r="F441" s="769" t="s">
        <v>302</v>
      </c>
      <c r="G441" s="769" t="s">
        <v>304</v>
      </c>
      <c r="H441" s="436"/>
      <c r="I441" s="436"/>
      <c r="J441" s="436"/>
      <c r="K441" s="436"/>
      <c r="L441" s="437"/>
      <c r="M441" s="437"/>
      <c r="N441" s="437"/>
      <c r="O441" s="437"/>
      <c r="P441" s="439"/>
      <c r="Q441" s="439"/>
      <c r="R441" s="436">
        <v>45</v>
      </c>
      <c r="S441" s="436">
        <v>90</v>
      </c>
      <c r="T441" s="436">
        <v>270</v>
      </c>
      <c r="U441" s="436">
        <v>135</v>
      </c>
      <c r="V441" s="436"/>
      <c r="W441" s="436"/>
      <c r="X441" s="436"/>
      <c r="Y441" s="436">
        <f>IF(NFI_Expiration=1,IF($A441&lt;VLOOKUP(H$5,NFI,5,0),1,0)*Table_NFI[[#This Row],[Hygiene Kit]],Table_NFI[Hygiene Kit])</f>
        <v>0</v>
      </c>
      <c r="Z441" s="436">
        <f>IF(NFI_Expiration=1,IF($A441&lt;VLOOKUP(I$5,NFI,5,0),1,0)*Table_NFI[[#This Row],[NFI Core Kit]],Table_NFI[NFI Core Kit])</f>
        <v>0</v>
      </c>
      <c r="AA441" s="436">
        <f>IF(NFI_Expiration=1,IF($A441&lt;VLOOKUP(J$5,NFI,5,0),1,0)*Table_NFI[[#This Row],[Sanitary Kit]],Table_NFI[Sanitary Kit])</f>
        <v>0</v>
      </c>
      <c r="AB441" s="436">
        <f>IF(NFI_Expiration=1,IF($A441&lt;VLOOKUP(K$5,NFI,5,0),1,0)*Table_NFI[[#This Row],[Mosquito net]],Table_NFI[Mosquito net])</f>
        <v>0</v>
      </c>
      <c r="AC441" s="436">
        <f>IF(NFI_Expiration=1,IF($A441&lt;VLOOKUP(L$5,NFI,5,0),1,0)*Table_NFI[[#This Row],[Tarpaulin]],Table_NFI[[#This Row],[Tarpaulin]])</f>
        <v>0</v>
      </c>
      <c r="AD441" s="436">
        <f>IF(NFI_Expiration=1,IF($A441&lt;VLOOKUP(M$5,NFI,5,0),1,0)*Table_NFI[[#This Row],[Blanket]],Table_NFI[[#This Row],[Blanket]])</f>
        <v>0</v>
      </c>
      <c r="AE441" s="436">
        <f>IF(NFI_Expiration=1,IF($A441&lt;VLOOKUP(N$5,NFI,5,0),1,0)*Table_NFI[[#This Row],[Kitchen Set]],Table_NFI[Kitchen Set])</f>
        <v>0</v>
      </c>
      <c r="AF441" s="436">
        <f>IF(NFI_Expiration=1,IF($A441&lt;VLOOKUP(O$5,NFI,5,0),1,0)*Table_NFI[[#This Row],[Clothes Kit]],Table_NFI[Clothes Kit])</f>
        <v>0</v>
      </c>
      <c r="AG441" s="436">
        <f>IF(NFI_Expiration=1,IF($A441&lt;VLOOKUP(P$5,NFI,5,0),1,0)*Table_NFI[[#This Row],[Plastic Bucket]],Table_NFI[Plastic Bucket])</f>
        <v>0</v>
      </c>
      <c r="AH441" s="436">
        <f>IF(NFI_Expiration=1,IF($A441&lt;VLOOKUP(Q$5,NFI,5,0),1,0)*Table_NFI[[#This Row],[Plastic Mat]],Table_NFI[Plastic Mat])*IF(Table_NFI[[#This Row],[Distribution Date]]&gt;"2014-04-01",1,2.5)</f>
        <v>0</v>
      </c>
      <c r="AI441" s="436">
        <f>IF(NFI_Expiration=1,IF($A441&lt;VLOOKUP(R$5,NFI,5,0),1,0)*Table_NFI[[#This Row],[Winter Clothes Adult]],Table_NFI[Winter Clothes Adult])</f>
        <v>0</v>
      </c>
      <c r="AJ441" s="436">
        <f>IF(NFI_Expiration=1,IF($A441&lt;VLOOKUP(S$5,NFI,5,0),1,0)*Table_NFI[[#This Row],[Winter Clothes Children]],Table_NFI[Winter Clothes Children])</f>
        <v>0</v>
      </c>
      <c r="AK441" s="436">
        <f>IF(NFI_Expiration=1,IF($A441&lt;VLOOKUP(T$5,NFI,5,0),1,0)*Table_NFI[[#This Row],[Winter Items Other]],Table_NFI[Winter Items Other])</f>
        <v>0</v>
      </c>
      <c r="AL441" s="436">
        <f>IF(NFI_Expiration=1,IF($A441&lt;VLOOKUP(M$5,NFI,5,0),1,0)*Table_NFI[[#This Row],[Winter Blanket]],Table_NFI[[#This Row],[Winter Blanket]])</f>
        <v>0</v>
      </c>
      <c r="AM441" s="436">
        <f>IF(Table_NFI[[#This Row],[Winter Clothes Adult]]+Table_NFI[[#This Row],[Winter Clothes Children]]+Table_NFI[[#This Row],[Winter Items Other]]+Table_NFI[[#This Row],[Winter Blanket]]&gt;0,1,0)</f>
        <v>1</v>
      </c>
      <c r="AN441" s="439">
        <f>IF(NFI_Expiration=1,IF($A441&lt;VLOOKUP(V$5,NFI,5,0),1,0)*Table_NFI[[#This Row],[Jerry Can]],Table_NFI[Jerry Can])</f>
        <v>0</v>
      </c>
      <c r="AO441" s="771" t="str">
        <f>IFERROR(VLOOKUP(Table_NFI[[#This Row],[Camp Name]],CL,2,0),"")</f>
        <v>MMR001CMP147</v>
      </c>
      <c r="AP441" s="772">
        <f ca="1">IF(Table_NFI[[#This Row],[Pcode]]="","",IF(OFFSET(CampList[Opening Date],MATCH(Table_NFI[[#This Row],[Pcode]],CampList[CP_Pcode],0)-1,0,1,1)&gt;=NFI_Monitor_Date,1,0))</f>
        <v>0</v>
      </c>
      <c r="AQ441" s="771" t="str">
        <f>IFERROR(VLOOKUP(Table_NFI[[#This Row],[Camp Name]],CL,3,0),"")</f>
        <v>Open</v>
      </c>
      <c r="AR441" s="436" t="str">
        <f ca="1">IF(Table_NFI[[#This Row],[Pcode]]="","",OFFSET(CampList[Priority],MATCH(Table_NFI[[#This Row],[Pcode]],CampList[CP_Pcode],0)-1,0,1,1))</f>
        <v>P4</v>
      </c>
      <c r="AS441" s="438">
        <f>IFERROR(Table_NFI[[#This Row],[Kitchen Set]]/VLOOKUP(Table_NFI[[#This Row],[Camp Name]],CL,4,0),"")</f>
        <v>0</v>
      </c>
      <c r="AT441" s="769"/>
      <c r="AU441" s="773"/>
    </row>
    <row r="442" spans="1:47" s="774" customFormat="1" x14ac:dyDescent="0.25">
      <c r="A442" s="451">
        <f t="shared" si="6"/>
        <v>25.633333333333333</v>
      </c>
      <c r="B442" s="768">
        <v>41601</v>
      </c>
      <c r="C442" s="769" t="s">
        <v>455</v>
      </c>
      <c r="D442" s="769"/>
      <c r="E442" s="769" t="s">
        <v>380</v>
      </c>
      <c r="F442" s="769" t="s">
        <v>310</v>
      </c>
      <c r="G442" s="769" t="s">
        <v>334</v>
      </c>
      <c r="H442" s="436"/>
      <c r="I442" s="436"/>
      <c r="J442" s="436"/>
      <c r="K442" s="436"/>
      <c r="L442" s="437"/>
      <c r="M442" s="437">
        <v>358</v>
      </c>
      <c r="N442" s="437"/>
      <c r="O442" s="437"/>
      <c r="P442" s="439"/>
      <c r="Q442" s="439"/>
      <c r="R442" s="436"/>
      <c r="S442" s="436"/>
      <c r="T442" s="436"/>
      <c r="U442" s="436"/>
      <c r="V442" s="436"/>
      <c r="W442" s="436"/>
      <c r="X442" s="436"/>
      <c r="Y442" s="444">
        <f>IF(NFI_Expiration=1,IF($A442&lt;VLOOKUP(H$5,NFI,5,0),1,0)*Table_NFI[[#This Row],[Hygiene Kit]],Table_NFI[Hygiene Kit])</f>
        <v>0</v>
      </c>
      <c r="Z442" s="444">
        <f>IF(NFI_Expiration=1,IF($A442&lt;VLOOKUP(I$5,NFI,5,0),1,0)*Table_NFI[[#This Row],[NFI Core Kit]],Table_NFI[NFI Core Kit])</f>
        <v>0</v>
      </c>
      <c r="AA442" s="444">
        <f>IF(NFI_Expiration=1,IF($A442&lt;VLOOKUP(J$5,NFI,5,0),1,0)*Table_NFI[[#This Row],[Sanitary Kit]],Table_NFI[Sanitary Kit])</f>
        <v>0</v>
      </c>
      <c r="AB442" s="444">
        <f>IF(NFI_Expiration=1,IF($A442&lt;VLOOKUP(K$5,NFI,5,0),1,0)*Table_NFI[[#This Row],[Mosquito net]],Table_NFI[Mosquito net])</f>
        <v>0</v>
      </c>
      <c r="AC442" s="444">
        <f>IF(NFI_Expiration=1,IF($A442&lt;VLOOKUP(L$5,NFI,5,0),1,0)*Table_NFI[[#This Row],[Tarpaulin]],Table_NFI[[#This Row],[Tarpaulin]])</f>
        <v>0</v>
      </c>
      <c r="AD442" s="444">
        <f>IF(NFI_Expiration=1,IF($A442&lt;VLOOKUP(M$5,NFI,5,0),1,0)*Table_NFI[[#This Row],[Blanket]],Table_NFI[[#This Row],[Blanket]])</f>
        <v>0</v>
      </c>
      <c r="AE442" s="444">
        <f>IF(NFI_Expiration=1,IF($A442&lt;VLOOKUP(N$5,NFI,5,0),1,0)*Table_NFI[[#This Row],[Kitchen Set]],Table_NFI[Kitchen Set])</f>
        <v>0</v>
      </c>
      <c r="AF442" s="444">
        <f>IF(NFI_Expiration=1,IF($A442&lt;VLOOKUP(O$5,NFI,5,0),1,0)*Table_NFI[[#This Row],[Clothes Kit]],Table_NFI[Clothes Kit])</f>
        <v>0</v>
      </c>
      <c r="AG442" s="444">
        <f>IF(NFI_Expiration=1,IF($A442&lt;VLOOKUP(P$5,NFI,5,0),1,0)*Table_NFI[[#This Row],[Plastic Bucket]],Table_NFI[Plastic Bucket])</f>
        <v>0</v>
      </c>
      <c r="AH442" s="444">
        <f>IF(NFI_Expiration=1,IF($A442&lt;VLOOKUP(Q$5,NFI,5,0),1,0)*Table_NFI[[#This Row],[Plastic Mat]],Table_NFI[Plastic Mat])*IF(Table_NFI[[#This Row],[Distribution Date]]&gt;"2014-04-01",1,2.5)</f>
        <v>0</v>
      </c>
      <c r="AI442" s="444">
        <f>IF(NFI_Expiration=1,IF($A442&lt;VLOOKUP(R$5,NFI,5,0),1,0)*Table_NFI[[#This Row],[Winter Clothes Adult]],Table_NFI[Winter Clothes Adult])</f>
        <v>0</v>
      </c>
      <c r="AJ442" s="444">
        <f>IF(NFI_Expiration=1,IF($A442&lt;VLOOKUP(S$5,NFI,5,0),1,0)*Table_NFI[[#This Row],[Winter Clothes Children]],Table_NFI[Winter Clothes Children])</f>
        <v>0</v>
      </c>
      <c r="AK442" s="444">
        <f>IF(NFI_Expiration=1,IF($A442&lt;VLOOKUP(T$5,NFI,5,0),1,0)*Table_NFI[[#This Row],[Winter Items Other]],Table_NFI[Winter Items Other])</f>
        <v>0</v>
      </c>
      <c r="AL442" s="444">
        <f>IF(NFI_Expiration=1,IF($A442&lt;VLOOKUP(M$5,NFI,5,0),1,0)*Table_NFI[[#This Row],[Winter Blanket]],Table_NFI[[#This Row],[Winter Blanket]])</f>
        <v>0</v>
      </c>
      <c r="AM442" s="444">
        <f>IF(Table_NFI[[#This Row],[Winter Clothes Adult]]+Table_NFI[[#This Row],[Winter Clothes Children]]+Table_NFI[[#This Row],[Winter Items Other]]+Table_NFI[[#This Row],[Winter Blanket]]&gt;0,1,0)</f>
        <v>0</v>
      </c>
      <c r="AN442" s="439">
        <f>IF(NFI_Expiration=1,IF($A442&lt;VLOOKUP(V$5,NFI,5,0),1,0)*Table_NFI[[#This Row],[Jerry Can]],Table_NFI[Jerry Can])</f>
        <v>0</v>
      </c>
      <c r="AO442" s="777" t="str">
        <f>IFERROR(VLOOKUP(Table_NFI[[#This Row],[Camp Name]],CL,2,0),"")</f>
        <v>MMR001CMP113</v>
      </c>
      <c r="AP442" s="778">
        <f ca="1">IF(Table_NFI[[#This Row],[Pcode]]="","",IF(OFFSET(CampList[Opening Date],MATCH(Table_NFI[[#This Row],[Pcode]],CampList[CP_Pcode],0)-1,0,1,1)&gt;=NFI_Monitor_Date,1,0))</f>
        <v>0</v>
      </c>
      <c r="AQ442" s="777" t="str">
        <f>IFERROR(VLOOKUP(Table_NFI[[#This Row],[Camp Name]],CL,3,0),"")</f>
        <v>Open</v>
      </c>
      <c r="AR442" s="444" t="str">
        <f ca="1">IF(Table_NFI[[#This Row],[Pcode]]="","",OFFSET(CampList[Priority],MATCH(Table_NFI[[#This Row],[Pcode]],CampList[CP_Pcode],0)-1,0,1,1))</f>
        <v>P1</v>
      </c>
      <c r="AS442" s="445">
        <f>IFERROR(Table_NFI[[#This Row],[Kitchen Set]]/VLOOKUP(Table_NFI[[#This Row],[Camp Name]],CL,4,0),"")</f>
        <v>0</v>
      </c>
      <c r="AT442" s="769" t="s">
        <v>1099</v>
      </c>
      <c r="AU442" s="773"/>
    </row>
    <row r="443" spans="1:47" s="774" customFormat="1" x14ac:dyDescent="0.25">
      <c r="A443" s="451">
        <f t="shared" si="6"/>
        <v>25.7</v>
      </c>
      <c r="B443" s="768">
        <v>41599</v>
      </c>
      <c r="C443" s="442" t="s">
        <v>454</v>
      </c>
      <c r="D443" s="442" t="s">
        <v>454</v>
      </c>
      <c r="E443" s="775" t="s">
        <v>380</v>
      </c>
      <c r="F443" s="435" t="s">
        <v>5</v>
      </c>
      <c r="G443" s="435" t="s">
        <v>514</v>
      </c>
      <c r="H443" s="442"/>
      <c r="I443" s="442"/>
      <c r="J443" s="442"/>
      <c r="K443" s="775">
        <v>34</v>
      </c>
      <c r="L443" s="776">
        <v>18</v>
      </c>
      <c r="M443" s="443">
        <v>34</v>
      </c>
      <c r="N443" s="443">
        <v>18</v>
      </c>
      <c r="O443" s="443">
        <v>18</v>
      </c>
      <c r="P443" s="776"/>
      <c r="Q443" s="443"/>
      <c r="R443" s="442"/>
      <c r="S443" s="442"/>
      <c r="T443" s="442"/>
      <c r="U443" s="442"/>
      <c r="V443" s="442"/>
      <c r="W443" s="442"/>
      <c r="X443" s="442"/>
      <c r="Y443" s="436">
        <f>IF(NFI_Expiration=1,IF($A443&lt;VLOOKUP(H$5,NFI,5,0),1,0)*Table_NFI[[#This Row],[Hygiene Kit]],Table_NFI[Hygiene Kit])</f>
        <v>0</v>
      </c>
      <c r="Z443" s="436">
        <f>IF(NFI_Expiration=1,IF($A443&lt;VLOOKUP(I$5,NFI,5,0),1,0)*Table_NFI[[#This Row],[NFI Core Kit]],Table_NFI[NFI Core Kit])</f>
        <v>0</v>
      </c>
      <c r="AA443" s="436">
        <f>IF(NFI_Expiration=1,IF($A443&lt;VLOOKUP(J$5,NFI,5,0),1,0)*Table_NFI[[#This Row],[Sanitary Kit]],Table_NFI[Sanitary Kit])</f>
        <v>0</v>
      </c>
      <c r="AB443" s="436">
        <f>IF(NFI_Expiration=1,IF($A443&lt;VLOOKUP(K$5,NFI,5,0),1,0)*Table_NFI[[#This Row],[Mosquito net]],Table_NFI[Mosquito net])</f>
        <v>0</v>
      </c>
      <c r="AC443" s="436">
        <f>IF(NFI_Expiration=1,IF($A443&lt;VLOOKUP(L$5,NFI,5,0),1,0)*Table_NFI[[#This Row],[Tarpaulin]],Table_NFI[[#This Row],[Tarpaulin]])</f>
        <v>0</v>
      </c>
      <c r="AD443" s="436">
        <f>IF(NFI_Expiration=1,IF($A443&lt;VLOOKUP(M$5,NFI,5,0),1,0)*Table_NFI[[#This Row],[Blanket]],Table_NFI[[#This Row],[Blanket]])</f>
        <v>0</v>
      </c>
      <c r="AE443" s="436">
        <f>IF(NFI_Expiration=1,IF($A443&lt;VLOOKUP(N$5,NFI,5,0),1,0)*Table_NFI[[#This Row],[Kitchen Set]],Table_NFI[Kitchen Set])</f>
        <v>0</v>
      </c>
      <c r="AF443" s="436">
        <f>IF(NFI_Expiration=1,IF($A443&lt;VLOOKUP(O$5,NFI,5,0),1,0)*Table_NFI[[#This Row],[Clothes Kit]],Table_NFI[Clothes Kit])</f>
        <v>0</v>
      </c>
      <c r="AG443" s="436">
        <f>IF(NFI_Expiration=1,IF($A443&lt;VLOOKUP(P$5,NFI,5,0),1,0)*Table_NFI[[#This Row],[Plastic Bucket]],Table_NFI[Plastic Bucket])</f>
        <v>0</v>
      </c>
      <c r="AH443" s="436">
        <f>IF(NFI_Expiration=1,IF($A443&lt;VLOOKUP(Q$5,NFI,5,0),1,0)*Table_NFI[[#This Row],[Plastic Mat]],Table_NFI[Plastic Mat])*IF(Table_NFI[[#This Row],[Distribution Date]]&gt;"2014-04-01",1,2.5)</f>
        <v>0</v>
      </c>
      <c r="AI443" s="436">
        <f>IF(NFI_Expiration=1,IF($A443&lt;VLOOKUP(R$5,NFI,5,0),1,0)*Table_NFI[[#This Row],[Winter Clothes Adult]],Table_NFI[Winter Clothes Adult])</f>
        <v>0</v>
      </c>
      <c r="AJ443" s="436">
        <f>IF(NFI_Expiration=1,IF($A443&lt;VLOOKUP(S$5,NFI,5,0),1,0)*Table_NFI[[#This Row],[Winter Clothes Children]],Table_NFI[Winter Clothes Children])</f>
        <v>0</v>
      </c>
      <c r="AK443" s="436">
        <f>IF(NFI_Expiration=1,IF($A443&lt;VLOOKUP(T$5,NFI,5,0),1,0)*Table_NFI[[#This Row],[Winter Items Other]],Table_NFI[Winter Items Other])</f>
        <v>0</v>
      </c>
      <c r="AL443" s="436">
        <f>IF(NFI_Expiration=1,IF($A443&lt;VLOOKUP(M$5,NFI,5,0),1,0)*Table_NFI[[#This Row],[Winter Blanket]],Table_NFI[[#This Row],[Winter Blanket]])</f>
        <v>0</v>
      </c>
      <c r="AM443" s="436">
        <f>IF(Table_NFI[[#This Row],[Winter Clothes Adult]]+Table_NFI[[#This Row],[Winter Clothes Children]]+Table_NFI[[#This Row],[Winter Items Other]]+Table_NFI[[#This Row],[Winter Blanket]]&gt;0,1,0)</f>
        <v>0</v>
      </c>
      <c r="AN443" s="439">
        <f>IF(NFI_Expiration=1,IF($A443&lt;VLOOKUP(V$5,NFI,5,0),1,0)*Table_NFI[[#This Row],[Jerry Can]],Table_NFI[Jerry Can])</f>
        <v>0</v>
      </c>
      <c r="AO443" s="771" t="str">
        <f>IFERROR(VLOOKUP(Table_NFI[[#This Row],[Camp Name]],CL,2,0),"")</f>
        <v>MMR001CMP194</v>
      </c>
      <c r="AP443" s="772">
        <f ca="1">IF(Table_NFI[[#This Row],[Pcode]]="","",IF(OFFSET(CampList[Opening Date],MATCH(Table_NFI[[#This Row],[Pcode]],CampList[CP_Pcode],0)-1,0,1,1)&gt;=NFI_Monitor_Date,1,0))</f>
        <v>0</v>
      </c>
      <c r="AQ443" s="781" t="str">
        <f>IFERROR(VLOOKUP(Table_NFI[[#This Row],[Camp Name]],CL,3,0),"")</f>
        <v>Open</v>
      </c>
      <c r="AR443" s="439" t="str">
        <f ca="1">IF(Table_NFI[[#This Row],[Pcode]]="","",OFFSET(CampList[Priority],MATCH(Table_NFI[[#This Row],[Pcode]],CampList[CP_Pcode],0)-1,0,1,1))</f>
        <v>P4</v>
      </c>
      <c r="AS443" s="438">
        <f>IFERROR(Table_NFI[[#This Row],[Kitchen Set]]/VLOOKUP(Table_NFI[[#This Row],[Camp Name]],CL,4,0),"")</f>
        <v>1.5</v>
      </c>
      <c r="AT443" s="769" t="s">
        <v>1099</v>
      </c>
      <c r="AU443" s="773"/>
    </row>
    <row r="444" spans="1:47" s="774" customFormat="1" x14ac:dyDescent="0.25">
      <c r="A444" s="451">
        <f t="shared" si="6"/>
        <v>25.7</v>
      </c>
      <c r="B444" s="768">
        <v>41599</v>
      </c>
      <c r="C444" s="442" t="s">
        <v>454</v>
      </c>
      <c r="D444" s="442" t="s">
        <v>575</v>
      </c>
      <c r="E444" s="775" t="s">
        <v>380</v>
      </c>
      <c r="F444" s="769" t="s">
        <v>151</v>
      </c>
      <c r="G444" s="435" t="s">
        <v>882</v>
      </c>
      <c r="H444" s="442"/>
      <c r="I444" s="442"/>
      <c r="J444" s="442"/>
      <c r="K444" s="775">
        <v>400</v>
      </c>
      <c r="L444" s="776">
        <v>210</v>
      </c>
      <c r="M444" s="443">
        <v>400</v>
      </c>
      <c r="N444" s="443">
        <v>210</v>
      </c>
      <c r="O444" s="443"/>
      <c r="P444" s="776"/>
      <c r="Q444" s="443">
        <v>210</v>
      </c>
      <c r="R444" s="442"/>
      <c r="S444" s="442"/>
      <c r="T444" s="442"/>
      <c r="U444" s="442"/>
      <c r="V444" s="442"/>
      <c r="W444" s="442"/>
      <c r="X444" s="442"/>
      <c r="Y444" s="436">
        <f>IF(NFI_Expiration=1,IF($A444&lt;VLOOKUP(H$5,NFI,5,0),1,0)*Table_NFI[[#This Row],[Hygiene Kit]],Table_NFI[Hygiene Kit])</f>
        <v>0</v>
      </c>
      <c r="Z444" s="436">
        <f>IF(NFI_Expiration=1,IF($A444&lt;VLOOKUP(I$5,NFI,5,0),1,0)*Table_NFI[[#This Row],[NFI Core Kit]],Table_NFI[NFI Core Kit])</f>
        <v>0</v>
      </c>
      <c r="AA444" s="436">
        <f>IF(NFI_Expiration=1,IF($A444&lt;VLOOKUP(J$5,NFI,5,0),1,0)*Table_NFI[[#This Row],[Sanitary Kit]],Table_NFI[Sanitary Kit])</f>
        <v>0</v>
      </c>
      <c r="AB444" s="436">
        <f>IF(NFI_Expiration=1,IF($A444&lt;VLOOKUP(K$5,NFI,5,0),1,0)*Table_NFI[[#This Row],[Mosquito net]],Table_NFI[Mosquito net])</f>
        <v>0</v>
      </c>
      <c r="AC444" s="436">
        <f>IF(NFI_Expiration=1,IF($A444&lt;VLOOKUP(L$5,NFI,5,0),1,0)*Table_NFI[[#This Row],[Tarpaulin]],Table_NFI[[#This Row],[Tarpaulin]])</f>
        <v>0</v>
      </c>
      <c r="AD444" s="436">
        <f>IF(NFI_Expiration=1,IF($A444&lt;VLOOKUP(M$5,NFI,5,0),1,0)*Table_NFI[[#This Row],[Blanket]],Table_NFI[[#This Row],[Blanket]])</f>
        <v>0</v>
      </c>
      <c r="AE444" s="436">
        <f>IF(NFI_Expiration=1,IF($A444&lt;VLOOKUP(N$5,NFI,5,0),1,0)*Table_NFI[[#This Row],[Kitchen Set]],Table_NFI[Kitchen Set])</f>
        <v>0</v>
      </c>
      <c r="AF444" s="436">
        <f>IF(NFI_Expiration=1,IF($A444&lt;VLOOKUP(O$5,NFI,5,0),1,0)*Table_NFI[[#This Row],[Clothes Kit]],Table_NFI[Clothes Kit])</f>
        <v>0</v>
      </c>
      <c r="AG444" s="436">
        <f>IF(NFI_Expiration=1,IF($A444&lt;VLOOKUP(P$5,NFI,5,0),1,0)*Table_NFI[[#This Row],[Plastic Bucket]],Table_NFI[Plastic Bucket])</f>
        <v>0</v>
      </c>
      <c r="AH444" s="436">
        <f>IF(NFI_Expiration=1,IF($A444&lt;VLOOKUP(Q$5,NFI,5,0),1,0)*Table_NFI[[#This Row],[Plastic Mat]],Table_NFI[Plastic Mat])*IF(Table_NFI[[#This Row],[Distribution Date]]&gt;"2014-04-01",1,2.5)</f>
        <v>0</v>
      </c>
      <c r="AI444" s="436">
        <f>IF(NFI_Expiration=1,IF($A444&lt;VLOOKUP(R$5,NFI,5,0),1,0)*Table_NFI[[#This Row],[Winter Clothes Adult]],Table_NFI[Winter Clothes Adult])</f>
        <v>0</v>
      </c>
      <c r="AJ444" s="436">
        <f>IF(NFI_Expiration=1,IF($A444&lt;VLOOKUP(S$5,NFI,5,0),1,0)*Table_NFI[[#This Row],[Winter Clothes Children]],Table_NFI[Winter Clothes Children])</f>
        <v>0</v>
      </c>
      <c r="AK444" s="436">
        <f>IF(NFI_Expiration=1,IF($A444&lt;VLOOKUP(T$5,NFI,5,0),1,0)*Table_NFI[[#This Row],[Winter Items Other]],Table_NFI[Winter Items Other])</f>
        <v>0</v>
      </c>
      <c r="AL444" s="436">
        <f>IF(NFI_Expiration=1,IF($A444&lt;VLOOKUP(M$5,NFI,5,0),1,0)*Table_NFI[[#This Row],[Winter Blanket]],Table_NFI[[#This Row],[Winter Blanket]])</f>
        <v>0</v>
      </c>
      <c r="AM444" s="436">
        <f>IF(Table_NFI[[#This Row],[Winter Clothes Adult]]+Table_NFI[[#This Row],[Winter Clothes Children]]+Table_NFI[[#This Row],[Winter Items Other]]+Table_NFI[[#This Row],[Winter Blanket]]&gt;0,1,0)</f>
        <v>0</v>
      </c>
      <c r="AN444" s="439">
        <f>IF(NFI_Expiration=1,IF($A444&lt;VLOOKUP(V$5,NFI,5,0),1,0)*Table_NFI[[#This Row],[Jerry Can]],Table_NFI[Jerry Can])</f>
        <v>0</v>
      </c>
      <c r="AO444" s="771" t="str">
        <f>IFERROR(VLOOKUP(Table_NFI[[#This Row],[Camp Name]],CL,2,0),"")</f>
        <v>MMR001CMP212</v>
      </c>
      <c r="AP444" s="772">
        <f ca="1">IF(Table_NFI[[#This Row],[Pcode]]="","",IF(OFFSET(CampList[Opening Date],MATCH(Table_NFI[[#This Row],[Pcode]],CampList[CP_Pcode],0)-1,0,1,1)&gt;=NFI_Monitor_Date,1,0))</f>
        <v>0</v>
      </c>
      <c r="AQ444" s="781" t="str">
        <f>IFERROR(VLOOKUP(Table_NFI[[#This Row],[Camp Name]],CL,3,0),"")</f>
        <v>Closed</v>
      </c>
      <c r="AR444" s="439" t="str">
        <f ca="1">IF(Table_NFI[[#This Row],[Pcode]]="","",OFFSET(CampList[Priority],MATCH(Table_NFI[[#This Row],[Pcode]],CampList[CP_Pcode],0)-1,0,1,1))</f>
        <v/>
      </c>
      <c r="AS444" s="438" t="str">
        <f>IFERROR(Table_NFI[[#This Row],[Kitchen Set]]/VLOOKUP(Table_NFI[[#This Row],[Camp Name]],CL,4,0),"")</f>
        <v/>
      </c>
      <c r="AT444" s="769" t="s">
        <v>1099</v>
      </c>
      <c r="AU444" s="773"/>
    </row>
    <row r="445" spans="1:47" s="774" customFormat="1" x14ac:dyDescent="0.25">
      <c r="A445" s="451">
        <f t="shared" si="6"/>
        <v>25.7</v>
      </c>
      <c r="B445" s="768">
        <v>41599</v>
      </c>
      <c r="C445" s="442" t="s">
        <v>454</v>
      </c>
      <c r="D445" s="442" t="s">
        <v>454</v>
      </c>
      <c r="E445" s="775" t="s">
        <v>380</v>
      </c>
      <c r="F445" s="435" t="s">
        <v>5</v>
      </c>
      <c r="G445" s="435" t="s">
        <v>366</v>
      </c>
      <c r="H445" s="442"/>
      <c r="I445" s="442"/>
      <c r="J445" s="442"/>
      <c r="K445" s="775">
        <v>15</v>
      </c>
      <c r="L445" s="776">
        <v>9</v>
      </c>
      <c r="M445" s="443">
        <v>15</v>
      </c>
      <c r="N445" s="443">
        <v>9</v>
      </c>
      <c r="O445" s="443">
        <v>9</v>
      </c>
      <c r="P445" s="776"/>
      <c r="Q445" s="443"/>
      <c r="R445" s="442"/>
      <c r="S445" s="442"/>
      <c r="T445" s="442"/>
      <c r="U445" s="442"/>
      <c r="V445" s="442"/>
      <c r="W445" s="442"/>
      <c r="X445" s="442"/>
      <c r="Y445" s="436">
        <f>IF(NFI_Expiration=1,IF($A445&lt;VLOOKUP(H$5,NFI,5,0),1,0)*Table_NFI[[#This Row],[Hygiene Kit]],Table_NFI[Hygiene Kit])</f>
        <v>0</v>
      </c>
      <c r="Z445" s="436">
        <f>IF(NFI_Expiration=1,IF($A445&lt;VLOOKUP(I$5,NFI,5,0),1,0)*Table_NFI[[#This Row],[NFI Core Kit]],Table_NFI[NFI Core Kit])</f>
        <v>0</v>
      </c>
      <c r="AA445" s="436">
        <f>IF(NFI_Expiration=1,IF($A445&lt;VLOOKUP(J$5,NFI,5,0),1,0)*Table_NFI[[#This Row],[Sanitary Kit]],Table_NFI[Sanitary Kit])</f>
        <v>0</v>
      </c>
      <c r="AB445" s="436">
        <f>IF(NFI_Expiration=1,IF($A445&lt;VLOOKUP(K$5,NFI,5,0),1,0)*Table_NFI[[#This Row],[Mosquito net]],Table_NFI[Mosquito net])</f>
        <v>0</v>
      </c>
      <c r="AC445" s="436">
        <f>IF(NFI_Expiration=1,IF($A445&lt;VLOOKUP(L$5,NFI,5,0),1,0)*Table_NFI[[#This Row],[Tarpaulin]],Table_NFI[[#This Row],[Tarpaulin]])</f>
        <v>0</v>
      </c>
      <c r="AD445" s="436">
        <f>IF(NFI_Expiration=1,IF($A445&lt;VLOOKUP(M$5,NFI,5,0),1,0)*Table_NFI[[#This Row],[Blanket]],Table_NFI[[#This Row],[Blanket]])</f>
        <v>0</v>
      </c>
      <c r="AE445" s="436">
        <f>IF(NFI_Expiration=1,IF($A445&lt;VLOOKUP(N$5,NFI,5,0),1,0)*Table_NFI[[#This Row],[Kitchen Set]],Table_NFI[Kitchen Set])</f>
        <v>0</v>
      </c>
      <c r="AF445" s="436">
        <f>IF(NFI_Expiration=1,IF($A445&lt;VLOOKUP(O$5,NFI,5,0),1,0)*Table_NFI[[#This Row],[Clothes Kit]],Table_NFI[Clothes Kit])</f>
        <v>0</v>
      </c>
      <c r="AG445" s="436">
        <f>IF(NFI_Expiration=1,IF($A445&lt;VLOOKUP(P$5,NFI,5,0),1,0)*Table_NFI[[#This Row],[Plastic Bucket]],Table_NFI[Plastic Bucket])</f>
        <v>0</v>
      </c>
      <c r="AH445" s="436">
        <f>IF(NFI_Expiration=1,IF($A445&lt;VLOOKUP(Q$5,NFI,5,0),1,0)*Table_NFI[[#This Row],[Plastic Mat]],Table_NFI[Plastic Mat])*IF(Table_NFI[[#This Row],[Distribution Date]]&gt;"2014-04-01",1,2.5)</f>
        <v>0</v>
      </c>
      <c r="AI445" s="436">
        <f>IF(NFI_Expiration=1,IF($A445&lt;VLOOKUP(R$5,NFI,5,0),1,0)*Table_NFI[[#This Row],[Winter Clothes Adult]],Table_NFI[Winter Clothes Adult])</f>
        <v>0</v>
      </c>
      <c r="AJ445" s="436">
        <f>IF(NFI_Expiration=1,IF($A445&lt;VLOOKUP(S$5,NFI,5,0),1,0)*Table_NFI[[#This Row],[Winter Clothes Children]],Table_NFI[Winter Clothes Children])</f>
        <v>0</v>
      </c>
      <c r="AK445" s="436">
        <f>IF(NFI_Expiration=1,IF($A445&lt;VLOOKUP(T$5,NFI,5,0),1,0)*Table_NFI[[#This Row],[Winter Items Other]],Table_NFI[Winter Items Other])</f>
        <v>0</v>
      </c>
      <c r="AL445" s="436">
        <f>IF(NFI_Expiration=1,IF($A445&lt;VLOOKUP(M$5,NFI,5,0),1,0)*Table_NFI[[#This Row],[Winter Blanket]],Table_NFI[[#This Row],[Winter Blanket]])</f>
        <v>0</v>
      </c>
      <c r="AM445" s="436">
        <f>IF(Table_NFI[[#This Row],[Winter Clothes Adult]]+Table_NFI[[#This Row],[Winter Clothes Children]]+Table_NFI[[#This Row],[Winter Items Other]]+Table_NFI[[#This Row],[Winter Blanket]]&gt;0,1,0)</f>
        <v>0</v>
      </c>
      <c r="AN445" s="439">
        <f>IF(NFI_Expiration=1,IF($A445&lt;VLOOKUP(V$5,NFI,5,0),1,0)*Table_NFI[[#This Row],[Jerry Can]],Table_NFI[Jerry Can])</f>
        <v>0</v>
      </c>
      <c r="AO445" s="771" t="str">
        <f>IFERROR(VLOOKUP(Table_NFI[[#This Row],[Camp Name]],CL,2,0),"")</f>
        <v>MMR001CMP193</v>
      </c>
      <c r="AP445" s="772">
        <f ca="1">IF(Table_NFI[[#This Row],[Pcode]]="","",IF(OFFSET(CampList[Opening Date],MATCH(Table_NFI[[#This Row],[Pcode]],CampList[CP_Pcode],0)-1,0,1,1)&gt;=NFI_Monitor_Date,1,0))</f>
        <v>0</v>
      </c>
      <c r="AQ445" s="781" t="str">
        <f>IFERROR(VLOOKUP(Table_NFI[[#This Row],[Camp Name]],CL,3,0),"")</f>
        <v>Open</v>
      </c>
      <c r="AR445" s="439" t="str">
        <f ca="1">IF(Table_NFI[[#This Row],[Pcode]]="","",OFFSET(CampList[Priority],MATCH(Table_NFI[[#This Row],[Pcode]],CampList[CP_Pcode],0)-1,0,1,1))</f>
        <v>P4</v>
      </c>
      <c r="AS445" s="438">
        <f>IFERROR(Table_NFI[[#This Row],[Kitchen Set]]/VLOOKUP(Table_NFI[[#This Row],[Camp Name]],CL,4,0),"")</f>
        <v>5.7324840764331211E-2</v>
      </c>
      <c r="AT445" s="769" t="s">
        <v>1099</v>
      </c>
      <c r="AU445" s="773"/>
    </row>
    <row r="446" spans="1:47" s="774" customFormat="1" x14ac:dyDescent="0.25">
      <c r="A446" s="451">
        <f t="shared" si="6"/>
        <v>25.733333333333334</v>
      </c>
      <c r="B446" s="768">
        <v>41598</v>
      </c>
      <c r="C446" s="769" t="s">
        <v>912</v>
      </c>
      <c r="D446" s="769" t="s">
        <v>912</v>
      </c>
      <c r="E446" s="769" t="s">
        <v>380</v>
      </c>
      <c r="F446" s="769" t="s">
        <v>5</v>
      </c>
      <c r="G446" s="769" t="s">
        <v>22</v>
      </c>
      <c r="H446" s="436"/>
      <c r="I446" s="436"/>
      <c r="J446" s="436"/>
      <c r="K446" s="436"/>
      <c r="L446" s="437"/>
      <c r="M446" s="437"/>
      <c r="N446" s="437"/>
      <c r="O446" s="437"/>
      <c r="P446" s="439"/>
      <c r="Q446" s="439"/>
      <c r="R446" s="436"/>
      <c r="S446" s="436">
        <v>19</v>
      </c>
      <c r="T446" s="436">
        <v>38</v>
      </c>
      <c r="U446" s="436">
        <v>19</v>
      </c>
      <c r="V446" s="436"/>
      <c r="W446" s="436"/>
      <c r="X446" s="436"/>
      <c r="Y446" s="436">
        <f>IF(NFI_Expiration=1,IF($A446&lt;VLOOKUP(H$5,NFI,5,0),1,0)*Table_NFI[[#This Row],[Hygiene Kit]],Table_NFI[Hygiene Kit])</f>
        <v>0</v>
      </c>
      <c r="Z446" s="436">
        <f>IF(NFI_Expiration=1,IF($A446&lt;VLOOKUP(I$5,NFI,5,0),1,0)*Table_NFI[[#This Row],[NFI Core Kit]],Table_NFI[NFI Core Kit])</f>
        <v>0</v>
      </c>
      <c r="AA446" s="436">
        <f>IF(NFI_Expiration=1,IF($A446&lt;VLOOKUP(J$5,NFI,5,0),1,0)*Table_NFI[[#This Row],[Sanitary Kit]],Table_NFI[Sanitary Kit])</f>
        <v>0</v>
      </c>
      <c r="AB446" s="436">
        <f>IF(NFI_Expiration=1,IF($A446&lt;VLOOKUP(K$5,NFI,5,0),1,0)*Table_NFI[[#This Row],[Mosquito net]],Table_NFI[Mosquito net])</f>
        <v>0</v>
      </c>
      <c r="AC446" s="436">
        <f>IF(NFI_Expiration=1,IF($A446&lt;VLOOKUP(L$5,NFI,5,0),1,0)*Table_NFI[[#This Row],[Tarpaulin]],Table_NFI[[#This Row],[Tarpaulin]])</f>
        <v>0</v>
      </c>
      <c r="AD446" s="436">
        <f>IF(NFI_Expiration=1,IF($A446&lt;VLOOKUP(M$5,NFI,5,0),1,0)*Table_NFI[[#This Row],[Blanket]],Table_NFI[[#This Row],[Blanket]])</f>
        <v>0</v>
      </c>
      <c r="AE446" s="436">
        <f>IF(NFI_Expiration=1,IF($A446&lt;VLOOKUP(N$5,NFI,5,0),1,0)*Table_NFI[[#This Row],[Kitchen Set]],Table_NFI[Kitchen Set])</f>
        <v>0</v>
      </c>
      <c r="AF446" s="436">
        <f>IF(NFI_Expiration=1,IF($A446&lt;VLOOKUP(O$5,NFI,5,0),1,0)*Table_NFI[[#This Row],[Clothes Kit]],Table_NFI[Clothes Kit])</f>
        <v>0</v>
      </c>
      <c r="AG446" s="436">
        <f>IF(NFI_Expiration=1,IF($A446&lt;VLOOKUP(P$5,NFI,5,0),1,0)*Table_NFI[[#This Row],[Plastic Bucket]],Table_NFI[Plastic Bucket])</f>
        <v>0</v>
      </c>
      <c r="AH446" s="436">
        <f>IF(NFI_Expiration=1,IF($A446&lt;VLOOKUP(Q$5,NFI,5,0),1,0)*Table_NFI[[#This Row],[Plastic Mat]],Table_NFI[Plastic Mat])*IF(Table_NFI[[#This Row],[Distribution Date]]&gt;"2014-04-01",1,2.5)</f>
        <v>0</v>
      </c>
      <c r="AI446" s="436">
        <f>IF(NFI_Expiration=1,IF($A446&lt;VLOOKUP(R$5,NFI,5,0),1,0)*Table_NFI[[#This Row],[Winter Clothes Adult]],Table_NFI[Winter Clothes Adult])</f>
        <v>0</v>
      </c>
      <c r="AJ446" s="436">
        <f>IF(NFI_Expiration=1,IF($A446&lt;VLOOKUP(S$5,NFI,5,0),1,0)*Table_NFI[[#This Row],[Winter Clothes Children]],Table_NFI[Winter Clothes Children])</f>
        <v>0</v>
      </c>
      <c r="AK446" s="436">
        <f>IF(NFI_Expiration=1,IF($A446&lt;VLOOKUP(T$5,NFI,5,0),1,0)*Table_NFI[[#This Row],[Winter Items Other]],Table_NFI[Winter Items Other])</f>
        <v>0</v>
      </c>
      <c r="AL446" s="436">
        <f>IF(NFI_Expiration=1,IF($A446&lt;VLOOKUP(M$5,NFI,5,0),1,0)*Table_NFI[[#This Row],[Winter Blanket]],Table_NFI[[#This Row],[Winter Blanket]])</f>
        <v>0</v>
      </c>
      <c r="AM446" s="436">
        <f>IF(Table_NFI[[#This Row],[Winter Clothes Adult]]+Table_NFI[[#This Row],[Winter Clothes Children]]+Table_NFI[[#This Row],[Winter Items Other]]+Table_NFI[[#This Row],[Winter Blanket]]&gt;0,1,0)</f>
        <v>1</v>
      </c>
      <c r="AN446" s="439">
        <f>IF(NFI_Expiration=1,IF($A446&lt;VLOOKUP(V$5,NFI,5,0),1,0)*Table_NFI[[#This Row],[Jerry Can]],Table_NFI[Jerry Can])</f>
        <v>0</v>
      </c>
      <c r="AO446" s="771" t="str">
        <f>IFERROR(VLOOKUP(Table_NFI[[#This Row],[Camp Name]],CL,2,0),"")</f>
        <v>MMR001CMP047</v>
      </c>
      <c r="AP446" s="772">
        <f ca="1">IF(Table_NFI[[#This Row],[Pcode]]="","",IF(OFFSET(CampList[Opening Date],MATCH(Table_NFI[[#This Row],[Pcode]],CampList[CP_Pcode],0)-1,0,1,1)&gt;=NFI_Monitor_Date,1,0))</f>
        <v>0</v>
      </c>
      <c r="AQ446" s="771" t="str">
        <f>IFERROR(VLOOKUP(Table_NFI[[#This Row],[Camp Name]],CL,3,0),"")</f>
        <v>Open</v>
      </c>
      <c r="AR446" s="436" t="str">
        <f ca="1">IF(Table_NFI[[#This Row],[Pcode]]="","",OFFSET(CampList[Priority],MATCH(Table_NFI[[#This Row],[Pcode]],CampList[CP_Pcode],0)-1,0,1,1))</f>
        <v>P4</v>
      </c>
      <c r="AS446" s="438">
        <f>IFERROR(Table_NFI[[#This Row],[Kitchen Set]]/VLOOKUP(Table_NFI[[#This Row],[Camp Name]],CL,4,0),"")</f>
        <v>0</v>
      </c>
      <c r="AT446" s="769"/>
      <c r="AU446" s="773"/>
    </row>
    <row r="447" spans="1:47" s="774" customFormat="1" x14ac:dyDescent="0.25">
      <c r="A447" s="451">
        <f t="shared" si="6"/>
        <v>25.766666666666666</v>
      </c>
      <c r="B447" s="768">
        <v>41597</v>
      </c>
      <c r="C447" s="442" t="s">
        <v>454</v>
      </c>
      <c r="D447" s="442" t="s">
        <v>454</v>
      </c>
      <c r="E447" s="775" t="s">
        <v>380</v>
      </c>
      <c r="F447" s="769" t="s">
        <v>5</v>
      </c>
      <c r="G447" s="435" t="s">
        <v>12</v>
      </c>
      <c r="H447" s="442"/>
      <c r="I447" s="442"/>
      <c r="J447" s="442"/>
      <c r="K447" s="775">
        <v>57</v>
      </c>
      <c r="L447" s="776">
        <v>33</v>
      </c>
      <c r="M447" s="443">
        <v>57</v>
      </c>
      <c r="N447" s="443">
        <v>33</v>
      </c>
      <c r="O447" s="443">
        <v>33</v>
      </c>
      <c r="P447" s="776"/>
      <c r="Q447" s="443"/>
      <c r="R447" s="442"/>
      <c r="S447" s="442"/>
      <c r="T447" s="442"/>
      <c r="U447" s="442"/>
      <c r="V447" s="442"/>
      <c r="W447" s="442"/>
      <c r="X447" s="442"/>
      <c r="Y447" s="436">
        <f>IF(NFI_Expiration=1,IF($A447&lt;VLOOKUP(H$5,NFI,5,0),1,0)*Table_NFI[[#This Row],[Hygiene Kit]],Table_NFI[Hygiene Kit])</f>
        <v>0</v>
      </c>
      <c r="Z447" s="436">
        <f>IF(NFI_Expiration=1,IF($A447&lt;VLOOKUP(I$5,NFI,5,0),1,0)*Table_NFI[[#This Row],[NFI Core Kit]],Table_NFI[NFI Core Kit])</f>
        <v>0</v>
      </c>
      <c r="AA447" s="436">
        <f>IF(NFI_Expiration=1,IF($A447&lt;VLOOKUP(J$5,NFI,5,0),1,0)*Table_NFI[[#This Row],[Sanitary Kit]],Table_NFI[Sanitary Kit])</f>
        <v>0</v>
      </c>
      <c r="AB447" s="436">
        <f>IF(NFI_Expiration=1,IF($A447&lt;VLOOKUP(K$5,NFI,5,0),1,0)*Table_NFI[[#This Row],[Mosquito net]],Table_NFI[Mosquito net])</f>
        <v>0</v>
      </c>
      <c r="AC447" s="436">
        <f>IF(NFI_Expiration=1,IF($A447&lt;VLOOKUP(L$5,NFI,5,0),1,0)*Table_NFI[[#This Row],[Tarpaulin]],Table_NFI[[#This Row],[Tarpaulin]])</f>
        <v>0</v>
      </c>
      <c r="AD447" s="436">
        <f>IF(NFI_Expiration=1,IF($A447&lt;VLOOKUP(M$5,NFI,5,0),1,0)*Table_NFI[[#This Row],[Blanket]],Table_NFI[[#This Row],[Blanket]])</f>
        <v>0</v>
      </c>
      <c r="AE447" s="436">
        <f>IF(NFI_Expiration=1,IF($A447&lt;VLOOKUP(N$5,NFI,5,0),1,0)*Table_NFI[[#This Row],[Kitchen Set]],Table_NFI[Kitchen Set])</f>
        <v>0</v>
      </c>
      <c r="AF447" s="436">
        <f>IF(NFI_Expiration=1,IF($A447&lt;VLOOKUP(O$5,NFI,5,0),1,0)*Table_NFI[[#This Row],[Clothes Kit]],Table_NFI[Clothes Kit])</f>
        <v>0</v>
      </c>
      <c r="AG447" s="436">
        <f>IF(NFI_Expiration=1,IF($A447&lt;VLOOKUP(P$5,NFI,5,0),1,0)*Table_NFI[[#This Row],[Plastic Bucket]],Table_NFI[Plastic Bucket])</f>
        <v>0</v>
      </c>
      <c r="AH447" s="436">
        <f>IF(NFI_Expiration=1,IF($A447&lt;VLOOKUP(Q$5,NFI,5,0),1,0)*Table_NFI[[#This Row],[Plastic Mat]],Table_NFI[Plastic Mat])*IF(Table_NFI[[#This Row],[Distribution Date]]&gt;"2014-04-01",1,2.5)</f>
        <v>0</v>
      </c>
      <c r="AI447" s="436">
        <f>IF(NFI_Expiration=1,IF($A447&lt;VLOOKUP(R$5,NFI,5,0),1,0)*Table_NFI[[#This Row],[Winter Clothes Adult]],Table_NFI[Winter Clothes Adult])</f>
        <v>0</v>
      </c>
      <c r="AJ447" s="436">
        <f>IF(NFI_Expiration=1,IF($A447&lt;VLOOKUP(S$5,NFI,5,0),1,0)*Table_NFI[[#This Row],[Winter Clothes Children]],Table_NFI[Winter Clothes Children])</f>
        <v>0</v>
      </c>
      <c r="AK447" s="436">
        <f>IF(NFI_Expiration=1,IF($A447&lt;VLOOKUP(T$5,NFI,5,0),1,0)*Table_NFI[[#This Row],[Winter Items Other]],Table_NFI[Winter Items Other])</f>
        <v>0</v>
      </c>
      <c r="AL447" s="436">
        <f>IF(NFI_Expiration=1,IF($A447&lt;VLOOKUP(M$5,NFI,5,0),1,0)*Table_NFI[[#This Row],[Winter Blanket]],Table_NFI[[#This Row],[Winter Blanket]])</f>
        <v>0</v>
      </c>
      <c r="AM447" s="436">
        <f>IF(Table_NFI[[#This Row],[Winter Clothes Adult]]+Table_NFI[[#This Row],[Winter Clothes Children]]+Table_NFI[[#This Row],[Winter Items Other]]+Table_NFI[[#This Row],[Winter Blanket]]&gt;0,1,0)</f>
        <v>0</v>
      </c>
      <c r="AN447" s="439">
        <f>IF(NFI_Expiration=1,IF($A447&lt;VLOOKUP(V$5,NFI,5,0),1,0)*Table_NFI[[#This Row],[Jerry Can]],Table_NFI[Jerry Can])</f>
        <v>0</v>
      </c>
      <c r="AO447" s="771" t="str">
        <f>IFERROR(VLOOKUP(Table_NFI[[#This Row],[Camp Name]],CL,2,0),"")</f>
        <v>MMR001CMP163</v>
      </c>
      <c r="AP447" s="772">
        <f ca="1">IF(Table_NFI[[#This Row],[Pcode]]="","",IF(OFFSET(CampList[Opening Date],MATCH(Table_NFI[[#This Row],[Pcode]],CampList[CP_Pcode],0)-1,0,1,1)&gt;=NFI_Monitor_Date,1,0))</f>
        <v>0</v>
      </c>
      <c r="AQ447" s="781" t="str">
        <f>IFERROR(VLOOKUP(Table_NFI[[#This Row],[Camp Name]],CL,3,0),"")</f>
        <v>Open</v>
      </c>
      <c r="AR447" s="439" t="str">
        <f ca="1">IF(Table_NFI[[#This Row],[Pcode]]="","",OFFSET(CampList[Priority],MATCH(Table_NFI[[#This Row],[Pcode]],CampList[CP_Pcode],0)-1,0,1,1))</f>
        <v>P4</v>
      </c>
      <c r="AS447" s="438">
        <f>IFERROR(Table_NFI[[#This Row],[Kitchen Set]]/VLOOKUP(Table_NFI[[#This Row],[Camp Name]],CL,4,0),"")</f>
        <v>0.15639810426540285</v>
      </c>
      <c r="AT447" s="769" t="s">
        <v>1099</v>
      </c>
      <c r="AU447" s="773"/>
    </row>
    <row r="448" spans="1:47" s="774" customFormat="1" x14ac:dyDescent="0.25">
      <c r="A448" s="451">
        <f t="shared" si="6"/>
        <v>25.766666666666666</v>
      </c>
      <c r="B448" s="768">
        <v>41597</v>
      </c>
      <c r="C448" s="769" t="s">
        <v>912</v>
      </c>
      <c r="D448" s="769" t="s">
        <v>462</v>
      </c>
      <c r="E448" s="769" t="s">
        <v>380</v>
      </c>
      <c r="F448" s="769" t="s">
        <v>310</v>
      </c>
      <c r="G448" s="769" t="s">
        <v>322</v>
      </c>
      <c r="H448" s="436"/>
      <c r="I448" s="436"/>
      <c r="J448" s="436"/>
      <c r="K448" s="436"/>
      <c r="L448" s="437"/>
      <c r="M448" s="437"/>
      <c r="N448" s="437"/>
      <c r="O448" s="437"/>
      <c r="P448" s="439"/>
      <c r="Q448" s="439"/>
      <c r="R448" s="436">
        <v>613</v>
      </c>
      <c r="S448" s="436">
        <v>1226</v>
      </c>
      <c r="T448" s="436">
        <v>3678</v>
      </c>
      <c r="U448" s="436">
        <v>1839</v>
      </c>
      <c r="V448" s="436"/>
      <c r="W448" s="436"/>
      <c r="X448" s="436"/>
      <c r="Y448" s="436">
        <f>IF(NFI_Expiration=1,IF($A448&lt;VLOOKUP(H$5,NFI,5,0),1,0)*Table_NFI[[#This Row],[Hygiene Kit]],Table_NFI[Hygiene Kit])</f>
        <v>0</v>
      </c>
      <c r="Z448" s="436">
        <f>IF(NFI_Expiration=1,IF($A448&lt;VLOOKUP(I$5,NFI,5,0),1,0)*Table_NFI[[#This Row],[NFI Core Kit]],Table_NFI[NFI Core Kit])</f>
        <v>0</v>
      </c>
      <c r="AA448" s="436">
        <f>IF(NFI_Expiration=1,IF($A448&lt;VLOOKUP(J$5,NFI,5,0),1,0)*Table_NFI[[#This Row],[Sanitary Kit]],Table_NFI[Sanitary Kit])</f>
        <v>0</v>
      </c>
      <c r="AB448" s="436">
        <f>IF(NFI_Expiration=1,IF($A448&lt;VLOOKUP(K$5,NFI,5,0),1,0)*Table_NFI[[#This Row],[Mosquito net]],Table_NFI[Mosquito net])</f>
        <v>0</v>
      </c>
      <c r="AC448" s="436">
        <f>IF(NFI_Expiration=1,IF($A448&lt;VLOOKUP(L$5,NFI,5,0),1,0)*Table_NFI[[#This Row],[Tarpaulin]],Table_NFI[[#This Row],[Tarpaulin]])</f>
        <v>0</v>
      </c>
      <c r="AD448" s="436">
        <f>IF(NFI_Expiration=1,IF($A448&lt;VLOOKUP(M$5,NFI,5,0),1,0)*Table_NFI[[#This Row],[Blanket]],Table_NFI[[#This Row],[Blanket]])</f>
        <v>0</v>
      </c>
      <c r="AE448" s="436">
        <f>IF(NFI_Expiration=1,IF($A448&lt;VLOOKUP(N$5,NFI,5,0),1,0)*Table_NFI[[#This Row],[Kitchen Set]],Table_NFI[Kitchen Set])</f>
        <v>0</v>
      </c>
      <c r="AF448" s="436">
        <f>IF(NFI_Expiration=1,IF($A448&lt;VLOOKUP(O$5,NFI,5,0),1,0)*Table_NFI[[#This Row],[Clothes Kit]],Table_NFI[Clothes Kit])</f>
        <v>0</v>
      </c>
      <c r="AG448" s="436">
        <f>IF(NFI_Expiration=1,IF($A448&lt;VLOOKUP(P$5,NFI,5,0),1,0)*Table_NFI[[#This Row],[Plastic Bucket]],Table_NFI[Plastic Bucket])</f>
        <v>0</v>
      </c>
      <c r="AH448" s="436">
        <f>IF(NFI_Expiration=1,IF($A448&lt;VLOOKUP(Q$5,NFI,5,0),1,0)*Table_NFI[[#This Row],[Plastic Mat]],Table_NFI[Plastic Mat])*IF(Table_NFI[[#This Row],[Distribution Date]]&gt;"2014-04-01",1,2.5)</f>
        <v>0</v>
      </c>
      <c r="AI448" s="436">
        <f>IF(NFI_Expiration=1,IF($A448&lt;VLOOKUP(R$5,NFI,5,0),1,0)*Table_NFI[[#This Row],[Winter Clothes Adult]],Table_NFI[Winter Clothes Adult])</f>
        <v>0</v>
      </c>
      <c r="AJ448" s="436">
        <f>IF(NFI_Expiration=1,IF($A448&lt;VLOOKUP(S$5,NFI,5,0),1,0)*Table_NFI[[#This Row],[Winter Clothes Children]],Table_NFI[Winter Clothes Children])</f>
        <v>0</v>
      </c>
      <c r="AK448" s="436">
        <f>IF(NFI_Expiration=1,IF($A448&lt;VLOOKUP(T$5,NFI,5,0),1,0)*Table_NFI[[#This Row],[Winter Items Other]],Table_NFI[Winter Items Other])</f>
        <v>0</v>
      </c>
      <c r="AL448" s="436">
        <f>IF(NFI_Expiration=1,IF($A448&lt;VLOOKUP(M$5,NFI,5,0),1,0)*Table_NFI[[#This Row],[Winter Blanket]],Table_NFI[[#This Row],[Winter Blanket]])</f>
        <v>0</v>
      </c>
      <c r="AM448" s="436">
        <f>IF(Table_NFI[[#This Row],[Winter Clothes Adult]]+Table_NFI[[#This Row],[Winter Clothes Children]]+Table_NFI[[#This Row],[Winter Items Other]]+Table_NFI[[#This Row],[Winter Blanket]]&gt;0,1,0)</f>
        <v>1</v>
      </c>
      <c r="AN448" s="439">
        <f>IF(NFI_Expiration=1,IF($A448&lt;VLOOKUP(V$5,NFI,5,0),1,0)*Table_NFI[[#This Row],[Jerry Can]],Table_NFI[Jerry Can])</f>
        <v>0</v>
      </c>
      <c r="AO448" s="771" t="str">
        <f>IFERROR(VLOOKUP(Table_NFI[[#This Row],[Camp Name]],CL,2,0),"")</f>
        <v>MMR001CMP119</v>
      </c>
      <c r="AP448" s="772">
        <f ca="1">IF(Table_NFI[[#This Row],[Pcode]]="","",IF(OFFSET(CampList[Opening Date],MATCH(Table_NFI[[#This Row],[Pcode]],CampList[CP_Pcode],0)-1,0,1,1)&gt;=NFI_Monitor_Date,1,0))</f>
        <v>0</v>
      </c>
      <c r="AQ448" s="771" t="str">
        <f>IFERROR(VLOOKUP(Table_NFI[[#This Row],[Camp Name]],CL,3,0),"")</f>
        <v>Open</v>
      </c>
      <c r="AR448" s="436" t="str">
        <f ca="1">IF(Table_NFI[[#This Row],[Pcode]]="","",OFFSET(CampList[Priority],MATCH(Table_NFI[[#This Row],[Pcode]],CampList[CP_Pcode],0)-1,0,1,1))</f>
        <v>P2</v>
      </c>
      <c r="AS448" s="438">
        <f>IFERROR(Table_NFI[[#This Row],[Kitchen Set]]/VLOOKUP(Table_NFI[[#This Row],[Camp Name]],CL,4,0),"")</f>
        <v>0</v>
      </c>
      <c r="AT448" s="769"/>
      <c r="AU448" s="773"/>
    </row>
    <row r="449" spans="1:47" s="774" customFormat="1" x14ac:dyDescent="0.25">
      <c r="A449" s="451">
        <f t="shared" si="6"/>
        <v>25.766666666666666</v>
      </c>
      <c r="B449" s="768">
        <v>41597</v>
      </c>
      <c r="C449" s="442" t="s">
        <v>454</v>
      </c>
      <c r="D449" s="442" t="s">
        <v>454</v>
      </c>
      <c r="E449" s="775" t="s">
        <v>380</v>
      </c>
      <c r="F449" s="775" t="s">
        <v>5</v>
      </c>
      <c r="G449" s="435" t="s">
        <v>22</v>
      </c>
      <c r="H449" s="442"/>
      <c r="I449" s="442"/>
      <c r="J449" s="442">
        <v>40</v>
      </c>
      <c r="K449" s="775">
        <v>38</v>
      </c>
      <c r="L449" s="776">
        <v>20</v>
      </c>
      <c r="M449" s="443">
        <v>38</v>
      </c>
      <c r="N449" s="443">
        <v>20</v>
      </c>
      <c r="O449" s="443">
        <v>20</v>
      </c>
      <c r="P449" s="776"/>
      <c r="Q449" s="443"/>
      <c r="R449" s="442"/>
      <c r="S449" s="442"/>
      <c r="T449" s="442"/>
      <c r="U449" s="442"/>
      <c r="V449" s="442"/>
      <c r="W449" s="442"/>
      <c r="X449" s="442"/>
      <c r="Y449" s="436">
        <f>IF(NFI_Expiration=1,IF($A449&lt;VLOOKUP(H$5,NFI,5,0),1,0)*Table_NFI[[#This Row],[Hygiene Kit]],Table_NFI[Hygiene Kit])</f>
        <v>0</v>
      </c>
      <c r="Z449" s="436">
        <f>IF(NFI_Expiration=1,IF($A449&lt;VLOOKUP(I$5,NFI,5,0),1,0)*Table_NFI[[#This Row],[NFI Core Kit]],Table_NFI[NFI Core Kit])</f>
        <v>0</v>
      </c>
      <c r="AA449" s="436">
        <f>IF(NFI_Expiration=1,IF($A449&lt;VLOOKUP(J$5,NFI,5,0),1,0)*Table_NFI[[#This Row],[Sanitary Kit]],Table_NFI[Sanitary Kit])</f>
        <v>0</v>
      </c>
      <c r="AB449" s="436">
        <f>IF(NFI_Expiration=1,IF($A449&lt;VLOOKUP(K$5,NFI,5,0),1,0)*Table_NFI[[#This Row],[Mosquito net]],Table_NFI[Mosquito net])</f>
        <v>0</v>
      </c>
      <c r="AC449" s="436">
        <f>IF(NFI_Expiration=1,IF($A449&lt;VLOOKUP(L$5,NFI,5,0),1,0)*Table_NFI[[#This Row],[Tarpaulin]],Table_NFI[[#This Row],[Tarpaulin]])</f>
        <v>0</v>
      </c>
      <c r="AD449" s="436">
        <f>IF(NFI_Expiration=1,IF($A449&lt;VLOOKUP(M$5,NFI,5,0),1,0)*Table_NFI[[#This Row],[Blanket]],Table_NFI[[#This Row],[Blanket]])</f>
        <v>0</v>
      </c>
      <c r="AE449" s="436">
        <f>IF(NFI_Expiration=1,IF($A449&lt;VLOOKUP(N$5,NFI,5,0),1,0)*Table_NFI[[#This Row],[Kitchen Set]],Table_NFI[Kitchen Set])</f>
        <v>0</v>
      </c>
      <c r="AF449" s="436">
        <f>IF(NFI_Expiration=1,IF($A449&lt;VLOOKUP(O$5,NFI,5,0),1,0)*Table_NFI[[#This Row],[Clothes Kit]],Table_NFI[Clothes Kit])</f>
        <v>0</v>
      </c>
      <c r="AG449" s="436">
        <f>IF(NFI_Expiration=1,IF($A449&lt;VLOOKUP(P$5,NFI,5,0),1,0)*Table_NFI[[#This Row],[Plastic Bucket]],Table_NFI[Plastic Bucket])</f>
        <v>0</v>
      </c>
      <c r="AH449" s="436">
        <f>IF(NFI_Expiration=1,IF($A449&lt;VLOOKUP(Q$5,NFI,5,0),1,0)*Table_NFI[[#This Row],[Plastic Mat]],Table_NFI[Plastic Mat])*IF(Table_NFI[[#This Row],[Distribution Date]]&gt;"2014-04-01",1,2.5)</f>
        <v>0</v>
      </c>
      <c r="AI449" s="436">
        <f>IF(NFI_Expiration=1,IF($A449&lt;VLOOKUP(R$5,NFI,5,0),1,0)*Table_NFI[[#This Row],[Winter Clothes Adult]],Table_NFI[Winter Clothes Adult])</f>
        <v>0</v>
      </c>
      <c r="AJ449" s="436">
        <f>IF(NFI_Expiration=1,IF($A449&lt;VLOOKUP(S$5,NFI,5,0),1,0)*Table_NFI[[#This Row],[Winter Clothes Children]],Table_NFI[Winter Clothes Children])</f>
        <v>0</v>
      </c>
      <c r="AK449" s="436">
        <f>IF(NFI_Expiration=1,IF($A449&lt;VLOOKUP(T$5,NFI,5,0),1,0)*Table_NFI[[#This Row],[Winter Items Other]],Table_NFI[Winter Items Other])</f>
        <v>0</v>
      </c>
      <c r="AL449" s="436">
        <f>IF(NFI_Expiration=1,IF($A449&lt;VLOOKUP(M$5,NFI,5,0),1,0)*Table_NFI[[#This Row],[Winter Blanket]],Table_NFI[[#This Row],[Winter Blanket]])</f>
        <v>0</v>
      </c>
      <c r="AM449" s="436">
        <f>IF(Table_NFI[[#This Row],[Winter Clothes Adult]]+Table_NFI[[#This Row],[Winter Clothes Children]]+Table_NFI[[#This Row],[Winter Items Other]]+Table_NFI[[#This Row],[Winter Blanket]]&gt;0,1,0)</f>
        <v>0</v>
      </c>
      <c r="AN449" s="439">
        <f>IF(NFI_Expiration=1,IF($A449&lt;VLOOKUP(V$5,NFI,5,0),1,0)*Table_NFI[[#This Row],[Jerry Can]],Table_NFI[Jerry Can])</f>
        <v>0</v>
      </c>
      <c r="AO449" s="771" t="str">
        <f>IFERROR(VLOOKUP(Table_NFI[[#This Row],[Camp Name]],CL,2,0),"")</f>
        <v>MMR001CMP047</v>
      </c>
      <c r="AP449" s="772">
        <f ca="1">IF(Table_NFI[[#This Row],[Pcode]]="","",IF(OFFSET(CampList[Opening Date],MATCH(Table_NFI[[#This Row],[Pcode]],CampList[CP_Pcode],0)-1,0,1,1)&gt;=NFI_Monitor_Date,1,0))</f>
        <v>0</v>
      </c>
      <c r="AQ449" s="781" t="str">
        <f>IFERROR(VLOOKUP(Table_NFI[[#This Row],[Camp Name]],CL,3,0),"")</f>
        <v>Open</v>
      </c>
      <c r="AR449" s="439" t="str">
        <f ca="1">IF(Table_NFI[[#This Row],[Pcode]]="","",OFFSET(CampList[Priority],MATCH(Table_NFI[[#This Row],[Pcode]],CampList[CP_Pcode],0)-1,0,1,1))</f>
        <v>P4</v>
      </c>
      <c r="AS449" s="438">
        <f>IFERROR(Table_NFI[[#This Row],[Kitchen Set]]/VLOOKUP(Table_NFI[[#This Row],[Camp Name]],CL,4,0),"")</f>
        <v>3.0674846625766871E-2</v>
      </c>
      <c r="AT449" s="769" t="s">
        <v>1099</v>
      </c>
      <c r="AU449" s="773"/>
    </row>
    <row r="450" spans="1:47" s="774" customFormat="1" x14ac:dyDescent="0.25">
      <c r="A450" s="451">
        <f t="shared" si="6"/>
        <v>25.766666666666666</v>
      </c>
      <c r="B450" s="768">
        <v>41597</v>
      </c>
      <c r="C450" s="442" t="s">
        <v>454</v>
      </c>
      <c r="D450" s="442" t="s">
        <v>454</v>
      </c>
      <c r="E450" s="775" t="s">
        <v>380</v>
      </c>
      <c r="F450" s="775" t="s">
        <v>5</v>
      </c>
      <c r="G450" s="435" t="s">
        <v>875</v>
      </c>
      <c r="H450" s="442"/>
      <c r="I450" s="442"/>
      <c r="J450" s="442"/>
      <c r="K450" s="775">
        <v>13</v>
      </c>
      <c r="L450" s="776">
        <v>9</v>
      </c>
      <c r="M450" s="443">
        <v>13</v>
      </c>
      <c r="N450" s="443">
        <v>9</v>
      </c>
      <c r="O450" s="443">
        <v>9</v>
      </c>
      <c r="P450" s="776"/>
      <c r="Q450" s="443"/>
      <c r="R450" s="442"/>
      <c r="S450" s="442"/>
      <c r="T450" s="442"/>
      <c r="U450" s="442"/>
      <c r="V450" s="442"/>
      <c r="W450" s="442"/>
      <c r="X450" s="442"/>
      <c r="Y450" s="436">
        <f>IF(NFI_Expiration=1,IF($A450&lt;VLOOKUP(H$5,NFI,5,0),1,0)*Table_NFI[[#This Row],[Hygiene Kit]],Table_NFI[Hygiene Kit])</f>
        <v>0</v>
      </c>
      <c r="Z450" s="436">
        <f>IF(NFI_Expiration=1,IF($A450&lt;VLOOKUP(I$5,NFI,5,0),1,0)*Table_NFI[[#This Row],[NFI Core Kit]],Table_NFI[NFI Core Kit])</f>
        <v>0</v>
      </c>
      <c r="AA450" s="436">
        <f>IF(NFI_Expiration=1,IF($A450&lt;VLOOKUP(J$5,NFI,5,0),1,0)*Table_NFI[[#This Row],[Sanitary Kit]],Table_NFI[Sanitary Kit])</f>
        <v>0</v>
      </c>
      <c r="AB450" s="436">
        <f>IF(NFI_Expiration=1,IF($A450&lt;VLOOKUP(K$5,NFI,5,0),1,0)*Table_NFI[[#This Row],[Mosquito net]],Table_NFI[Mosquito net])</f>
        <v>0</v>
      </c>
      <c r="AC450" s="436">
        <f>IF(NFI_Expiration=1,IF($A450&lt;VLOOKUP(L$5,NFI,5,0),1,0)*Table_NFI[[#This Row],[Tarpaulin]],Table_NFI[[#This Row],[Tarpaulin]])</f>
        <v>0</v>
      </c>
      <c r="AD450" s="436">
        <f>IF(NFI_Expiration=1,IF($A450&lt;VLOOKUP(M$5,NFI,5,0),1,0)*Table_NFI[[#This Row],[Blanket]],Table_NFI[[#This Row],[Blanket]])</f>
        <v>0</v>
      </c>
      <c r="AE450" s="436">
        <f>IF(NFI_Expiration=1,IF($A450&lt;VLOOKUP(N$5,NFI,5,0),1,0)*Table_NFI[[#This Row],[Kitchen Set]],Table_NFI[Kitchen Set])</f>
        <v>0</v>
      </c>
      <c r="AF450" s="436">
        <f>IF(NFI_Expiration=1,IF($A450&lt;VLOOKUP(O$5,NFI,5,0),1,0)*Table_NFI[[#This Row],[Clothes Kit]],Table_NFI[Clothes Kit])</f>
        <v>0</v>
      </c>
      <c r="AG450" s="436">
        <f>IF(NFI_Expiration=1,IF($A450&lt;VLOOKUP(P$5,NFI,5,0),1,0)*Table_NFI[[#This Row],[Plastic Bucket]],Table_NFI[Plastic Bucket])</f>
        <v>0</v>
      </c>
      <c r="AH450" s="436">
        <f>IF(NFI_Expiration=1,IF($A450&lt;VLOOKUP(Q$5,NFI,5,0),1,0)*Table_NFI[[#This Row],[Plastic Mat]],Table_NFI[Plastic Mat])*IF(Table_NFI[[#This Row],[Distribution Date]]&gt;"2014-04-01",1,2.5)</f>
        <v>0</v>
      </c>
      <c r="AI450" s="436">
        <f>IF(NFI_Expiration=1,IF($A450&lt;VLOOKUP(R$5,NFI,5,0),1,0)*Table_NFI[[#This Row],[Winter Clothes Adult]],Table_NFI[Winter Clothes Adult])</f>
        <v>0</v>
      </c>
      <c r="AJ450" s="436">
        <f>IF(NFI_Expiration=1,IF($A450&lt;VLOOKUP(S$5,NFI,5,0),1,0)*Table_NFI[[#This Row],[Winter Clothes Children]],Table_NFI[Winter Clothes Children])</f>
        <v>0</v>
      </c>
      <c r="AK450" s="436">
        <f>IF(NFI_Expiration=1,IF($A450&lt;VLOOKUP(T$5,NFI,5,0),1,0)*Table_NFI[[#This Row],[Winter Items Other]],Table_NFI[Winter Items Other])</f>
        <v>0</v>
      </c>
      <c r="AL450" s="436">
        <f>IF(NFI_Expiration=1,IF($A450&lt;VLOOKUP(M$5,NFI,5,0),1,0)*Table_NFI[[#This Row],[Winter Blanket]],Table_NFI[[#This Row],[Winter Blanket]])</f>
        <v>0</v>
      </c>
      <c r="AM450" s="436">
        <f>IF(Table_NFI[[#This Row],[Winter Clothes Adult]]+Table_NFI[[#This Row],[Winter Clothes Children]]+Table_NFI[[#This Row],[Winter Items Other]]+Table_NFI[[#This Row],[Winter Blanket]]&gt;0,1,0)</f>
        <v>0</v>
      </c>
      <c r="AN450" s="439">
        <f>IF(NFI_Expiration=1,IF($A450&lt;VLOOKUP(V$5,NFI,5,0),1,0)*Table_NFI[[#This Row],[Jerry Can]],Table_NFI[Jerry Can])</f>
        <v>0</v>
      </c>
      <c r="AO450" s="771" t="str">
        <f>IFERROR(VLOOKUP(Table_NFI[[#This Row],[Camp Name]],CL,2,0),"")</f>
        <v>MMR001CMP211</v>
      </c>
      <c r="AP450" s="772">
        <f ca="1">IF(Table_NFI[[#This Row],[Pcode]]="","",IF(OFFSET(CampList[Opening Date],MATCH(Table_NFI[[#This Row],[Pcode]],CampList[CP_Pcode],0)-1,0,1,1)&gt;=NFI_Monitor_Date,1,0))</f>
        <v>0</v>
      </c>
      <c r="AQ450" s="781" t="str">
        <f>IFERROR(VLOOKUP(Table_NFI[[#This Row],[Camp Name]],CL,3,0),"")</f>
        <v>Closed</v>
      </c>
      <c r="AR450" s="439" t="str">
        <f ca="1">IF(Table_NFI[[#This Row],[Pcode]]="","",OFFSET(CampList[Priority],MATCH(Table_NFI[[#This Row],[Pcode]],CampList[CP_Pcode],0)-1,0,1,1))</f>
        <v/>
      </c>
      <c r="AS450" s="438" t="str">
        <f>IFERROR(Table_NFI[[#This Row],[Kitchen Set]]/VLOOKUP(Table_NFI[[#This Row],[Camp Name]],CL,4,0),"")</f>
        <v/>
      </c>
      <c r="AT450" s="769" t="s">
        <v>1099</v>
      </c>
      <c r="AU450" s="773"/>
    </row>
    <row r="451" spans="1:47" s="774" customFormat="1" x14ac:dyDescent="0.25">
      <c r="A451" s="451">
        <f t="shared" si="6"/>
        <v>25.8</v>
      </c>
      <c r="B451" s="768">
        <v>41596</v>
      </c>
      <c r="C451" s="769" t="s">
        <v>455</v>
      </c>
      <c r="D451" s="769"/>
      <c r="E451" s="769" t="s">
        <v>380</v>
      </c>
      <c r="F451" s="769" t="s">
        <v>185</v>
      </c>
      <c r="G451" s="769" t="s">
        <v>190</v>
      </c>
      <c r="H451" s="436"/>
      <c r="I451" s="436"/>
      <c r="J451" s="436"/>
      <c r="K451" s="436"/>
      <c r="L451" s="437"/>
      <c r="M451" s="437">
        <v>395</v>
      </c>
      <c r="N451" s="437"/>
      <c r="O451" s="437"/>
      <c r="P451" s="439"/>
      <c r="Q451" s="439"/>
      <c r="R451" s="436"/>
      <c r="S451" s="436"/>
      <c r="T451" s="436"/>
      <c r="U451" s="436"/>
      <c r="V451" s="436"/>
      <c r="W451" s="436"/>
      <c r="X451" s="436"/>
      <c r="Y451" s="444">
        <f>IF(NFI_Expiration=1,IF($A451&lt;VLOOKUP(H$5,NFI,5,0),1,0)*Table_NFI[[#This Row],[Hygiene Kit]],Table_NFI[Hygiene Kit])</f>
        <v>0</v>
      </c>
      <c r="Z451" s="444">
        <f>IF(NFI_Expiration=1,IF($A451&lt;VLOOKUP(I$5,NFI,5,0),1,0)*Table_NFI[[#This Row],[NFI Core Kit]],Table_NFI[NFI Core Kit])</f>
        <v>0</v>
      </c>
      <c r="AA451" s="444">
        <f>IF(NFI_Expiration=1,IF($A451&lt;VLOOKUP(J$5,NFI,5,0),1,0)*Table_NFI[[#This Row],[Sanitary Kit]],Table_NFI[Sanitary Kit])</f>
        <v>0</v>
      </c>
      <c r="AB451" s="444">
        <f>IF(NFI_Expiration=1,IF($A451&lt;VLOOKUP(K$5,NFI,5,0),1,0)*Table_NFI[[#This Row],[Mosquito net]],Table_NFI[Mosquito net])</f>
        <v>0</v>
      </c>
      <c r="AC451" s="444">
        <f>IF(NFI_Expiration=1,IF($A451&lt;VLOOKUP(L$5,NFI,5,0),1,0)*Table_NFI[[#This Row],[Tarpaulin]],Table_NFI[[#This Row],[Tarpaulin]])</f>
        <v>0</v>
      </c>
      <c r="AD451" s="444">
        <f>IF(NFI_Expiration=1,IF($A451&lt;VLOOKUP(M$5,NFI,5,0),1,0)*Table_NFI[[#This Row],[Blanket]],Table_NFI[[#This Row],[Blanket]])</f>
        <v>0</v>
      </c>
      <c r="AE451" s="444">
        <f>IF(NFI_Expiration=1,IF($A451&lt;VLOOKUP(N$5,NFI,5,0),1,0)*Table_NFI[[#This Row],[Kitchen Set]],Table_NFI[Kitchen Set])</f>
        <v>0</v>
      </c>
      <c r="AF451" s="444">
        <f>IF(NFI_Expiration=1,IF($A451&lt;VLOOKUP(O$5,NFI,5,0),1,0)*Table_NFI[[#This Row],[Clothes Kit]],Table_NFI[Clothes Kit])</f>
        <v>0</v>
      </c>
      <c r="AG451" s="444">
        <f>IF(NFI_Expiration=1,IF($A451&lt;VLOOKUP(P$5,NFI,5,0),1,0)*Table_NFI[[#This Row],[Plastic Bucket]],Table_NFI[Plastic Bucket])</f>
        <v>0</v>
      </c>
      <c r="AH451" s="444">
        <f>IF(NFI_Expiration=1,IF($A451&lt;VLOOKUP(Q$5,NFI,5,0),1,0)*Table_NFI[[#This Row],[Plastic Mat]],Table_NFI[Plastic Mat])*IF(Table_NFI[[#This Row],[Distribution Date]]&gt;"2014-04-01",1,2.5)</f>
        <v>0</v>
      </c>
      <c r="AI451" s="444">
        <f>IF(NFI_Expiration=1,IF($A451&lt;VLOOKUP(R$5,NFI,5,0),1,0)*Table_NFI[[#This Row],[Winter Clothes Adult]],Table_NFI[Winter Clothes Adult])</f>
        <v>0</v>
      </c>
      <c r="AJ451" s="444">
        <f>IF(NFI_Expiration=1,IF($A451&lt;VLOOKUP(S$5,NFI,5,0),1,0)*Table_NFI[[#This Row],[Winter Clothes Children]],Table_NFI[Winter Clothes Children])</f>
        <v>0</v>
      </c>
      <c r="AK451" s="444">
        <f>IF(NFI_Expiration=1,IF($A451&lt;VLOOKUP(T$5,NFI,5,0),1,0)*Table_NFI[[#This Row],[Winter Items Other]],Table_NFI[Winter Items Other])</f>
        <v>0</v>
      </c>
      <c r="AL451" s="444">
        <f>IF(NFI_Expiration=1,IF($A451&lt;VLOOKUP(M$5,NFI,5,0),1,0)*Table_NFI[[#This Row],[Winter Blanket]],Table_NFI[[#This Row],[Winter Blanket]])</f>
        <v>0</v>
      </c>
      <c r="AM451" s="444">
        <f>IF(Table_NFI[[#This Row],[Winter Clothes Adult]]+Table_NFI[[#This Row],[Winter Clothes Children]]+Table_NFI[[#This Row],[Winter Items Other]]+Table_NFI[[#This Row],[Winter Blanket]]&gt;0,1,0)</f>
        <v>0</v>
      </c>
      <c r="AN451" s="439">
        <f>IF(NFI_Expiration=1,IF($A451&lt;VLOOKUP(V$5,NFI,5,0),1,0)*Table_NFI[[#This Row],[Jerry Can]],Table_NFI[Jerry Can])</f>
        <v>0</v>
      </c>
      <c r="AO451" s="777" t="str">
        <f>IFERROR(VLOOKUP(Table_NFI[[#This Row],[Camp Name]],CL,2,0),"")</f>
        <v>MMR001CMP070</v>
      </c>
      <c r="AP451" s="778">
        <f ca="1">IF(Table_NFI[[#This Row],[Pcode]]="","",IF(OFFSET(CampList[Opening Date],MATCH(Table_NFI[[#This Row],[Pcode]],CampList[CP_Pcode],0)-1,0,1,1)&gt;=NFI_Monitor_Date,1,0))</f>
        <v>0</v>
      </c>
      <c r="AQ451" s="777" t="str">
        <f>IFERROR(VLOOKUP(Table_NFI[[#This Row],[Camp Name]],CL,3,0),"")</f>
        <v>Open</v>
      </c>
      <c r="AR451" s="444" t="str">
        <f ca="1">IF(Table_NFI[[#This Row],[Pcode]]="","",OFFSET(CampList[Priority],MATCH(Table_NFI[[#This Row],[Pcode]],CampList[CP_Pcode],0)-1,0,1,1))</f>
        <v>P3</v>
      </c>
      <c r="AS451" s="445">
        <f>IFERROR(Table_NFI[[#This Row],[Kitchen Set]]/VLOOKUP(Table_NFI[[#This Row],[Camp Name]],CL,4,0),"")</f>
        <v>0</v>
      </c>
      <c r="AT451" s="769" t="s">
        <v>1099</v>
      </c>
      <c r="AU451" s="773"/>
    </row>
    <row r="452" spans="1:47" s="774" customFormat="1" x14ac:dyDescent="0.25">
      <c r="A452" s="451">
        <f t="shared" si="6"/>
        <v>25.833333333333332</v>
      </c>
      <c r="B452" s="768">
        <v>41595</v>
      </c>
      <c r="C452" s="769" t="s">
        <v>455</v>
      </c>
      <c r="D452" s="769"/>
      <c r="E452" s="769" t="s">
        <v>380</v>
      </c>
      <c r="F452" s="769" t="s">
        <v>185</v>
      </c>
      <c r="G452" s="769" t="s">
        <v>223</v>
      </c>
      <c r="H452" s="436"/>
      <c r="I452" s="436"/>
      <c r="J452" s="436"/>
      <c r="K452" s="436"/>
      <c r="L452" s="437"/>
      <c r="M452" s="437">
        <v>141</v>
      </c>
      <c r="N452" s="437"/>
      <c r="O452" s="437"/>
      <c r="P452" s="439"/>
      <c r="Q452" s="439"/>
      <c r="R452" s="436"/>
      <c r="S452" s="436"/>
      <c r="T452" s="436"/>
      <c r="U452" s="436"/>
      <c r="V452" s="436"/>
      <c r="W452" s="436"/>
      <c r="X452" s="436"/>
      <c r="Y452" s="444">
        <f>IF(NFI_Expiration=1,IF($A452&lt;VLOOKUP(H$5,NFI,5,0),1,0)*Table_NFI[[#This Row],[Hygiene Kit]],Table_NFI[Hygiene Kit])</f>
        <v>0</v>
      </c>
      <c r="Z452" s="444">
        <f>IF(NFI_Expiration=1,IF($A452&lt;VLOOKUP(I$5,NFI,5,0),1,0)*Table_NFI[[#This Row],[NFI Core Kit]],Table_NFI[NFI Core Kit])</f>
        <v>0</v>
      </c>
      <c r="AA452" s="444">
        <f>IF(NFI_Expiration=1,IF($A452&lt;VLOOKUP(J$5,NFI,5,0),1,0)*Table_NFI[[#This Row],[Sanitary Kit]],Table_NFI[Sanitary Kit])</f>
        <v>0</v>
      </c>
      <c r="AB452" s="444">
        <f>IF(NFI_Expiration=1,IF($A452&lt;VLOOKUP(K$5,NFI,5,0),1,0)*Table_NFI[[#This Row],[Mosquito net]],Table_NFI[Mosquito net])</f>
        <v>0</v>
      </c>
      <c r="AC452" s="444">
        <f>IF(NFI_Expiration=1,IF($A452&lt;VLOOKUP(L$5,NFI,5,0),1,0)*Table_NFI[[#This Row],[Tarpaulin]],Table_NFI[[#This Row],[Tarpaulin]])</f>
        <v>0</v>
      </c>
      <c r="AD452" s="444">
        <f>IF(NFI_Expiration=1,IF($A452&lt;VLOOKUP(M$5,NFI,5,0),1,0)*Table_NFI[[#This Row],[Blanket]],Table_NFI[[#This Row],[Blanket]])</f>
        <v>0</v>
      </c>
      <c r="AE452" s="444">
        <f>IF(NFI_Expiration=1,IF($A452&lt;VLOOKUP(N$5,NFI,5,0),1,0)*Table_NFI[[#This Row],[Kitchen Set]],Table_NFI[Kitchen Set])</f>
        <v>0</v>
      </c>
      <c r="AF452" s="444">
        <f>IF(NFI_Expiration=1,IF($A452&lt;VLOOKUP(O$5,NFI,5,0),1,0)*Table_NFI[[#This Row],[Clothes Kit]],Table_NFI[Clothes Kit])</f>
        <v>0</v>
      </c>
      <c r="AG452" s="444">
        <f>IF(NFI_Expiration=1,IF($A452&lt;VLOOKUP(P$5,NFI,5,0),1,0)*Table_NFI[[#This Row],[Plastic Bucket]],Table_NFI[Plastic Bucket])</f>
        <v>0</v>
      </c>
      <c r="AH452" s="444">
        <f>IF(NFI_Expiration=1,IF($A452&lt;VLOOKUP(Q$5,NFI,5,0),1,0)*Table_NFI[[#This Row],[Plastic Mat]],Table_NFI[Plastic Mat])*IF(Table_NFI[[#This Row],[Distribution Date]]&gt;"2014-04-01",1,2.5)</f>
        <v>0</v>
      </c>
      <c r="AI452" s="444">
        <f>IF(NFI_Expiration=1,IF($A452&lt;VLOOKUP(R$5,NFI,5,0),1,0)*Table_NFI[[#This Row],[Winter Clothes Adult]],Table_NFI[Winter Clothes Adult])</f>
        <v>0</v>
      </c>
      <c r="AJ452" s="444">
        <f>IF(NFI_Expiration=1,IF($A452&lt;VLOOKUP(S$5,NFI,5,0),1,0)*Table_NFI[[#This Row],[Winter Clothes Children]],Table_NFI[Winter Clothes Children])</f>
        <v>0</v>
      </c>
      <c r="AK452" s="444">
        <f>IF(NFI_Expiration=1,IF($A452&lt;VLOOKUP(T$5,NFI,5,0),1,0)*Table_NFI[[#This Row],[Winter Items Other]],Table_NFI[Winter Items Other])</f>
        <v>0</v>
      </c>
      <c r="AL452" s="444">
        <f>IF(NFI_Expiration=1,IF($A452&lt;VLOOKUP(M$5,NFI,5,0),1,0)*Table_NFI[[#This Row],[Winter Blanket]],Table_NFI[[#This Row],[Winter Blanket]])</f>
        <v>0</v>
      </c>
      <c r="AM452" s="444">
        <f>IF(Table_NFI[[#This Row],[Winter Clothes Adult]]+Table_NFI[[#This Row],[Winter Clothes Children]]+Table_NFI[[#This Row],[Winter Items Other]]+Table_NFI[[#This Row],[Winter Blanket]]&gt;0,1,0)</f>
        <v>0</v>
      </c>
      <c r="AN452" s="439">
        <f>IF(NFI_Expiration=1,IF($A452&lt;VLOOKUP(V$5,NFI,5,0),1,0)*Table_NFI[[#This Row],[Jerry Can]],Table_NFI[Jerry Can])</f>
        <v>0</v>
      </c>
      <c r="AO452" s="777" t="str">
        <f>IFERROR(VLOOKUP(Table_NFI[[#This Row],[Camp Name]],CL,2,0),"")</f>
        <v>MMR001CMP069</v>
      </c>
      <c r="AP452" s="778">
        <f ca="1">IF(Table_NFI[[#This Row],[Pcode]]="","",IF(OFFSET(CampList[Opening Date],MATCH(Table_NFI[[#This Row],[Pcode]],CampList[CP_Pcode],0)-1,0,1,1)&gt;=NFI_Monitor_Date,1,0))</f>
        <v>0</v>
      </c>
      <c r="AQ452" s="777" t="str">
        <f>IFERROR(VLOOKUP(Table_NFI[[#This Row],[Camp Name]],CL,3,0),"")</f>
        <v>Open</v>
      </c>
      <c r="AR452" s="444" t="str">
        <f ca="1">IF(Table_NFI[[#This Row],[Pcode]]="","",OFFSET(CampList[Priority],MATCH(Table_NFI[[#This Row],[Pcode]],CampList[CP_Pcode],0)-1,0,1,1))</f>
        <v>P3</v>
      </c>
      <c r="AS452" s="445">
        <f>IFERROR(Table_NFI[[#This Row],[Kitchen Set]]/VLOOKUP(Table_NFI[[#This Row],[Camp Name]],CL,4,0),"")</f>
        <v>0</v>
      </c>
      <c r="AT452" s="769" t="s">
        <v>1099</v>
      </c>
      <c r="AU452" s="773"/>
    </row>
    <row r="453" spans="1:47" s="774" customFormat="1" x14ac:dyDescent="0.25">
      <c r="A453" s="451">
        <f t="shared" si="6"/>
        <v>25.833333333333332</v>
      </c>
      <c r="B453" s="768">
        <v>41595</v>
      </c>
      <c r="C453" s="442" t="s">
        <v>454</v>
      </c>
      <c r="D453" s="442" t="s">
        <v>575</v>
      </c>
      <c r="E453" s="769" t="s">
        <v>380</v>
      </c>
      <c r="F453" s="435" t="s">
        <v>151</v>
      </c>
      <c r="G453" s="435" t="s">
        <v>154</v>
      </c>
      <c r="H453" s="442"/>
      <c r="I453" s="442"/>
      <c r="J453" s="442"/>
      <c r="K453" s="775">
        <v>700</v>
      </c>
      <c r="L453" s="776">
        <v>350</v>
      </c>
      <c r="M453" s="443">
        <v>700</v>
      </c>
      <c r="N453" s="443">
        <v>350</v>
      </c>
      <c r="O453" s="443">
        <v>350</v>
      </c>
      <c r="P453" s="776"/>
      <c r="Q453" s="443"/>
      <c r="R453" s="442"/>
      <c r="S453" s="442"/>
      <c r="T453" s="442"/>
      <c r="U453" s="442"/>
      <c r="V453" s="442"/>
      <c r="W453" s="442"/>
      <c r="X453" s="442"/>
      <c r="Y453" s="436">
        <f>IF(NFI_Expiration=1,IF($A453&lt;VLOOKUP(H$5,NFI,5,0),1,0)*Table_NFI[[#This Row],[Hygiene Kit]],Table_NFI[Hygiene Kit])</f>
        <v>0</v>
      </c>
      <c r="Z453" s="436">
        <f>IF(NFI_Expiration=1,IF($A453&lt;VLOOKUP(I$5,NFI,5,0),1,0)*Table_NFI[[#This Row],[NFI Core Kit]],Table_NFI[NFI Core Kit])</f>
        <v>0</v>
      </c>
      <c r="AA453" s="436">
        <f>IF(NFI_Expiration=1,IF($A453&lt;VLOOKUP(J$5,NFI,5,0),1,0)*Table_NFI[[#This Row],[Sanitary Kit]],Table_NFI[Sanitary Kit])</f>
        <v>0</v>
      </c>
      <c r="AB453" s="436">
        <f>IF(NFI_Expiration=1,IF($A453&lt;VLOOKUP(K$5,NFI,5,0),1,0)*Table_NFI[[#This Row],[Mosquito net]],Table_NFI[Mosquito net])</f>
        <v>0</v>
      </c>
      <c r="AC453" s="436">
        <f>IF(NFI_Expiration=1,IF($A453&lt;VLOOKUP(L$5,NFI,5,0),1,0)*Table_NFI[[#This Row],[Tarpaulin]],Table_NFI[[#This Row],[Tarpaulin]])</f>
        <v>0</v>
      </c>
      <c r="AD453" s="436">
        <f>IF(NFI_Expiration=1,IF($A453&lt;VLOOKUP(M$5,NFI,5,0),1,0)*Table_NFI[[#This Row],[Blanket]],Table_NFI[[#This Row],[Blanket]])</f>
        <v>0</v>
      </c>
      <c r="AE453" s="436">
        <f>IF(NFI_Expiration=1,IF($A453&lt;VLOOKUP(N$5,NFI,5,0),1,0)*Table_NFI[[#This Row],[Kitchen Set]],Table_NFI[Kitchen Set])</f>
        <v>0</v>
      </c>
      <c r="AF453" s="436">
        <f>IF(NFI_Expiration=1,IF($A453&lt;VLOOKUP(O$5,NFI,5,0),1,0)*Table_NFI[[#This Row],[Clothes Kit]],Table_NFI[Clothes Kit])</f>
        <v>0</v>
      </c>
      <c r="AG453" s="436">
        <f>IF(NFI_Expiration=1,IF($A453&lt;VLOOKUP(P$5,NFI,5,0),1,0)*Table_NFI[[#This Row],[Plastic Bucket]],Table_NFI[Plastic Bucket])</f>
        <v>0</v>
      </c>
      <c r="AH453" s="436">
        <f>IF(NFI_Expiration=1,IF($A453&lt;VLOOKUP(Q$5,NFI,5,0),1,0)*Table_NFI[[#This Row],[Plastic Mat]],Table_NFI[Plastic Mat])*IF(Table_NFI[[#This Row],[Distribution Date]]&gt;"2014-04-01",1,2.5)</f>
        <v>0</v>
      </c>
      <c r="AI453" s="436">
        <f>IF(NFI_Expiration=1,IF($A453&lt;VLOOKUP(R$5,NFI,5,0),1,0)*Table_NFI[[#This Row],[Winter Clothes Adult]],Table_NFI[Winter Clothes Adult])</f>
        <v>0</v>
      </c>
      <c r="AJ453" s="436">
        <f>IF(NFI_Expiration=1,IF($A453&lt;VLOOKUP(S$5,NFI,5,0),1,0)*Table_NFI[[#This Row],[Winter Clothes Children]],Table_NFI[Winter Clothes Children])</f>
        <v>0</v>
      </c>
      <c r="AK453" s="436">
        <f>IF(NFI_Expiration=1,IF($A453&lt;VLOOKUP(T$5,NFI,5,0),1,0)*Table_NFI[[#This Row],[Winter Items Other]],Table_NFI[Winter Items Other])</f>
        <v>0</v>
      </c>
      <c r="AL453" s="436">
        <f>IF(NFI_Expiration=1,IF($A453&lt;VLOOKUP(M$5,NFI,5,0),1,0)*Table_NFI[[#This Row],[Winter Blanket]],Table_NFI[[#This Row],[Winter Blanket]])</f>
        <v>0</v>
      </c>
      <c r="AM453" s="436">
        <f>IF(Table_NFI[[#This Row],[Winter Clothes Adult]]+Table_NFI[[#This Row],[Winter Clothes Children]]+Table_NFI[[#This Row],[Winter Items Other]]+Table_NFI[[#This Row],[Winter Blanket]]&gt;0,1,0)</f>
        <v>0</v>
      </c>
      <c r="AN453" s="439">
        <f>IF(NFI_Expiration=1,IF($A453&lt;VLOOKUP(V$5,NFI,5,0),1,0)*Table_NFI[[#This Row],[Jerry Can]],Table_NFI[Jerry Can])</f>
        <v>0</v>
      </c>
      <c r="AO453" s="771" t="str">
        <f>IFERROR(VLOOKUP(Table_NFI[[#This Row],[Camp Name]],CL,2,0),"")</f>
        <v>MMR001CMP132</v>
      </c>
      <c r="AP453" s="772">
        <f ca="1">IF(Table_NFI[[#This Row],[Pcode]]="","",IF(OFFSET(CampList[Opening Date],MATCH(Table_NFI[[#This Row],[Pcode]],CampList[CP_Pcode],0)-1,0,1,1)&gt;=NFI_Monitor_Date,1,0))</f>
        <v>0</v>
      </c>
      <c r="AQ453" s="781" t="str">
        <f>IFERROR(VLOOKUP(Table_NFI[[#This Row],[Camp Name]],CL,3,0),"")</f>
        <v>Open</v>
      </c>
      <c r="AR453" s="439" t="str">
        <f ca="1">IF(Table_NFI[[#This Row],[Pcode]]="","",OFFSET(CampList[Priority],MATCH(Table_NFI[[#This Row],[Pcode]],CampList[CP_Pcode],0)-1,0,1,1))</f>
        <v>P4</v>
      </c>
      <c r="AS453" s="438">
        <f>IFERROR(Table_NFI[[#This Row],[Kitchen Set]]/VLOOKUP(Table_NFI[[#This Row],[Camp Name]],CL,4,0),"")</f>
        <v>0.76419213973799127</v>
      </c>
      <c r="AT453" s="769" t="s">
        <v>1099</v>
      </c>
      <c r="AU453" s="773"/>
    </row>
    <row r="454" spans="1:47" s="774" customFormat="1" x14ac:dyDescent="0.25">
      <c r="A454" s="451">
        <f t="shared" ref="A454:A517" si="7">IF(ISBLANK(B454),"",(Report_Date-B454)/30)</f>
        <v>25.833333333333332</v>
      </c>
      <c r="B454" s="768">
        <v>41595</v>
      </c>
      <c r="C454" s="769" t="s">
        <v>455</v>
      </c>
      <c r="D454" s="769"/>
      <c r="E454" s="769" t="s">
        <v>380</v>
      </c>
      <c r="F454" s="769" t="s">
        <v>185</v>
      </c>
      <c r="G454" s="769" t="s">
        <v>229</v>
      </c>
      <c r="H454" s="436"/>
      <c r="I454" s="436"/>
      <c r="J454" s="436"/>
      <c r="K454" s="436"/>
      <c r="L454" s="437"/>
      <c r="M454" s="437">
        <v>145</v>
      </c>
      <c r="N454" s="437"/>
      <c r="O454" s="437"/>
      <c r="P454" s="439"/>
      <c r="Q454" s="439"/>
      <c r="R454" s="436"/>
      <c r="S454" s="436"/>
      <c r="T454" s="436"/>
      <c r="U454" s="436"/>
      <c r="V454" s="436"/>
      <c r="W454" s="436"/>
      <c r="X454" s="436"/>
      <c r="Y454" s="444">
        <f>IF(NFI_Expiration=1,IF($A454&lt;VLOOKUP(H$5,NFI,5,0),1,0)*Table_NFI[[#This Row],[Hygiene Kit]],Table_NFI[Hygiene Kit])</f>
        <v>0</v>
      </c>
      <c r="Z454" s="444">
        <f>IF(NFI_Expiration=1,IF($A454&lt;VLOOKUP(I$5,NFI,5,0),1,0)*Table_NFI[[#This Row],[NFI Core Kit]],Table_NFI[NFI Core Kit])</f>
        <v>0</v>
      </c>
      <c r="AA454" s="444">
        <f>IF(NFI_Expiration=1,IF($A454&lt;VLOOKUP(J$5,NFI,5,0),1,0)*Table_NFI[[#This Row],[Sanitary Kit]],Table_NFI[Sanitary Kit])</f>
        <v>0</v>
      </c>
      <c r="AB454" s="444">
        <f>IF(NFI_Expiration=1,IF($A454&lt;VLOOKUP(K$5,NFI,5,0),1,0)*Table_NFI[[#This Row],[Mosquito net]],Table_NFI[Mosquito net])</f>
        <v>0</v>
      </c>
      <c r="AC454" s="444">
        <f>IF(NFI_Expiration=1,IF($A454&lt;VLOOKUP(L$5,NFI,5,0),1,0)*Table_NFI[[#This Row],[Tarpaulin]],Table_NFI[[#This Row],[Tarpaulin]])</f>
        <v>0</v>
      </c>
      <c r="AD454" s="444">
        <f>IF(NFI_Expiration=1,IF($A454&lt;VLOOKUP(M$5,NFI,5,0),1,0)*Table_NFI[[#This Row],[Blanket]],Table_NFI[[#This Row],[Blanket]])</f>
        <v>0</v>
      </c>
      <c r="AE454" s="444">
        <f>IF(NFI_Expiration=1,IF($A454&lt;VLOOKUP(N$5,NFI,5,0),1,0)*Table_NFI[[#This Row],[Kitchen Set]],Table_NFI[Kitchen Set])</f>
        <v>0</v>
      </c>
      <c r="AF454" s="444">
        <f>IF(NFI_Expiration=1,IF($A454&lt;VLOOKUP(O$5,NFI,5,0),1,0)*Table_NFI[[#This Row],[Clothes Kit]],Table_NFI[Clothes Kit])</f>
        <v>0</v>
      </c>
      <c r="AG454" s="444">
        <f>IF(NFI_Expiration=1,IF($A454&lt;VLOOKUP(P$5,NFI,5,0),1,0)*Table_NFI[[#This Row],[Plastic Bucket]],Table_NFI[Plastic Bucket])</f>
        <v>0</v>
      </c>
      <c r="AH454" s="444">
        <f>IF(NFI_Expiration=1,IF($A454&lt;VLOOKUP(Q$5,NFI,5,0),1,0)*Table_NFI[[#This Row],[Plastic Mat]],Table_NFI[Plastic Mat])*IF(Table_NFI[[#This Row],[Distribution Date]]&gt;"2014-04-01",1,2.5)</f>
        <v>0</v>
      </c>
      <c r="AI454" s="444">
        <f>IF(NFI_Expiration=1,IF($A454&lt;VLOOKUP(R$5,NFI,5,0),1,0)*Table_NFI[[#This Row],[Winter Clothes Adult]],Table_NFI[Winter Clothes Adult])</f>
        <v>0</v>
      </c>
      <c r="AJ454" s="444">
        <f>IF(NFI_Expiration=1,IF($A454&lt;VLOOKUP(S$5,NFI,5,0),1,0)*Table_NFI[[#This Row],[Winter Clothes Children]],Table_NFI[Winter Clothes Children])</f>
        <v>0</v>
      </c>
      <c r="AK454" s="444">
        <f>IF(NFI_Expiration=1,IF($A454&lt;VLOOKUP(T$5,NFI,5,0),1,0)*Table_NFI[[#This Row],[Winter Items Other]],Table_NFI[Winter Items Other])</f>
        <v>0</v>
      </c>
      <c r="AL454" s="444">
        <f>IF(NFI_Expiration=1,IF($A454&lt;VLOOKUP(M$5,NFI,5,0),1,0)*Table_NFI[[#This Row],[Winter Blanket]],Table_NFI[[#This Row],[Winter Blanket]])</f>
        <v>0</v>
      </c>
      <c r="AM454" s="444">
        <f>IF(Table_NFI[[#This Row],[Winter Clothes Adult]]+Table_NFI[[#This Row],[Winter Clothes Children]]+Table_NFI[[#This Row],[Winter Items Other]]+Table_NFI[[#This Row],[Winter Blanket]]&gt;0,1,0)</f>
        <v>0</v>
      </c>
      <c r="AN454" s="439">
        <f>IF(NFI_Expiration=1,IF($A454&lt;VLOOKUP(V$5,NFI,5,0),1,0)*Table_NFI[[#This Row],[Jerry Can]],Table_NFI[Jerry Can])</f>
        <v>0</v>
      </c>
      <c r="AO454" s="777" t="str">
        <f>IFERROR(VLOOKUP(Table_NFI[[#This Row],[Camp Name]],CL,2,0),"")</f>
        <v>MMR001CMP072</v>
      </c>
      <c r="AP454" s="778">
        <f ca="1">IF(Table_NFI[[#This Row],[Pcode]]="","",IF(OFFSET(CampList[Opening Date],MATCH(Table_NFI[[#This Row],[Pcode]],CampList[CP_Pcode],0)-1,0,1,1)&gt;=NFI_Monitor_Date,1,0))</f>
        <v>0</v>
      </c>
      <c r="AQ454" s="777" t="str">
        <f>IFERROR(VLOOKUP(Table_NFI[[#This Row],[Camp Name]],CL,3,0),"")</f>
        <v>Open</v>
      </c>
      <c r="AR454" s="444" t="str">
        <f ca="1">IF(Table_NFI[[#This Row],[Pcode]]="","",OFFSET(CampList[Priority],MATCH(Table_NFI[[#This Row],[Pcode]],CampList[CP_Pcode],0)-1,0,1,1))</f>
        <v>P3</v>
      </c>
      <c r="AS454" s="445">
        <f>IFERROR(Table_NFI[[#This Row],[Kitchen Set]]/VLOOKUP(Table_NFI[[#This Row],[Camp Name]],CL,4,0),"")</f>
        <v>0</v>
      </c>
      <c r="AT454" s="769" t="s">
        <v>1099</v>
      </c>
      <c r="AU454" s="773"/>
    </row>
    <row r="455" spans="1:47" s="774" customFormat="1" x14ac:dyDescent="0.25">
      <c r="A455" s="451">
        <f t="shared" si="7"/>
        <v>25.866666666666667</v>
      </c>
      <c r="B455" s="768">
        <v>41594</v>
      </c>
      <c r="C455" s="769" t="s">
        <v>454</v>
      </c>
      <c r="D455" s="769" t="s">
        <v>575</v>
      </c>
      <c r="E455" s="769" t="s">
        <v>380</v>
      </c>
      <c r="F455" s="435" t="s">
        <v>5</v>
      </c>
      <c r="G455" s="435" t="s">
        <v>366</v>
      </c>
      <c r="H455" s="436"/>
      <c r="I455" s="436"/>
      <c r="J455" s="436"/>
      <c r="K455" s="436"/>
      <c r="L455" s="437">
        <v>11</v>
      </c>
      <c r="M455" s="437"/>
      <c r="N455" s="437"/>
      <c r="O455" s="437"/>
      <c r="P455" s="439"/>
      <c r="Q455" s="439"/>
      <c r="R455" s="436"/>
      <c r="S455" s="436"/>
      <c r="T455" s="436"/>
      <c r="U455" s="436"/>
      <c r="V455" s="436"/>
      <c r="W455" s="436"/>
      <c r="X455" s="436"/>
      <c r="Y455" s="436">
        <f>IF(NFI_Expiration=1,IF($A455&lt;VLOOKUP(H$5,NFI,5,0),1,0)*Table_NFI[[#This Row],[Hygiene Kit]],Table_NFI[Hygiene Kit])</f>
        <v>0</v>
      </c>
      <c r="Z455" s="436">
        <f>IF(NFI_Expiration=1,IF($A455&lt;VLOOKUP(I$5,NFI,5,0),1,0)*Table_NFI[[#This Row],[NFI Core Kit]],Table_NFI[NFI Core Kit])</f>
        <v>0</v>
      </c>
      <c r="AA455" s="436">
        <f>IF(NFI_Expiration=1,IF($A455&lt;VLOOKUP(J$5,NFI,5,0),1,0)*Table_NFI[[#This Row],[Sanitary Kit]],Table_NFI[Sanitary Kit])</f>
        <v>0</v>
      </c>
      <c r="AB455" s="436">
        <f>IF(NFI_Expiration=1,IF($A455&lt;VLOOKUP(K$5,NFI,5,0),1,0)*Table_NFI[[#This Row],[Mosquito net]],Table_NFI[Mosquito net])</f>
        <v>0</v>
      </c>
      <c r="AC455" s="436">
        <f>IF(NFI_Expiration=1,IF($A455&lt;VLOOKUP(L$5,NFI,5,0),1,0)*Table_NFI[[#This Row],[Tarpaulin]],Table_NFI[[#This Row],[Tarpaulin]])</f>
        <v>0</v>
      </c>
      <c r="AD455" s="436">
        <f>IF(NFI_Expiration=1,IF($A455&lt;VLOOKUP(M$5,NFI,5,0),1,0)*Table_NFI[[#This Row],[Blanket]],Table_NFI[[#This Row],[Blanket]])</f>
        <v>0</v>
      </c>
      <c r="AE455" s="436">
        <f>IF(NFI_Expiration=1,IF($A455&lt;VLOOKUP(N$5,NFI,5,0),1,0)*Table_NFI[[#This Row],[Kitchen Set]],Table_NFI[Kitchen Set])</f>
        <v>0</v>
      </c>
      <c r="AF455" s="436">
        <f>IF(NFI_Expiration=1,IF($A455&lt;VLOOKUP(O$5,NFI,5,0),1,0)*Table_NFI[[#This Row],[Clothes Kit]],Table_NFI[Clothes Kit])</f>
        <v>0</v>
      </c>
      <c r="AG455" s="436">
        <f>IF(NFI_Expiration=1,IF($A455&lt;VLOOKUP(P$5,NFI,5,0),1,0)*Table_NFI[[#This Row],[Plastic Bucket]],Table_NFI[Plastic Bucket])</f>
        <v>0</v>
      </c>
      <c r="AH455" s="436">
        <f>IF(NFI_Expiration=1,IF($A455&lt;VLOOKUP(Q$5,NFI,5,0),1,0)*Table_NFI[[#This Row],[Plastic Mat]],Table_NFI[Plastic Mat])*IF(Table_NFI[[#This Row],[Distribution Date]]&gt;"2014-04-01",1,2.5)</f>
        <v>0</v>
      </c>
      <c r="AI455" s="436">
        <f>IF(NFI_Expiration=1,IF($A455&lt;VLOOKUP(R$5,NFI,5,0),1,0)*Table_NFI[[#This Row],[Winter Clothes Adult]],Table_NFI[Winter Clothes Adult])</f>
        <v>0</v>
      </c>
      <c r="AJ455" s="436">
        <f>IF(NFI_Expiration=1,IF($A455&lt;VLOOKUP(S$5,NFI,5,0),1,0)*Table_NFI[[#This Row],[Winter Clothes Children]],Table_NFI[Winter Clothes Children])</f>
        <v>0</v>
      </c>
      <c r="AK455" s="436">
        <f>IF(NFI_Expiration=1,IF($A455&lt;VLOOKUP(T$5,NFI,5,0),1,0)*Table_NFI[[#This Row],[Winter Items Other]],Table_NFI[Winter Items Other])</f>
        <v>0</v>
      </c>
      <c r="AL455" s="436">
        <f>IF(NFI_Expiration=1,IF($A455&lt;VLOOKUP(M$5,NFI,5,0),1,0)*Table_NFI[[#This Row],[Winter Blanket]],Table_NFI[[#This Row],[Winter Blanket]])</f>
        <v>0</v>
      </c>
      <c r="AM455" s="436">
        <f>IF(Table_NFI[[#This Row],[Winter Clothes Adult]]+Table_NFI[[#This Row],[Winter Clothes Children]]+Table_NFI[[#This Row],[Winter Items Other]]+Table_NFI[[#This Row],[Winter Blanket]]&gt;0,1,0)</f>
        <v>0</v>
      </c>
      <c r="AN455" s="439">
        <f>IF(NFI_Expiration=1,IF($A455&lt;VLOOKUP(V$5,NFI,5,0),1,0)*Table_NFI[[#This Row],[Jerry Can]],Table_NFI[Jerry Can])</f>
        <v>0</v>
      </c>
      <c r="AO455" s="771" t="str">
        <f>IFERROR(VLOOKUP(Table_NFI[[#This Row],[Camp Name]],CL,2,0),"")</f>
        <v>MMR001CMP193</v>
      </c>
      <c r="AP455" s="772">
        <f ca="1">IF(Table_NFI[[#This Row],[Pcode]]="","",IF(OFFSET(CampList[Opening Date],MATCH(Table_NFI[[#This Row],[Pcode]],CampList[CP_Pcode],0)-1,0,1,1)&gt;=NFI_Monitor_Date,1,0))</f>
        <v>0</v>
      </c>
      <c r="AQ455" s="781" t="str">
        <f>IFERROR(VLOOKUP(Table_NFI[[#This Row],[Camp Name]],CL,3,0),"")</f>
        <v>Open</v>
      </c>
      <c r="AR455" s="439" t="str">
        <f ca="1">IF(Table_NFI[[#This Row],[Pcode]]="","",OFFSET(CampList[Priority],MATCH(Table_NFI[[#This Row],[Pcode]],CampList[CP_Pcode],0)-1,0,1,1))</f>
        <v>P4</v>
      </c>
      <c r="AS455" s="438">
        <f>IFERROR(Table_NFI[[#This Row],[Kitchen Set]]/VLOOKUP(Table_NFI[[#This Row],[Camp Name]],CL,4,0),"")</f>
        <v>0</v>
      </c>
      <c r="AT455" s="769" t="s">
        <v>1099</v>
      </c>
      <c r="AU455" s="773"/>
    </row>
    <row r="456" spans="1:47" s="774" customFormat="1" x14ac:dyDescent="0.25">
      <c r="A456" s="451">
        <f t="shared" si="7"/>
        <v>25.866666666666667</v>
      </c>
      <c r="B456" s="768">
        <v>41594</v>
      </c>
      <c r="C456" s="769" t="s">
        <v>454</v>
      </c>
      <c r="D456" s="769" t="s">
        <v>454</v>
      </c>
      <c r="E456" s="769" t="s">
        <v>380</v>
      </c>
      <c r="F456" s="435" t="s">
        <v>5</v>
      </c>
      <c r="G456" s="435" t="s">
        <v>22</v>
      </c>
      <c r="H456" s="436"/>
      <c r="I456" s="436"/>
      <c r="J456" s="436"/>
      <c r="K456" s="436"/>
      <c r="L456" s="437">
        <v>10</v>
      </c>
      <c r="M456" s="437"/>
      <c r="N456" s="437"/>
      <c r="O456" s="437"/>
      <c r="P456" s="439"/>
      <c r="Q456" s="439"/>
      <c r="R456" s="436"/>
      <c r="S456" s="436"/>
      <c r="T456" s="436"/>
      <c r="U456" s="436"/>
      <c r="V456" s="436"/>
      <c r="W456" s="436"/>
      <c r="X456" s="436"/>
      <c r="Y456" s="436">
        <f>IF(NFI_Expiration=1,IF($A456&lt;VLOOKUP(H$5,NFI,5,0),1,0)*Table_NFI[[#This Row],[Hygiene Kit]],Table_NFI[Hygiene Kit])</f>
        <v>0</v>
      </c>
      <c r="Z456" s="436">
        <f>IF(NFI_Expiration=1,IF($A456&lt;VLOOKUP(I$5,NFI,5,0),1,0)*Table_NFI[[#This Row],[NFI Core Kit]],Table_NFI[NFI Core Kit])</f>
        <v>0</v>
      </c>
      <c r="AA456" s="436">
        <f>IF(NFI_Expiration=1,IF($A456&lt;VLOOKUP(J$5,NFI,5,0),1,0)*Table_NFI[[#This Row],[Sanitary Kit]],Table_NFI[Sanitary Kit])</f>
        <v>0</v>
      </c>
      <c r="AB456" s="436">
        <f>IF(NFI_Expiration=1,IF($A456&lt;VLOOKUP(K$5,NFI,5,0),1,0)*Table_NFI[[#This Row],[Mosquito net]],Table_NFI[Mosquito net])</f>
        <v>0</v>
      </c>
      <c r="AC456" s="436">
        <f>IF(NFI_Expiration=1,IF($A456&lt;VLOOKUP(L$5,NFI,5,0),1,0)*Table_NFI[[#This Row],[Tarpaulin]],Table_NFI[[#This Row],[Tarpaulin]])</f>
        <v>0</v>
      </c>
      <c r="AD456" s="436">
        <f>IF(NFI_Expiration=1,IF($A456&lt;VLOOKUP(M$5,NFI,5,0),1,0)*Table_NFI[[#This Row],[Blanket]],Table_NFI[[#This Row],[Blanket]])</f>
        <v>0</v>
      </c>
      <c r="AE456" s="436">
        <f>IF(NFI_Expiration=1,IF($A456&lt;VLOOKUP(N$5,NFI,5,0),1,0)*Table_NFI[[#This Row],[Kitchen Set]],Table_NFI[Kitchen Set])</f>
        <v>0</v>
      </c>
      <c r="AF456" s="436">
        <f>IF(NFI_Expiration=1,IF($A456&lt;VLOOKUP(O$5,NFI,5,0),1,0)*Table_NFI[[#This Row],[Clothes Kit]],Table_NFI[Clothes Kit])</f>
        <v>0</v>
      </c>
      <c r="AG456" s="436">
        <f>IF(NFI_Expiration=1,IF($A456&lt;VLOOKUP(P$5,NFI,5,0),1,0)*Table_NFI[[#This Row],[Plastic Bucket]],Table_NFI[Plastic Bucket])</f>
        <v>0</v>
      </c>
      <c r="AH456" s="436">
        <f>IF(NFI_Expiration=1,IF($A456&lt;VLOOKUP(Q$5,NFI,5,0),1,0)*Table_NFI[[#This Row],[Plastic Mat]],Table_NFI[Plastic Mat])*IF(Table_NFI[[#This Row],[Distribution Date]]&gt;"2014-04-01",1,2.5)</f>
        <v>0</v>
      </c>
      <c r="AI456" s="436">
        <f>IF(NFI_Expiration=1,IF($A456&lt;VLOOKUP(R$5,NFI,5,0),1,0)*Table_NFI[[#This Row],[Winter Clothes Adult]],Table_NFI[Winter Clothes Adult])</f>
        <v>0</v>
      </c>
      <c r="AJ456" s="436">
        <f>IF(NFI_Expiration=1,IF($A456&lt;VLOOKUP(S$5,NFI,5,0),1,0)*Table_NFI[[#This Row],[Winter Clothes Children]],Table_NFI[Winter Clothes Children])</f>
        <v>0</v>
      </c>
      <c r="AK456" s="436">
        <f>IF(NFI_Expiration=1,IF($A456&lt;VLOOKUP(T$5,NFI,5,0),1,0)*Table_NFI[[#This Row],[Winter Items Other]],Table_NFI[Winter Items Other])</f>
        <v>0</v>
      </c>
      <c r="AL456" s="436">
        <f>IF(NFI_Expiration=1,IF($A456&lt;VLOOKUP(M$5,NFI,5,0),1,0)*Table_NFI[[#This Row],[Winter Blanket]],Table_NFI[[#This Row],[Winter Blanket]])</f>
        <v>0</v>
      </c>
      <c r="AM456" s="436">
        <f>IF(Table_NFI[[#This Row],[Winter Clothes Adult]]+Table_NFI[[#This Row],[Winter Clothes Children]]+Table_NFI[[#This Row],[Winter Items Other]]+Table_NFI[[#This Row],[Winter Blanket]]&gt;0,1,0)</f>
        <v>0</v>
      </c>
      <c r="AN456" s="439">
        <f>IF(NFI_Expiration=1,IF($A456&lt;VLOOKUP(V$5,NFI,5,0),1,0)*Table_NFI[[#This Row],[Jerry Can]],Table_NFI[Jerry Can])</f>
        <v>0</v>
      </c>
      <c r="AO456" s="771" t="str">
        <f>IFERROR(VLOOKUP(Table_NFI[[#This Row],[Camp Name]],CL,2,0),"")</f>
        <v>MMR001CMP047</v>
      </c>
      <c r="AP456" s="772">
        <f ca="1">IF(Table_NFI[[#This Row],[Pcode]]="","",IF(OFFSET(CampList[Opening Date],MATCH(Table_NFI[[#This Row],[Pcode]],CampList[CP_Pcode],0)-1,0,1,1)&gt;=NFI_Monitor_Date,1,0))</f>
        <v>0</v>
      </c>
      <c r="AQ456" s="781" t="str">
        <f>IFERROR(VLOOKUP(Table_NFI[[#This Row],[Camp Name]],CL,3,0),"")</f>
        <v>Open</v>
      </c>
      <c r="AR456" s="439" t="str">
        <f ca="1">IF(Table_NFI[[#This Row],[Pcode]]="","",OFFSET(CampList[Priority],MATCH(Table_NFI[[#This Row],[Pcode]],CampList[CP_Pcode],0)-1,0,1,1))</f>
        <v>P4</v>
      </c>
      <c r="AS456" s="438">
        <f>IFERROR(Table_NFI[[#This Row],[Kitchen Set]]/VLOOKUP(Table_NFI[[#This Row],[Camp Name]],CL,4,0),"")</f>
        <v>0</v>
      </c>
      <c r="AT456" s="769" t="s">
        <v>1099</v>
      </c>
      <c r="AU456" s="773"/>
    </row>
    <row r="457" spans="1:47" s="774" customFormat="1" x14ac:dyDescent="0.25">
      <c r="A457" s="451">
        <f t="shared" si="7"/>
        <v>25.9</v>
      </c>
      <c r="B457" s="768">
        <v>41593</v>
      </c>
      <c r="C457" s="769" t="s">
        <v>454</v>
      </c>
      <c r="D457" s="769" t="s">
        <v>575</v>
      </c>
      <c r="E457" s="769" t="s">
        <v>380</v>
      </c>
      <c r="F457" s="435" t="s">
        <v>5</v>
      </c>
      <c r="G457" s="435"/>
      <c r="H457" s="436"/>
      <c r="I457" s="436"/>
      <c r="J457" s="436"/>
      <c r="K457" s="436"/>
      <c r="L457" s="437">
        <v>12</v>
      </c>
      <c r="M457" s="437"/>
      <c r="N457" s="437"/>
      <c r="O457" s="437"/>
      <c r="P457" s="439"/>
      <c r="Q457" s="439"/>
      <c r="R457" s="436"/>
      <c r="S457" s="436"/>
      <c r="T457" s="436"/>
      <c r="U457" s="436"/>
      <c r="V457" s="436"/>
      <c r="W457" s="436"/>
      <c r="X457" s="436"/>
      <c r="Y457" s="436">
        <f>IF(NFI_Expiration=1,IF($A457&lt;VLOOKUP(H$5,NFI,5,0),1,0)*Table_NFI[[#This Row],[Hygiene Kit]],Table_NFI[Hygiene Kit])</f>
        <v>0</v>
      </c>
      <c r="Z457" s="436">
        <f>IF(NFI_Expiration=1,IF($A457&lt;VLOOKUP(I$5,NFI,5,0),1,0)*Table_NFI[[#This Row],[NFI Core Kit]],Table_NFI[NFI Core Kit])</f>
        <v>0</v>
      </c>
      <c r="AA457" s="436">
        <f>IF(NFI_Expiration=1,IF($A457&lt;VLOOKUP(J$5,NFI,5,0),1,0)*Table_NFI[[#This Row],[Sanitary Kit]],Table_NFI[Sanitary Kit])</f>
        <v>0</v>
      </c>
      <c r="AB457" s="436">
        <f>IF(NFI_Expiration=1,IF($A457&lt;VLOOKUP(K$5,NFI,5,0),1,0)*Table_NFI[[#This Row],[Mosquito net]],Table_NFI[Mosquito net])</f>
        <v>0</v>
      </c>
      <c r="AC457" s="436">
        <f>IF(NFI_Expiration=1,IF($A457&lt;VLOOKUP(L$5,NFI,5,0),1,0)*Table_NFI[[#This Row],[Tarpaulin]],Table_NFI[[#This Row],[Tarpaulin]])</f>
        <v>0</v>
      </c>
      <c r="AD457" s="436">
        <f>IF(NFI_Expiration=1,IF($A457&lt;VLOOKUP(M$5,NFI,5,0),1,0)*Table_NFI[[#This Row],[Blanket]],Table_NFI[[#This Row],[Blanket]])</f>
        <v>0</v>
      </c>
      <c r="AE457" s="436">
        <f>IF(NFI_Expiration=1,IF($A457&lt;VLOOKUP(N$5,NFI,5,0),1,0)*Table_NFI[[#This Row],[Kitchen Set]],Table_NFI[Kitchen Set])</f>
        <v>0</v>
      </c>
      <c r="AF457" s="436">
        <f>IF(NFI_Expiration=1,IF($A457&lt;VLOOKUP(O$5,NFI,5,0),1,0)*Table_NFI[[#This Row],[Clothes Kit]],Table_NFI[Clothes Kit])</f>
        <v>0</v>
      </c>
      <c r="AG457" s="436">
        <f>IF(NFI_Expiration=1,IF($A457&lt;VLOOKUP(P$5,NFI,5,0),1,0)*Table_NFI[[#This Row],[Plastic Bucket]],Table_NFI[Plastic Bucket])</f>
        <v>0</v>
      </c>
      <c r="AH457" s="436">
        <f>IF(NFI_Expiration=1,IF($A457&lt;VLOOKUP(Q$5,NFI,5,0),1,0)*Table_NFI[[#This Row],[Plastic Mat]],Table_NFI[Plastic Mat])*IF(Table_NFI[[#This Row],[Distribution Date]]&gt;"2014-04-01",1,2.5)</f>
        <v>0</v>
      </c>
      <c r="AI457" s="436">
        <f>IF(NFI_Expiration=1,IF($A457&lt;VLOOKUP(R$5,NFI,5,0),1,0)*Table_NFI[[#This Row],[Winter Clothes Adult]],Table_NFI[Winter Clothes Adult])</f>
        <v>0</v>
      </c>
      <c r="AJ457" s="436">
        <f>IF(NFI_Expiration=1,IF($A457&lt;VLOOKUP(S$5,NFI,5,0),1,0)*Table_NFI[[#This Row],[Winter Clothes Children]],Table_NFI[Winter Clothes Children])</f>
        <v>0</v>
      </c>
      <c r="AK457" s="436">
        <f>IF(NFI_Expiration=1,IF($A457&lt;VLOOKUP(T$5,NFI,5,0),1,0)*Table_NFI[[#This Row],[Winter Items Other]],Table_NFI[Winter Items Other])</f>
        <v>0</v>
      </c>
      <c r="AL457" s="436">
        <f>IF(NFI_Expiration=1,IF($A457&lt;VLOOKUP(M$5,NFI,5,0),1,0)*Table_NFI[[#This Row],[Winter Blanket]],Table_NFI[[#This Row],[Winter Blanket]])</f>
        <v>0</v>
      </c>
      <c r="AM457" s="436">
        <f>IF(Table_NFI[[#This Row],[Winter Clothes Adult]]+Table_NFI[[#This Row],[Winter Clothes Children]]+Table_NFI[[#This Row],[Winter Items Other]]+Table_NFI[[#This Row],[Winter Blanket]]&gt;0,1,0)</f>
        <v>0</v>
      </c>
      <c r="AN457" s="439">
        <f>IF(NFI_Expiration=1,IF($A457&lt;VLOOKUP(V$5,NFI,5,0),1,0)*Table_NFI[[#This Row],[Jerry Can]],Table_NFI[Jerry Can])</f>
        <v>0</v>
      </c>
      <c r="AO457" s="771" t="str">
        <f>IFERROR(VLOOKUP(Table_NFI[[#This Row],[Camp Name]],CL,2,0),"")</f>
        <v/>
      </c>
      <c r="AP457" s="772" t="str">
        <f ca="1">IF(Table_NFI[[#This Row],[Pcode]]="","",IF(OFFSET(CampList[Opening Date],MATCH(Table_NFI[[#This Row],[Pcode]],CampList[CP_Pcode],0)-1,0,1,1)&gt;=NFI_Monitor_Date,1,0))</f>
        <v/>
      </c>
      <c r="AQ457" s="781" t="str">
        <f>IFERROR(VLOOKUP(Table_NFI[[#This Row],[Camp Name]],CL,3,0),"")</f>
        <v/>
      </c>
      <c r="AR457" s="439" t="str">
        <f ca="1">IF(Table_NFI[[#This Row],[Pcode]]="","",OFFSET(CampList[Priority],MATCH(Table_NFI[[#This Row],[Pcode]],CampList[CP_Pcode],0)-1,0,1,1))</f>
        <v/>
      </c>
      <c r="AS457" s="438" t="str">
        <f>IFERROR(Table_NFI[[#This Row],[Kitchen Set]]/VLOOKUP(Table_NFI[[#This Row],[Camp Name]],CL,4,0),"")</f>
        <v/>
      </c>
      <c r="AT457" s="769" t="s">
        <v>1099</v>
      </c>
      <c r="AU457" s="773"/>
    </row>
    <row r="458" spans="1:47" s="774" customFormat="1" x14ac:dyDescent="0.25">
      <c r="A458" s="451">
        <f t="shared" si="7"/>
        <v>25.9</v>
      </c>
      <c r="B458" s="768">
        <v>41593</v>
      </c>
      <c r="C458" s="769" t="s">
        <v>912</v>
      </c>
      <c r="D458" s="769" t="s">
        <v>1009</v>
      </c>
      <c r="E458" s="769" t="s">
        <v>380</v>
      </c>
      <c r="F458" s="769" t="s">
        <v>151</v>
      </c>
      <c r="G458" s="769" t="s">
        <v>158</v>
      </c>
      <c r="H458" s="436"/>
      <c r="I458" s="436"/>
      <c r="J458" s="436"/>
      <c r="K458" s="436"/>
      <c r="L458" s="437"/>
      <c r="M458" s="437"/>
      <c r="N458" s="437"/>
      <c r="O458" s="437"/>
      <c r="P458" s="439"/>
      <c r="Q458" s="439"/>
      <c r="R458" s="436">
        <v>54</v>
      </c>
      <c r="S458" s="436">
        <v>106</v>
      </c>
      <c r="T458" s="436">
        <v>320</v>
      </c>
      <c r="U458" s="436">
        <v>160</v>
      </c>
      <c r="V458" s="436"/>
      <c r="W458" s="436"/>
      <c r="X458" s="436"/>
      <c r="Y458" s="436">
        <f>IF(NFI_Expiration=1,IF($A458&lt;VLOOKUP(H$5,NFI,5,0),1,0)*Table_NFI[[#This Row],[Hygiene Kit]],Table_NFI[Hygiene Kit])</f>
        <v>0</v>
      </c>
      <c r="Z458" s="436">
        <f>IF(NFI_Expiration=1,IF($A458&lt;VLOOKUP(I$5,NFI,5,0),1,0)*Table_NFI[[#This Row],[NFI Core Kit]],Table_NFI[NFI Core Kit])</f>
        <v>0</v>
      </c>
      <c r="AA458" s="436">
        <f>IF(NFI_Expiration=1,IF($A458&lt;VLOOKUP(J$5,NFI,5,0),1,0)*Table_NFI[[#This Row],[Sanitary Kit]],Table_NFI[Sanitary Kit])</f>
        <v>0</v>
      </c>
      <c r="AB458" s="436">
        <f>IF(NFI_Expiration=1,IF($A458&lt;VLOOKUP(K$5,NFI,5,0),1,0)*Table_NFI[[#This Row],[Mosquito net]],Table_NFI[Mosquito net])</f>
        <v>0</v>
      </c>
      <c r="AC458" s="436">
        <f>IF(NFI_Expiration=1,IF($A458&lt;VLOOKUP(L$5,NFI,5,0),1,0)*Table_NFI[[#This Row],[Tarpaulin]],Table_NFI[[#This Row],[Tarpaulin]])</f>
        <v>0</v>
      </c>
      <c r="AD458" s="436">
        <f>IF(NFI_Expiration=1,IF($A458&lt;VLOOKUP(M$5,NFI,5,0),1,0)*Table_NFI[[#This Row],[Blanket]],Table_NFI[[#This Row],[Blanket]])</f>
        <v>0</v>
      </c>
      <c r="AE458" s="436">
        <f>IF(NFI_Expiration=1,IF($A458&lt;VLOOKUP(N$5,NFI,5,0),1,0)*Table_NFI[[#This Row],[Kitchen Set]],Table_NFI[Kitchen Set])</f>
        <v>0</v>
      </c>
      <c r="AF458" s="436">
        <f>IF(NFI_Expiration=1,IF($A458&lt;VLOOKUP(O$5,NFI,5,0),1,0)*Table_NFI[[#This Row],[Clothes Kit]],Table_NFI[Clothes Kit])</f>
        <v>0</v>
      </c>
      <c r="AG458" s="436">
        <f>IF(NFI_Expiration=1,IF($A458&lt;VLOOKUP(P$5,NFI,5,0),1,0)*Table_NFI[[#This Row],[Plastic Bucket]],Table_NFI[Plastic Bucket])</f>
        <v>0</v>
      </c>
      <c r="AH458" s="436">
        <f>IF(NFI_Expiration=1,IF($A458&lt;VLOOKUP(Q$5,NFI,5,0),1,0)*Table_NFI[[#This Row],[Plastic Mat]],Table_NFI[Plastic Mat])*IF(Table_NFI[[#This Row],[Distribution Date]]&gt;"2014-04-01",1,2.5)</f>
        <v>0</v>
      </c>
      <c r="AI458" s="436">
        <f>IF(NFI_Expiration=1,IF($A458&lt;VLOOKUP(R$5,NFI,5,0),1,0)*Table_NFI[[#This Row],[Winter Clothes Adult]],Table_NFI[Winter Clothes Adult])</f>
        <v>0</v>
      </c>
      <c r="AJ458" s="436">
        <f>IF(NFI_Expiration=1,IF($A458&lt;VLOOKUP(S$5,NFI,5,0),1,0)*Table_NFI[[#This Row],[Winter Clothes Children]],Table_NFI[Winter Clothes Children])</f>
        <v>0</v>
      </c>
      <c r="AK458" s="436">
        <f>IF(NFI_Expiration=1,IF($A458&lt;VLOOKUP(T$5,NFI,5,0),1,0)*Table_NFI[[#This Row],[Winter Items Other]],Table_NFI[Winter Items Other])</f>
        <v>0</v>
      </c>
      <c r="AL458" s="436">
        <f>IF(NFI_Expiration=1,IF($A458&lt;VLOOKUP(M$5,NFI,5,0),1,0)*Table_NFI[[#This Row],[Winter Blanket]],Table_NFI[[#This Row],[Winter Blanket]])</f>
        <v>0</v>
      </c>
      <c r="AM458" s="436">
        <f>IF(Table_NFI[[#This Row],[Winter Clothes Adult]]+Table_NFI[[#This Row],[Winter Clothes Children]]+Table_NFI[[#This Row],[Winter Items Other]]+Table_NFI[[#This Row],[Winter Blanket]]&gt;0,1,0)</f>
        <v>1</v>
      </c>
      <c r="AN458" s="439">
        <f>IF(NFI_Expiration=1,IF($A458&lt;VLOOKUP(V$5,NFI,5,0),1,0)*Table_NFI[[#This Row],[Jerry Can]],Table_NFI[Jerry Can])</f>
        <v>0</v>
      </c>
      <c r="AO458" s="771" t="str">
        <f>IFERROR(VLOOKUP(Table_NFI[[#This Row],[Camp Name]],CL,2,0),"")</f>
        <v>MMR001CMP135</v>
      </c>
      <c r="AP458" s="772">
        <f ca="1">IF(Table_NFI[[#This Row],[Pcode]]="","",IF(OFFSET(CampList[Opening Date],MATCH(Table_NFI[[#This Row],[Pcode]],CampList[CP_Pcode],0)-1,0,1,1)&gt;=NFI_Monitor_Date,1,0))</f>
        <v>0</v>
      </c>
      <c r="AQ458" s="771" t="str">
        <f>IFERROR(VLOOKUP(Table_NFI[[#This Row],[Camp Name]],CL,3,0),"")</f>
        <v>Closed</v>
      </c>
      <c r="AR458" s="436" t="str">
        <f ca="1">IF(Table_NFI[[#This Row],[Pcode]]="","",OFFSET(CampList[Priority],MATCH(Table_NFI[[#This Row],[Pcode]],CampList[CP_Pcode],0)-1,0,1,1))</f>
        <v>P2</v>
      </c>
      <c r="AS458" s="438" t="str">
        <f>IFERROR(Table_NFI[[#This Row],[Kitchen Set]]/VLOOKUP(Table_NFI[[#This Row],[Camp Name]],CL,4,0),"")</f>
        <v/>
      </c>
      <c r="AT458" s="769"/>
      <c r="AU458" s="773"/>
    </row>
    <row r="459" spans="1:47" s="774" customFormat="1" x14ac:dyDescent="0.25">
      <c r="A459" s="451">
        <f t="shared" si="7"/>
        <v>25.9</v>
      </c>
      <c r="B459" s="768">
        <v>41593</v>
      </c>
      <c r="C459" s="769" t="s">
        <v>912</v>
      </c>
      <c r="D459" s="769" t="s">
        <v>1009</v>
      </c>
      <c r="E459" s="769" t="s">
        <v>380</v>
      </c>
      <c r="F459" s="769" t="s">
        <v>185</v>
      </c>
      <c r="G459" s="769" t="s">
        <v>215</v>
      </c>
      <c r="H459" s="436"/>
      <c r="I459" s="436"/>
      <c r="J459" s="436"/>
      <c r="K459" s="436"/>
      <c r="L459" s="437"/>
      <c r="M459" s="437"/>
      <c r="N459" s="437"/>
      <c r="O459" s="437"/>
      <c r="P459" s="439"/>
      <c r="Q459" s="439"/>
      <c r="R459" s="436">
        <v>387</v>
      </c>
      <c r="S459" s="436">
        <v>760</v>
      </c>
      <c r="T459" s="436">
        <v>2294</v>
      </c>
      <c r="U459" s="436">
        <v>1147</v>
      </c>
      <c r="V459" s="436"/>
      <c r="W459" s="436"/>
      <c r="X459" s="436"/>
      <c r="Y459" s="436">
        <f>IF(NFI_Expiration=1,IF($A459&lt;VLOOKUP(H$5,NFI,5,0),1,0)*Table_NFI[[#This Row],[Hygiene Kit]],Table_NFI[Hygiene Kit])</f>
        <v>0</v>
      </c>
      <c r="Z459" s="436">
        <f>IF(NFI_Expiration=1,IF($A459&lt;VLOOKUP(I$5,NFI,5,0),1,0)*Table_NFI[[#This Row],[NFI Core Kit]],Table_NFI[NFI Core Kit])</f>
        <v>0</v>
      </c>
      <c r="AA459" s="436">
        <f>IF(NFI_Expiration=1,IF($A459&lt;VLOOKUP(J$5,NFI,5,0),1,0)*Table_NFI[[#This Row],[Sanitary Kit]],Table_NFI[Sanitary Kit])</f>
        <v>0</v>
      </c>
      <c r="AB459" s="436">
        <f>IF(NFI_Expiration=1,IF($A459&lt;VLOOKUP(K$5,NFI,5,0),1,0)*Table_NFI[[#This Row],[Mosquito net]],Table_NFI[Mosquito net])</f>
        <v>0</v>
      </c>
      <c r="AC459" s="436">
        <f>IF(NFI_Expiration=1,IF($A459&lt;VLOOKUP(L$5,NFI,5,0),1,0)*Table_NFI[[#This Row],[Tarpaulin]],Table_NFI[[#This Row],[Tarpaulin]])</f>
        <v>0</v>
      </c>
      <c r="AD459" s="436">
        <f>IF(NFI_Expiration=1,IF($A459&lt;VLOOKUP(M$5,NFI,5,0),1,0)*Table_NFI[[#This Row],[Blanket]],Table_NFI[[#This Row],[Blanket]])</f>
        <v>0</v>
      </c>
      <c r="AE459" s="436">
        <f>IF(NFI_Expiration=1,IF($A459&lt;VLOOKUP(N$5,NFI,5,0),1,0)*Table_NFI[[#This Row],[Kitchen Set]],Table_NFI[Kitchen Set])</f>
        <v>0</v>
      </c>
      <c r="AF459" s="436">
        <f>IF(NFI_Expiration=1,IF($A459&lt;VLOOKUP(O$5,NFI,5,0),1,0)*Table_NFI[[#This Row],[Clothes Kit]],Table_NFI[Clothes Kit])</f>
        <v>0</v>
      </c>
      <c r="AG459" s="436">
        <f>IF(NFI_Expiration=1,IF($A459&lt;VLOOKUP(P$5,NFI,5,0),1,0)*Table_NFI[[#This Row],[Plastic Bucket]],Table_NFI[Plastic Bucket])</f>
        <v>0</v>
      </c>
      <c r="AH459" s="436">
        <f>IF(NFI_Expiration=1,IF($A459&lt;VLOOKUP(Q$5,NFI,5,0),1,0)*Table_NFI[[#This Row],[Plastic Mat]],Table_NFI[Plastic Mat])*IF(Table_NFI[[#This Row],[Distribution Date]]&gt;"2014-04-01",1,2.5)</f>
        <v>0</v>
      </c>
      <c r="AI459" s="436">
        <f>IF(NFI_Expiration=1,IF($A459&lt;VLOOKUP(R$5,NFI,5,0),1,0)*Table_NFI[[#This Row],[Winter Clothes Adult]],Table_NFI[Winter Clothes Adult])</f>
        <v>0</v>
      </c>
      <c r="AJ459" s="436">
        <f>IF(NFI_Expiration=1,IF($A459&lt;VLOOKUP(S$5,NFI,5,0),1,0)*Table_NFI[[#This Row],[Winter Clothes Children]],Table_NFI[Winter Clothes Children])</f>
        <v>0</v>
      </c>
      <c r="AK459" s="436">
        <f>IF(NFI_Expiration=1,IF($A459&lt;VLOOKUP(T$5,NFI,5,0),1,0)*Table_NFI[[#This Row],[Winter Items Other]],Table_NFI[Winter Items Other])</f>
        <v>0</v>
      </c>
      <c r="AL459" s="436">
        <f>IF(NFI_Expiration=1,IF($A459&lt;VLOOKUP(M$5,NFI,5,0),1,0)*Table_NFI[[#This Row],[Winter Blanket]],Table_NFI[[#This Row],[Winter Blanket]])</f>
        <v>0</v>
      </c>
      <c r="AM459" s="436">
        <f>IF(Table_NFI[[#This Row],[Winter Clothes Adult]]+Table_NFI[[#This Row],[Winter Clothes Children]]+Table_NFI[[#This Row],[Winter Items Other]]+Table_NFI[[#This Row],[Winter Blanket]]&gt;0,1,0)</f>
        <v>1</v>
      </c>
      <c r="AN459" s="439">
        <f>IF(NFI_Expiration=1,IF($A459&lt;VLOOKUP(V$5,NFI,5,0),1,0)*Table_NFI[[#This Row],[Jerry Can]],Table_NFI[Jerry Can])</f>
        <v>0</v>
      </c>
      <c r="AO459" s="771" t="str">
        <f>IFERROR(VLOOKUP(Table_NFI[[#This Row],[Camp Name]],CL,2,0),"")</f>
        <v>MMR001CMP131</v>
      </c>
      <c r="AP459" s="772">
        <f ca="1">IF(Table_NFI[[#This Row],[Pcode]]="","",IF(OFFSET(CampList[Opening Date],MATCH(Table_NFI[[#This Row],[Pcode]],CampList[CP_Pcode],0)-1,0,1,1)&gt;=NFI_Monitor_Date,1,0))</f>
        <v>0</v>
      </c>
      <c r="AQ459" s="771" t="str">
        <f>IFERROR(VLOOKUP(Table_NFI[[#This Row],[Camp Name]],CL,3,0),"")</f>
        <v>Open</v>
      </c>
      <c r="AR459" s="436" t="str">
        <f ca="1">IF(Table_NFI[[#This Row],[Pcode]]="","",OFFSET(CampList[Priority],MATCH(Table_NFI[[#This Row],[Pcode]],CampList[CP_Pcode],0)-1,0,1,1))</f>
        <v>P1</v>
      </c>
      <c r="AS459" s="438">
        <f>IFERROR(Table_NFI[[#This Row],[Kitchen Set]]/VLOOKUP(Table_NFI[[#This Row],[Camp Name]],CL,4,0),"")</f>
        <v>0</v>
      </c>
      <c r="AT459" s="769"/>
      <c r="AU459" s="773"/>
    </row>
    <row r="460" spans="1:47" s="774" customFormat="1" x14ac:dyDescent="0.25">
      <c r="A460" s="451">
        <f t="shared" si="7"/>
        <v>25.933333333333334</v>
      </c>
      <c r="B460" s="768">
        <v>41592</v>
      </c>
      <c r="C460" s="769" t="s">
        <v>454</v>
      </c>
      <c r="D460" s="769" t="s">
        <v>575</v>
      </c>
      <c r="E460" s="769" t="s">
        <v>380</v>
      </c>
      <c r="F460" s="435" t="s">
        <v>5</v>
      </c>
      <c r="G460" s="435" t="s">
        <v>514</v>
      </c>
      <c r="H460" s="436"/>
      <c r="I460" s="436"/>
      <c r="J460" s="436"/>
      <c r="K460" s="436">
        <v>12</v>
      </c>
      <c r="L460" s="437">
        <v>9</v>
      </c>
      <c r="M460" s="437">
        <v>12</v>
      </c>
      <c r="N460" s="437">
        <v>9</v>
      </c>
      <c r="O460" s="437">
        <v>9</v>
      </c>
      <c r="P460" s="439"/>
      <c r="Q460" s="439"/>
      <c r="R460" s="436"/>
      <c r="S460" s="436"/>
      <c r="T460" s="436"/>
      <c r="U460" s="436"/>
      <c r="V460" s="436"/>
      <c r="W460" s="436"/>
      <c r="X460" s="436"/>
      <c r="Y460" s="436">
        <f>IF(NFI_Expiration=1,IF($A460&lt;VLOOKUP(H$5,NFI,5,0),1,0)*Table_NFI[[#This Row],[Hygiene Kit]],Table_NFI[Hygiene Kit])</f>
        <v>0</v>
      </c>
      <c r="Z460" s="436">
        <f>IF(NFI_Expiration=1,IF($A460&lt;VLOOKUP(I$5,NFI,5,0),1,0)*Table_NFI[[#This Row],[NFI Core Kit]],Table_NFI[NFI Core Kit])</f>
        <v>0</v>
      </c>
      <c r="AA460" s="436">
        <f>IF(NFI_Expiration=1,IF($A460&lt;VLOOKUP(J$5,NFI,5,0),1,0)*Table_NFI[[#This Row],[Sanitary Kit]],Table_NFI[Sanitary Kit])</f>
        <v>0</v>
      </c>
      <c r="AB460" s="436">
        <f>IF(NFI_Expiration=1,IF($A460&lt;VLOOKUP(K$5,NFI,5,0),1,0)*Table_NFI[[#This Row],[Mosquito net]],Table_NFI[Mosquito net])</f>
        <v>0</v>
      </c>
      <c r="AC460" s="436">
        <f>IF(NFI_Expiration=1,IF($A460&lt;VLOOKUP(L$5,NFI,5,0),1,0)*Table_NFI[[#This Row],[Tarpaulin]],Table_NFI[[#This Row],[Tarpaulin]])</f>
        <v>0</v>
      </c>
      <c r="AD460" s="436">
        <f>IF(NFI_Expiration=1,IF($A460&lt;VLOOKUP(M$5,NFI,5,0),1,0)*Table_NFI[[#This Row],[Blanket]],Table_NFI[[#This Row],[Blanket]])</f>
        <v>0</v>
      </c>
      <c r="AE460" s="436">
        <f>IF(NFI_Expiration=1,IF($A460&lt;VLOOKUP(N$5,NFI,5,0),1,0)*Table_NFI[[#This Row],[Kitchen Set]],Table_NFI[Kitchen Set])</f>
        <v>0</v>
      </c>
      <c r="AF460" s="436">
        <f>IF(NFI_Expiration=1,IF($A460&lt;VLOOKUP(O$5,NFI,5,0),1,0)*Table_NFI[[#This Row],[Clothes Kit]],Table_NFI[Clothes Kit])</f>
        <v>0</v>
      </c>
      <c r="AG460" s="436">
        <f>IF(NFI_Expiration=1,IF($A460&lt;VLOOKUP(P$5,NFI,5,0),1,0)*Table_NFI[[#This Row],[Plastic Bucket]],Table_NFI[Plastic Bucket])</f>
        <v>0</v>
      </c>
      <c r="AH460" s="436">
        <f>IF(NFI_Expiration=1,IF($A460&lt;VLOOKUP(Q$5,NFI,5,0),1,0)*Table_NFI[[#This Row],[Plastic Mat]],Table_NFI[Plastic Mat])*IF(Table_NFI[[#This Row],[Distribution Date]]&gt;"2014-04-01",1,2.5)</f>
        <v>0</v>
      </c>
      <c r="AI460" s="436">
        <f>IF(NFI_Expiration=1,IF($A460&lt;VLOOKUP(R$5,NFI,5,0),1,0)*Table_NFI[[#This Row],[Winter Clothes Adult]],Table_NFI[Winter Clothes Adult])</f>
        <v>0</v>
      </c>
      <c r="AJ460" s="436">
        <f>IF(NFI_Expiration=1,IF($A460&lt;VLOOKUP(S$5,NFI,5,0),1,0)*Table_NFI[[#This Row],[Winter Clothes Children]],Table_NFI[Winter Clothes Children])</f>
        <v>0</v>
      </c>
      <c r="AK460" s="436">
        <f>IF(NFI_Expiration=1,IF($A460&lt;VLOOKUP(T$5,NFI,5,0),1,0)*Table_NFI[[#This Row],[Winter Items Other]],Table_NFI[Winter Items Other])</f>
        <v>0</v>
      </c>
      <c r="AL460" s="436">
        <f>IF(NFI_Expiration=1,IF($A460&lt;VLOOKUP(M$5,NFI,5,0),1,0)*Table_NFI[[#This Row],[Winter Blanket]],Table_NFI[[#This Row],[Winter Blanket]])</f>
        <v>0</v>
      </c>
      <c r="AM460" s="436">
        <f>IF(Table_NFI[[#This Row],[Winter Clothes Adult]]+Table_NFI[[#This Row],[Winter Clothes Children]]+Table_NFI[[#This Row],[Winter Items Other]]+Table_NFI[[#This Row],[Winter Blanket]]&gt;0,1,0)</f>
        <v>0</v>
      </c>
      <c r="AN460" s="439">
        <f>IF(NFI_Expiration=1,IF($A460&lt;VLOOKUP(V$5,NFI,5,0),1,0)*Table_NFI[[#This Row],[Jerry Can]],Table_NFI[Jerry Can])</f>
        <v>0</v>
      </c>
      <c r="AO460" s="771" t="str">
        <f>IFERROR(VLOOKUP(Table_NFI[[#This Row],[Camp Name]],CL,2,0),"")</f>
        <v>MMR001CMP194</v>
      </c>
      <c r="AP460" s="772">
        <f ca="1">IF(Table_NFI[[#This Row],[Pcode]]="","",IF(OFFSET(CampList[Opening Date],MATCH(Table_NFI[[#This Row],[Pcode]],CampList[CP_Pcode],0)-1,0,1,1)&gt;=NFI_Monitor_Date,1,0))</f>
        <v>0</v>
      </c>
      <c r="AQ460" s="781" t="str">
        <f>IFERROR(VLOOKUP(Table_NFI[[#This Row],[Camp Name]],CL,3,0),"")</f>
        <v>Open</v>
      </c>
      <c r="AR460" s="439" t="str">
        <f ca="1">IF(Table_NFI[[#This Row],[Pcode]]="","",OFFSET(CampList[Priority],MATCH(Table_NFI[[#This Row],[Pcode]],CampList[CP_Pcode],0)-1,0,1,1))</f>
        <v>P4</v>
      </c>
      <c r="AS460" s="438">
        <f>IFERROR(Table_NFI[[#This Row],[Kitchen Set]]/VLOOKUP(Table_NFI[[#This Row],[Camp Name]],CL,4,0),"")</f>
        <v>0.75</v>
      </c>
      <c r="AT460" s="769" t="s">
        <v>1099</v>
      </c>
      <c r="AU460" s="773"/>
    </row>
    <row r="461" spans="1:47" s="774" customFormat="1" x14ac:dyDescent="0.25">
      <c r="A461" s="451">
        <f t="shared" si="7"/>
        <v>25.933333333333334</v>
      </c>
      <c r="B461" s="768">
        <v>41592</v>
      </c>
      <c r="C461" s="769" t="s">
        <v>912</v>
      </c>
      <c r="D461" s="769" t="s">
        <v>912</v>
      </c>
      <c r="E461" s="769" t="s">
        <v>380</v>
      </c>
      <c r="F461" s="769" t="s">
        <v>151</v>
      </c>
      <c r="G461" s="769" t="s">
        <v>518</v>
      </c>
      <c r="H461" s="436"/>
      <c r="I461" s="436"/>
      <c r="J461" s="436"/>
      <c r="K461" s="436"/>
      <c r="L461" s="437"/>
      <c r="M461" s="437"/>
      <c r="N461" s="437"/>
      <c r="O461" s="437"/>
      <c r="P461" s="439"/>
      <c r="Q461" s="439"/>
      <c r="R461" s="436">
        <v>120</v>
      </c>
      <c r="S461" s="436">
        <v>207</v>
      </c>
      <c r="T461" s="436">
        <v>654</v>
      </c>
      <c r="U461" s="436">
        <v>327</v>
      </c>
      <c r="V461" s="436"/>
      <c r="W461" s="436"/>
      <c r="X461" s="436"/>
      <c r="Y461" s="436">
        <f>IF(NFI_Expiration=1,IF($A461&lt;VLOOKUP(H$5,NFI,5,0),1,0)*Table_NFI[[#This Row],[Hygiene Kit]],Table_NFI[Hygiene Kit])</f>
        <v>0</v>
      </c>
      <c r="Z461" s="436">
        <f>IF(NFI_Expiration=1,IF($A461&lt;VLOOKUP(I$5,NFI,5,0),1,0)*Table_NFI[[#This Row],[NFI Core Kit]],Table_NFI[NFI Core Kit])</f>
        <v>0</v>
      </c>
      <c r="AA461" s="436">
        <f>IF(NFI_Expiration=1,IF($A461&lt;VLOOKUP(J$5,NFI,5,0),1,0)*Table_NFI[[#This Row],[Sanitary Kit]],Table_NFI[Sanitary Kit])</f>
        <v>0</v>
      </c>
      <c r="AB461" s="436">
        <f>IF(NFI_Expiration=1,IF($A461&lt;VLOOKUP(K$5,NFI,5,0),1,0)*Table_NFI[[#This Row],[Mosquito net]],Table_NFI[Mosquito net])</f>
        <v>0</v>
      </c>
      <c r="AC461" s="436">
        <f>IF(NFI_Expiration=1,IF($A461&lt;VLOOKUP(L$5,NFI,5,0),1,0)*Table_NFI[[#This Row],[Tarpaulin]],Table_NFI[[#This Row],[Tarpaulin]])</f>
        <v>0</v>
      </c>
      <c r="AD461" s="436">
        <f>IF(NFI_Expiration=1,IF($A461&lt;VLOOKUP(M$5,NFI,5,0),1,0)*Table_NFI[[#This Row],[Blanket]],Table_NFI[[#This Row],[Blanket]])</f>
        <v>0</v>
      </c>
      <c r="AE461" s="436">
        <f>IF(NFI_Expiration=1,IF($A461&lt;VLOOKUP(N$5,NFI,5,0),1,0)*Table_NFI[[#This Row],[Kitchen Set]],Table_NFI[Kitchen Set])</f>
        <v>0</v>
      </c>
      <c r="AF461" s="436">
        <f>IF(NFI_Expiration=1,IF($A461&lt;VLOOKUP(O$5,NFI,5,0),1,0)*Table_NFI[[#This Row],[Clothes Kit]],Table_NFI[Clothes Kit])</f>
        <v>0</v>
      </c>
      <c r="AG461" s="436">
        <f>IF(NFI_Expiration=1,IF($A461&lt;VLOOKUP(P$5,NFI,5,0),1,0)*Table_NFI[[#This Row],[Plastic Bucket]],Table_NFI[Plastic Bucket])</f>
        <v>0</v>
      </c>
      <c r="AH461" s="436">
        <f>IF(NFI_Expiration=1,IF($A461&lt;VLOOKUP(Q$5,NFI,5,0),1,0)*Table_NFI[[#This Row],[Plastic Mat]],Table_NFI[Plastic Mat])*IF(Table_NFI[[#This Row],[Distribution Date]]&gt;"2014-04-01",1,2.5)</f>
        <v>0</v>
      </c>
      <c r="AI461" s="436">
        <f>IF(NFI_Expiration=1,IF($A461&lt;VLOOKUP(R$5,NFI,5,0),1,0)*Table_NFI[[#This Row],[Winter Clothes Adult]],Table_NFI[Winter Clothes Adult])</f>
        <v>0</v>
      </c>
      <c r="AJ461" s="436">
        <f>IF(NFI_Expiration=1,IF($A461&lt;VLOOKUP(S$5,NFI,5,0),1,0)*Table_NFI[[#This Row],[Winter Clothes Children]],Table_NFI[Winter Clothes Children])</f>
        <v>0</v>
      </c>
      <c r="AK461" s="436">
        <f>IF(NFI_Expiration=1,IF($A461&lt;VLOOKUP(T$5,NFI,5,0),1,0)*Table_NFI[[#This Row],[Winter Items Other]],Table_NFI[Winter Items Other])</f>
        <v>0</v>
      </c>
      <c r="AL461" s="436">
        <f>IF(NFI_Expiration=1,IF($A461&lt;VLOOKUP(M$5,NFI,5,0),1,0)*Table_NFI[[#This Row],[Winter Blanket]],Table_NFI[[#This Row],[Winter Blanket]])</f>
        <v>0</v>
      </c>
      <c r="AM461" s="436">
        <f>IF(Table_NFI[[#This Row],[Winter Clothes Adult]]+Table_NFI[[#This Row],[Winter Clothes Children]]+Table_NFI[[#This Row],[Winter Items Other]]+Table_NFI[[#This Row],[Winter Blanket]]&gt;0,1,0)</f>
        <v>1</v>
      </c>
      <c r="AN461" s="439">
        <f>IF(NFI_Expiration=1,IF($A461&lt;VLOOKUP(V$5,NFI,5,0),1,0)*Table_NFI[[#This Row],[Jerry Can]],Table_NFI[Jerry Can])</f>
        <v>0</v>
      </c>
      <c r="AO461" s="771" t="str">
        <f>IFERROR(VLOOKUP(Table_NFI[[#This Row],[Camp Name]],CL,2,0),"")</f>
        <v>MMR001CMP202</v>
      </c>
      <c r="AP461" s="772">
        <f ca="1">IF(Table_NFI[[#This Row],[Pcode]]="","",IF(OFFSET(CampList[Opening Date],MATCH(Table_NFI[[#This Row],[Pcode]],CampList[CP_Pcode],0)-1,0,1,1)&gt;=NFI_Monitor_Date,1,0))</f>
        <v>0</v>
      </c>
      <c r="AQ461" s="771" t="str">
        <f>IFERROR(VLOOKUP(Table_NFI[[#This Row],[Camp Name]],CL,3,0),"")</f>
        <v>Closed</v>
      </c>
      <c r="AR461" s="436" t="str">
        <f ca="1">IF(Table_NFI[[#This Row],[Pcode]]="","",OFFSET(CampList[Priority],MATCH(Table_NFI[[#This Row],[Pcode]],CampList[CP_Pcode],0)-1,0,1,1))</f>
        <v>P4</v>
      </c>
      <c r="AS461" s="438" t="str">
        <f>IFERROR(Table_NFI[[#This Row],[Kitchen Set]]/VLOOKUP(Table_NFI[[#This Row],[Camp Name]],CL,4,0),"")</f>
        <v/>
      </c>
      <c r="AT461" s="769"/>
      <c r="AU461" s="773"/>
    </row>
    <row r="462" spans="1:47" s="774" customFormat="1" x14ac:dyDescent="0.25">
      <c r="A462" s="451">
        <f t="shared" si="7"/>
        <v>25.933333333333334</v>
      </c>
      <c r="B462" s="768">
        <v>41592</v>
      </c>
      <c r="C462" s="769" t="s">
        <v>912</v>
      </c>
      <c r="D462" s="769" t="s">
        <v>1009</v>
      </c>
      <c r="E462" s="769" t="s">
        <v>380</v>
      </c>
      <c r="F462" s="435" t="s">
        <v>151</v>
      </c>
      <c r="G462" s="769" t="s">
        <v>198</v>
      </c>
      <c r="H462" s="436"/>
      <c r="I462" s="436"/>
      <c r="J462" s="436"/>
      <c r="K462" s="436"/>
      <c r="L462" s="437"/>
      <c r="M462" s="437"/>
      <c r="N462" s="437"/>
      <c r="O462" s="437"/>
      <c r="P462" s="439"/>
      <c r="Q462" s="439"/>
      <c r="R462" s="436">
        <v>550</v>
      </c>
      <c r="S462" s="436">
        <v>1101</v>
      </c>
      <c r="T462" s="436">
        <v>3302</v>
      </c>
      <c r="U462" s="436">
        <v>1651</v>
      </c>
      <c r="V462" s="436"/>
      <c r="W462" s="436"/>
      <c r="X462" s="436"/>
      <c r="Y462" s="436">
        <f>IF(NFI_Expiration=1,IF($A462&lt;VLOOKUP(H$5,NFI,5,0),1,0)*Table_NFI[[#This Row],[Hygiene Kit]],Table_NFI[Hygiene Kit])</f>
        <v>0</v>
      </c>
      <c r="Z462" s="436">
        <f>IF(NFI_Expiration=1,IF($A462&lt;VLOOKUP(I$5,NFI,5,0),1,0)*Table_NFI[[#This Row],[NFI Core Kit]],Table_NFI[NFI Core Kit])</f>
        <v>0</v>
      </c>
      <c r="AA462" s="436">
        <f>IF(NFI_Expiration=1,IF($A462&lt;VLOOKUP(J$5,NFI,5,0),1,0)*Table_NFI[[#This Row],[Sanitary Kit]],Table_NFI[Sanitary Kit])</f>
        <v>0</v>
      </c>
      <c r="AB462" s="436">
        <f>IF(NFI_Expiration=1,IF($A462&lt;VLOOKUP(K$5,NFI,5,0),1,0)*Table_NFI[[#This Row],[Mosquito net]],Table_NFI[Mosquito net])</f>
        <v>0</v>
      </c>
      <c r="AC462" s="436">
        <f>IF(NFI_Expiration=1,IF($A462&lt;VLOOKUP(L$5,NFI,5,0),1,0)*Table_NFI[[#This Row],[Tarpaulin]],Table_NFI[[#This Row],[Tarpaulin]])</f>
        <v>0</v>
      </c>
      <c r="AD462" s="436">
        <f>IF(NFI_Expiration=1,IF($A462&lt;VLOOKUP(M$5,NFI,5,0),1,0)*Table_NFI[[#This Row],[Blanket]],Table_NFI[[#This Row],[Blanket]])</f>
        <v>0</v>
      </c>
      <c r="AE462" s="436">
        <f>IF(NFI_Expiration=1,IF($A462&lt;VLOOKUP(N$5,NFI,5,0),1,0)*Table_NFI[[#This Row],[Kitchen Set]],Table_NFI[Kitchen Set])</f>
        <v>0</v>
      </c>
      <c r="AF462" s="436">
        <f>IF(NFI_Expiration=1,IF($A462&lt;VLOOKUP(O$5,NFI,5,0),1,0)*Table_NFI[[#This Row],[Clothes Kit]],Table_NFI[Clothes Kit])</f>
        <v>0</v>
      </c>
      <c r="AG462" s="436">
        <f>IF(NFI_Expiration=1,IF($A462&lt;VLOOKUP(P$5,NFI,5,0),1,0)*Table_NFI[[#This Row],[Plastic Bucket]],Table_NFI[Plastic Bucket])</f>
        <v>0</v>
      </c>
      <c r="AH462" s="436">
        <f>IF(NFI_Expiration=1,IF($A462&lt;VLOOKUP(Q$5,NFI,5,0),1,0)*Table_NFI[[#This Row],[Plastic Mat]],Table_NFI[Plastic Mat])*IF(Table_NFI[[#This Row],[Distribution Date]]&gt;"2014-04-01",1,2.5)</f>
        <v>0</v>
      </c>
      <c r="AI462" s="436">
        <f>IF(NFI_Expiration=1,IF($A462&lt;VLOOKUP(R$5,NFI,5,0),1,0)*Table_NFI[[#This Row],[Winter Clothes Adult]],Table_NFI[Winter Clothes Adult])</f>
        <v>0</v>
      </c>
      <c r="AJ462" s="436">
        <f>IF(NFI_Expiration=1,IF($A462&lt;VLOOKUP(S$5,NFI,5,0),1,0)*Table_NFI[[#This Row],[Winter Clothes Children]],Table_NFI[Winter Clothes Children])</f>
        <v>0</v>
      </c>
      <c r="AK462" s="436">
        <f>IF(NFI_Expiration=1,IF($A462&lt;VLOOKUP(T$5,NFI,5,0),1,0)*Table_NFI[[#This Row],[Winter Items Other]],Table_NFI[Winter Items Other])</f>
        <v>0</v>
      </c>
      <c r="AL462" s="436">
        <f>IF(NFI_Expiration=1,IF($A462&lt;VLOOKUP(M$5,NFI,5,0),1,0)*Table_NFI[[#This Row],[Winter Blanket]],Table_NFI[[#This Row],[Winter Blanket]])</f>
        <v>0</v>
      </c>
      <c r="AM462" s="436">
        <f>IF(Table_NFI[[#This Row],[Winter Clothes Adult]]+Table_NFI[[#This Row],[Winter Clothes Children]]+Table_NFI[[#This Row],[Winter Items Other]]+Table_NFI[[#This Row],[Winter Blanket]]&gt;0,1,0)</f>
        <v>1</v>
      </c>
      <c r="AN462" s="439">
        <f>IF(NFI_Expiration=1,IF($A462&lt;VLOOKUP(V$5,NFI,5,0),1,0)*Table_NFI[[#This Row],[Jerry Can]],Table_NFI[Jerry Can])</f>
        <v>0</v>
      </c>
      <c r="AO462" s="771" t="str">
        <f>IFERROR(VLOOKUP(Table_NFI[[#This Row],[Camp Name]],CL,2,0),"")</f>
        <v>MMR001CMP128</v>
      </c>
      <c r="AP462" s="772">
        <f ca="1">IF(Table_NFI[[#This Row],[Pcode]]="","",IF(OFFSET(CampList[Opening Date],MATCH(Table_NFI[[#This Row],[Pcode]],CampList[CP_Pcode],0)-1,0,1,1)&gt;=NFI_Monitor_Date,1,0))</f>
        <v>0</v>
      </c>
      <c r="AQ462" s="771" t="str">
        <f>IFERROR(VLOOKUP(Table_NFI[[#This Row],[Camp Name]],CL,3,0),"")</f>
        <v>Open</v>
      </c>
      <c r="AR462" s="436" t="str">
        <f ca="1">IF(Table_NFI[[#This Row],[Pcode]]="","",OFFSET(CampList[Priority],MATCH(Table_NFI[[#This Row],[Pcode]],CampList[CP_Pcode],0)-1,0,1,1))</f>
        <v>P2</v>
      </c>
      <c r="AS462" s="438">
        <f>IFERROR(Table_NFI[[#This Row],[Kitchen Set]]/VLOOKUP(Table_NFI[[#This Row],[Camp Name]],CL,4,0),"")</f>
        <v>0</v>
      </c>
      <c r="AT462" s="769"/>
      <c r="AU462" s="773"/>
    </row>
    <row r="463" spans="1:47" s="774" customFormat="1" x14ac:dyDescent="0.25">
      <c r="A463" s="451">
        <f t="shared" si="7"/>
        <v>25.933333333333334</v>
      </c>
      <c r="B463" s="768">
        <v>41592</v>
      </c>
      <c r="C463" s="769" t="s">
        <v>455</v>
      </c>
      <c r="D463" s="769"/>
      <c r="E463" s="769" t="s">
        <v>380</v>
      </c>
      <c r="F463" s="769" t="s">
        <v>185</v>
      </c>
      <c r="G463" s="769" t="s">
        <v>186</v>
      </c>
      <c r="H463" s="436"/>
      <c r="I463" s="436"/>
      <c r="J463" s="436"/>
      <c r="K463" s="436"/>
      <c r="L463" s="437"/>
      <c r="M463" s="437">
        <v>75</v>
      </c>
      <c r="N463" s="437"/>
      <c r="O463" s="437"/>
      <c r="P463" s="439"/>
      <c r="Q463" s="439"/>
      <c r="R463" s="436"/>
      <c r="S463" s="436"/>
      <c r="T463" s="436"/>
      <c r="U463" s="436"/>
      <c r="V463" s="436"/>
      <c r="W463" s="436"/>
      <c r="X463" s="436"/>
      <c r="Y463" s="444">
        <f>IF(NFI_Expiration=1,IF($A463&lt;VLOOKUP(H$5,NFI,5,0),1,0)*Table_NFI[[#This Row],[Hygiene Kit]],Table_NFI[Hygiene Kit])</f>
        <v>0</v>
      </c>
      <c r="Z463" s="444">
        <f>IF(NFI_Expiration=1,IF($A463&lt;VLOOKUP(I$5,NFI,5,0),1,0)*Table_NFI[[#This Row],[NFI Core Kit]],Table_NFI[NFI Core Kit])</f>
        <v>0</v>
      </c>
      <c r="AA463" s="444">
        <f>IF(NFI_Expiration=1,IF($A463&lt;VLOOKUP(J$5,NFI,5,0),1,0)*Table_NFI[[#This Row],[Sanitary Kit]],Table_NFI[Sanitary Kit])</f>
        <v>0</v>
      </c>
      <c r="AB463" s="444">
        <f>IF(NFI_Expiration=1,IF($A463&lt;VLOOKUP(K$5,NFI,5,0),1,0)*Table_NFI[[#This Row],[Mosquito net]],Table_NFI[Mosquito net])</f>
        <v>0</v>
      </c>
      <c r="AC463" s="444">
        <f>IF(NFI_Expiration=1,IF($A463&lt;VLOOKUP(L$5,NFI,5,0),1,0)*Table_NFI[[#This Row],[Tarpaulin]],Table_NFI[[#This Row],[Tarpaulin]])</f>
        <v>0</v>
      </c>
      <c r="AD463" s="444">
        <f>IF(NFI_Expiration=1,IF($A463&lt;VLOOKUP(M$5,NFI,5,0),1,0)*Table_NFI[[#This Row],[Blanket]],Table_NFI[[#This Row],[Blanket]])</f>
        <v>0</v>
      </c>
      <c r="AE463" s="444">
        <f>IF(NFI_Expiration=1,IF($A463&lt;VLOOKUP(N$5,NFI,5,0),1,0)*Table_NFI[[#This Row],[Kitchen Set]],Table_NFI[Kitchen Set])</f>
        <v>0</v>
      </c>
      <c r="AF463" s="444">
        <f>IF(NFI_Expiration=1,IF($A463&lt;VLOOKUP(O$5,NFI,5,0),1,0)*Table_NFI[[#This Row],[Clothes Kit]],Table_NFI[Clothes Kit])</f>
        <v>0</v>
      </c>
      <c r="AG463" s="444">
        <f>IF(NFI_Expiration=1,IF($A463&lt;VLOOKUP(P$5,NFI,5,0),1,0)*Table_NFI[[#This Row],[Plastic Bucket]],Table_NFI[Plastic Bucket])</f>
        <v>0</v>
      </c>
      <c r="AH463" s="444">
        <f>IF(NFI_Expiration=1,IF($A463&lt;VLOOKUP(Q$5,NFI,5,0),1,0)*Table_NFI[[#This Row],[Plastic Mat]],Table_NFI[Plastic Mat])*IF(Table_NFI[[#This Row],[Distribution Date]]&gt;"2014-04-01",1,2.5)</f>
        <v>0</v>
      </c>
      <c r="AI463" s="444">
        <f>IF(NFI_Expiration=1,IF($A463&lt;VLOOKUP(R$5,NFI,5,0),1,0)*Table_NFI[[#This Row],[Winter Clothes Adult]],Table_NFI[Winter Clothes Adult])</f>
        <v>0</v>
      </c>
      <c r="AJ463" s="444">
        <f>IF(NFI_Expiration=1,IF($A463&lt;VLOOKUP(S$5,NFI,5,0),1,0)*Table_NFI[[#This Row],[Winter Clothes Children]],Table_NFI[Winter Clothes Children])</f>
        <v>0</v>
      </c>
      <c r="AK463" s="444">
        <f>IF(NFI_Expiration=1,IF($A463&lt;VLOOKUP(T$5,NFI,5,0),1,0)*Table_NFI[[#This Row],[Winter Items Other]],Table_NFI[Winter Items Other])</f>
        <v>0</v>
      </c>
      <c r="AL463" s="444">
        <f>IF(NFI_Expiration=1,IF($A463&lt;VLOOKUP(M$5,NFI,5,0),1,0)*Table_NFI[[#This Row],[Winter Blanket]],Table_NFI[[#This Row],[Winter Blanket]])</f>
        <v>0</v>
      </c>
      <c r="AM463" s="444">
        <f>IF(Table_NFI[[#This Row],[Winter Clothes Adult]]+Table_NFI[[#This Row],[Winter Clothes Children]]+Table_NFI[[#This Row],[Winter Items Other]]+Table_NFI[[#This Row],[Winter Blanket]]&gt;0,1,0)</f>
        <v>0</v>
      </c>
      <c r="AN463" s="439">
        <f>IF(NFI_Expiration=1,IF($A463&lt;VLOOKUP(V$5,NFI,5,0),1,0)*Table_NFI[[#This Row],[Jerry Can]],Table_NFI[Jerry Can])</f>
        <v>0</v>
      </c>
      <c r="AO463" s="777" t="str">
        <f>IFERROR(VLOOKUP(Table_NFI[[#This Row],[Camp Name]],CL,2,0),"")</f>
        <v>MMR001CMP071</v>
      </c>
      <c r="AP463" s="778">
        <f ca="1">IF(Table_NFI[[#This Row],[Pcode]]="","",IF(OFFSET(CampList[Opening Date],MATCH(Table_NFI[[#This Row],[Pcode]],CampList[CP_Pcode],0)-1,0,1,1)&gt;=NFI_Monitor_Date,1,0))</f>
        <v>0</v>
      </c>
      <c r="AQ463" s="777" t="str">
        <f>IFERROR(VLOOKUP(Table_NFI[[#This Row],[Camp Name]],CL,3,0),"")</f>
        <v>Open</v>
      </c>
      <c r="AR463" s="444" t="str">
        <f ca="1">IF(Table_NFI[[#This Row],[Pcode]]="","",OFFSET(CampList[Priority],MATCH(Table_NFI[[#This Row],[Pcode]],CampList[CP_Pcode],0)-1,0,1,1))</f>
        <v>P3</v>
      </c>
      <c r="AS463" s="445">
        <f>IFERROR(Table_NFI[[#This Row],[Kitchen Set]]/VLOOKUP(Table_NFI[[#This Row],[Camp Name]],CL,4,0),"")</f>
        <v>0</v>
      </c>
      <c r="AT463" s="769" t="s">
        <v>1099</v>
      </c>
      <c r="AU463" s="773"/>
    </row>
    <row r="464" spans="1:47" s="774" customFormat="1" x14ac:dyDescent="0.25">
      <c r="A464" s="451">
        <f t="shared" si="7"/>
        <v>25.933333333333334</v>
      </c>
      <c r="B464" s="768">
        <v>41592</v>
      </c>
      <c r="C464" s="769" t="s">
        <v>455</v>
      </c>
      <c r="D464" s="769"/>
      <c r="E464" s="769" t="s">
        <v>380</v>
      </c>
      <c r="F464" s="769" t="s">
        <v>151</v>
      </c>
      <c r="G464" s="769" t="s">
        <v>160</v>
      </c>
      <c r="H464" s="436"/>
      <c r="I464" s="436"/>
      <c r="J464" s="436"/>
      <c r="K464" s="436"/>
      <c r="L464" s="437"/>
      <c r="M464" s="437"/>
      <c r="N464" s="437"/>
      <c r="O464" s="437"/>
      <c r="P464" s="439"/>
      <c r="Q464" s="439"/>
      <c r="R464" s="436"/>
      <c r="S464" s="436">
        <v>32</v>
      </c>
      <c r="T464" s="436"/>
      <c r="U464" s="436"/>
      <c r="V464" s="436"/>
      <c r="W464" s="436"/>
      <c r="X464" s="436"/>
      <c r="Y464" s="436">
        <f>IF(NFI_Expiration=1,IF($A464&lt;VLOOKUP(H$5,NFI,5,0),1,0)*Table_NFI[[#This Row],[Hygiene Kit]],Table_NFI[Hygiene Kit])</f>
        <v>0</v>
      </c>
      <c r="Z464" s="436">
        <f>IF(NFI_Expiration=1,IF($A464&lt;VLOOKUP(I$5,NFI,5,0),1,0)*Table_NFI[[#This Row],[NFI Core Kit]],Table_NFI[NFI Core Kit])</f>
        <v>0</v>
      </c>
      <c r="AA464" s="436">
        <f>IF(NFI_Expiration=1,IF($A464&lt;VLOOKUP(J$5,NFI,5,0),1,0)*Table_NFI[[#This Row],[Sanitary Kit]],Table_NFI[Sanitary Kit])</f>
        <v>0</v>
      </c>
      <c r="AB464" s="436">
        <f>IF(NFI_Expiration=1,IF($A464&lt;VLOOKUP(K$5,NFI,5,0),1,0)*Table_NFI[[#This Row],[Mosquito net]],Table_NFI[Mosquito net])</f>
        <v>0</v>
      </c>
      <c r="AC464" s="436">
        <f>IF(NFI_Expiration=1,IF($A464&lt;VLOOKUP(L$5,NFI,5,0),1,0)*Table_NFI[[#This Row],[Tarpaulin]],Table_NFI[[#This Row],[Tarpaulin]])</f>
        <v>0</v>
      </c>
      <c r="AD464" s="436">
        <f>IF(NFI_Expiration=1,IF($A464&lt;VLOOKUP(M$5,NFI,5,0),1,0)*Table_NFI[[#This Row],[Blanket]],Table_NFI[[#This Row],[Blanket]])</f>
        <v>0</v>
      </c>
      <c r="AE464" s="436">
        <f>IF(NFI_Expiration=1,IF($A464&lt;VLOOKUP(N$5,NFI,5,0),1,0)*Table_NFI[[#This Row],[Kitchen Set]],Table_NFI[Kitchen Set])</f>
        <v>0</v>
      </c>
      <c r="AF464" s="436">
        <f>IF(NFI_Expiration=1,IF($A464&lt;VLOOKUP(O$5,NFI,5,0),1,0)*Table_NFI[[#This Row],[Clothes Kit]],Table_NFI[Clothes Kit])</f>
        <v>0</v>
      </c>
      <c r="AG464" s="436">
        <f>IF(NFI_Expiration=1,IF($A464&lt;VLOOKUP(P$5,NFI,5,0),1,0)*Table_NFI[[#This Row],[Plastic Bucket]],Table_NFI[Plastic Bucket])</f>
        <v>0</v>
      </c>
      <c r="AH464" s="436">
        <f>IF(NFI_Expiration=1,IF($A464&lt;VLOOKUP(Q$5,NFI,5,0),1,0)*Table_NFI[[#This Row],[Plastic Mat]],Table_NFI[Plastic Mat])*IF(Table_NFI[[#This Row],[Distribution Date]]&gt;"2014-04-01",1,2.5)</f>
        <v>0</v>
      </c>
      <c r="AI464" s="436">
        <f>IF(NFI_Expiration=1,IF($A464&lt;VLOOKUP(R$5,NFI,5,0),1,0)*Table_NFI[[#This Row],[Winter Clothes Adult]],Table_NFI[Winter Clothes Adult])</f>
        <v>0</v>
      </c>
      <c r="AJ464" s="436">
        <f>IF(NFI_Expiration=1,IF($A464&lt;VLOOKUP(S$5,NFI,5,0),1,0)*Table_NFI[[#This Row],[Winter Clothes Children]],Table_NFI[Winter Clothes Children])</f>
        <v>0</v>
      </c>
      <c r="AK464" s="436">
        <f>IF(NFI_Expiration=1,IF($A464&lt;VLOOKUP(T$5,NFI,5,0),1,0)*Table_NFI[[#This Row],[Winter Items Other]],Table_NFI[Winter Items Other])</f>
        <v>0</v>
      </c>
      <c r="AL464" s="436">
        <f>IF(NFI_Expiration=1,IF($A464&lt;VLOOKUP(M$5,NFI,5,0),1,0)*Table_NFI[[#This Row],[Winter Blanket]],Table_NFI[[#This Row],[Winter Blanket]])</f>
        <v>0</v>
      </c>
      <c r="AM464" s="436">
        <f>IF(Table_NFI[[#This Row],[Winter Clothes Adult]]+Table_NFI[[#This Row],[Winter Clothes Children]]+Table_NFI[[#This Row],[Winter Items Other]]+Table_NFI[[#This Row],[Winter Blanket]]&gt;0,1,0)</f>
        <v>1</v>
      </c>
      <c r="AN464" s="439">
        <f>IF(NFI_Expiration=1,IF($A464&lt;VLOOKUP(V$5,NFI,5,0),1,0)*Table_NFI[[#This Row],[Jerry Can]],Table_NFI[Jerry Can])</f>
        <v>0</v>
      </c>
      <c r="AO464" s="771" t="str">
        <f>IFERROR(VLOOKUP(Table_NFI[[#This Row],[Camp Name]],CL,2,0),"")</f>
        <v>MMR001CMP133</v>
      </c>
      <c r="AP464" s="772">
        <f ca="1">IF(Table_NFI[[#This Row],[Pcode]]="","",IF(OFFSET(CampList[Opening Date],MATCH(Table_NFI[[#This Row],[Pcode]],CampList[CP_Pcode],0)-1,0,1,1)&gt;=NFI_Monitor_Date,1,0))</f>
        <v>0</v>
      </c>
      <c r="AQ464" s="771" t="str">
        <f>IFERROR(VLOOKUP(Table_NFI[[#This Row],[Camp Name]],CL,3,0),"")</f>
        <v>Open</v>
      </c>
      <c r="AR464" s="436" t="str">
        <f ca="1">IF(Table_NFI[[#This Row],[Pcode]]="","",OFFSET(CampList[Priority],MATCH(Table_NFI[[#This Row],[Pcode]],CampList[CP_Pcode],0)-1,0,1,1))</f>
        <v>P4</v>
      </c>
      <c r="AS464" s="438">
        <f>IFERROR(Table_NFI[[#This Row],[Kitchen Set]]/VLOOKUP(Table_NFI[[#This Row],[Camp Name]],CL,4,0),"")</f>
        <v>0</v>
      </c>
      <c r="AT464" s="769" t="s">
        <v>1099</v>
      </c>
      <c r="AU464" s="773"/>
    </row>
    <row r="465" spans="1:47" s="774" customFormat="1" x14ac:dyDescent="0.25">
      <c r="A465" s="451">
        <f t="shared" si="7"/>
        <v>25.933333333333334</v>
      </c>
      <c r="B465" s="768">
        <v>41592</v>
      </c>
      <c r="C465" s="769" t="s">
        <v>912</v>
      </c>
      <c r="D465" s="769" t="s">
        <v>912</v>
      </c>
      <c r="E465" s="769" t="s">
        <v>380</v>
      </c>
      <c r="F465" s="769" t="s">
        <v>151</v>
      </c>
      <c r="G465" s="769" t="s">
        <v>154</v>
      </c>
      <c r="H465" s="436"/>
      <c r="I465" s="436"/>
      <c r="J465" s="436"/>
      <c r="K465" s="436"/>
      <c r="L465" s="437"/>
      <c r="M465" s="437"/>
      <c r="N465" s="437"/>
      <c r="O465" s="437"/>
      <c r="P465" s="439"/>
      <c r="Q465" s="439"/>
      <c r="R465" s="436"/>
      <c r="S465" s="436">
        <v>176</v>
      </c>
      <c r="T465" s="436">
        <v>352</v>
      </c>
      <c r="U465" s="436">
        <v>176</v>
      </c>
      <c r="V465" s="436"/>
      <c r="W465" s="436"/>
      <c r="X465" s="436"/>
      <c r="Y465" s="436">
        <f>IF(NFI_Expiration=1,IF($A465&lt;VLOOKUP(H$5,NFI,5,0),1,0)*Table_NFI[[#This Row],[Hygiene Kit]],Table_NFI[Hygiene Kit])</f>
        <v>0</v>
      </c>
      <c r="Z465" s="436">
        <f>IF(NFI_Expiration=1,IF($A465&lt;VLOOKUP(I$5,NFI,5,0),1,0)*Table_NFI[[#This Row],[NFI Core Kit]],Table_NFI[NFI Core Kit])</f>
        <v>0</v>
      </c>
      <c r="AA465" s="436">
        <f>IF(NFI_Expiration=1,IF($A465&lt;VLOOKUP(J$5,NFI,5,0),1,0)*Table_NFI[[#This Row],[Sanitary Kit]],Table_NFI[Sanitary Kit])</f>
        <v>0</v>
      </c>
      <c r="AB465" s="436">
        <f>IF(NFI_Expiration=1,IF($A465&lt;VLOOKUP(K$5,NFI,5,0),1,0)*Table_NFI[[#This Row],[Mosquito net]],Table_NFI[Mosquito net])</f>
        <v>0</v>
      </c>
      <c r="AC465" s="436">
        <f>IF(NFI_Expiration=1,IF($A465&lt;VLOOKUP(L$5,NFI,5,0),1,0)*Table_NFI[[#This Row],[Tarpaulin]],Table_NFI[[#This Row],[Tarpaulin]])</f>
        <v>0</v>
      </c>
      <c r="AD465" s="436">
        <f>IF(NFI_Expiration=1,IF($A465&lt;VLOOKUP(M$5,NFI,5,0),1,0)*Table_NFI[[#This Row],[Blanket]],Table_NFI[[#This Row],[Blanket]])</f>
        <v>0</v>
      </c>
      <c r="AE465" s="436">
        <f>IF(NFI_Expiration=1,IF($A465&lt;VLOOKUP(N$5,NFI,5,0),1,0)*Table_NFI[[#This Row],[Kitchen Set]],Table_NFI[Kitchen Set])</f>
        <v>0</v>
      </c>
      <c r="AF465" s="436">
        <f>IF(NFI_Expiration=1,IF($A465&lt;VLOOKUP(O$5,NFI,5,0),1,0)*Table_NFI[[#This Row],[Clothes Kit]],Table_NFI[Clothes Kit])</f>
        <v>0</v>
      </c>
      <c r="AG465" s="436">
        <f>IF(NFI_Expiration=1,IF($A465&lt;VLOOKUP(P$5,NFI,5,0),1,0)*Table_NFI[[#This Row],[Plastic Bucket]],Table_NFI[Plastic Bucket])</f>
        <v>0</v>
      </c>
      <c r="AH465" s="436">
        <f>IF(NFI_Expiration=1,IF($A465&lt;VLOOKUP(Q$5,NFI,5,0),1,0)*Table_NFI[[#This Row],[Plastic Mat]],Table_NFI[Plastic Mat])*IF(Table_NFI[[#This Row],[Distribution Date]]&gt;"2014-04-01",1,2.5)</f>
        <v>0</v>
      </c>
      <c r="AI465" s="436">
        <f>IF(NFI_Expiration=1,IF($A465&lt;VLOOKUP(R$5,NFI,5,0),1,0)*Table_NFI[[#This Row],[Winter Clothes Adult]],Table_NFI[Winter Clothes Adult])</f>
        <v>0</v>
      </c>
      <c r="AJ465" s="436">
        <f>IF(NFI_Expiration=1,IF($A465&lt;VLOOKUP(S$5,NFI,5,0),1,0)*Table_NFI[[#This Row],[Winter Clothes Children]],Table_NFI[Winter Clothes Children])</f>
        <v>0</v>
      </c>
      <c r="AK465" s="436">
        <f>IF(NFI_Expiration=1,IF($A465&lt;VLOOKUP(T$5,NFI,5,0),1,0)*Table_NFI[[#This Row],[Winter Items Other]],Table_NFI[Winter Items Other])</f>
        <v>0</v>
      </c>
      <c r="AL465" s="436">
        <f>IF(NFI_Expiration=1,IF($A465&lt;VLOOKUP(M$5,NFI,5,0),1,0)*Table_NFI[[#This Row],[Winter Blanket]],Table_NFI[[#This Row],[Winter Blanket]])</f>
        <v>0</v>
      </c>
      <c r="AM465" s="436">
        <f>IF(Table_NFI[[#This Row],[Winter Clothes Adult]]+Table_NFI[[#This Row],[Winter Clothes Children]]+Table_NFI[[#This Row],[Winter Items Other]]+Table_NFI[[#This Row],[Winter Blanket]]&gt;0,1,0)</f>
        <v>1</v>
      </c>
      <c r="AN465" s="439">
        <f>IF(NFI_Expiration=1,IF($A465&lt;VLOOKUP(V$5,NFI,5,0),1,0)*Table_NFI[[#This Row],[Jerry Can]],Table_NFI[Jerry Can])</f>
        <v>0</v>
      </c>
      <c r="AO465" s="771" t="str">
        <f>IFERROR(VLOOKUP(Table_NFI[[#This Row],[Camp Name]],CL,2,0),"")</f>
        <v>MMR001CMP132</v>
      </c>
      <c r="AP465" s="772">
        <f ca="1">IF(Table_NFI[[#This Row],[Pcode]]="","",IF(OFFSET(CampList[Opening Date],MATCH(Table_NFI[[#This Row],[Pcode]],CampList[CP_Pcode],0)-1,0,1,1)&gt;=NFI_Monitor_Date,1,0))</f>
        <v>0</v>
      </c>
      <c r="AQ465" s="771" t="str">
        <f>IFERROR(VLOOKUP(Table_NFI[[#This Row],[Camp Name]],CL,3,0),"")</f>
        <v>Open</v>
      </c>
      <c r="AR465" s="436" t="str">
        <f ca="1">IF(Table_NFI[[#This Row],[Pcode]]="","",OFFSET(CampList[Priority],MATCH(Table_NFI[[#This Row],[Pcode]],CampList[CP_Pcode],0)-1,0,1,1))</f>
        <v>P4</v>
      </c>
      <c r="AS465" s="438">
        <f>IFERROR(Table_NFI[[#This Row],[Kitchen Set]]/VLOOKUP(Table_NFI[[#This Row],[Camp Name]],CL,4,0),"")</f>
        <v>0</v>
      </c>
      <c r="AT465" s="769"/>
      <c r="AU465" s="773"/>
    </row>
    <row r="466" spans="1:47" s="774" customFormat="1" x14ac:dyDescent="0.25">
      <c r="A466" s="451">
        <f t="shared" si="7"/>
        <v>25.933333333333334</v>
      </c>
      <c r="B466" s="768">
        <v>41592</v>
      </c>
      <c r="C466" s="769" t="s">
        <v>454</v>
      </c>
      <c r="D466" s="769" t="s">
        <v>454</v>
      </c>
      <c r="E466" s="769" t="s">
        <v>380</v>
      </c>
      <c r="F466" s="435" t="s">
        <v>151</v>
      </c>
      <c r="G466" s="435" t="s">
        <v>152</v>
      </c>
      <c r="H466" s="436"/>
      <c r="I466" s="436"/>
      <c r="J466" s="436">
        <v>18</v>
      </c>
      <c r="K466" s="436">
        <v>31</v>
      </c>
      <c r="L466" s="437">
        <v>18</v>
      </c>
      <c r="M466" s="437">
        <v>31</v>
      </c>
      <c r="N466" s="437">
        <v>18</v>
      </c>
      <c r="O466" s="437">
        <v>18</v>
      </c>
      <c r="P466" s="439"/>
      <c r="Q466" s="439"/>
      <c r="R466" s="436"/>
      <c r="S466" s="436"/>
      <c r="T466" s="436"/>
      <c r="U466" s="436"/>
      <c r="V466" s="436"/>
      <c r="W466" s="436"/>
      <c r="X466" s="436"/>
      <c r="Y466" s="436">
        <f>IF(NFI_Expiration=1,IF($A466&lt;VLOOKUP(H$5,NFI,5,0),1,0)*Table_NFI[[#This Row],[Hygiene Kit]],Table_NFI[Hygiene Kit])</f>
        <v>0</v>
      </c>
      <c r="Z466" s="436">
        <f>IF(NFI_Expiration=1,IF($A466&lt;VLOOKUP(I$5,NFI,5,0),1,0)*Table_NFI[[#This Row],[NFI Core Kit]],Table_NFI[NFI Core Kit])</f>
        <v>0</v>
      </c>
      <c r="AA466" s="436">
        <f>IF(NFI_Expiration=1,IF($A466&lt;VLOOKUP(J$5,NFI,5,0),1,0)*Table_NFI[[#This Row],[Sanitary Kit]],Table_NFI[Sanitary Kit])</f>
        <v>0</v>
      </c>
      <c r="AB466" s="436">
        <f>IF(NFI_Expiration=1,IF($A466&lt;VLOOKUP(K$5,NFI,5,0),1,0)*Table_NFI[[#This Row],[Mosquito net]],Table_NFI[Mosquito net])</f>
        <v>0</v>
      </c>
      <c r="AC466" s="436">
        <f>IF(NFI_Expiration=1,IF($A466&lt;VLOOKUP(L$5,NFI,5,0),1,0)*Table_NFI[[#This Row],[Tarpaulin]],Table_NFI[[#This Row],[Tarpaulin]])</f>
        <v>0</v>
      </c>
      <c r="AD466" s="436">
        <f>IF(NFI_Expiration=1,IF($A466&lt;VLOOKUP(M$5,NFI,5,0),1,0)*Table_NFI[[#This Row],[Blanket]],Table_NFI[[#This Row],[Blanket]])</f>
        <v>0</v>
      </c>
      <c r="AE466" s="436">
        <f>IF(NFI_Expiration=1,IF($A466&lt;VLOOKUP(N$5,NFI,5,0),1,0)*Table_NFI[[#This Row],[Kitchen Set]],Table_NFI[Kitchen Set])</f>
        <v>0</v>
      </c>
      <c r="AF466" s="436">
        <f>IF(NFI_Expiration=1,IF($A466&lt;VLOOKUP(O$5,NFI,5,0),1,0)*Table_NFI[[#This Row],[Clothes Kit]],Table_NFI[Clothes Kit])</f>
        <v>0</v>
      </c>
      <c r="AG466" s="436">
        <f>IF(NFI_Expiration=1,IF($A466&lt;VLOOKUP(P$5,NFI,5,0),1,0)*Table_NFI[[#This Row],[Plastic Bucket]],Table_NFI[Plastic Bucket])</f>
        <v>0</v>
      </c>
      <c r="AH466" s="436">
        <f>IF(NFI_Expiration=1,IF($A466&lt;VLOOKUP(Q$5,NFI,5,0),1,0)*Table_NFI[[#This Row],[Plastic Mat]],Table_NFI[Plastic Mat])*IF(Table_NFI[[#This Row],[Distribution Date]]&gt;"2014-04-01",1,2.5)</f>
        <v>0</v>
      </c>
      <c r="AI466" s="436">
        <f>IF(NFI_Expiration=1,IF($A466&lt;VLOOKUP(R$5,NFI,5,0),1,0)*Table_NFI[[#This Row],[Winter Clothes Adult]],Table_NFI[Winter Clothes Adult])</f>
        <v>0</v>
      </c>
      <c r="AJ466" s="436">
        <f>IF(NFI_Expiration=1,IF($A466&lt;VLOOKUP(S$5,NFI,5,0),1,0)*Table_NFI[[#This Row],[Winter Clothes Children]],Table_NFI[Winter Clothes Children])</f>
        <v>0</v>
      </c>
      <c r="AK466" s="436">
        <f>IF(NFI_Expiration=1,IF($A466&lt;VLOOKUP(T$5,NFI,5,0),1,0)*Table_NFI[[#This Row],[Winter Items Other]],Table_NFI[Winter Items Other])</f>
        <v>0</v>
      </c>
      <c r="AL466" s="436">
        <f>IF(NFI_Expiration=1,IF($A466&lt;VLOOKUP(M$5,NFI,5,0),1,0)*Table_NFI[[#This Row],[Winter Blanket]],Table_NFI[[#This Row],[Winter Blanket]])</f>
        <v>0</v>
      </c>
      <c r="AM466" s="436">
        <f>IF(Table_NFI[[#This Row],[Winter Clothes Adult]]+Table_NFI[[#This Row],[Winter Clothes Children]]+Table_NFI[[#This Row],[Winter Items Other]]+Table_NFI[[#This Row],[Winter Blanket]]&gt;0,1,0)</f>
        <v>0</v>
      </c>
      <c r="AN466" s="439">
        <f>IF(NFI_Expiration=1,IF($A466&lt;VLOOKUP(V$5,NFI,5,0),1,0)*Table_NFI[[#This Row],[Jerry Can]],Table_NFI[Jerry Can])</f>
        <v>0</v>
      </c>
      <c r="AO466" s="771" t="str">
        <f>IFERROR(VLOOKUP(Table_NFI[[#This Row],[Camp Name]],CL,2,0),"")</f>
        <v>MMR001CMP066</v>
      </c>
      <c r="AP466" s="772">
        <f ca="1">IF(Table_NFI[[#This Row],[Pcode]]="","",IF(OFFSET(CampList[Opening Date],MATCH(Table_NFI[[#This Row],[Pcode]],CampList[CP_Pcode],0)-1,0,1,1)&gt;=NFI_Monitor_Date,1,0))</f>
        <v>0</v>
      </c>
      <c r="AQ466" s="781" t="str">
        <f>IFERROR(VLOOKUP(Table_NFI[[#This Row],[Camp Name]],CL,3,0),"")</f>
        <v>Open</v>
      </c>
      <c r="AR466" s="439" t="str">
        <f ca="1">IF(Table_NFI[[#This Row],[Pcode]]="","",OFFSET(CampList[Priority],MATCH(Table_NFI[[#This Row],[Pcode]],CampList[CP_Pcode],0)-1,0,1,1))</f>
        <v>P4</v>
      </c>
      <c r="AS466" s="438">
        <f>IFERROR(Table_NFI[[#This Row],[Kitchen Set]]/VLOOKUP(Table_NFI[[#This Row],[Camp Name]],CL,4,0),"")</f>
        <v>8.1447963800904979E-2</v>
      </c>
      <c r="AT466" s="769" t="s">
        <v>1099</v>
      </c>
      <c r="AU466" s="773"/>
    </row>
    <row r="467" spans="1:47" s="774" customFormat="1" x14ac:dyDescent="0.25">
      <c r="A467" s="451">
        <f t="shared" si="7"/>
        <v>25.933333333333334</v>
      </c>
      <c r="B467" s="768">
        <v>41592</v>
      </c>
      <c r="C467" s="769" t="s">
        <v>455</v>
      </c>
      <c r="D467" s="769"/>
      <c r="E467" s="769" t="s">
        <v>380</v>
      </c>
      <c r="F467" s="769" t="s">
        <v>185</v>
      </c>
      <c r="G467" s="769" t="s">
        <v>225</v>
      </c>
      <c r="H467" s="436"/>
      <c r="I467" s="436"/>
      <c r="J467" s="436"/>
      <c r="K467" s="436"/>
      <c r="L467" s="437"/>
      <c r="M467" s="437">
        <v>110</v>
      </c>
      <c r="N467" s="437"/>
      <c r="O467" s="437"/>
      <c r="P467" s="439"/>
      <c r="Q467" s="439"/>
      <c r="R467" s="436"/>
      <c r="S467" s="436"/>
      <c r="T467" s="436"/>
      <c r="U467" s="436"/>
      <c r="V467" s="436"/>
      <c r="W467" s="436"/>
      <c r="X467" s="436"/>
      <c r="Y467" s="436">
        <f>IF(NFI_Expiration=1,IF($A467&lt;VLOOKUP(H$5,NFI,5,0),1,0)*Table_NFI[[#This Row],[Hygiene Kit]],Table_NFI[Hygiene Kit])</f>
        <v>0</v>
      </c>
      <c r="Z467" s="436">
        <f>IF(NFI_Expiration=1,IF($A467&lt;VLOOKUP(I$5,NFI,5,0),1,0)*Table_NFI[[#This Row],[NFI Core Kit]],Table_NFI[NFI Core Kit])</f>
        <v>0</v>
      </c>
      <c r="AA467" s="436">
        <f>IF(NFI_Expiration=1,IF($A467&lt;VLOOKUP(J$5,NFI,5,0),1,0)*Table_NFI[[#This Row],[Sanitary Kit]],Table_NFI[Sanitary Kit])</f>
        <v>0</v>
      </c>
      <c r="AB467" s="436">
        <f>IF(NFI_Expiration=1,IF($A467&lt;VLOOKUP(K$5,NFI,5,0),1,0)*Table_NFI[[#This Row],[Mosquito net]],Table_NFI[Mosquito net])</f>
        <v>0</v>
      </c>
      <c r="AC467" s="436">
        <f>IF(NFI_Expiration=1,IF($A467&lt;VLOOKUP(L$5,NFI,5,0),1,0)*Table_NFI[[#This Row],[Tarpaulin]],Table_NFI[[#This Row],[Tarpaulin]])</f>
        <v>0</v>
      </c>
      <c r="AD467" s="436">
        <f>IF(NFI_Expiration=1,IF($A467&lt;VLOOKUP(M$5,NFI,5,0),1,0)*Table_NFI[[#This Row],[Blanket]],Table_NFI[[#This Row],[Blanket]])</f>
        <v>0</v>
      </c>
      <c r="AE467" s="436">
        <f>IF(NFI_Expiration=1,IF($A467&lt;VLOOKUP(N$5,NFI,5,0),1,0)*Table_NFI[[#This Row],[Kitchen Set]],Table_NFI[Kitchen Set])</f>
        <v>0</v>
      </c>
      <c r="AF467" s="436">
        <f>IF(NFI_Expiration=1,IF($A467&lt;VLOOKUP(O$5,NFI,5,0),1,0)*Table_NFI[[#This Row],[Clothes Kit]],Table_NFI[Clothes Kit])</f>
        <v>0</v>
      </c>
      <c r="AG467" s="436">
        <f>IF(NFI_Expiration=1,IF($A467&lt;VLOOKUP(P$5,NFI,5,0),1,0)*Table_NFI[[#This Row],[Plastic Bucket]],Table_NFI[Plastic Bucket])</f>
        <v>0</v>
      </c>
      <c r="AH467" s="436">
        <f>IF(NFI_Expiration=1,IF($A467&lt;VLOOKUP(Q$5,NFI,5,0),1,0)*Table_NFI[[#This Row],[Plastic Mat]],Table_NFI[Plastic Mat])*IF(Table_NFI[[#This Row],[Distribution Date]]&gt;"2014-04-01",1,2.5)</f>
        <v>0</v>
      </c>
      <c r="AI467" s="436">
        <f>IF(NFI_Expiration=1,IF($A467&lt;VLOOKUP(R$5,NFI,5,0),1,0)*Table_NFI[[#This Row],[Winter Clothes Adult]],Table_NFI[Winter Clothes Adult])</f>
        <v>0</v>
      </c>
      <c r="AJ467" s="436">
        <f>IF(NFI_Expiration=1,IF($A467&lt;VLOOKUP(S$5,NFI,5,0),1,0)*Table_NFI[[#This Row],[Winter Clothes Children]],Table_NFI[Winter Clothes Children])</f>
        <v>0</v>
      </c>
      <c r="AK467" s="436">
        <f>IF(NFI_Expiration=1,IF($A467&lt;VLOOKUP(T$5,NFI,5,0),1,0)*Table_NFI[[#This Row],[Winter Items Other]],Table_NFI[Winter Items Other])</f>
        <v>0</v>
      </c>
      <c r="AL467" s="436">
        <f>IF(NFI_Expiration=1,IF($A467&lt;VLOOKUP(M$5,NFI,5,0),1,0)*Table_NFI[[#This Row],[Winter Blanket]],Table_NFI[[#This Row],[Winter Blanket]])</f>
        <v>0</v>
      </c>
      <c r="AM467" s="436">
        <f>IF(Table_NFI[[#This Row],[Winter Clothes Adult]]+Table_NFI[[#This Row],[Winter Clothes Children]]+Table_NFI[[#This Row],[Winter Items Other]]+Table_NFI[[#This Row],[Winter Blanket]]&gt;0,1,0)</f>
        <v>0</v>
      </c>
      <c r="AN467" s="439">
        <f>IF(NFI_Expiration=1,IF($A467&lt;VLOOKUP(V$5,NFI,5,0),1,0)*Table_NFI[[#This Row],[Jerry Can]],Table_NFI[Jerry Can])</f>
        <v>0</v>
      </c>
      <c r="AO467" s="771" t="str">
        <f>IFERROR(VLOOKUP(Table_NFI[[#This Row],[Camp Name]],CL,2,0),"")</f>
        <v>MMR001CMP073</v>
      </c>
      <c r="AP467" s="772">
        <f ca="1">IF(Table_NFI[[#This Row],[Pcode]]="","",IF(OFFSET(CampList[Opening Date],MATCH(Table_NFI[[#This Row],[Pcode]],CampList[CP_Pcode],0)-1,0,1,1)&gt;=NFI_Monitor_Date,1,0))</f>
        <v>0</v>
      </c>
      <c r="AQ467" s="771" t="str">
        <f>IFERROR(VLOOKUP(Table_NFI[[#This Row],[Camp Name]],CL,3,0),"")</f>
        <v>Open</v>
      </c>
      <c r="AR467" s="436" t="str">
        <f ca="1">IF(Table_NFI[[#This Row],[Pcode]]="","",OFFSET(CampList[Priority],MATCH(Table_NFI[[#This Row],[Pcode]],CampList[CP_Pcode],0)-1,0,1,1))</f>
        <v>P3</v>
      </c>
      <c r="AS467" s="438">
        <f>IFERROR(Table_NFI[[#This Row],[Kitchen Set]]/VLOOKUP(Table_NFI[[#This Row],[Camp Name]],CL,4,0),"")</f>
        <v>0</v>
      </c>
      <c r="AT467" s="769" t="s">
        <v>1099</v>
      </c>
      <c r="AU467" s="773"/>
    </row>
    <row r="468" spans="1:47" s="774" customFormat="1" x14ac:dyDescent="0.25">
      <c r="A468" s="451">
        <f t="shared" si="7"/>
        <v>25.966666666666665</v>
      </c>
      <c r="B468" s="768">
        <v>41591</v>
      </c>
      <c r="C468" s="769" t="s">
        <v>912</v>
      </c>
      <c r="D468" s="769" t="s">
        <v>912</v>
      </c>
      <c r="E468" s="769" t="s">
        <v>380</v>
      </c>
      <c r="F468" s="769" t="s">
        <v>151</v>
      </c>
      <c r="G468" s="769" t="s">
        <v>160</v>
      </c>
      <c r="H468" s="436"/>
      <c r="I468" s="436"/>
      <c r="J468" s="436"/>
      <c r="K468" s="436"/>
      <c r="L468" s="437"/>
      <c r="M468" s="437"/>
      <c r="N468" s="437"/>
      <c r="O468" s="437"/>
      <c r="P468" s="439"/>
      <c r="Q468" s="439"/>
      <c r="R468" s="436"/>
      <c r="S468" s="436">
        <v>160</v>
      </c>
      <c r="T468" s="436">
        <v>320</v>
      </c>
      <c r="U468" s="436">
        <v>160</v>
      </c>
      <c r="V468" s="436"/>
      <c r="W468" s="436"/>
      <c r="X468" s="436"/>
      <c r="Y468" s="436">
        <f>IF(NFI_Expiration=1,IF($A468&lt;VLOOKUP(H$5,NFI,5,0),1,0)*Table_NFI[[#This Row],[Hygiene Kit]],Table_NFI[Hygiene Kit])</f>
        <v>0</v>
      </c>
      <c r="Z468" s="436">
        <f>IF(NFI_Expiration=1,IF($A468&lt;VLOOKUP(I$5,NFI,5,0),1,0)*Table_NFI[[#This Row],[NFI Core Kit]],Table_NFI[NFI Core Kit])</f>
        <v>0</v>
      </c>
      <c r="AA468" s="436">
        <f>IF(NFI_Expiration=1,IF($A468&lt;VLOOKUP(J$5,NFI,5,0),1,0)*Table_NFI[[#This Row],[Sanitary Kit]],Table_NFI[Sanitary Kit])</f>
        <v>0</v>
      </c>
      <c r="AB468" s="436">
        <f>IF(NFI_Expiration=1,IF($A468&lt;VLOOKUP(K$5,NFI,5,0),1,0)*Table_NFI[[#This Row],[Mosquito net]],Table_NFI[Mosquito net])</f>
        <v>0</v>
      </c>
      <c r="AC468" s="436">
        <f>IF(NFI_Expiration=1,IF($A468&lt;VLOOKUP(L$5,NFI,5,0),1,0)*Table_NFI[[#This Row],[Tarpaulin]],Table_NFI[[#This Row],[Tarpaulin]])</f>
        <v>0</v>
      </c>
      <c r="AD468" s="436">
        <f>IF(NFI_Expiration=1,IF($A468&lt;VLOOKUP(M$5,NFI,5,0),1,0)*Table_NFI[[#This Row],[Blanket]],Table_NFI[[#This Row],[Blanket]])</f>
        <v>0</v>
      </c>
      <c r="AE468" s="436">
        <f>IF(NFI_Expiration=1,IF($A468&lt;VLOOKUP(N$5,NFI,5,0),1,0)*Table_NFI[[#This Row],[Kitchen Set]],Table_NFI[Kitchen Set])</f>
        <v>0</v>
      </c>
      <c r="AF468" s="436">
        <f>IF(NFI_Expiration=1,IF($A468&lt;VLOOKUP(O$5,NFI,5,0),1,0)*Table_NFI[[#This Row],[Clothes Kit]],Table_NFI[Clothes Kit])</f>
        <v>0</v>
      </c>
      <c r="AG468" s="436">
        <f>IF(NFI_Expiration=1,IF($A468&lt;VLOOKUP(P$5,NFI,5,0),1,0)*Table_NFI[[#This Row],[Plastic Bucket]],Table_NFI[Plastic Bucket])</f>
        <v>0</v>
      </c>
      <c r="AH468" s="436">
        <f>IF(NFI_Expiration=1,IF($A468&lt;VLOOKUP(Q$5,NFI,5,0),1,0)*Table_NFI[[#This Row],[Plastic Mat]],Table_NFI[Plastic Mat])*IF(Table_NFI[[#This Row],[Distribution Date]]&gt;"2014-04-01",1,2.5)</f>
        <v>0</v>
      </c>
      <c r="AI468" s="436">
        <f>IF(NFI_Expiration=1,IF($A468&lt;VLOOKUP(R$5,NFI,5,0),1,0)*Table_NFI[[#This Row],[Winter Clothes Adult]],Table_NFI[Winter Clothes Adult])</f>
        <v>0</v>
      </c>
      <c r="AJ468" s="436">
        <f>IF(NFI_Expiration=1,IF($A468&lt;VLOOKUP(S$5,NFI,5,0),1,0)*Table_NFI[[#This Row],[Winter Clothes Children]],Table_NFI[Winter Clothes Children])</f>
        <v>0</v>
      </c>
      <c r="AK468" s="436">
        <f>IF(NFI_Expiration=1,IF($A468&lt;VLOOKUP(T$5,NFI,5,0),1,0)*Table_NFI[[#This Row],[Winter Items Other]],Table_NFI[Winter Items Other])</f>
        <v>0</v>
      </c>
      <c r="AL468" s="436">
        <f>IF(NFI_Expiration=1,IF($A468&lt;VLOOKUP(M$5,NFI,5,0),1,0)*Table_NFI[[#This Row],[Winter Blanket]],Table_NFI[[#This Row],[Winter Blanket]])</f>
        <v>0</v>
      </c>
      <c r="AM468" s="436">
        <f>IF(Table_NFI[[#This Row],[Winter Clothes Adult]]+Table_NFI[[#This Row],[Winter Clothes Children]]+Table_NFI[[#This Row],[Winter Items Other]]+Table_NFI[[#This Row],[Winter Blanket]]&gt;0,1,0)</f>
        <v>1</v>
      </c>
      <c r="AN468" s="439">
        <f>IF(NFI_Expiration=1,IF($A468&lt;VLOOKUP(V$5,NFI,5,0),1,0)*Table_NFI[[#This Row],[Jerry Can]],Table_NFI[Jerry Can])</f>
        <v>0</v>
      </c>
      <c r="AO468" s="771" t="str">
        <f>IFERROR(VLOOKUP(Table_NFI[[#This Row],[Camp Name]],CL,2,0),"")</f>
        <v>MMR001CMP133</v>
      </c>
      <c r="AP468" s="772">
        <f ca="1">IF(Table_NFI[[#This Row],[Pcode]]="","",IF(OFFSET(CampList[Opening Date],MATCH(Table_NFI[[#This Row],[Pcode]],CampList[CP_Pcode],0)-1,0,1,1)&gt;=NFI_Monitor_Date,1,0))</f>
        <v>0</v>
      </c>
      <c r="AQ468" s="771" t="str">
        <f>IFERROR(VLOOKUP(Table_NFI[[#This Row],[Camp Name]],CL,3,0),"")</f>
        <v>Open</v>
      </c>
      <c r="AR468" s="436" t="str">
        <f ca="1">IF(Table_NFI[[#This Row],[Pcode]]="","",OFFSET(CampList[Priority],MATCH(Table_NFI[[#This Row],[Pcode]],CampList[CP_Pcode],0)-1,0,1,1))</f>
        <v>P4</v>
      </c>
      <c r="AS468" s="438">
        <f>IFERROR(Table_NFI[[#This Row],[Kitchen Set]]/VLOOKUP(Table_NFI[[#This Row],[Camp Name]],CL,4,0),"")</f>
        <v>0</v>
      </c>
      <c r="AT468" s="769"/>
      <c r="AU468" s="773"/>
    </row>
    <row r="469" spans="1:47" s="774" customFormat="1" x14ac:dyDescent="0.25">
      <c r="A469" s="451">
        <f t="shared" si="7"/>
        <v>25.966666666666665</v>
      </c>
      <c r="B469" s="768">
        <v>41591</v>
      </c>
      <c r="C469" s="769" t="s">
        <v>912</v>
      </c>
      <c r="D469" s="769" t="s">
        <v>1009</v>
      </c>
      <c r="E469" s="769" t="s">
        <v>380</v>
      </c>
      <c r="F469" s="769" t="s">
        <v>185</v>
      </c>
      <c r="G469" s="769" t="s">
        <v>219</v>
      </c>
      <c r="H469" s="436"/>
      <c r="I469" s="436"/>
      <c r="J469" s="436"/>
      <c r="K469" s="436"/>
      <c r="L469" s="437"/>
      <c r="M469" s="437"/>
      <c r="N469" s="437"/>
      <c r="O469" s="437"/>
      <c r="P469" s="439"/>
      <c r="Q469" s="439"/>
      <c r="R469" s="436">
        <v>514</v>
      </c>
      <c r="S469" s="436">
        <v>1016</v>
      </c>
      <c r="T469" s="436">
        <v>3060</v>
      </c>
      <c r="U469" s="436">
        <v>1530</v>
      </c>
      <c r="V469" s="436"/>
      <c r="W469" s="436"/>
      <c r="X469" s="436"/>
      <c r="Y469" s="436">
        <f>IF(NFI_Expiration=1,IF($A469&lt;VLOOKUP(H$5,NFI,5,0),1,0)*Table_NFI[[#This Row],[Hygiene Kit]],Table_NFI[Hygiene Kit])</f>
        <v>0</v>
      </c>
      <c r="Z469" s="436">
        <f>IF(NFI_Expiration=1,IF($A469&lt;VLOOKUP(I$5,NFI,5,0),1,0)*Table_NFI[[#This Row],[NFI Core Kit]],Table_NFI[NFI Core Kit])</f>
        <v>0</v>
      </c>
      <c r="AA469" s="436">
        <f>IF(NFI_Expiration=1,IF($A469&lt;VLOOKUP(J$5,NFI,5,0),1,0)*Table_NFI[[#This Row],[Sanitary Kit]],Table_NFI[Sanitary Kit])</f>
        <v>0</v>
      </c>
      <c r="AB469" s="436">
        <f>IF(NFI_Expiration=1,IF($A469&lt;VLOOKUP(K$5,NFI,5,0),1,0)*Table_NFI[[#This Row],[Mosquito net]],Table_NFI[Mosquito net])</f>
        <v>0</v>
      </c>
      <c r="AC469" s="436">
        <f>IF(NFI_Expiration=1,IF($A469&lt;VLOOKUP(L$5,NFI,5,0),1,0)*Table_NFI[[#This Row],[Tarpaulin]],Table_NFI[[#This Row],[Tarpaulin]])</f>
        <v>0</v>
      </c>
      <c r="AD469" s="436">
        <f>IF(NFI_Expiration=1,IF($A469&lt;VLOOKUP(M$5,NFI,5,0),1,0)*Table_NFI[[#This Row],[Blanket]],Table_NFI[[#This Row],[Blanket]])</f>
        <v>0</v>
      </c>
      <c r="AE469" s="436">
        <f>IF(NFI_Expiration=1,IF($A469&lt;VLOOKUP(N$5,NFI,5,0),1,0)*Table_NFI[[#This Row],[Kitchen Set]],Table_NFI[Kitchen Set])</f>
        <v>0</v>
      </c>
      <c r="AF469" s="436">
        <f>IF(NFI_Expiration=1,IF($A469&lt;VLOOKUP(O$5,NFI,5,0),1,0)*Table_NFI[[#This Row],[Clothes Kit]],Table_NFI[Clothes Kit])</f>
        <v>0</v>
      </c>
      <c r="AG469" s="436">
        <f>IF(NFI_Expiration=1,IF($A469&lt;VLOOKUP(P$5,NFI,5,0),1,0)*Table_NFI[[#This Row],[Plastic Bucket]],Table_NFI[Plastic Bucket])</f>
        <v>0</v>
      </c>
      <c r="AH469" s="436">
        <f>IF(NFI_Expiration=1,IF($A469&lt;VLOOKUP(Q$5,NFI,5,0),1,0)*Table_NFI[[#This Row],[Plastic Mat]],Table_NFI[Plastic Mat])*IF(Table_NFI[[#This Row],[Distribution Date]]&gt;"2014-04-01",1,2.5)</f>
        <v>0</v>
      </c>
      <c r="AI469" s="436">
        <f>IF(NFI_Expiration=1,IF($A469&lt;VLOOKUP(R$5,NFI,5,0),1,0)*Table_NFI[[#This Row],[Winter Clothes Adult]],Table_NFI[Winter Clothes Adult])</f>
        <v>0</v>
      </c>
      <c r="AJ469" s="436">
        <f>IF(NFI_Expiration=1,IF($A469&lt;VLOOKUP(S$5,NFI,5,0),1,0)*Table_NFI[[#This Row],[Winter Clothes Children]],Table_NFI[Winter Clothes Children])</f>
        <v>0</v>
      </c>
      <c r="AK469" s="436">
        <f>IF(NFI_Expiration=1,IF($A469&lt;VLOOKUP(T$5,NFI,5,0),1,0)*Table_NFI[[#This Row],[Winter Items Other]],Table_NFI[Winter Items Other])</f>
        <v>0</v>
      </c>
      <c r="AL469" s="436">
        <f>IF(NFI_Expiration=1,IF($A469&lt;VLOOKUP(M$5,NFI,5,0),1,0)*Table_NFI[[#This Row],[Winter Blanket]],Table_NFI[[#This Row],[Winter Blanket]])</f>
        <v>0</v>
      </c>
      <c r="AM469" s="436">
        <f>IF(Table_NFI[[#This Row],[Winter Clothes Adult]]+Table_NFI[[#This Row],[Winter Clothes Children]]+Table_NFI[[#This Row],[Winter Items Other]]+Table_NFI[[#This Row],[Winter Blanket]]&gt;0,1,0)</f>
        <v>1</v>
      </c>
      <c r="AN469" s="439">
        <f>IF(NFI_Expiration=1,IF($A469&lt;VLOOKUP(V$5,NFI,5,0),1,0)*Table_NFI[[#This Row],[Jerry Can]],Table_NFI[Jerry Can])</f>
        <v>0</v>
      </c>
      <c r="AO469" s="771" t="str">
        <f>IFERROR(VLOOKUP(Table_NFI[[#This Row],[Camp Name]],CL,2,0),"")</f>
        <v>MMR001CMP126</v>
      </c>
      <c r="AP469" s="772">
        <f ca="1">IF(Table_NFI[[#This Row],[Pcode]]="","",IF(OFFSET(CampList[Opening Date],MATCH(Table_NFI[[#This Row],[Pcode]],CampList[CP_Pcode],0)-1,0,1,1)&gt;=NFI_Monitor_Date,1,0))</f>
        <v>0</v>
      </c>
      <c r="AQ469" s="771" t="str">
        <f>IFERROR(VLOOKUP(Table_NFI[[#This Row],[Camp Name]],CL,3,0),"")</f>
        <v>Open</v>
      </c>
      <c r="AR469" s="436" t="str">
        <f ca="1">IF(Table_NFI[[#This Row],[Pcode]]="","",OFFSET(CampList[Priority],MATCH(Table_NFI[[#This Row],[Pcode]],CampList[CP_Pcode],0)-1,0,1,1))</f>
        <v>P2</v>
      </c>
      <c r="AS469" s="438">
        <f>IFERROR(Table_NFI[[#This Row],[Kitchen Set]]/VLOOKUP(Table_NFI[[#This Row],[Camp Name]],CL,4,0),"")</f>
        <v>0</v>
      </c>
      <c r="AT469" s="769"/>
      <c r="AU469" s="773"/>
    </row>
    <row r="470" spans="1:47" s="774" customFormat="1" x14ac:dyDescent="0.25">
      <c r="A470" s="451">
        <f t="shared" si="7"/>
        <v>26.033333333333335</v>
      </c>
      <c r="B470" s="768">
        <v>41589</v>
      </c>
      <c r="C470" s="769" t="s">
        <v>454</v>
      </c>
      <c r="D470" s="769" t="s">
        <v>575</v>
      </c>
      <c r="E470" s="769" t="s">
        <v>380</v>
      </c>
      <c r="F470" s="435" t="s">
        <v>185</v>
      </c>
      <c r="G470" s="435" t="s">
        <v>215</v>
      </c>
      <c r="H470" s="436"/>
      <c r="I470" s="436"/>
      <c r="J470" s="436">
        <v>36</v>
      </c>
      <c r="K470" s="436">
        <v>200</v>
      </c>
      <c r="L470" s="437">
        <v>100</v>
      </c>
      <c r="M470" s="437"/>
      <c r="N470" s="437">
        <v>100</v>
      </c>
      <c r="O470" s="437">
        <v>100</v>
      </c>
      <c r="P470" s="439"/>
      <c r="Q470" s="439"/>
      <c r="R470" s="436"/>
      <c r="S470" s="436"/>
      <c r="T470" s="436"/>
      <c r="U470" s="436"/>
      <c r="V470" s="436"/>
      <c r="W470" s="436"/>
      <c r="X470" s="436"/>
      <c r="Y470" s="436">
        <f>IF(NFI_Expiration=1,IF($A470&lt;VLOOKUP(H$5,NFI,5,0),1,0)*Table_NFI[[#This Row],[Hygiene Kit]],Table_NFI[Hygiene Kit])</f>
        <v>0</v>
      </c>
      <c r="Z470" s="436">
        <f>IF(NFI_Expiration=1,IF($A470&lt;VLOOKUP(I$5,NFI,5,0),1,0)*Table_NFI[[#This Row],[NFI Core Kit]],Table_NFI[NFI Core Kit])</f>
        <v>0</v>
      </c>
      <c r="AA470" s="436">
        <f>IF(NFI_Expiration=1,IF($A470&lt;VLOOKUP(J$5,NFI,5,0),1,0)*Table_NFI[[#This Row],[Sanitary Kit]],Table_NFI[Sanitary Kit])</f>
        <v>0</v>
      </c>
      <c r="AB470" s="436">
        <f>IF(NFI_Expiration=1,IF($A470&lt;VLOOKUP(K$5,NFI,5,0),1,0)*Table_NFI[[#This Row],[Mosquito net]],Table_NFI[Mosquito net])</f>
        <v>0</v>
      </c>
      <c r="AC470" s="436">
        <f>IF(NFI_Expiration=1,IF($A470&lt;VLOOKUP(L$5,NFI,5,0),1,0)*Table_NFI[[#This Row],[Tarpaulin]],Table_NFI[[#This Row],[Tarpaulin]])</f>
        <v>0</v>
      </c>
      <c r="AD470" s="436">
        <f>IF(NFI_Expiration=1,IF($A470&lt;VLOOKUP(M$5,NFI,5,0),1,0)*Table_NFI[[#This Row],[Blanket]],Table_NFI[[#This Row],[Blanket]])</f>
        <v>0</v>
      </c>
      <c r="AE470" s="436">
        <f>IF(NFI_Expiration=1,IF($A470&lt;VLOOKUP(N$5,NFI,5,0),1,0)*Table_NFI[[#This Row],[Kitchen Set]],Table_NFI[Kitchen Set])</f>
        <v>0</v>
      </c>
      <c r="AF470" s="436">
        <f>IF(NFI_Expiration=1,IF($A470&lt;VLOOKUP(O$5,NFI,5,0),1,0)*Table_NFI[[#This Row],[Clothes Kit]],Table_NFI[Clothes Kit])</f>
        <v>0</v>
      </c>
      <c r="AG470" s="436">
        <f>IF(NFI_Expiration=1,IF($A470&lt;VLOOKUP(P$5,NFI,5,0),1,0)*Table_NFI[[#This Row],[Plastic Bucket]],Table_NFI[Plastic Bucket])</f>
        <v>0</v>
      </c>
      <c r="AH470" s="436">
        <f>IF(NFI_Expiration=1,IF($A470&lt;VLOOKUP(Q$5,NFI,5,0),1,0)*Table_NFI[[#This Row],[Plastic Mat]],Table_NFI[Plastic Mat])*IF(Table_NFI[[#This Row],[Distribution Date]]&gt;"2014-04-01",1,2.5)</f>
        <v>0</v>
      </c>
      <c r="AI470" s="436">
        <f>IF(NFI_Expiration=1,IF($A470&lt;VLOOKUP(R$5,NFI,5,0),1,0)*Table_NFI[[#This Row],[Winter Clothes Adult]],Table_NFI[Winter Clothes Adult])</f>
        <v>0</v>
      </c>
      <c r="AJ470" s="436">
        <f>IF(NFI_Expiration=1,IF($A470&lt;VLOOKUP(S$5,NFI,5,0),1,0)*Table_NFI[[#This Row],[Winter Clothes Children]],Table_NFI[Winter Clothes Children])</f>
        <v>0</v>
      </c>
      <c r="AK470" s="436">
        <f>IF(NFI_Expiration=1,IF($A470&lt;VLOOKUP(T$5,NFI,5,0),1,0)*Table_NFI[[#This Row],[Winter Items Other]],Table_NFI[Winter Items Other])</f>
        <v>0</v>
      </c>
      <c r="AL470" s="436">
        <f>IF(NFI_Expiration=1,IF($A470&lt;VLOOKUP(M$5,NFI,5,0),1,0)*Table_NFI[[#This Row],[Winter Blanket]],Table_NFI[[#This Row],[Winter Blanket]])</f>
        <v>0</v>
      </c>
      <c r="AM470" s="436">
        <f>IF(Table_NFI[[#This Row],[Winter Clothes Adult]]+Table_NFI[[#This Row],[Winter Clothes Children]]+Table_NFI[[#This Row],[Winter Items Other]]+Table_NFI[[#This Row],[Winter Blanket]]&gt;0,1,0)</f>
        <v>0</v>
      </c>
      <c r="AN470" s="439">
        <f>IF(NFI_Expiration=1,IF($A470&lt;VLOOKUP(V$5,NFI,5,0),1,0)*Table_NFI[[#This Row],[Jerry Can]],Table_NFI[Jerry Can])</f>
        <v>0</v>
      </c>
      <c r="AO470" s="771" t="str">
        <f>IFERROR(VLOOKUP(Table_NFI[[#This Row],[Camp Name]],CL,2,0),"")</f>
        <v>MMR001CMP131</v>
      </c>
      <c r="AP470" s="772">
        <f ca="1">IF(Table_NFI[[#This Row],[Pcode]]="","",IF(OFFSET(CampList[Opening Date],MATCH(Table_NFI[[#This Row],[Pcode]],CampList[CP_Pcode],0)-1,0,1,1)&gt;=NFI_Monitor_Date,1,0))</f>
        <v>0</v>
      </c>
      <c r="AQ470" s="781" t="str">
        <f>IFERROR(VLOOKUP(Table_NFI[[#This Row],[Camp Name]],CL,3,0),"")</f>
        <v>Open</v>
      </c>
      <c r="AR470" s="439" t="str">
        <f ca="1">IF(Table_NFI[[#This Row],[Pcode]]="","",OFFSET(CampList[Priority],MATCH(Table_NFI[[#This Row],[Pcode]],CampList[CP_Pcode],0)-1,0,1,1))</f>
        <v>P1</v>
      </c>
      <c r="AS470" s="438">
        <f>IFERROR(Table_NFI[[#This Row],[Kitchen Set]]/VLOOKUP(Table_NFI[[#This Row],[Camp Name]],CL,4,0),"")</f>
        <v>0.26666666666666666</v>
      </c>
      <c r="AT470" s="769" t="s">
        <v>1099</v>
      </c>
      <c r="AU470" s="773"/>
    </row>
    <row r="471" spans="1:47" s="774" customFormat="1" x14ac:dyDescent="0.25">
      <c r="A471" s="451">
        <f t="shared" si="7"/>
        <v>26.166666666666668</v>
      </c>
      <c r="B471" s="768">
        <v>41585</v>
      </c>
      <c r="C471" s="769" t="s">
        <v>912</v>
      </c>
      <c r="D471" s="769" t="s">
        <v>912</v>
      </c>
      <c r="E471" s="769" t="s">
        <v>380</v>
      </c>
      <c r="F471" s="769" t="s">
        <v>5</v>
      </c>
      <c r="G471" s="769" t="s">
        <v>514</v>
      </c>
      <c r="H471" s="436"/>
      <c r="I471" s="436"/>
      <c r="J471" s="436"/>
      <c r="K471" s="436"/>
      <c r="L471" s="437"/>
      <c r="M471" s="437"/>
      <c r="N471" s="437"/>
      <c r="O471" s="437"/>
      <c r="P471" s="439"/>
      <c r="Q471" s="439"/>
      <c r="R471" s="436">
        <v>25</v>
      </c>
      <c r="S471" s="436">
        <v>73</v>
      </c>
      <c r="T471" s="436">
        <v>196</v>
      </c>
      <c r="U471" s="436">
        <v>98</v>
      </c>
      <c r="V471" s="436"/>
      <c r="W471" s="436"/>
      <c r="X471" s="436"/>
      <c r="Y471" s="436">
        <f>IF(NFI_Expiration=1,IF($A471&lt;VLOOKUP(H$5,NFI,5,0),1,0)*Table_NFI[[#This Row],[Hygiene Kit]],Table_NFI[Hygiene Kit])</f>
        <v>0</v>
      </c>
      <c r="Z471" s="436">
        <f>IF(NFI_Expiration=1,IF($A471&lt;VLOOKUP(I$5,NFI,5,0),1,0)*Table_NFI[[#This Row],[NFI Core Kit]],Table_NFI[NFI Core Kit])</f>
        <v>0</v>
      </c>
      <c r="AA471" s="436">
        <f>IF(NFI_Expiration=1,IF($A471&lt;VLOOKUP(J$5,NFI,5,0),1,0)*Table_NFI[[#This Row],[Sanitary Kit]],Table_NFI[Sanitary Kit])</f>
        <v>0</v>
      </c>
      <c r="AB471" s="436">
        <f>IF(NFI_Expiration=1,IF($A471&lt;VLOOKUP(K$5,NFI,5,0),1,0)*Table_NFI[[#This Row],[Mosquito net]],Table_NFI[Mosquito net])</f>
        <v>0</v>
      </c>
      <c r="AC471" s="436">
        <f>IF(NFI_Expiration=1,IF($A471&lt;VLOOKUP(L$5,NFI,5,0),1,0)*Table_NFI[[#This Row],[Tarpaulin]],Table_NFI[[#This Row],[Tarpaulin]])</f>
        <v>0</v>
      </c>
      <c r="AD471" s="436">
        <f>IF(NFI_Expiration=1,IF($A471&lt;VLOOKUP(M$5,NFI,5,0),1,0)*Table_NFI[[#This Row],[Blanket]],Table_NFI[[#This Row],[Blanket]])</f>
        <v>0</v>
      </c>
      <c r="AE471" s="436">
        <f>IF(NFI_Expiration=1,IF($A471&lt;VLOOKUP(N$5,NFI,5,0),1,0)*Table_NFI[[#This Row],[Kitchen Set]],Table_NFI[Kitchen Set])</f>
        <v>0</v>
      </c>
      <c r="AF471" s="436">
        <f>IF(NFI_Expiration=1,IF($A471&lt;VLOOKUP(O$5,NFI,5,0),1,0)*Table_NFI[[#This Row],[Clothes Kit]],Table_NFI[Clothes Kit])</f>
        <v>0</v>
      </c>
      <c r="AG471" s="436">
        <f>IF(NFI_Expiration=1,IF($A471&lt;VLOOKUP(P$5,NFI,5,0),1,0)*Table_NFI[[#This Row],[Plastic Bucket]],Table_NFI[Plastic Bucket])</f>
        <v>0</v>
      </c>
      <c r="AH471" s="436">
        <f>IF(NFI_Expiration=1,IF($A471&lt;VLOOKUP(Q$5,NFI,5,0),1,0)*Table_NFI[[#This Row],[Plastic Mat]],Table_NFI[Plastic Mat])*IF(Table_NFI[[#This Row],[Distribution Date]]&gt;"2014-04-01",1,2.5)</f>
        <v>0</v>
      </c>
      <c r="AI471" s="436">
        <f>IF(NFI_Expiration=1,IF($A471&lt;VLOOKUP(R$5,NFI,5,0),1,0)*Table_NFI[[#This Row],[Winter Clothes Adult]],Table_NFI[Winter Clothes Adult])</f>
        <v>0</v>
      </c>
      <c r="AJ471" s="436">
        <f>IF(NFI_Expiration=1,IF($A471&lt;VLOOKUP(S$5,NFI,5,0),1,0)*Table_NFI[[#This Row],[Winter Clothes Children]],Table_NFI[Winter Clothes Children])</f>
        <v>0</v>
      </c>
      <c r="AK471" s="436">
        <f>IF(NFI_Expiration=1,IF($A471&lt;VLOOKUP(T$5,NFI,5,0),1,0)*Table_NFI[[#This Row],[Winter Items Other]],Table_NFI[Winter Items Other])</f>
        <v>0</v>
      </c>
      <c r="AL471" s="436">
        <f>IF(NFI_Expiration=1,IF($A471&lt;VLOOKUP(M$5,NFI,5,0),1,0)*Table_NFI[[#This Row],[Winter Blanket]],Table_NFI[[#This Row],[Winter Blanket]])</f>
        <v>0</v>
      </c>
      <c r="AM471" s="436">
        <f>IF(Table_NFI[[#This Row],[Winter Clothes Adult]]+Table_NFI[[#This Row],[Winter Clothes Children]]+Table_NFI[[#This Row],[Winter Items Other]]+Table_NFI[[#This Row],[Winter Blanket]]&gt;0,1,0)</f>
        <v>1</v>
      </c>
      <c r="AN471" s="439">
        <f>IF(NFI_Expiration=1,IF($A471&lt;VLOOKUP(V$5,NFI,5,0),1,0)*Table_NFI[[#This Row],[Jerry Can]],Table_NFI[Jerry Can])</f>
        <v>0</v>
      </c>
      <c r="AO471" s="771" t="str">
        <f>IFERROR(VLOOKUP(Table_NFI[[#This Row],[Camp Name]],CL,2,0),"")</f>
        <v>MMR001CMP194</v>
      </c>
      <c r="AP471" s="772">
        <f ca="1">IF(Table_NFI[[#This Row],[Pcode]]="","",IF(OFFSET(CampList[Opening Date],MATCH(Table_NFI[[#This Row],[Pcode]],CampList[CP_Pcode],0)-1,0,1,1)&gt;=NFI_Monitor_Date,1,0))</f>
        <v>0</v>
      </c>
      <c r="AQ471" s="771" t="s">
        <v>849</v>
      </c>
      <c r="AR471" s="436" t="str">
        <f ca="1">IF(Table_NFI[[#This Row],[Pcode]]="","",OFFSET(CampList[Priority],MATCH(Table_NFI[[#This Row],[Pcode]],CampList[CP_Pcode],0)-1,0,1,1))</f>
        <v>P4</v>
      </c>
      <c r="AS471" s="438">
        <f>IFERROR(Table_NFI[[#This Row],[Kitchen Set]]/VLOOKUP(Table_NFI[[#This Row],[Camp Name]],CL,4,0),"")</f>
        <v>0</v>
      </c>
      <c r="AT471" s="769"/>
      <c r="AU471" s="773"/>
    </row>
    <row r="472" spans="1:47" s="774" customFormat="1" x14ac:dyDescent="0.25">
      <c r="A472" s="451">
        <f t="shared" si="7"/>
        <v>26.166666666666668</v>
      </c>
      <c r="B472" s="768">
        <v>41585</v>
      </c>
      <c r="C472" s="769" t="s">
        <v>454</v>
      </c>
      <c r="D472" s="769" t="s">
        <v>454</v>
      </c>
      <c r="E472" s="769" t="s">
        <v>380</v>
      </c>
      <c r="F472" s="435" t="s">
        <v>529</v>
      </c>
      <c r="G472" s="435" t="s">
        <v>58</v>
      </c>
      <c r="H472" s="436"/>
      <c r="I472" s="436"/>
      <c r="J472" s="436">
        <v>13</v>
      </c>
      <c r="K472" s="436">
        <v>32</v>
      </c>
      <c r="L472" s="437">
        <v>15</v>
      </c>
      <c r="M472" s="437">
        <v>32</v>
      </c>
      <c r="N472" s="437">
        <v>15</v>
      </c>
      <c r="O472" s="437"/>
      <c r="P472" s="439">
        <v>15</v>
      </c>
      <c r="Q472" s="439">
        <v>32</v>
      </c>
      <c r="R472" s="436"/>
      <c r="S472" s="436"/>
      <c r="T472" s="436"/>
      <c r="U472" s="436"/>
      <c r="V472" s="436"/>
      <c r="W472" s="436"/>
      <c r="X472" s="436"/>
      <c r="Y472" s="436">
        <f>IF(NFI_Expiration=1,IF($A472&lt;VLOOKUP(H$5,NFI,5,0),1,0)*Table_NFI[[#This Row],[Hygiene Kit]],Table_NFI[Hygiene Kit])</f>
        <v>0</v>
      </c>
      <c r="Z472" s="436">
        <f>IF(NFI_Expiration=1,IF($A472&lt;VLOOKUP(I$5,NFI,5,0),1,0)*Table_NFI[[#This Row],[NFI Core Kit]],Table_NFI[NFI Core Kit])</f>
        <v>0</v>
      </c>
      <c r="AA472" s="436">
        <f>IF(NFI_Expiration=1,IF($A472&lt;VLOOKUP(J$5,NFI,5,0),1,0)*Table_NFI[[#This Row],[Sanitary Kit]],Table_NFI[Sanitary Kit])</f>
        <v>0</v>
      </c>
      <c r="AB472" s="436">
        <f>IF(NFI_Expiration=1,IF($A472&lt;VLOOKUP(K$5,NFI,5,0),1,0)*Table_NFI[[#This Row],[Mosquito net]],Table_NFI[Mosquito net])</f>
        <v>0</v>
      </c>
      <c r="AC472" s="436">
        <f>IF(NFI_Expiration=1,IF($A472&lt;VLOOKUP(L$5,NFI,5,0),1,0)*Table_NFI[[#This Row],[Tarpaulin]],Table_NFI[[#This Row],[Tarpaulin]])</f>
        <v>0</v>
      </c>
      <c r="AD472" s="436">
        <f>IF(NFI_Expiration=1,IF($A472&lt;VLOOKUP(M$5,NFI,5,0),1,0)*Table_NFI[[#This Row],[Blanket]],Table_NFI[[#This Row],[Blanket]])</f>
        <v>0</v>
      </c>
      <c r="AE472" s="436">
        <f>IF(NFI_Expiration=1,IF($A472&lt;VLOOKUP(N$5,NFI,5,0),1,0)*Table_NFI[[#This Row],[Kitchen Set]],Table_NFI[Kitchen Set])</f>
        <v>0</v>
      </c>
      <c r="AF472" s="436">
        <f>IF(NFI_Expiration=1,IF($A472&lt;VLOOKUP(O$5,NFI,5,0),1,0)*Table_NFI[[#This Row],[Clothes Kit]],Table_NFI[Clothes Kit])</f>
        <v>0</v>
      </c>
      <c r="AG472" s="436">
        <f>IF(NFI_Expiration=1,IF($A472&lt;VLOOKUP(P$5,NFI,5,0),1,0)*Table_NFI[[#This Row],[Plastic Bucket]],Table_NFI[Plastic Bucket])</f>
        <v>0</v>
      </c>
      <c r="AH472" s="436">
        <f>IF(NFI_Expiration=1,IF($A472&lt;VLOOKUP(Q$5,NFI,5,0),1,0)*Table_NFI[[#This Row],[Plastic Mat]],Table_NFI[Plastic Mat])*IF(Table_NFI[[#This Row],[Distribution Date]]&gt;"2014-04-01",1,2.5)</f>
        <v>0</v>
      </c>
      <c r="AI472" s="436">
        <f>IF(NFI_Expiration=1,IF($A472&lt;VLOOKUP(R$5,NFI,5,0),1,0)*Table_NFI[[#This Row],[Winter Clothes Adult]],Table_NFI[Winter Clothes Adult])</f>
        <v>0</v>
      </c>
      <c r="AJ472" s="436">
        <f>IF(NFI_Expiration=1,IF($A472&lt;VLOOKUP(S$5,NFI,5,0),1,0)*Table_NFI[[#This Row],[Winter Clothes Children]],Table_NFI[Winter Clothes Children])</f>
        <v>0</v>
      </c>
      <c r="AK472" s="436">
        <f>IF(NFI_Expiration=1,IF($A472&lt;VLOOKUP(T$5,NFI,5,0),1,0)*Table_NFI[[#This Row],[Winter Items Other]],Table_NFI[Winter Items Other])</f>
        <v>0</v>
      </c>
      <c r="AL472" s="436">
        <f>IF(NFI_Expiration=1,IF($A472&lt;VLOOKUP(M$5,NFI,5,0),1,0)*Table_NFI[[#This Row],[Winter Blanket]],Table_NFI[[#This Row],[Winter Blanket]])</f>
        <v>0</v>
      </c>
      <c r="AM472" s="436">
        <f>IF(Table_NFI[[#This Row],[Winter Clothes Adult]]+Table_NFI[[#This Row],[Winter Clothes Children]]+Table_NFI[[#This Row],[Winter Items Other]]+Table_NFI[[#This Row],[Winter Blanket]]&gt;0,1,0)</f>
        <v>0</v>
      </c>
      <c r="AN472" s="439">
        <f>IF(NFI_Expiration=1,IF($A472&lt;VLOOKUP(V$5,NFI,5,0),1,0)*Table_NFI[[#This Row],[Jerry Can]],Table_NFI[Jerry Can])</f>
        <v>0</v>
      </c>
      <c r="AO472" s="771" t="str">
        <f>IFERROR(VLOOKUP(Table_NFI[[#This Row],[Camp Name]],CL,2,0),"")</f>
        <v>MMR001CMP188</v>
      </c>
      <c r="AP472" s="772">
        <f ca="1">IF(Table_NFI[[#This Row],[Pcode]]="","",IF(OFFSET(CampList[Opening Date],MATCH(Table_NFI[[#This Row],[Pcode]],CampList[CP_Pcode],0)-1,0,1,1)&gt;=NFI_Monitor_Date,1,0))</f>
        <v>0</v>
      </c>
      <c r="AQ472" s="781" t="str">
        <f>IFERROR(VLOOKUP(Table_NFI[[#This Row],[Camp Name]],CL,3,0),"")</f>
        <v>Closed</v>
      </c>
      <c r="AR472" s="439" t="str">
        <f ca="1">IF(Table_NFI[[#This Row],[Pcode]]="","",OFFSET(CampList[Priority],MATCH(Table_NFI[[#This Row],[Pcode]],CampList[CP_Pcode],0)-1,0,1,1))</f>
        <v>P4</v>
      </c>
      <c r="AS472" s="438" t="str">
        <f>IFERROR(Table_NFI[[#This Row],[Kitchen Set]]/VLOOKUP(Table_NFI[[#This Row],[Camp Name]],CL,4,0),"")</f>
        <v/>
      </c>
      <c r="AT472" s="769" t="s">
        <v>1099</v>
      </c>
      <c r="AU472" s="773"/>
    </row>
    <row r="473" spans="1:47" s="774" customFormat="1" x14ac:dyDescent="0.25">
      <c r="A473" s="451">
        <f t="shared" si="7"/>
        <v>26.166666666666668</v>
      </c>
      <c r="B473" s="768">
        <v>41585</v>
      </c>
      <c r="C473" s="769" t="s">
        <v>912</v>
      </c>
      <c r="D473" s="769" t="s">
        <v>912</v>
      </c>
      <c r="E473" s="769" t="s">
        <v>380</v>
      </c>
      <c r="F473" s="769" t="s">
        <v>5</v>
      </c>
      <c r="G473" s="769" t="s">
        <v>366</v>
      </c>
      <c r="H473" s="436"/>
      <c r="I473" s="436"/>
      <c r="J473" s="436"/>
      <c r="K473" s="436"/>
      <c r="L473" s="437"/>
      <c r="M473" s="437"/>
      <c r="N473" s="437"/>
      <c r="O473" s="437"/>
      <c r="P473" s="439"/>
      <c r="Q473" s="439"/>
      <c r="R473" s="436">
        <v>23</v>
      </c>
      <c r="S473" s="436">
        <v>41</v>
      </c>
      <c r="T473" s="436">
        <v>128</v>
      </c>
      <c r="U473" s="436">
        <v>64</v>
      </c>
      <c r="V473" s="436"/>
      <c r="W473" s="436"/>
      <c r="X473" s="436"/>
      <c r="Y473" s="436">
        <f>IF(NFI_Expiration=1,IF($A473&lt;VLOOKUP(H$5,NFI,5,0),1,0)*Table_NFI[[#This Row],[Hygiene Kit]],Table_NFI[Hygiene Kit])</f>
        <v>0</v>
      </c>
      <c r="Z473" s="436">
        <f>IF(NFI_Expiration=1,IF($A473&lt;VLOOKUP(I$5,NFI,5,0),1,0)*Table_NFI[[#This Row],[NFI Core Kit]],Table_NFI[NFI Core Kit])</f>
        <v>0</v>
      </c>
      <c r="AA473" s="436">
        <f>IF(NFI_Expiration=1,IF($A473&lt;VLOOKUP(J$5,NFI,5,0),1,0)*Table_NFI[[#This Row],[Sanitary Kit]],Table_NFI[Sanitary Kit])</f>
        <v>0</v>
      </c>
      <c r="AB473" s="436">
        <f>IF(NFI_Expiration=1,IF($A473&lt;VLOOKUP(K$5,NFI,5,0),1,0)*Table_NFI[[#This Row],[Mosquito net]],Table_NFI[Mosquito net])</f>
        <v>0</v>
      </c>
      <c r="AC473" s="436">
        <f>IF(NFI_Expiration=1,IF($A473&lt;VLOOKUP(L$5,NFI,5,0),1,0)*Table_NFI[[#This Row],[Tarpaulin]],Table_NFI[[#This Row],[Tarpaulin]])</f>
        <v>0</v>
      </c>
      <c r="AD473" s="436">
        <f>IF(NFI_Expiration=1,IF($A473&lt;VLOOKUP(M$5,NFI,5,0),1,0)*Table_NFI[[#This Row],[Blanket]],Table_NFI[[#This Row],[Blanket]])</f>
        <v>0</v>
      </c>
      <c r="AE473" s="436">
        <f>IF(NFI_Expiration=1,IF($A473&lt;VLOOKUP(N$5,NFI,5,0),1,0)*Table_NFI[[#This Row],[Kitchen Set]],Table_NFI[Kitchen Set])</f>
        <v>0</v>
      </c>
      <c r="AF473" s="436">
        <f>IF(NFI_Expiration=1,IF($A473&lt;VLOOKUP(O$5,NFI,5,0),1,0)*Table_NFI[[#This Row],[Clothes Kit]],Table_NFI[Clothes Kit])</f>
        <v>0</v>
      </c>
      <c r="AG473" s="436">
        <f>IF(NFI_Expiration=1,IF($A473&lt;VLOOKUP(P$5,NFI,5,0),1,0)*Table_NFI[[#This Row],[Plastic Bucket]],Table_NFI[Plastic Bucket])</f>
        <v>0</v>
      </c>
      <c r="AH473" s="436">
        <f>IF(NFI_Expiration=1,IF($A473&lt;VLOOKUP(Q$5,NFI,5,0),1,0)*Table_NFI[[#This Row],[Plastic Mat]],Table_NFI[Plastic Mat])*IF(Table_NFI[[#This Row],[Distribution Date]]&gt;"2014-04-01",1,2.5)</f>
        <v>0</v>
      </c>
      <c r="AI473" s="436">
        <f>IF(NFI_Expiration=1,IF($A473&lt;VLOOKUP(R$5,NFI,5,0),1,0)*Table_NFI[[#This Row],[Winter Clothes Adult]],Table_NFI[Winter Clothes Adult])</f>
        <v>0</v>
      </c>
      <c r="AJ473" s="436">
        <f>IF(NFI_Expiration=1,IF($A473&lt;VLOOKUP(S$5,NFI,5,0),1,0)*Table_NFI[[#This Row],[Winter Clothes Children]],Table_NFI[Winter Clothes Children])</f>
        <v>0</v>
      </c>
      <c r="AK473" s="436">
        <f>IF(NFI_Expiration=1,IF($A473&lt;VLOOKUP(T$5,NFI,5,0),1,0)*Table_NFI[[#This Row],[Winter Items Other]],Table_NFI[Winter Items Other])</f>
        <v>0</v>
      </c>
      <c r="AL473" s="436">
        <f>IF(NFI_Expiration=1,IF($A473&lt;VLOOKUP(M$5,NFI,5,0),1,0)*Table_NFI[[#This Row],[Winter Blanket]],Table_NFI[[#This Row],[Winter Blanket]])</f>
        <v>0</v>
      </c>
      <c r="AM473" s="436">
        <f>IF(Table_NFI[[#This Row],[Winter Clothes Adult]]+Table_NFI[[#This Row],[Winter Clothes Children]]+Table_NFI[[#This Row],[Winter Items Other]]+Table_NFI[[#This Row],[Winter Blanket]]&gt;0,1,0)</f>
        <v>1</v>
      </c>
      <c r="AN473" s="439">
        <f>IF(NFI_Expiration=1,IF($A473&lt;VLOOKUP(V$5,NFI,5,0),1,0)*Table_NFI[[#This Row],[Jerry Can]],Table_NFI[Jerry Can])</f>
        <v>0</v>
      </c>
      <c r="AO473" s="771" t="str">
        <f>IFERROR(VLOOKUP(Table_NFI[[#This Row],[Camp Name]],CL,2,0),"")</f>
        <v>MMR001CMP193</v>
      </c>
      <c r="AP473" s="772">
        <f ca="1">IF(Table_NFI[[#This Row],[Pcode]]="","",IF(OFFSET(CampList[Opening Date],MATCH(Table_NFI[[#This Row],[Pcode]],CampList[CP_Pcode],0)-1,0,1,1)&gt;=NFI_Monitor_Date,1,0))</f>
        <v>0</v>
      </c>
      <c r="AQ473" s="771" t="str">
        <f>IFERROR(VLOOKUP(Table_NFI[[#This Row],[Camp Name]],CL,3,0),"")</f>
        <v>Open</v>
      </c>
      <c r="AR473" s="436" t="str">
        <f ca="1">IF(Table_NFI[[#This Row],[Pcode]]="","",OFFSET(CampList[Priority],MATCH(Table_NFI[[#This Row],[Pcode]],CampList[CP_Pcode],0)-1,0,1,1))</f>
        <v>P4</v>
      </c>
      <c r="AS473" s="438">
        <f>IFERROR(Table_NFI[[#This Row],[Kitchen Set]]/VLOOKUP(Table_NFI[[#This Row],[Camp Name]],CL,4,0),"")</f>
        <v>0</v>
      </c>
      <c r="AT473" s="769"/>
      <c r="AU473" s="773"/>
    </row>
    <row r="474" spans="1:47" s="774" customFormat="1" x14ac:dyDescent="0.25">
      <c r="A474" s="451">
        <f t="shared" si="7"/>
        <v>26.166666666666668</v>
      </c>
      <c r="B474" s="768">
        <v>41585</v>
      </c>
      <c r="C474" s="769" t="s">
        <v>454</v>
      </c>
      <c r="D474" s="769" t="s">
        <v>454</v>
      </c>
      <c r="E474" s="769" t="s">
        <v>380</v>
      </c>
      <c r="F474" s="435" t="s">
        <v>5</v>
      </c>
      <c r="G474" s="435" t="s">
        <v>366</v>
      </c>
      <c r="H474" s="436"/>
      <c r="I474" s="436"/>
      <c r="J474" s="436">
        <v>58</v>
      </c>
      <c r="K474" s="436">
        <v>46</v>
      </c>
      <c r="L474" s="437">
        <v>29</v>
      </c>
      <c r="M474" s="437">
        <v>46</v>
      </c>
      <c r="N474" s="437">
        <v>29</v>
      </c>
      <c r="O474" s="437">
        <v>29</v>
      </c>
      <c r="P474" s="439"/>
      <c r="Q474" s="439"/>
      <c r="R474" s="436"/>
      <c r="S474" s="436"/>
      <c r="T474" s="436"/>
      <c r="U474" s="436"/>
      <c r="V474" s="436"/>
      <c r="W474" s="436"/>
      <c r="X474" s="436"/>
      <c r="Y474" s="436">
        <f>IF(NFI_Expiration=1,IF($A474&lt;VLOOKUP(H$5,NFI,5,0),1,0)*Table_NFI[[#This Row],[Hygiene Kit]],Table_NFI[Hygiene Kit])</f>
        <v>0</v>
      </c>
      <c r="Z474" s="436">
        <f>IF(NFI_Expiration=1,IF($A474&lt;VLOOKUP(I$5,NFI,5,0),1,0)*Table_NFI[[#This Row],[NFI Core Kit]],Table_NFI[NFI Core Kit])</f>
        <v>0</v>
      </c>
      <c r="AA474" s="436">
        <f>IF(NFI_Expiration=1,IF($A474&lt;VLOOKUP(J$5,NFI,5,0),1,0)*Table_NFI[[#This Row],[Sanitary Kit]],Table_NFI[Sanitary Kit])</f>
        <v>0</v>
      </c>
      <c r="AB474" s="436">
        <f>IF(NFI_Expiration=1,IF($A474&lt;VLOOKUP(K$5,NFI,5,0),1,0)*Table_NFI[[#This Row],[Mosquito net]],Table_NFI[Mosquito net])</f>
        <v>0</v>
      </c>
      <c r="AC474" s="436">
        <f>IF(NFI_Expiration=1,IF($A474&lt;VLOOKUP(L$5,NFI,5,0),1,0)*Table_NFI[[#This Row],[Tarpaulin]],Table_NFI[[#This Row],[Tarpaulin]])</f>
        <v>0</v>
      </c>
      <c r="AD474" s="436">
        <f>IF(NFI_Expiration=1,IF($A474&lt;VLOOKUP(M$5,NFI,5,0),1,0)*Table_NFI[[#This Row],[Blanket]],Table_NFI[[#This Row],[Blanket]])</f>
        <v>0</v>
      </c>
      <c r="AE474" s="436">
        <f>IF(NFI_Expiration=1,IF($A474&lt;VLOOKUP(N$5,NFI,5,0),1,0)*Table_NFI[[#This Row],[Kitchen Set]],Table_NFI[Kitchen Set])</f>
        <v>0</v>
      </c>
      <c r="AF474" s="436">
        <f>IF(NFI_Expiration=1,IF($A474&lt;VLOOKUP(O$5,NFI,5,0),1,0)*Table_NFI[[#This Row],[Clothes Kit]],Table_NFI[Clothes Kit])</f>
        <v>0</v>
      </c>
      <c r="AG474" s="436">
        <f>IF(NFI_Expiration=1,IF($A474&lt;VLOOKUP(P$5,NFI,5,0),1,0)*Table_NFI[[#This Row],[Plastic Bucket]],Table_NFI[Plastic Bucket])</f>
        <v>0</v>
      </c>
      <c r="AH474" s="436">
        <f>IF(NFI_Expiration=1,IF($A474&lt;VLOOKUP(Q$5,NFI,5,0),1,0)*Table_NFI[[#This Row],[Plastic Mat]],Table_NFI[Plastic Mat])*IF(Table_NFI[[#This Row],[Distribution Date]]&gt;"2014-04-01",1,2.5)</f>
        <v>0</v>
      </c>
      <c r="AI474" s="436">
        <f>IF(NFI_Expiration=1,IF($A474&lt;VLOOKUP(R$5,NFI,5,0),1,0)*Table_NFI[[#This Row],[Winter Clothes Adult]],Table_NFI[Winter Clothes Adult])</f>
        <v>0</v>
      </c>
      <c r="AJ474" s="436">
        <f>IF(NFI_Expiration=1,IF($A474&lt;VLOOKUP(S$5,NFI,5,0),1,0)*Table_NFI[[#This Row],[Winter Clothes Children]],Table_NFI[Winter Clothes Children])</f>
        <v>0</v>
      </c>
      <c r="AK474" s="436">
        <f>IF(NFI_Expiration=1,IF($A474&lt;VLOOKUP(T$5,NFI,5,0),1,0)*Table_NFI[[#This Row],[Winter Items Other]],Table_NFI[Winter Items Other])</f>
        <v>0</v>
      </c>
      <c r="AL474" s="436">
        <f>IF(NFI_Expiration=1,IF($A474&lt;VLOOKUP(M$5,NFI,5,0),1,0)*Table_NFI[[#This Row],[Winter Blanket]],Table_NFI[[#This Row],[Winter Blanket]])</f>
        <v>0</v>
      </c>
      <c r="AM474" s="436">
        <f>IF(Table_NFI[[#This Row],[Winter Clothes Adult]]+Table_NFI[[#This Row],[Winter Clothes Children]]+Table_NFI[[#This Row],[Winter Items Other]]+Table_NFI[[#This Row],[Winter Blanket]]&gt;0,1,0)</f>
        <v>0</v>
      </c>
      <c r="AN474" s="439">
        <f>IF(NFI_Expiration=1,IF($A474&lt;VLOOKUP(V$5,NFI,5,0),1,0)*Table_NFI[[#This Row],[Jerry Can]],Table_NFI[Jerry Can])</f>
        <v>0</v>
      </c>
      <c r="AO474" s="771" t="str">
        <f>IFERROR(VLOOKUP(Table_NFI[[#This Row],[Camp Name]],CL,2,0),"")</f>
        <v>MMR001CMP193</v>
      </c>
      <c r="AP474" s="772">
        <f ca="1">IF(Table_NFI[[#This Row],[Pcode]]="","",IF(OFFSET(CampList[Opening Date],MATCH(Table_NFI[[#This Row],[Pcode]],CampList[CP_Pcode],0)-1,0,1,1)&gt;=NFI_Monitor_Date,1,0))</f>
        <v>0</v>
      </c>
      <c r="AQ474" s="781" t="str">
        <f>IFERROR(VLOOKUP(Table_NFI[[#This Row],[Camp Name]],CL,3,0),"")</f>
        <v>Open</v>
      </c>
      <c r="AR474" s="439" t="str">
        <f ca="1">IF(Table_NFI[[#This Row],[Pcode]]="","",OFFSET(CampList[Priority],MATCH(Table_NFI[[#This Row],[Pcode]],CampList[CP_Pcode],0)-1,0,1,1))</f>
        <v>P4</v>
      </c>
      <c r="AS474" s="438">
        <f>IFERROR(Table_NFI[[#This Row],[Kitchen Set]]/VLOOKUP(Table_NFI[[#This Row],[Camp Name]],CL,4,0),"")</f>
        <v>0.18471337579617833</v>
      </c>
      <c r="AT474" s="769" t="s">
        <v>1099</v>
      </c>
      <c r="AU474" s="773"/>
    </row>
    <row r="475" spans="1:47" s="774" customFormat="1" x14ac:dyDescent="0.25">
      <c r="A475" s="451">
        <f t="shared" si="7"/>
        <v>26.166666666666668</v>
      </c>
      <c r="B475" s="768">
        <v>41585</v>
      </c>
      <c r="C475" s="769" t="s">
        <v>912</v>
      </c>
      <c r="D475" s="769" t="s">
        <v>912</v>
      </c>
      <c r="E475" s="769" t="s">
        <v>380</v>
      </c>
      <c r="F475" s="769" t="s">
        <v>5</v>
      </c>
      <c r="G475" s="769" t="s">
        <v>24</v>
      </c>
      <c r="H475" s="436"/>
      <c r="I475" s="436"/>
      <c r="J475" s="436"/>
      <c r="K475" s="436"/>
      <c r="L475" s="437"/>
      <c r="M475" s="437"/>
      <c r="N475" s="437"/>
      <c r="O475" s="437"/>
      <c r="P475" s="439"/>
      <c r="Q475" s="439"/>
      <c r="R475" s="436">
        <v>64</v>
      </c>
      <c r="S475" s="436">
        <v>118</v>
      </c>
      <c r="T475" s="436">
        <v>364</v>
      </c>
      <c r="U475" s="436">
        <v>182</v>
      </c>
      <c r="V475" s="436"/>
      <c r="W475" s="436"/>
      <c r="X475" s="436"/>
      <c r="Y475" s="436">
        <f>IF(NFI_Expiration=1,IF($A475&lt;VLOOKUP(H$5,NFI,5,0),1,0)*Table_NFI[[#This Row],[Hygiene Kit]],Table_NFI[Hygiene Kit])</f>
        <v>0</v>
      </c>
      <c r="Z475" s="436">
        <f>IF(NFI_Expiration=1,IF($A475&lt;VLOOKUP(I$5,NFI,5,0),1,0)*Table_NFI[[#This Row],[NFI Core Kit]],Table_NFI[NFI Core Kit])</f>
        <v>0</v>
      </c>
      <c r="AA475" s="436">
        <f>IF(NFI_Expiration=1,IF($A475&lt;VLOOKUP(J$5,NFI,5,0),1,0)*Table_NFI[[#This Row],[Sanitary Kit]],Table_NFI[Sanitary Kit])</f>
        <v>0</v>
      </c>
      <c r="AB475" s="436">
        <f>IF(NFI_Expiration=1,IF($A475&lt;VLOOKUP(K$5,NFI,5,0),1,0)*Table_NFI[[#This Row],[Mosquito net]],Table_NFI[Mosquito net])</f>
        <v>0</v>
      </c>
      <c r="AC475" s="436">
        <f>IF(NFI_Expiration=1,IF($A475&lt;VLOOKUP(L$5,NFI,5,0),1,0)*Table_NFI[[#This Row],[Tarpaulin]],Table_NFI[[#This Row],[Tarpaulin]])</f>
        <v>0</v>
      </c>
      <c r="AD475" s="436">
        <f>IF(NFI_Expiration=1,IF($A475&lt;VLOOKUP(M$5,NFI,5,0),1,0)*Table_NFI[[#This Row],[Blanket]],Table_NFI[[#This Row],[Blanket]])</f>
        <v>0</v>
      </c>
      <c r="AE475" s="436">
        <f>IF(NFI_Expiration=1,IF($A475&lt;VLOOKUP(N$5,NFI,5,0),1,0)*Table_NFI[[#This Row],[Kitchen Set]],Table_NFI[Kitchen Set])</f>
        <v>0</v>
      </c>
      <c r="AF475" s="436">
        <f>IF(NFI_Expiration=1,IF($A475&lt;VLOOKUP(O$5,NFI,5,0),1,0)*Table_NFI[[#This Row],[Clothes Kit]],Table_NFI[Clothes Kit])</f>
        <v>0</v>
      </c>
      <c r="AG475" s="436">
        <f>IF(NFI_Expiration=1,IF($A475&lt;VLOOKUP(P$5,NFI,5,0),1,0)*Table_NFI[[#This Row],[Plastic Bucket]],Table_NFI[Plastic Bucket])</f>
        <v>0</v>
      </c>
      <c r="AH475" s="436">
        <f>IF(NFI_Expiration=1,IF($A475&lt;VLOOKUP(Q$5,NFI,5,0),1,0)*Table_NFI[[#This Row],[Plastic Mat]],Table_NFI[Plastic Mat])*IF(Table_NFI[[#This Row],[Distribution Date]]&gt;"2014-04-01",1,2.5)</f>
        <v>0</v>
      </c>
      <c r="AI475" s="436">
        <f>IF(NFI_Expiration=1,IF($A475&lt;VLOOKUP(R$5,NFI,5,0),1,0)*Table_NFI[[#This Row],[Winter Clothes Adult]],Table_NFI[Winter Clothes Adult])</f>
        <v>0</v>
      </c>
      <c r="AJ475" s="436">
        <f>IF(NFI_Expiration=1,IF($A475&lt;VLOOKUP(S$5,NFI,5,0),1,0)*Table_NFI[[#This Row],[Winter Clothes Children]],Table_NFI[Winter Clothes Children])</f>
        <v>0</v>
      </c>
      <c r="AK475" s="436">
        <f>IF(NFI_Expiration=1,IF($A475&lt;VLOOKUP(T$5,NFI,5,0),1,0)*Table_NFI[[#This Row],[Winter Items Other]],Table_NFI[Winter Items Other])</f>
        <v>0</v>
      </c>
      <c r="AL475" s="436">
        <f>IF(NFI_Expiration=1,IF($A475&lt;VLOOKUP(M$5,NFI,5,0),1,0)*Table_NFI[[#This Row],[Winter Blanket]],Table_NFI[[#This Row],[Winter Blanket]])</f>
        <v>0</v>
      </c>
      <c r="AM475" s="436">
        <f>IF(Table_NFI[[#This Row],[Winter Clothes Adult]]+Table_NFI[[#This Row],[Winter Clothes Children]]+Table_NFI[[#This Row],[Winter Items Other]]+Table_NFI[[#This Row],[Winter Blanket]]&gt;0,1,0)</f>
        <v>1</v>
      </c>
      <c r="AN475" s="439">
        <f>IF(NFI_Expiration=1,IF($A475&lt;VLOOKUP(V$5,NFI,5,0),1,0)*Table_NFI[[#This Row],[Jerry Can]],Table_NFI[Jerry Can])</f>
        <v>0</v>
      </c>
      <c r="AO475" s="771" t="str">
        <f>IFERROR(VLOOKUP(Table_NFI[[#This Row],[Camp Name]],CL,2,0),"")</f>
        <v>MMR001CMP055</v>
      </c>
      <c r="AP475" s="772">
        <f ca="1">IF(Table_NFI[[#This Row],[Pcode]]="","",IF(OFFSET(CampList[Opening Date],MATCH(Table_NFI[[#This Row],[Pcode]],CampList[CP_Pcode],0)-1,0,1,1)&gt;=NFI_Monitor_Date,1,0))</f>
        <v>0</v>
      </c>
      <c r="AQ475" s="771" t="str">
        <f>IFERROR(VLOOKUP(Table_NFI[[#This Row],[Camp Name]],CL,3,0),"")</f>
        <v>Open</v>
      </c>
      <c r="AR475" s="436" t="str">
        <f ca="1">IF(Table_NFI[[#This Row],[Pcode]]="","",OFFSET(CampList[Priority],MATCH(Table_NFI[[#This Row],[Pcode]],CampList[CP_Pcode],0)-1,0,1,1))</f>
        <v>P4</v>
      </c>
      <c r="AS475" s="438">
        <f>IFERROR(Table_NFI[[#This Row],[Kitchen Set]]/VLOOKUP(Table_NFI[[#This Row],[Camp Name]],CL,4,0),"")</f>
        <v>0</v>
      </c>
      <c r="AT475" s="769"/>
      <c r="AU475" s="773"/>
    </row>
    <row r="476" spans="1:47" s="774" customFormat="1" x14ac:dyDescent="0.25">
      <c r="A476" s="451">
        <f t="shared" si="7"/>
        <v>26.233333333333334</v>
      </c>
      <c r="B476" s="768">
        <v>41583</v>
      </c>
      <c r="C476" s="769" t="s">
        <v>454</v>
      </c>
      <c r="D476" s="769" t="s">
        <v>454</v>
      </c>
      <c r="E476" s="769" t="s">
        <v>380</v>
      </c>
      <c r="F476" s="435" t="s">
        <v>151</v>
      </c>
      <c r="G476" s="435" t="s">
        <v>152</v>
      </c>
      <c r="H476" s="436"/>
      <c r="I476" s="436"/>
      <c r="J476" s="436">
        <v>60</v>
      </c>
      <c r="K476" s="436">
        <v>54</v>
      </c>
      <c r="L476" s="437">
        <v>30</v>
      </c>
      <c r="M476" s="437">
        <v>54</v>
      </c>
      <c r="N476" s="437">
        <v>30</v>
      </c>
      <c r="O476" s="437">
        <v>30</v>
      </c>
      <c r="P476" s="439"/>
      <c r="Q476" s="439"/>
      <c r="R476" s="436"/>
      <c r="S476" s="436"/>
      <c r="T476" s="436"/>
      <c r="U476" s="436"/>
      <c r="V476" s="436"/>
      <c r="W476" s="436"/>
      <c r="X476" s="436"/>
      <c r="Y476" s="436">
        <f>IF(NFI_Expiration=1,IF($A476&lt;VLOOKUP(H$5,NFI,5,0),1,0)*Table_NFI[[#This Row],[Hygiene Kit]],Table_NFI[Hygiene Kit])</f>
        <v>0</v>
      </c>
      <c r="Z476" s="436">
        <f>IF(NFI_Expiration=1,IF($A476&lt;VLOOKUP(I$5,NFI,5,0),1,0)*Table_NFI[[#This Row],[NFI Core Kit]],Table_NFI[NFI Core Kit])</f>
        <v>0</v>
      </c>
      <c r="AA476" s="436">
        <f>IF(NFI_Expiration=1,IF($A476&lt;VLOOKUP(J$5,NFI,5,0),1,0)*Table_NFI[[#This Row],[Sanitary Kit]],Table_NFI[Sanitary Kit])</f>
        <v>0</v>
      </c>
      <c r="AB476" s="436">
        <f>IF(NFI_Expiration=1,IF($A476&lt;VLOOKUP(K$5,NFI,5,0),1,0)*Table_NFI[[#This Row],[Mosquito net]],Table_NFI[Mosquito net])</f>
        <v>0</v>
      </c>
      <c r="AC476" s="436">
        <f>IF(NFI_Expiration=1,IF($A476&lt;VLOOKUP(L$5,NFI,5,0),1,0)*Table_NFI[[#This Row],[Tarpaulin]],Table_NFI[[#This Row],[Tarpaulin]])</f>
        <v>0</v>
      </c>
      <c r="AD476" s="436">
        <f>IF(NFI_Expiration=1,IF($A476&lt;VLOOKUP(M$5,NFI,5,0),1,0)*Table_NFI[[#This Row],[Blanket]],Table_NFI[[#This Row],[Blanket]])</f>
        <v>0</v>
      </c>
      <c r="AE476" s="436">
        <f>IF(NFI_Expiration=1,IF($A476&lt;VLOOKUP(N$5,NFI,5,0),1,0)*Table_NFI[[#This Row],[Kitchen Set]],Table_NFI[Kitchen Set])</f>
        <v>0</v>
      </c>
      <c r="AF476" s="436">
        <f>IF(NFI_Expiration=1,IF($A476&lt;VLOOKUP(O$5,NFI,5,0),1,0)*Table_NFI[[#This Row],[Clothes Kit]],Table_NFI[Clothes Kit])</f>
        <v>0</v>
      </c>
      <c r="AG476" s="436">
        <f>IF(NFI_Expiration=1,IF($A476&lt;VLOOKUP(P$5,NFI,5,0),1,0)*Table_NFI[[#This Row],[Plastic Bucket]],Table_NFI[Plastic Bucket])</f>
        <v>0</v>
      </c>
      <c r="AH476" s="436">
        <f>IF(NFI_Expiration=1,IF($A476&lt;VLOOKUP(Q$5,NFI,5,0),1,0)*Table_NFI[[#This Row],[Plastic Mat]],Table_NFI[Plastic Mat])*IF(Table_NFI[[#This Row],[Distribution Date]]&gt;"2014-04-01",1,2.5)</f>
        <v>0</v>
      </c>
      <c r="AI476" s="436">
        <f>IF(NFI_Expiration=1,IF($A476&lt;VLOOKUP(R$5,NFI,5,0),1,0)*Table_NFI[[#This Row],[Winter Clothes Adult]],Table_NFI[Winter Clothes Adult])</f>
        <v>0</v>
      </c>
      <c r="AJ476" s="436">
        <f>IF(NFI_Expiration=1,IF($A476&lt;VLOOKUP(S$5,NFI,5,0),1,0)*Table_NFI[[#This Row],[Winter Clothes Children]],Table_NFI[Winter Clothes Children])</f>
        <v>0</v>
      </c>
      <c r="AK476" s="436">
        <f>IF(NFI_Expiration=1,IF($A476&lt;VLOOKUP(T$5,NFI,5,0),1,0)*Table_NFI[[#This Row],[Winter Items Other]],Table_NFI[Winter Items Other])</f>
        <v>0</v>
      </c>
      <c r="AL476" s="436">
        <f>IF(NFI_Expiration=1,IF($A476&lt;VLOOKUP(M$5,NFI,5,0),1,0)*Table_NFI[[#This Row],[Winter Blanket]],Table_NFI[[#This Row],[Winter Blanket]])</f>
        <v>0</v>
      </c>
      <c r="AM476" s="436">
        <f>IF(Table_NFI[[#This Row],[Winter Clothes Adult]]+Table_NFI[[#This Row],[Winter Clothes Children]]+Table_NFI[[#This Row],[Winter Items Other]]+Table_NFI[[#This Row],[Winter Blanket]]&gt;0,1,0)</f>
        <v>0</v>
      </c>
      <c r="AN476" s="439">
        <f>IF(NFI_Expiration=1,IF($A476&lt;VLOOKUP(V$5,NFI,5,0),1,0)*Table_NFI[[#This Row],[Jerry Can]],Table_NFI[Jerry Can])</f>
        <v>0</v>
      </c>
      <c r="AO476" s="771" t="str">
        <f>IFERROR(VLOOKUP(Table_NFI[[#This Row],[Camp Name]],CL,2,0),"")</f>
        <v>MMR001CMP066</v>
      </c>
      <c r="AP476" s="772">
        <f ca="1">IF(Table_NFI[[#This Row],[Pcode]]="","",IF(OFFSET(CampList[Opening Date],MATCH(Table_NFI[[#This Row],[Pcode]],CampList[CP_Pcode],0)-1,0,1,1)&gt;=NFI_Monitor_Date,1,0))</f>
        <v>0</v>
      </c>
      <c r="AQ476" s="781" t="str">
        <f>IFERROR(VLOOKUP(Table_NFI[[#This Row],[Camp Name]],CL,3,0),"")</f>
        <v>Open</v>
      </c>
      <c r="AR476" s="439" t="str">
        <f ca="1">IF(Table_NFI[[#This Row],[Pcode]]="","",OFFSET(CampList[Priority],MATCH(Table_NFI[[#This Row],[Pcode]],CampList[CP_Pcode],0)-1,0,1,1))</f>
        <v>P4</v>
      </c>
      <c r="AS476" s="438">
        <f>IFERROR(Table_NFI[[#This Row],[Kitchen Set]]/VLOOKUP(Table_NFI[[#This Row],[Camp Name]],CL,4,0),"")</f>
        <v>0.13574660633484162</v>
      </c>
      <c r="AT476" s="769" t="s">
        <v>1099</v>
      </c>
      <c r="AU476" s="773"/>
    </row>
    <row r="477" spans="1:47" s="774" customFormat="1" x14ac:dyDescent="0.25">
      <c r="A477" s="451">
        <f t="shared" si="7"/>
        <v>26.3</v>
      </c>
      <c r="B477" s="768">
        <v>41581</v>
      </c>
      <c r="C477" s="769" t="s">
        <v>907</v>
      </c>
      <c r="D477" s="769" t="s">
        <v>907</v>
      </c>
      <c r="E477" s="769" t="s">
        <v>380</v>
      </c>
      <c r="F477" s="435" t="s">
        <v>5</v>
      </c>
      <c r="G477" s="435" t="s">
        <v>6</v>
      </c>
      <c r="H477" s="436"/>
      <c r="I477" s="436"/>
      <c r="J477" s="436">
        <v>21</v>
      </c>
      <c r="K477" s="436"/>
      <c r="L477" s="437"/>
      <c r="M477" s="437"/>
      <c r="N477" s="437">
        <v>21</v>
      </c>
      <c r="O477" s="437"/>
      <c r="P477" s="439"/>
      <c r="Q477" s="439"/>
      <c r="R477" s="436"/>
      <c r="S477" s="436"/>
      <c r="T477" s="436"/>
      <c r="U477" s="436"/>
      <c r="V477" s="436"/>
      <c r="W477" s="436"/>
      <c r="X477" s="436"/>
      <c r="Y477" s="436">
        <f>IF(NFI_Expiration=1,IF($A477&lt;VLOOKUP(H$5,NFI,5,0),1,0)*Table_NFI[[#This Row],[Hygiene Kit]],Table_NFI[Hygiene Kit])</f>
        <v>0</v>
      </c>
      <c r="Z477" s="436">
        <f>IF(NFI_Expiration=1,IF($A477&lt;VLOOKUP(I$5,NFI,5,0),1,0)*Table_NFI[[#This Row],[NFI Core Kit]],Table_NFI[NFI Core Kit])</f>
        <v>0</v>
      </c>
      <c r="AA477" s="436">
        <f>IF(NFI_Expiration=1,IF($A477&lt;VLOOKUP(J$5,NFI,5,0),1,0)*Table_NFI[[#This Row],[Sanitary Kit]],Table_NFI[Sanitary Kit])</f>
        <v>0</v>
      </c>
      <c r="AB477" s="436">
        <f>IF(NFI_Expiration=1,IF($A477&lt;VLOOKUP(K$5,NFI,5,0),1,0)*Table_NFI[[#This Row],[Mosquito net]],Table_NFI[Mosquito net])</f>
        <v>0</v>
      </c>
      <c r="AC477" s="436">
        <f>IF(NFI_Expiration=1,IF($A477&lt;VLOOKUP(L$5,NFI,5,0),1,0)*Table_NFI[[#This Row],[Tarpaulin]],Table_NFI[[#This Row],[Tarpaulin]])</f>
        <v>0</v>
      </c>
      <c r="AD477" s="436">
        <f>IF(NFI_Expiration=1,IF($A477&lt;VLOOKUP(M$5,NFI,5,0),1,0)*Table_NFI[[#This Row],[Blanket]],Table_NFI[[#This Row],[Blanket]])</f>
        <v>0</v>
      </c>
      <c r="AE477" s="436">
        <f>IF(NFI_Expiration=1,IF($A477&lt;VLOOKUP(N$5,NFI,5,0),1,0)*Table_NFI[[#This Row],[Kitchen Set]],Table_NFI[Kitchen Set])</f>
        <v>0</v>
      </c>
      <c r="AF477" s="436">
        <f>IF(NFI_Expiration=1,IF($A477&lt;VLOOKUP(O$5,NFI,5,0),1,0)*Table_NFI[[#This Row],[Clothes Kit]],Table_NFI[Clothes Kit])</f>
        <v>0</v>
      </c>
      <c r="AG477" s="436">
        <f>IF(NFI_Expiration=1,IF($A477&lt;VLOOKUP(P$5,NFI,5,0),1,0)*Table_NFI[[#This Row],[Plastic Bucket]],Table_NFI[Plastic Bucket])</f>
        <v>0</v>
      </c>
      <c r="AH477" s="436">
        <f>IF(NFI_Expiration=1,IF($A477&lt;VLOOKUP(Q$5,NFI,5,0),1,0)*Table_NFI[[#This Row],[Plastic Mat]],Table_NFI[Plastic Mat])*IF(Table_NFI[[#This Row],[Distribution Date]]&gt;"2014-04-01",1,2.5)</f>
        <v>0</v>
      </c>
      <c r="AI477" s="436">
        <f>IF(NFI_Expiration=1,IF($A477&lt;VLOOKUP(R$5,NFI,5,0),1,0)*Table_NFI[[#This Row],[Winter Clothes Adult]],Table_NFI[Winter Clothes Adult])</f>
        <v>0</v>
      </c>
      <c r="AJ477" s="436">
        <f>IF(NFI_Expiration=1,IF($A477&lt;VLOOKUP(S$5,NFI,5,0),1,0)*Table_NFI[[#This Row],[Winter Clothes Children]],Table_NFI[Winter Clothes Children])</f>
        <v>0</v>
      </c>
      <c r="AK477" s="436">
        <f>IF(NFI_Expiration=1,IF($A477&lt;VLOOKUP(T$5,NFI,5,0),1,0)*Table_NFI[[#This Row],[Winter Items Other]],Table_NFI[Winter Items Other])</f>
        <v>0</v>
      </c>
      <c r="AL477" s="436">
        <f>IF(NFI_Expiration=1,IF($A477&lt;VLOOKUP(M$5,NFI,5,0),1,0)*Table_NFI[[#This Row],[Winter Blanket]],Table_NFI[[#This Row],[Winter Blanket]])</f>
        <v>0</v>
      </c>
      <c r="AM477" s="436">
        <f>IF(Table_NFI[[#This Row],[Winter Clothes Adult]]+Table_NFI[[#This Row],[Winter Clothes Children]]+Table_NFI[[#This Row],[Winter Items Other]]+Table_NFI[[#This Row],[Winter Blanket]]&gt;0,1,0)</f>
        <v>0</v>
      </c>
      <c r="AN477" s="439">
        <f>IF(NFI_Expiration=1,IF($A477&lt;VLOOKUP(V$5,NFI,5,0),1,0)*Table_NFI[[#This Row],[Jerry Can]],Table_NFI[Jerry Can])</f>
        <v>0</v>
      </c>
      <c r="AO477" s="771" t="str">
        <f>IFERROR(VLOOKUP(Table_NFI[[#This Row],[Camp Name]],CL,2,0),"")</f>
        <v>MMR001CMP050</v>
      </c>
      <c r="AP477" s="772">
        <f ca="1">IF(Table_NFI[[#This Row],[Pcode]]="","",IF(OFFSET(CampList[Opening Date],MATCH(Table_NFI[[#This Row],[Pcode]],CampList[CP_Pcode],0)-1,0,1,1)&gt;=NFI_Monitor_Date,1,0))</f>
        <v>0</v>
      </c>
      <c r="AQ477" s="771" t="str">
        <f>IFERROR(VLOOKUP(Table_NFI[[#This Row],[Camp Name]],CL,3,0),"")</f>
        <v>Open</v>
      </c>
      <c r="AR477" s="436" t="str">
        <f ca="1">IF(Table_NFI[[#This Row],[Pcode]]="","",OFFSET(CampList[Priority],MATCH(Table_NFI[[#This Row],[Pcode]],CampList[CP_Pcode],0)-1,0,1,1))</f>
        <v>P4</v>
      </c>
      <c r="AS477" s="438">
        <f>IFERROR(Table_NFI[[#This Row],[Kitchen Set]]/VLOOKUP(Table_NFI[[#This Row],[Camp Name]],CL,4,0),"")</f>
        <v>7.6642335766423361E-2</v>
      </c>
      <c r="AT477" s="769" t="s">
        <v>1099</v>
      </c>
      <c r="AU477" s="773"/>
    </row>
    <row r="478" spans="1:47" s="774" customFormat="1" x14ac:dyDescent="0.25">
      <c r="A478" s="451">
        <f t="shared" si="7"/>
        <v>26.3</v>
      </c>
      <c r="B478" s="768">
        <v>41581</v>
      </c>
      <c r="C478" s="769" t="s">
        <v>454</v>
      </c>
      <c r="D478" s="769" t="s">
        <v>575</v>
      </c>
      <c r="E478" s="769" t="s">
        <v>380</v>
      </c>
      <c r="F478" s="435" t="s">
        <v>151</v>
      </c>
      <c r="G478" s="435" t="s">
        <v>188</v>
      </c>
      <c r="H478" s="436"/>
      <c r="I478" s="436"/>
      <c r="J478" s="436">
        <v>130</v>
      </c>
      <c r="K478" s="436">
        <v>130</v>
      </c>
      <c r="L478" s="437">
        <v>65</v>
      </c>
      <c r="M478" s="437">
        <v>65</v>
      </c>
      <c r="N478" s="437">
        <v>65</v>
      </c>
      <c r="O478" s="437">
        <v>65</v>
      </c>
      <c r="P478" s="439"/>
      <c r="Q478" s="439"/>
      <c r="R478" s="436"/>
      <c r="S478" s="436"/>
      <c r="T478" s="436"/>
      <c r="U478" s="436"/>
      <c r="V478" s="436"/>
      <c r="W478" s="436"/>
      <c r="X478" s="436"/>
      <c r="Y478" s="436">
        <f>IF(NFI_Expiration=1,IF($A478&lt;VLOOKUP(H$5,NFI,5,0),1,0)*Table_NFI[[#This Row],[Hygiene Kit]],Table_NFI[Hygiene Kit])</f>
        <v>0</v>
      </c>
      <c r="Z478" s="436">
        <f>IF(NFI_Expiration=1,IF($A478&lt;VLOOKUP(I$5,NFI,5,0),1,0)*Table_NFI[[#This Row],[NFI Core Kit]],Table_NFI[NFI Core Kit])</f>
        <v>0</v>
      </c>
      <c r="AA478" s="436">
        <f>IF(NFI_Expiration=1,IF($A478&lt;VLOOKUP(J$5,NFI,5,0),1,0)*Table_NFI[[#This Row],[Sanitary Kit]],Table_NFI[Sanitary Kit])</f>
        <v>0</v>
      </c>
      <c r="AB478" s="436">
        <f>IF(NFI_Expiration=1,IF($A478&lt;VLOOKUP(K$5,NFI,5,0),1,0)*Table_NFI[[#This Row],[Mosquito net]],Table_NFI[Mosquito net])</f>
        <v>0</v>
      </c>
      <c r="AC478" s="436">
        <f>IF(NFI_Expiration=1,IF($A478&lt;VLOOKUP(L$5,NFI,5,0),1,0)*Table_NFI[[#This Row],[Tarpaulin]],Table_NFI[[#This Row],[Tarpaulin]])</f>
        <v>0</v>
      </c>
      <c r="AD478" s="436">
        <f>IF(NFI_Expiration=1,IF($A478&lt;VLOOKUP(M$5,NFI,5,0),1,0)*Table_NFI[[#This Row],[Blanket]],Table_NFI[[#This Row],[Blanket]])</f>
        <v>0</v>
      </c>
      <c r="AE478" s="436">
        <f>IF(NFI_Expiration=1,IF($A478&lt;VLOOKUP(N$5,NFI,5,0),1,0)*Table_NFI[[#This Row],[Kitchen Set]],Table_NFI[Kitchen Set])</f>
        <v>0</v>
      </c>
      <c r="AF478" s="436">
        <f>IF(NFI_Expiration=1,IF($A478&lt;VLOOKUP(O$5,NFI,5,0),1,0)*Table_NFI[[#This Row],[Clothes Kit]],Table_NFI[Clothes Kit])</f>
        <v>0</v>
      </c>
      <c r="AG478" s="436">
        <f>IF(NFI_Expiration=1,IF($A478&lt;VLOOKUP(P$5,NFI,5,0),1,0)*Table_NFI[[#This Row],[Plastic Bucket]],Table_NFI[Plastic Bucket])</f>
        <v>0</v>
      </c>
      <c r="AH478" s="436">
        <f>IF(NFI_Expiration=1,IF($A478&lt;VLOOKUP(Q$5,NFI,5,0),1,0)*Table_NFI[[#This Row],[Plastic Mat]],Table_NFI[Plastic Mat])*IF(Table_NFI[[#This Row],[Distribution Date]]&gt;"2014-04-01",1,2.5)</f>
        <v>0</v>
      </c>
      <c r="AI478" s="436">
        <f>IF(NFI_Expiration=1,IF($A478&lt;VLOOKUP(R$5,NFI,5,0),1,0)*Table_NFI[[#This Row],[Winter Clothes Adult]],Table_NFI[Winter Clothes Adult])</f>
        <v>0</v>
      </c>
      <c r="AJ478" s="436">
        <f>IF(NFI_Expiration=1,IF($A478&lt;VLOOKUP(S$5,NFI,5,0),1,0)*Table_NFI[[#This Row],[Winter Clothes Children]],Table_NFI[Winter Clothes Children])</f>
        <v>0</v>
      </c>
      <c r="AK478" s="436">
        <f>IF(NFI_Expiration=1,IF($A478&lt;VLOOKUP(T$5,NFI,5,0),1,0)*Table_NFI[[#This Row],[Winter Items Other]],Table_NFI[Winter Items Other])</f>
        <v>0</v>
      </c>
      <c r="AL478" s="436">
        <f>IF(NFI_Expiration=1,IF($A478&lt;VLOOKUP(M$5,NFI,5,0),1,0)*Table_NFI[[#This Row],[Winter Blanket]],Table_NFI[[#This Row],[Winter Blanket]])</f>
        <v>0</v>
      </c>
      <c r="AM478" s="436">
        <f>IF(Table_NFI[[#This Row],[Winter Clothes Adult]]+Table_NFI[[#This Row],[Winter Clothes Children]]+Table_NFI[[#This Row],[Winter Items Other]]+Table_NFI[[#This Row],[Winter Blanket]]&gt;0,1,0)</f>
        <v>0</v>
      </c>
      <c r="AN478" s="439">
        <f>IF(NFI_Expiration=1,IF($A478&lt;VLOOKUP(V$5,NFI,5,0),1,0)*Table_NFI[[#This Row],[Jerry Can]],Table_NFI[Jerry Can])</f>
        <v>0</v>
      </c>
      <c r="AO478" s="771" t="str">
        <f>IFERROR(VLOOKUP(Table_NFI[[#This Row],[Camp Name]],CL,2,0),"")</f>
        <v>MMR001CMP129</v>
      </c>
      <c r="AP478" s="772">
        <f ca="1">IF(Table_NFI[[#This Row],[Pcode]]="","",IF(OFFSET(CampList[Opening Date],MATCH(Table_NFI[[#This Row],[Pcode]],CampList[CP_Pcode],0)-1,0,1,1)&gt;=NFI_Monitor_Date,1,0))</f>
        <v>0</v>
      </c>
      <c r="AQ478" s="781" t="str">
        <f>IFERROR(VLOOKUP(Table_NFI[[#This Row],[Camp Name]],CL,3,0),"")</f>
        <v>Open</v>
      </c>
      <c r="AR478" s="439" t="str">
        <f ca="1">IF(Table_NFI[[#This Row],[Pcode]]="","",OFFSET(CampList[Priority],MATCH(Table_NFI[[#This Row],[Pcode]],CampList[CP_Pcode],0)-1,0,1,1))</f>
        <v>P2</v>
      </c>
      <c r="AS478" s="438">
        <f>IFERROR(Table_NFI[[#This Row],[Kitchen Set]]/VLOOKUP(Table_NFI[[#This Row],[Camp Name]],CL,4,0),"")</f>
        <v>0.26530612244897961</v>
      </c>
      <c r="AT478" s="769" t="s">
        <v>1099</v>
      </c>
      <c r="AU478" s="773"/>
    </row>
    <row r="479" spans="1:47" s="774" customFormat="1" x14ac:dyDescent="0.25">
      <c r="A479" s="451">
        <f t="shared" si="7"/>
        <v>26.3</v>
      </c>
      <c r="B479" s="768">
        <v>41581</v>
      </c>
      <c r="C479" s="769" t="s">
        <v>907</v>
      </c>
      <c r="D479" s="770" t="s">
        <v>907</v>
      </c>
      <c r="E479" s="769" t="s">
        <v>380</v>
      </c>
      <c r="F479" s="435" t="s">
        <v>5</v>
      </c>
      <c r="G479" s="435" t="s">
        <v>14</v>
      </c>
      <c r="H479" s="436"/>
      <c r="I479" s="436"/>
      <c r="J479" s="436">
        <v>41</v>
      </c>
      <c r="K479" s="436"/>
      <c r="L479" s="437"/>
      <c r="M479" s="437"/>
      <c r="N479" s="437">
        <v>41</v>
      </c>
      <c r="O479" s="437"/>
      <c r="P479" s="437"/>
      <c r="Q479" s="437"/>
      <c r="R479" s="436"/>
      <c r="S479" s="436"/>
      <c r="T479" s="436"/>
      <c r="U479" s="436"/>
      <c r="V479" s="436"/>
      <c r="W479" s="436"/>
      <c r="X479" s="436"/>
      <c r="Y479" s="436">
        <f>IF(NFI_Expiration=1,IF($A479&lt;VLOOKUP(H$5,NFI,5,0),1,0)*Table_NFI[[#This Row],[Hygiene Kit]],Table_NFI[Hygiene Kit])</f>
        <v>0</v>
      </c>
      <c r="Z479" s="436">
        <f>IF(NFI_Expiration=1,IF($A479&lt;VLOOKUP(I$5,NFI,5,0),1,0)*Table_NFI[[#This Row],[NFI Core Kit]],Table_NFI[NFI Core Kit])</f>
        <v>0</v>
      </c>
      <c r="AA479" s="436">
        <f>IF(NFI_Expiration=1,IF($A479&lt;VLOOKUP(J$5,NFI,5,0),1,0)*Table_NFI[[#This Row],[Sanitary Kit]],Table_NFI[Sanitary Kit])</f>
        <v>0</v>
      </c>
      <c r="AB479" s="436">
        <f>IF(NFI_Expiration=1,IF($A479&lt;VLOOKUP(K$5,NFI,5,0),1,0)*Table_NFI[[#This Row],[Mosquito net]],Table_NFI[Mosquito net])</f>
        <v>0</v>
      </c>
      <c r="AC479" s="436">
        <f>IF(NFI_Expiration=1,IF($A479&lt;VLOOKUP(L$5,NFI,5,0),1,0)*Table_NFI[[#This Row],[Tarpaulin]],Table_NFI[[#This Row],[Tarpaulin]])</f>
        <v>0</v>
      </c>
      <c r="AD479" s="436">
        <f>IF(NFI_Expiration=1,IF($A479&lt;VLOOKUP(M$5,NFI,5,0),1,0)*Table_NFI[[#This Row],[Blanket]],Table_NFI[[#This Row],[Blanket]])</f>
        <v>0</v>
      </c>
      <c r="AE479" s="436">
        <f>IF(NFI_Expiration=1,IF($A479&lt;VLOOKUP(N$5,NFI,5,0),1,0)*Table_NFI[[#This Row],[Kitchen Set]],Table_NFI[Kitchen Set])</f>
        <v>0</v>
      </c>
      <c r="AF479" s="436">
        <f>IF(NFI_Expiration=1,IF($A479&lt;VLOOKUP(O$5,NFI,5,0),1,0)*Table_NFI[[#This Row],[Clothes Kit]],Table_NFI[Clothes Kit])</f>
        <v>0</v>
      </c>
      <c r="AG479" s="436">
        <f>IF(NFI_Expiration=1,IF($A479&lt;VLOOKUP(P$5,NFI,5,0),1,0)*Table_NFI[[#This Row],[Plastic Bucket]],Table_NFI[Plastic Bucket])</f>
        <v>0</v>
      </c>
      <c r="AH479" s="436">
        <f>IF(NFI_Expiration=1,IF($A479&lt;VLOOKUP(Q$5,NFI,5,0),1,0)*Table_NFI[[#This Row],[Plastic Mat]],Table_NFI[Plastic Mat])*IF(Table_NFI[[#This Row],[Distribution Date]]&gt;"2014-04-01",1,2.5)</f>
        <v>0</v>
      </c>
      <c r="AI479" s="436">
        <f>IF(NFI_Expiration=1,IF($A479&lt;VLOOKUP(R$5,NFI,5,0),1,0)*Table_NFI[[#This Row],[Winter Clothes Adult]],Table_NFI[Winter Clothes Adult])</f>
        <v>0</v>
      </c>
      <c r="AJ479" s="436">
        <f>IF(NFI_Expiration=1,IF($A479&lt;VLOOKUP(S$5,NFI,5,0),1,0)*Table_NFI[[#This Row],[Winter Clothes Children]],Table_NFI[Winter Clothes Children])</f>
        <v>0</v>
      </c>
      <c r="AK479" s="436">
        <f>IF(NFI_Expiration=1,IF($A479&lt;VLOOKUP(T$5,NFI,5,0),1,0)*Table_NFI[[#This Row],[Winter Items Other]],Table_NFI[Winter Items Other])</f>
        <v>0</v>
      </c>
      <c r="AL479" s="436">
        <f>IF(NFI_Expiration=1,IF($A479&lt;VLOOKUP(M$5,NFI,5,0),1,0)*Table_NFI[[#This Row],[Winter Blanket]],Table_NFI[[#This Row],[Winter Blanket]])</f>
        <v>0</v>
      </c>
      <c r="AM479" s="436">
        <f>IF(Table_NFI[[#This Row],[Winter Clothes Adult]]+Table_NFI[[#This Row],[Winter Clothes Children]]+Table_NFI[[#This Row],[Winter Items Other]]+Table_NFI[[#This Row],[Winter Blanket]]&gt;0,1,0)</f>
        <v>0</v>
      </c>
      <c r="AN479" s="439">
        <f>IF(NFI_Expiration=1,IF($A479&lt;VLOOKUP(V$5,NFI,5,0),1,0)*Table_NFI[[#This Row],[Jerry Can]],Table_NFI[Jerry Can])</f>
        <v>0</v>
      </c>
      <c r="AO479" s="771" t="str">
        <f>IFERROR(VLOOKUP(Table_NFI[[#This Row],[Camp Name]],CL,2,0),"")</f>
        <v>MMR001CMP052</v>
      </c>
      <c r="AP479" s="772">
        <f ca="1">IF(Table_NFI[[#This Row],[Pcode]]="","",IF(OFFSET(CampList[Opening Date],MATCH(Table_NFI[[#This Row],[Pcode]],CampList[CP_Pcode],0)-1,0,1,1)&gt;=NFI_Monitor_Date,1,0))</f>
        <v>0</v>
      </c>
      <c r="AQ479" s="771" t="str">
        <f>IFERROR(VLOOKUP(Table_NFI[[#This Row],[Camp Name]],CL,3,0),"")</f>
        <v>Open</v>
      </c>
      <c r="AR479" s="436" t="str">
        <f ca="1">IF(Table_NFI[[#This Row],[Pcode]]="","",OFFSET(CampList[Priority],MATCH(Table_NFI[[#This Row],[Pcode]],CampList[CP_Pcode],0)-1,0,1,1))</f>
        <v>P4</v>
      </c>
      <c r="AS479" s="438">
        <f>IFERROR(Table_NFI[[#This Row],[Kitchen Set]]/VLOOKUP(Table_NFI[[#This Row],[Camp Name]],CL,4,0),"")</f>
        <v>0.95348837209302328</v>
      </c>
      <c r="AT479" s="769" t="s">
        <v>1099</v>
      </c>
      <c r="AU479" s="773"/>
    </row>
    <row r="480" spans="1:47" s="774" customFormat="1" x14ac:dyDescent="0.25">
      <c r="A480" s="451">
        <f t="shared" si="7"/>
        <v>26.3</v>
      </c>
      <c r="B480" s="768">
        <v>41581</v>
      </c>
      <c r="C480" s="769" t="s">
        <v>454</v>
      </c>
      <c r="D480" s="769" t="s">
        <v>575</v>
      </c>
      <c r="E480" s="769" t="s">
        <v>380</v>
      </c>
      <c r="F480" s="435" t="s">
        <v>151</v>
      </c>
      <c r="G480" s="435" t="s">
        <v>198</v>
      </c>
      <c r="H480" s="436"/>
      <c r="I480" s="436"/>
      <c r="J480" s="436">
        <v>592</v>
      </c>
      <c r="K480" s="436">
        <v>592</v>
      </c>
      <c r="L480" s="437">
        <v>296</v>
      </c>
      <c r="M480" s="437">
        <v>296</v>
      </c>
      <c r="N480" s="437">
        <v>296</v>
      </c>
      <c r="O480" s="437">
        <v>296</v>
      </c>
      <c r="P480" s="439"/>
      <c r="Q480" s="439"/>
      <c r="R480" s="436"/>
      <c r="S480" s="436"/>
      <c r="T480" s="436"/>
      <c r="U480" s="436"/>
      <c r="V480" s="436"/>
      <c r="W480" s="436"/>
      <c r="X480" s="436"/>
      <c r="Y480" s="436">
        <f>IF(NFI_Expiration=1,IF($A480&lt;VLOOKUP(H$5,NFI,5,0),1,0)*Table_NFI[[#This Row],[Hygiene Kit]],Table_NFI[Hygiene Kit])</f>
        <v>0</v>
      </c>
      <c r="Z480" s="436">
        <f>IF(NFI_Expiration=1,IF($A480&lt;VLOOKUP(I$5,NFI,5,0),1,0)*Table_NFI[[#This Row],[NFI Core Kit]],Table_NFI[NFI Core Kit])</f>
        <v>0</v>
      </c>
      <c r="AA480" s="436">
        <f>IF(NFI_Expiration=1,IF($A480&lt;VLOOKUP(J$5,NFI,5,0),1,0)*Table_NFI[[#This Row],[Sanitary Kit]],Table_NFI[Sanitary Kit])</f>
        <v>0</v>
      </c>
      <c r="AB480" s="436">
        <f>IF(NFI_Expiration=1,IF($A480&lt;VLOOKUP(K$5,NFI,5,0),1,0)*Table_NFI[[#This Row],[Mosquito net]],Table_NFI[Mosquito net])</f>
        <v>0</v>
      </c>
      <c r="AC480" s="436">
        <f>IF(NFI_Expiration=1,IF($A480&lt;VLOOKUP(L$5,NFI,5,0),1,0)*Table_NFI[[#This Row],[Tarpaulin]],Table_NFI[[#This Row],[Tarpaulin]])</f>
        <v>0</v>
      </c>
      <c r="AD480" s="436">
        <f>IF(NFI_Expiration=1,IF($A480&lt;VLOOKUP(M$5,NFI,5,0),1,0)*Table_NFI[[#This Row],[Blanket]],Table_NFI[[#This Row],[Blanket]])</f>
        <v>0</v>
      </c>
      <c r="AE480" s="436">
        <f>IF(NFI_Expiration=1,IF($A480&lt;VLOOKUP(N$5,NFI,5,0),1,0)*Table_NFI[[#This Row],[Kitchen Set]],Table_NFI[Kitchen Set])</f>
        <v>0</v>
      </c>
      <c r="AF480" s="436">
        <f>IF(NFI_Expiration=1,IF($A480&lt;VLOOKUP(O$5,NFI,5,0),1,0)*Table_NFI[[#This Row],[Clothes Kit]],Table_NFI[Clothes Kit])</f>
        <v>0</v>
      </c>
      <c r="AG480" s="436">
        <f>IF(NFI_Expiration=1,IF($A480&lt;VLOOKUP(P$5,NFI,5,0),1,0)*Table_NFI[[#This Row],[Plastic Bucket]],Table_NFI[Plastic Bucket])</f>
        <v>0</v>
      </c>
      <c r="AH480" s="436">
        <f>IF(NFI_Expiration=1,IF($A480&lt;VLOOKUP(Q$5,NFI,5,0),1,0)*Table_NFI[[#This Row],[Plastic Mat]],Table_NFI[Plastic Mat])*IF(Table_NFI[[#This Row],[Distribution Date]]&gt;"2014-04-01",1,2.5)</f>
        <v>0</v>
      </c>
      <c r="AI480" s="436">
        <f>IF(NFI_Expiration=1,IF($A480&lt;VLOOKUP(R$5,NFI,5,0),1,0)*Table_NFI[[#This Row],[Winter Clothes Adult]],Table_NFI[Winter Clothes Adult])</f>
        <v>0</v>
      </c>
      <c r="AJ480" s="436">
        <f>IF(NFI_Expiration=1,IF($A480&lt;VLOOKUP(S$5,NFI,5,0),1,0)*Table_NFI[[#This Row],[Winter Clothes Children]],Table_NFI[Winter Clothes Children])</f>
        <v>0</v>
      </c>
      <c r="AK480" s="436">
        <f>IF(NFI_Expiration=1,IF($A480&lt;VLOOKUP(T$5,NFI,5,0),1,0)*Table_NFI[[#This Row],[Winter Items Other]],Table_NFI[Winter Items Other])</f>
        <v>0</v>
      </c>
      <c r="AL480" s="436">
        <f>IF(NFI_Expiration=1,IF($A480&lt;VLOOKUP(M$5,NFI,5,0),1,0)*Table_NFI[[#This Row],[Winter Blanket]],Table_NFI[[#This Row],[Winter Blanket]])</f>
        <v>0</v>
      </c>
      <c r="AM480" s="436">
        <f>IF(Table_NFI[[#This Row],[Winter Clothes Adult]]+Table_NFI[[#This Row],[Winter Clothes Children]]+Table_NFI[[#This Row],[Winter Items Other]]+Table_NFI[[#This Row],[Winter Blanket]]&gt;0,1,0)</f>
        <v>0</v>
      </c>
      <c r="AN480" s="439">
        <f>IF(NFI_Expiration=1,IF($A480&lt;VLOOKUP(V$5,NFI,5,0),1,0)*Table_NFI[[#This Row],[Jerry Can]],Table_NFI[Jerry Can])</f>
        <v>0</v>
      </c>
      <c r="AO480" s="771" t="str">
        <f>IFERROR(VLOOKUP(Table_NFI[[#This Row],[Camp Name]],CL,2,0),"")</f>
        <v>MMR001CMP128</v>
      </c>
      <c r="AP480" s="772">
        <f ca="1">IF(Table_NFI[[#This Row],[Pcode]]="","",IF(OFFSET(CampList[Opening Date],MATCH(Table_NFI[[#This Row],[Pcode]],CampList[CP_Pcode],0)-1,0,1,1)&gt;=NFI_Monitor_Date,1,0))</f>
        <v>0</v>
      </c>
      <c r="AQ480" s="781" t="str">
        <f>IFERROR(VLOOKUP(Table_NFI[[#This Row],[Camp Name]],CL,3,0),"")</f>
        <v>Open</v>
      </c>
      <c r="AR480" s="439" t="str">
        <f ca="1">IF(Table_NFI[[#This Row],[Pcode]]="","",OFFSET(CampList[Priority],MATCH(Table_NFI[[#This Row],[Pcode]],CampList[CP_Pcode],0)-1,0,1,1))</f>
        <v>P2</v>
      </c>
      <c r="AS480" s="438">
        <f>IFERROR(Table_NFI[[#This Row],[Kitchen Set]]/VLOOKUP(Table_NFI[[#This Row],[Camp Name]],CL,4,0),"")</f>
        <v>0.5431192660550459</v>
      </c>
      <c r="AT480" s="769" t="s">
        <v>1099</v>
      </c>
      <c r="AU480" s="773"/>
    </row>
    <row r="481" spans="1:47" s="774" customFormat="1" x14ac:dyDescent="0.25">
      <c r="A481" s="451">
        <f t="shared" si="7"/>
        <v>26.3</v>
      </c>
      <c r="B481" s="768">
        <v>41581</v>
      </c>
      <c r="C481" s="769" t="s">
        <v>454</v>
      </c>
      <c r="D481" s="769" t="s">
        <v>575</v>
      </c>
      <c r="E481" s="769" t="s">
        <v>380</v>
      </c>
      <c r="F481" s="435" t="s">
        <v>185</v>
      </c>
      <c r="G481" s="435" t="s">
        <v>190</v>
      </c>
      <c r="H481" s="436"/>
      <c r="I481" s="436"/>
      <c r="J481" s="436">
        <v>24</v>
      </c>
      <c r="K481" s="436">
        <v>24</v>
      </c>
      <c r="L481" s="437">
        <v>12</v>
      </c>
      <c r="M481" s="437">
        <v>12</v>
      </c>
      <c r="N481" s="437">
        <v>12</v>
      </c>
      <c r="O481" s="437">
        <v>12</v>
      </c>
      <c r="P481" s="439"/>
      <c r="Q481" s="439"/>
      <c r="R481" s="436"/>
      <c r="S481" s="436"/>
      <c r="T481" s="436"/>
      <c r="U481" s="436"/>
      <c r="V481" s="436"/>
      <c r="W481" s="436"/>
      <c r="X481" s="436"/>
      <c r="Y481" s="436">
        <f>IF(NFI_Expiration=1,IF($A481&lt;VLOOKUP(H$5,NFI,5,0),1,0)*Table_NFI[[#This Row],[Hygiene Kit]],Table_NFI[Hygiene Kit])</f>
        <v>0</v>
      </c>
      <c r="Z481" s="436">
        <f>IF(NFI_Expiration=1,IF($A481&lt;VLOOKUP(I$5,NFI,5,0),1,0)*Table_NFI[[#This Row],[NFI Core Kit]],Table_NFI[NFI Core Kit])</f>
        <v>0</v>
      </c>
      <c r="AA481" s="436">
        <f>IF(NFI_Expiration=1,IF($A481&lt;VLOOKUP(J$5,NFI,5,0),1,0)*Table_NFI[[#This Row],[Sanitary Kit]],Table_NFI[Sanitary Kit])</f>
        <v>0</v>
      </c>
      <c r="AB481" s="436">
        <f>IF(NFI_Expiration=1,IF($A481&lt;VLOOKUP(K$5,NFI,5,0),1,0)*Table_NFI[[#This Row],[Mosquito net]],Table_NFI[Mosquito net])</f>
        <v>0</v>
      </c>
      <c r="AC481" s="436">
        <f>IF(NFI_Expiration=1,IF($A481&lt;VLOOKUP(L$5,NFI,5,0),1,0)*Table_NFI[[#This Row],[Tarpaulin]],Table_NFI[[#This Row],[Tarpaulin]])</f>
        <v>0</v>
      </c>
      <c r="AD481" s="436">
        <f>IF(NFI_Expiration=1,IF($A481&lt;VLOOKUP(M$5,NFI,5,0),1,0)*Table_NFI[[#This Row],[Blanket]],Table_NFI[[#This Row],[Blanket]])</f>
        <v>0</v>
      </c>
      <c r="AE481" s="436">
        <f>IF(NFI_Expiration=1,IF($A481&lt;VLOOKUP(N$5,NFI,5,0),1,0)*Table_NFI[[#This Row],[Kitchen Set]],Table_NFI[Kitchen Set])</f>
        <v>0</v>
      </c>
      <c r="AF481" s="436">
        <f>IF(NFI_Expiration=1,IF($A481&lt;VLOOKUP(O$5,NFI,5,0),1,0)*Table_NFI[[#This Row],[Clothes Kit]],Table_NFI[Clothes Kit])</f>
        <v>0</v>
      </c>
      <c r="AG481" s="436">
        <f>IF(NFI_Expiration=1,IF($A481&lt;VLOOKUP(P$5,NFI,5,0),1,0)*Table_NFI[[#This Row],[Plastic Bucket]],Table_NFI[Plastic Bucket])</f>
        <v>0</v>
      </c>
      <c r="AH481" s="436">
        <f>IF(NFI_Expiration=1,IF($A481&lt;VLOOKUP(Q$5,NFI,5,0),1,0)*Table_NFI[[#This Row],[Plastic Mat]],Table_NFI[Plastic Mat])*IF(Table_NFI[[#This Row],[Distribution Date]]&gt;"2014-04-01",1,2.5)</f>
        <v>0</v>
      </c>
      <c r="AI481" s="436">
        <f>IF(NFI_Expiration=1,IF($A481&lt;VLOOKUP(R$5,NFI,5,0),1,0)*Table_NFI[[#This Row],[Winter Clothes Adult]],Table_NFI[Winter Clothes Adult])</f>
        <v>0</v>
      </c>
      <c r="AJ481" s="436">
        <f>IF(NFI_Expiration=1,IF($A481&lt;VLOOKUP(S$5,NFI,5,0),1,0)*Table_NFI[[#This Row],[Winter Clothes Children]],Table_NFI[Winter Clothes Children])</f>
        <v>0</v>
      </c>
      <c r="AK481" s="436">
        <f>IF(NFI_Expiration=1,IF($A481&lt;VLOOKUP(T$5,NFI,5,0),1,0)*Table_NFI[[#This Row],[Winter Items Other]],Table_NFI[Winter Items Other])</f>
        <v>0</v>
      </c>
      <c r="AL481" s="436">
        <f>IF(NFI_Expiration=1,IF($A481&lt;VLOOKUP(M$5,NFI,5,0),1,0)*Table_NFI[[#This Row],[Winter Blanket]],Table_NFI[[#This Row],[Winter Blanket]])</f>
        <v>0</v>
      </c>
      <c r="AM481" s="436">
        <f>IF(Table_NFI[[#This Row],[Winter Clothes Adult]]+Table_NFI[[#This Row],[Winter Clothes Children]]+Table_NFI[[#This Row],[Winter Items Other]]+Table_NFI[[#This Row],[Winter Blanket]]&gt;0,1,0)</f>
        <v>0</v>
      </c>
      <c r="AN481" s="439">
        <f>IF(NFI_Expiration=1,IF($A481&lt;VLOOKUP(V$5,NFI,5,0),1,0)*Table_NFI[[#This Row],[Jerry Can]],Table_NFI[Jerry Can])</f>
        <v>0</v>
      </c>
      <c r="AO481" s="771" t="str">
        <f>IFERROR(VLOOKUP(Table_NFI[[#This Row],[Camp Name]],CL,2,0),"")</f>
        <v>MMR001CMP070</v>
      </c>
      <c r="AP481" s="772">
        <f ca="1">IF(Table_NFI[[#This Row],[Pcode]]="","",IF(OFFSET(CampList[Opening Date],MATCH(Table_NFI[[#This Row],[Pcode]],CampList[CP_Pcode],0)-1,0,1,1)&gt;=NFI_Monitor_Date,1,0))</f>
        <v>0</v>
      </c>
      <c r="AQ481" s="781" t="str">
        <f>IFERROR(VLOOKUP(Table_NFI[[#This Row],[Camp Name]],CL,3,0),"")</f>
        <v>Open</v>
      </c>
      <c r="AR481" s="439" t="str">
        <f ca="1">IF(Table_NFI[[#This Row],[Pcode]]="","",OFFSET(CampList[Priority],MATCH(Table_NFI[[#This Row],[Pcode]],CampList[CP_Pcode],0)-1,0,1,1))</f>
        <v>P3</v>
      </c>
      <c r="AS481" s="438">
        <f>IFERROR(Table_NFI[[#This Row],[Kitchen Set]]/VLOOKUP(Table_NFI[[#This Row],[Camp Name]],CL,4,0),"")</f>
        <v>6.3829787234042548E-2</v>
      </c>
      <c r="AT481" s="769" t="s">
        <v>1099</v>
      </c>
      <c r="AU481" s="773"/>
    </row>
    <row r="482" spans="1:47" s="774" customFormat="1" x14ac:dyDescent="0.25">
      <c r="A482" s="451">
        <f t="shared" si="7"/>
        <v>26.3</v>
      </c>
      <c r="B482" s="768">
        <v>41581</v>
      </c>
      <c r="C482" s="769" t="s">
        <v>907</v>
      </c>
      <c r="D482" s="770" t="s">
        <v>907</v>
      </c>
      <c r="E482" s="769" t="s">
        <v>380</v>
      </c>
      <c r="F482" s="435" t="s">
        <v>151</v>
      </c>
      <c r="G482" s="435" t="s">
        <v>152</v>
      </c>
      <c r="H482" s="436"/>
      <c r="I482" s="436"/>
      <c r="J482" s="436">
        <v>29</v>
      </c>
      <c r="K482" s="436"/>
      <c r="L482" s="437"/>
      <c r="M482" s="437"/>
      <c r="N482" s="437">
        <v>29</v>
      </c>
      <c r="O482" s="437"/>
      <c r="P482" s="437"/>
      <c r="Q482" s="437"/>
      <c r="R482" s="436"/>
      <c r="S482" s="436"/>
      <c r="T482" s="436"/>
      <c r="U482" s="436"/>
      <c r="V482" s="436"/>
      <c r="W482" s="436"/>
      <c r="X482" s="436"/>
      <c r="Y482" s="436">
        <f>IF(NFI_Expiration=1,IF($A482&lt;VLOOKUP(H$5,NFI,5,0),1,0)*Table_NFI[[#This Row],[Hygiene Kit]],Table_NFI[Hygiene Kit])</f>
        <v>0</v>
      </c>
      <c r="Z482" s="436">
        <f>IF(NFI_Expiration=1,IF($A482&lt;VLOOKUP(I$5,NFI,5,0),1,0)*Table_NFI[[#This Row],[NFI Core Kit]],Table_NFI[NFI Core Kit])</f>
        <v>0</v>
      </c>
      <c r="AA482" s="436">
        <f>IF(NFI_Expiration=1,IF($A482&lt;VLOOKUP(J$5,NFI,5,0),1,0)*Table_NFI[[#This Row],[Sanitary Kit]],Table_NFI[Sanitary Kit])</f>
        <v>0</v>
      </c>
      <c r="AB482" s="436">
        <f>IF(NFI_Expiration=1,IF($A482&lt;VLOOKUP(K$5,NFI,5,0),1,0)*Table_NFI[[#This Row],[Mosquito net]],Table_NFI[Mosquito net])</f>
        <v>0</v>
      </c>
      <c r="AC482" s="436">
        <f>IF(NFI_Expiration=1,IF($A482&lt;VLOOKUP(L$5,NFI,5,0),1,0)*Table_NFI[[#This Row],[Tarpaulin]],Table_NFI[[#This Row],[Tarpaulin]])</f>
        <v>0</v>
      </c>
      <c r="AD482" s="436">
        <f>IF(NFI_Expiration=1,IF($A482&lt;VLOOKUP(M$5,NFI,5,0),1,0)*Table_NFI[[#This Row],[Blanket]],Table_NFI[[#This Row],[Blanket]])</f>
        <v>0</v>
      </c>
      <c r="AE482" s="436">
        <f>IF(NFI_Expiration=1,IF($A482&lt;VLOOKUP(N$5,NFI,5,0),1,0)*Table_NFI[[#This Row],[Kitchen Set]],Table_NFI[Kitchen Set])</f>
        <v>0</v>
      </c>
      <c r="AF482" s="436">
        <f>IF(NFI_Expiration=1,IF($A482&lt;VLOOKUP(O$5,NFI,5,0),1,0)*Table_NFI[[#This Row],[Clothes Kit]],Table_NFI[Clothes Kit])</f>
        <v>0</v>
      </c>
      <c r="AG482" s="436">
        <f>IF(NFI_Expiration=1,IF($A482&lt;VLOOKUP(P$5,NFI,5,0),1,0)*Table_NFI[[#This Row],[Plastic Bucket]],Table_NFI[Plastic Bucket])</f>
        <v>0</v>
      </c>
      <c r="AH482" s="436">
        <f>IF(NFI_Expiration=1,IF($A482&lt;VLOOKUP(Q$5,NFI,5,0),1,0)*Table_NFI[[#This Row],[Plastic Mat]],Table_NFI[Plastic Mat])*IF(Table_NFI[[#This Row],[Distribution Date]]&gt;"2014-04-01",1,2.5)</f>
        <v>0</v>
      </c>
      <c r="AI482" s="436">
        <f>IF(NFI_Expiration=1,IF($A482&lt;VLOOKUP(R$5,NFI,5,0),1,0)*Table_NFI[[#This Row],[Winter Clothes Adult]],Table_NFI[Winter Clothes Adult])</f>
        <v>0</v>
      </c>
      <c r="AJ482" s="436">
        <f>IF(NFI_Expiration=1,IF($A482&lt;VLOOKUP(S$5,NFI,5,0),1,0)*Table_NFI[[#This Row],[Winter Clothes Children]],Table_NFI[Winter Clothes Children])</f>
        <v>0</v>
      </c>
      <c r="AK482" s="436">
        <f>IF(NFI_Expiration=1,IF($A482&lt;VLOOKUP(T$5,NFI,5,0),1,0)*Table_NFI[[#This Row],[Winter Items Other]],Table_NFI[Winter Items Other])</f>
        <v>0</v>
      </c>
      <c r="AL482" s="436">
        <f>IF(NFI_Expiration=1,IF($A482&lt;VLOOKUP(M$5,NFI,5,0),1,0)*Table_NFI[[#This Row],[Winter Blanket]],Table_NFI[[#This Row],[Winter Blanket]])</f>
        <v>0</v>
      </c>
      <c r="AM482" s="436">
        <f>IF(Table_NFI[[#This Row],[Winter Clothes Adult]]+Table_NFI[[#This Row],[Winter Clothes Children]]+Table_NFI[[#This Row],[Winter Items Other]]+Table_NFI[[#This Row],[Winter Blanket]]&gt;0,1,0)</f>
        <v>0</v>
      </c>
      <c r="AN482" s="439">
        <f>IF(NFI_Expiration=1,IF($A482&lt;VLOOKUP(V$5,NFI,5,0),1,0)*Table_NFI[[#This Row],[Jerry Can]],Table_NFI[Jerry Can])</f>
        <v>0</v>
      </c>
      <c r="AO482" s="771" t="str">
        <f>IFERROR(VLOOKUP(Table_NFI[[#This Row],[Camp Name]],CL,2,0),"")</f>
        <v>MMR001CMP066</v>
      </c>
      <c r="AP482" s="772">
        <f ca="1">IF(Table_NFI[[#This Row],[Pcode]]="","",IF(OFFSET(CampList[Opening Date],MATCH(Table_NFI[[#This Row],[Pcode]],CampList[CP_Pcode],0)-1,0,1,1)&gt;=NFI_Monitor_Date,1,0))</f>
        <v>0</v>
      </c>
      <c r="AQ482" s="771" t="str">
        <f>IFERROR(VLOOKUP(Table_NFI[[#This Row],[Camp Name]],CL,3,0),"")</f>
        <v>Open</v>
      </c>
      <c r="AR482" s="436" t="str">
        <f ca="1">IF(Table_NFI[[#This Row],[Pcode]]="","",OFFSET(CampList[Priority],MATCH(Table_NFI[[#This Row],[Pcode]],CampList[CP_Pcode],0)-1,0,1,1))</f>
        <v>P4</v>
      </c>
      <c r="AS482" s="438">
        <f>IFERROR(Table_NFI[[#This Row],[Kitchen Set]]/VLOOKUP(Table_NFI[[#This Row],[Camp Name]],CL,4,0),"")</f>
        <v>0.13122171945701358</v>
      </c>
      <c r="AT482" s="769" t="s">
        <v>1099</v>
      </c>
      <c r="AU482" s="773"/>
    </row>
    <row r="483" spans="1:47" s="774" customFormat="1" x14ac:dyDescent="0.25">
      <c r="A483" s="451">
        <f t="shared" si="7"/>
        <v>26.3</v>
      </c>
      <c r="B483" s="768">
        <v>41581</v>
      </c>
      <c r="C483" s="769" t="s">
        <v>907</v>
      </c>
      <c r="D483" s="770" t="s">
        <v>907</v>
      </c>
      <c r="E483" s="769" t="s">
        <v>380</v>
      </c>
      <c r="F483" s="435" t="s">
        <v>5</v>
      </c>
      <c r="G483" s="435" t="s">
        <v>366</v>
      </c>
      <c r="H483" s="436"/>
      <c r="I483" s="436"/>
      <c r="J483" s="436">
        <v>49</v>
      </c>
      <c r="K483" s="436"/>
      <c r="L483" s="437"/>
      <c r="M483" s="437"/>
      <c r="N483" s="437">
        <v>49</v>
      </c>
      <c r="O483" s="437"/>
      <c r="P483" s="437"/>
      <c r="Q483" s="437"/>
      <c r="R483" s="436"/>
      <c r="S483" s="436"/>
      <c r="T483" s="436"/>
      <c r="U483" s="436"/>
      <c r="V483" s="436"/>
      <c r="W483" s="436"/>
      <c r="X483" s="436"/>
      <c r="Y483" s="436">
        <f>IF(NFI_Expiration=1,IF($A483&lt;VLOOKUP(H$5,NFI,5,0),1,0)*Table_NFI[[#This Row],[Hygiene Kit]],Table_NFI[Hygiene Kit])</f>
        <v>0</v>
      </c>
      <c r="Z483" s="436">
        <f>IF(NFI_Expiration=1,IF($A483&lt;VLOOKUP(I$5,NFI,5,0),1,0)*Table_NFI[[#This Row],[NFI Core Kit]],Table_NFI[NFI Core Kit])</f>
        <v>0</v>
      </c>
      <c r="AA483" s="436">
        <f>IF(NFI_Expiration=1,IF($A483&lt;VLOOKUP(J$5,NFI,5,0),1,0)*Table_NFI[[#This Row],[Sanitary Kit]],Table_NFI[Sanitary Kit])</f>
        <v>0</v>
      </c>
      <c r="AB483" s="436">
        <f>IF(NFI_Expiration=1,IF($A483&lt;VLOOKUP(K$5,NFI,5,0),1,0)*Table_NFI[[#This Row],[Mosquito net]],Table_NFI[Mosquito net])</f>
        <v>0</v>
      </c>
      <c r="AC483" s="436">
        <f>IF(NFI_Expiration=1,IF($A483&lt;VLOOKUP(L$5,NFI,5,0),1,0)*Table_NFI[[#This Row],[Tarpaulin]],Table_NFI[[#This Row],[Tarpaulin]])</f>
        <v>0</v>
      </c>
      <c r="AD483" s="436">
        <f>IF(NFI_Expiration=1,IF($A483&lt;VLOOKUP(M$5,NFI,5,0),1,0)*Table_NFI[[#This Row],[Blanket]],Table_NFI[[#This Row],[Blanket]])</f>
        <v>0</v>
      </c>
      <c r="AE483" s="436">
        <f>IF(NFI_Expiration=1,IF($A483&lt;VLOOKUP(N$5,NFI,5,0),1,0)*Table_NFI[[#This Row],[Kitchen Set]],Table_NFI[Kitchen Set])</f>
        <v>0</v>
      </c>
      <c r="AF483" s="436">
        <f>IF(NFI_Expiration=1,IF($A483&lt;VLOOKUP(O$5,NFI,5,0),1,0)*Table_NFI[[#This Row],[Clothes Kit]],Table_NFI[Clothes Kit])</f>
        <v>0</v>
      </c>
      <c r="AG483" s="436">
        <f>IF(NFI_Expiration=1,IF($A483&lt;VLOOKUP(P$5,NFI,5,0),1,0)*Table_NFI[[#This Row],[Plastic Bucket]],Table_NFI[Plastic Bucket])</f>
        <v>0</v>
      </c>
      <c r="AH483" s="436">
        <f>IF(NFI_Expiration=1,IF($A483&lt;VLOOKUP(Q$5,NFI,5,0),1,0)*Table_NFI[[#This Row],[Plastic Mat]],Table_NFI[Plastic Mat])*IF(Table_NFI[[#This Row],[Distribution Date]]&gt;"2014-04-01",1,2.5)</f>
        <v>0</v>
      </c>
      <c r="AI483" s="436">
        <f>IF(NFI_Expiration=1,IF($A483&lt;VLOOKUP(R$5,NFI,5,0),1,0)*Table_NFI[[#This Row],[Winter Clothes Adult]],Table_NFI[Winter Clothes Adult])</f>
        <v>0</v>
      </c>
      <c r="AJ483" s="436">
        <f>IF(NFI_Expiration=1,IF($A483&lt;VLOOKUP(S$5,NFI,5,0),1,0)*Table_NFI[[#This Row],[Winter Clothes Children]],Table_NFI[Winter Clothes Children])</f>
        <v>0</v>
      </c>
      <c r="AK483" s="436">
        <f>IF(NFI_Expiration=1,IF($A483&lt;VLOOKUP(T$5,NFI,5,0),1,0)*Table_NFI[[#This Row],[Winter Items Other]],Table_NFI[Winter Items Other])</f>
        <v>0</v>
      </c>
      <c r="AL483" s="436">
        <f>IF(NFI_Expiration=1,IF($A483&lt;VLOOKUP(M$5,NFI,5,0),1,0)*Table_NFI[[#This Row],[Winter Blanket]],Table_NFI[[#This Row],[Winter Blanket]])</f>
        <v>0</v>
      </c>
      <c r="AM483" s="436">
        <f>IF(Table_NFI[[#This Row],[Winter Clothes Adult]]+Table_NFI[[#This Row],[Winter Clothes Children]]+Table_NFI[[#This Row],[Winter Items Other]]+Table_NFI[[#This Row],[Winter Blanket]]&gt;0,1,0)</f>
        <v>0</v>
      </c>
      <c r="AN483" s="439">
        <f>IF(NFI_Expiration=1,IF($A483&lt;VLOOKUP(V$5,NFI,5,0),1,0)*Table_NFI[[#This Row],[Jerry Can]],Table_NFI[Jerry Can])</f>
        <v>0</v>
      </c>
      <c r="AO483" s="771" t="str">
        <f>IFERROR(VLOOKUP(Table_NFI[[#This Row],[Camp Name]],CL,2,0),"")</f>
        <v>MMR001CMP193</v>
      </c>
      <c r="AP483" s="772">
        <f ca="1">IF(Table_NFI[[#This Row],[Pcode]]="","",IF(OFFSET(CampList[Opening Date],MATCH(Table_NFI[[#This Row],[Pcode]],CampList[CP_Pcode],0)-1,0,1,1)&gt;=NFI_Monitor_Date,1,0))</f>
        <v>0</v>
      </c>
      <c r="AQ483" s="771" t="str">
        <f>IFERROR(VLOOKUP(Table_NFI[[#This Row],[Camp Name]],CL,3,0),"")</f>
        <v>Open</v>
      </c>
      <c r="AR483" s="436" t="str">
        <f ca="1">IF(Table_NFI[[#This Row],[Pcode]]="","",OFFSET(CampList[Priority],MATCH(Table_NFI[[#This Row],[Pcode]],CampList[CP_Pcode],0)-1,0,1,1))</f>
        <v>P4</v>
      </c>
      <c r="AS483" s="438">
        <f>IFERROR(Table_NFI[[#This Row],[Kitchen Set]]/VLOOKUP(Table_NFI[[#This Row],[Camp Name]],CL,4,0),"")</f>
        <v>0.31210191082802546</v>
      </c>
      <c r="AT483" s="769" t="s">
        <v>1099</v>
      </c>
      <c r="AU483" s="773"/>
    </row>
    <row r="484" spans="1:47" s="774" customFormat="1" x14ac:dyDescent="0.25">
      <c r="A484" s="451">
        <f t="shared" si="7"/>
        <v>26.366666666666667</v>
      </c>
      <c r="B484" s="768">
        <v>41579</v>
      </c>
      <c r="C484" s="769" t="s">
        <v>454</v>
      </c>
      <c r="D484" s="769" t="s">
        <v>454</v>
      </c>
      <c r="E484" s="769" t="s">
        <v>380</v>
      </c>
      <c r="F484" s="435" t="s">
        <v>5</v>
      </c>
      <c r="G484" s="435" t="s">
        <v>514</v>
      </c>
      <c r="H484" s="436"/>
      <c r="I484" s="436"/>
      <c r="J484" s="436">
        <v>8</v>
      </c>
      <c r="K484" s="436">
        <v>6</v>
      </c>
      <c r="L484" s="437">
        <v>4</v>
      </c>
      <c r="M484" s="437">
        <v>6</v>
      </c>
      <c r="N484" s="437">
        <v>4</v>
      </c>
      <c r="O484" s="437">
        <v>4</v>
      </c>
      <c r="P484" s="439"/>
      <c r="Q484" s="439"/>
      <c r="R484" s="436"/>
      <c r="S484" s="436"/>
      <c r="T484" s="436"/>
      <c r="U484" s="436"/>
      <c r="V484" s="436"/>
      <c r="W484" s="436"/>
      <c r="X484" s="436"/>
      <c r="Y484" s="436">
        <f>IF(NFI_Expiration=1,IF($A484&lt;VLOOKUP(H$5,NFI,5,0),1,0)*Table_NFI[[#This Row],[Hygiene Kit]],Table_NFI[Hygiene Kit])</f>
        <v>0</v>
      </c>
      <c r="Z484" s="436">
        <f>IF(NFI_Expiration=1,IF($A484&lt;VLOOKUP(I$5,NFI,5,0),1,0)*Table_NFI[[#This Row],[NFI Core Kit]],Table_NFI[NFI Core Kit])</f>
        <v>0</v>
      </c>
      <c r="AA484" s="436">
        <f>IF(NFI_Expiration=1,IF($A484&lt;VLOOKUP(J$5,NFI,5,0),1,0)*Table_NFI[[#This Row],[Sanitary Kit]],Table_NFI[Sanitary Kit])</f>
        <v>0</v>
      </c>
      <c r="AB484" s="436">
        <f>IF(NFI_Expiration=1,IF($A484&lt;VLOOKUP(K$5,NFI,5,0),1,0)*Table_NFI[[#This Row],[Mosquito net]],Table_NFI[Mosquito net])</f>
        <v>0</v>
      </c>
      <c r="AC484" s="436">
        <f>IF(NFI_Expiration=1,IF($A484&lt;VLOOKUP(L$5,NFI,5,0),1,0)*Table_NFI[[#This Row],[Tarpaulin]],Table_NFI[[#This Row],[Tarpaulin]])</f>
        <v>0</v>
      </c>
      <c r="AD484" s="436">
        <f>IF(NFI_Expiration=1,IF($A484&lt;VLOOKUP(M$5,NFI,5,0),1,0)*Table_NFI[[#This Row],[Blanket]],Table_NFI[[#This Row],[Blanket]])</f>
        <v>0</v>
      </c>
      <c r="AE484" s="436">
        <f>IF(NFI_Expiration=1,IF($A484&lt;VLOOKUP(N$5,NFI,5,0),1,0)*Table_NFI[[#This Row],[Kitchen Set]],Table_NFI[Kitchen Set])</f>
        <v>0</v>
      </c>
      <c r="AF484" s="436">
        <f>IF(NFI_Expiration=1,IF($A484&lt;VLOOKUP(O$5,NFI,5,0),1,0)*Table_NFI[[#This Row],[Clothes Kit]],Table_NFI[Clothes Kit])</f>
        <v>0</v>
      </c>
      <c r="AG484" s="436">
        <f>IF(NFI_Expiration=1,IF($A484&lt;VLOOKUP(P$5,NFI,5,0),1,0)*Table_NFI[[#This Row],[Plastic Bucket]],Table_NFI[Plastic Bucket])</f>
        <v>0</v>
      </c>
      <c r="AH484" s="436">
        <f>IF(NFI_Expiration=1,IF($A484&lt;VLOOKUP(Q$5,NFI,5,0),1,0)*Table_NFI[[#This Row],[Plastic Mat]],Table_NFI[Plastic Mat])*IF(Table_NFI[[#This Row],[Distribution Date]]&gt;"2014-04-01",1,2.5)</f>
        <v>0</v>
      </c>
      <c r="AI484" s="436">
        <f>IF(NFI_Expiration=1,IF($A484&lt;VLOOKUP(R$5,NFI,5,0),1,0)*Table_NFI[[#This Row],[Winter Clothes Adult]],Table_NFI[Winter Clothes Adult])</f>
        <v>0</v>
      </c>
      <c r="AJ484" s="436">
        <f>IF(NFI_Expiration=1,IF($A484&lt;VLOOKUP(S$5,NFI,5,0),1,0)*Table_NFI[[#This Row],[Winter Clothes Children]],Table_NFI[Winter Clothes Children])</f>
        <v>0</v>
      </c>
      <c r="AK484" s="436">
        <f>IF(NFI_Expiration=1,IF($A484&lt;VLOOKUP(T$5,NFI,5,0),1,0)*Table_NFI[[#This Row],[Winter Items Other]],Table_NFI[Winter Items Other])</f>
        <v>0</v>
      </c>
      <c r="AL484" s="436">
        <f>IF(NFI_Expiration=1,IF($A484&lt;VLOOKUP(M$5,NFI,5,0),1,0)*Table_NFI[[#This Row],[Winter Blanket]],Table_NFI[[#This Row],[Winter Blanket]])</f>
        <v>0</v>
      </c>
      <c r="AM484" s="436">
        <f>IF(Table_NFI[[#This Row],[Winter Clothes Adult]]+Table_NFI[[#This Row],[Winter Clothes Children]]+Table_NFI[[#This Row],[Winter Items Other]]+Table_NFI[[#This Row],[Winter Blanket]]&gt;0,1,0)</f>
        <v>0</v>
      </c>
      <c r="AN484" s="439">
        <f>IF(NFI_Expiration=1,IF($A484&lt;VLOOKUP(V$5,NFI,5,0),1,0)*Table_NFI[[#This Row],[Jerry Can]],Table_NFI[Jerry Can])</f>
        <v>0</v>
      </c>
      <c r="AO484" s="771" t="str">
        <f>IFERROR(VLOOKUP(Table_NFI[[#This Row],[Camp Name]],CL,2,0),"")</f>
        <v>MMR001CMP194</v>
      </c>
      <c r="AP484" s="772">
        <f ca="1">IF(Table_NFI[[#This Row],[Pcode]]="","",IF(OFFSET(CampList[Opening Date],MATCH(Table_NFI[[#This Row],[Pcode]],CampList[CP_Pcode],0)-1,0,1,1)&gt;=NFI_Monitor_Date,1,0))</f>
        <v>0</v>
      </c>
      <c r="AQ484" s="781" t="str">
        <f>IFERROR(VLOOKUP(Table_NFI[[#This Row],[Camp Name]],CL,3,0),"")</f>
        <v>Open</v>
      </c>
      <c r="AR484" s="439" t="str">
        <f ca="1">IF(Table_NFI[[#This Row],[Pcode]]="","",OFFSET(CampList[Priority],MATCH(Table_NFI[[#This Row],[Pcode]],CampList[CP_Pcode],0)-1,0,1,1))</f>
        <v>P4</v>
      </c>
      <c r="AS484" s="438">
        <f>IFERROR(Table_NFI[[#This Row],[Kitchen Set]]/VLOOKUP(Table_NFI[[#This Row],[Camp Name]],CL,4,0),"")</f>
        <v>0.33333333333333331</v>
      </c>
      <c r="AT484" s="769" t="s">
        <v>1099</v>
      </c>
      <c r="AU484" s="773"/>
    </row>
    <row r="485" spans="1:47" s="774" customFormat="1" x14ac:dyDescent="0.25">
      <c r="A485" s="451">
        <f t="shared" si="7"/>
        <v>26.366666666666667</v>
      </c>
      <c r="B485" s="768">
        <v>41579</v>
      </c>
      <c r="C485" s="769" t="s">
        <v>454</v>
      </c>
      <c r="D485" s="769" t="s">
        <v>454</v>
      </c>
      <c r="E485" s="769" t="s">
        <v>380</v>
      </c>
      <c r="F485" s="435" t="s">
        <v>5</v>
      </c>
      <c r="G485" s="435" t="s">
        <v>14</v>
      </c>
      <c r="H485" s="436"/>
      <c r="I485" s="436"/>
      <c r="J485" s="436">
        <v>12</v>
      </c>
      <c r="K485" s="436">
        <v>9</v>
      </c>
      <c r="L485" s="437">
        <v>6</v>
      </c>
      <c r="M485" s="437">
        <v>9</v>
      </c>
      <c r="N485" s="437">
        <v>6</v>
      </c>
      <c r="O485" s="437">
        <v>6</v>
      </c>
      <c r="P485" s="439">
        <v>6</v>
      </c>
      <c r="Q485" s="439"/>
      <c r="R485" s="436"/>
      <c r="S485" s="436"/>
      <c r="T485" s="436"/>
      <c r="U485" s="436"/>
      <c r="V485" s="436"/>
      <c r="W485" s="436"/>
      <c r="X485" s="436"/>
      <c r="Y485" s="436">
        <f>IF(NFI_Expiration=1,IF($A485&lt;VLOOKUP(H$5,NFI,5,0),1,0)*Table_NFI[[#This Row],[Hygiene Kit]],Table_NFI[Hygiene Kit])</f>
        <v>0</v>
      </c>
      <c r="Z485" s="436">
        <f>IF(NFI_Expiration=1,IF($A485&lt;VLOOKUP(I$5,NFI,5,0),1,0)*Table_NFI[[#This Row],[NFI Core Kit]],Table_NFI[NFI Core Kit])</f>
        <v>0</v>
      </c>
      <c r="AA485" s="436">
        <f>IF(NFI_Expiration=1,IF($A485&lt;VLOOKUP(J$5,NFI,5,0),1,0)*Table_NFI[[#This Row],[Sanitary Kit]],Table_NFI[Sanitary Kit])</f>
        <v>0</v>
      </c>
      <c r="AB485" s="436">
        <f>IF(NFI_Expiration=1,IF($A485&lt;VLOOKUP(K$5,NFI,5,0),1,0)*Table_NFI[[#This Row],[Mosquito net]],Table_NFI[Mosquito net])</f>
        <v>0</v>
      </c>
      <c r="AC485" s="436">
        <f>IF(NFI_Expiration=1,IF($A485&lt;VLOOKUP(L$5,NFI,5,0),1,0)*Table_NFI[[#This Row],[Tarpaulin]],Table_NFI[[#This Row],[Tarpaulin]])</f>
        <v>0</v>
      </c>
      <c r="AD485" s="436">
        <f>IF(NFI_Expiration=1,IF($A485&lt;VLOOKUP(M$5,NFI,5,0),1,0)*Table_NFI[[#This Row],[Blanket]],Table_NFI[[#This Row],[Blanket]])</f>
        <v>0</v>
      </c>
      <c r="AE485" s="436">
        <f>IF(NFI_Expiration=1,IF($A485&lt;VLOOKUP(N$5,NFI,5,0),1,0)*Table_NFI[[#This Row],[Kitchen Set]],Table_NFI[Kitchen Set])</f>
        <v>0</v>
      </c>
      <c r="AF485" s="436">
        <f>IF(NFI_Expiration=1,IF($A485&lt;VLOOKUP(O$5,NFI,5,0),1,0)*Table_NFI[[#This Row],[Clothes Kit]],Table_NFI[Clothes Kit])</f>
        <v>0</v>
      </c>
      <c r="AG485" s="436">
        <f>IF(NFI_Expiration=1,IF($A485&lt;VLOOKUP(P$5,NFI,5,0),1,0)*Table_NFI[[#This Row],[Plastic Bucket]],Table_NFI[Plastic Bucket])</f>
        <v>0</v>
      </c>
      <c r="AH485" s="436">
        <f>IF(NFI_Expiration=1,IF($A485&lt;VLOOKUP(Q$5,NFI,5,0),1,0)*Table_NFI[[#This Row],[Plastic Mat]],Table_NFI[Plastic Mat])*IF(Table_NFI[[#This Row],[Distribution Date]]&gt;"2014-04-01",1,2.5)</f>
        <v>0</v>
      </c>
      <c r="AI485" s="436">
        <f>IF(NFI_Expiration=1,IF($A485&lt;VLOOKUP(R$5,NFI,5,0),1,0)*Table_NFI[[#This Row],[Winter Clothes Adult]],Table_NFI[Winter Clothes Adult])</f>
        <v>0</v>
      </c>
      <c r="AJ485" s="436">
        <f>IF(NFI_Expiration=1,IF($A485&lt;VLOOKUP(S$5,NFI,5,0),1,0)*Table_NFI[[#This Row],[Winter Clothes Children]],Table_NFI[Winter Clothes Children])</f>
        <v>0</v>
      </c>
      <c r="AK485" s="436">
        <f>IF(NFI_Expiration=1,IF($A485&lt;VLOOKUP(T$5,NFI,5,0),1,0)*Table_NFI[[#This Row],[Winter Items Other]],Table_NFI[Winter Items Other])</f>
        <v>0</v>
      </c>
      <c r="AL485" s="436">
        <f>IF(NFI_Expiration=1,IF($A485&lt;VLOOKUP(M$5,NFI,5,0),1,0)*Table_NFI[[#This Row],[Winter Blanket]],Table_NFI[[#This Row],[Winter Blanket]])</f>
        <v>0</v>
      </c>
      <c r="AM485" s="436">
        <f>IF(Table_NFI[[#This Row],[Winter Clothes Adult]]+Table_NFI[[#This Row],[Winter Clothes Children]]+Table_NFI[[#This Row],[Winter Items Other]]+Table_NFI[[#This Row],[Winter Blanket]]&gt;0,1,0)</f>
        <v>0</v>
      </c>
      <c r="AN485" s="439">
        <f>IF(NFI_Expiration=1,IF($A485&lt;VLOOKUP(V$5,NFI,5,0),1,0)*Table_NFI[[#This Row],[Jerry Can]],Table_NFI[Jerry Can])</f>
        <v>0</v>
      </c>
      <c r="AO485" s="771" t="str">
        <f>IFERROR(VLOOKUP(Table_NFI[[#This Row],[Camp Name]],CL,2,0),"")</f>
        <v>MMR001CMP052</v>
      </c>
      <c r="AP485" s="772">
        <f ca="1">IF(Table_NFI[[#This Row],[Pcode]]="","",IF(OFFSET(CampList[Opening Date],MATCH(Table_NFI[[#This Row],[Pcode]],CampList[CP_Pcode],0)-1,0,1,1)&gt;=NFI_Monitor_Date,1,0))</f>
        <v>0</v>
      </c>
      <c r="AQ485" s="781" t="str">
        <f>IFERROR(VLOOKUP(Table_NFI[[#This Row],[Camp Name]],CL,3,0),"")</f>
        <v>Open</v>
      </c>
      <c r="AR485" s="439" t="str">
        <f ca="1">IF(Table_NFI[[#This Row],[Pcode]]="","",OFFSET(CampList[Priority],MATCH(Table_NFI[[#This Row],[Pcode]],CampList[CP_Pcode],0)-1,0,1,1))</f>
        <v>P4</v>
      </c>
      <c r="AS485" s="438">
        <f>IFERROR(Table_NFI[[#This Row],[Kitchen Set]]/VLOOKUP(Table_NFI[[#This Row],[Camp Name]],CL,4,0),"")</f>
        <v>0.13953488372093023</v>
      </c>
      <c r="AT485" s="769" t="s">
        <v>1099</v>
      </c>
      <c r="AU485" s="773"/>
    </row>
    <row r="486" spans="1:47" s="774" customFormat="1" x14ac:dyDescent="0.25">
      <c r="A486" s="451">
        <f t="shared" si="7"/>
        <v>26.366666666666667</v>
      </c>
      <c r="B486" s="768">
        <v>41579</v>
      </c>
      <c r="C486" s="769" t="s">
        <v>454</v>
      </c>
      <c r="D486" s="769" t="s">
        <v>454</v>
      </c>
      <c r="E486" s="769" t="s">
        <v>380</v>
      </c>
      <c r="F486" s="435" t="s">
        <v>5</v>
      </c>
      <c r="G486" s="435" t="s">
        <v>22</v>
      </c>
      <c r="H486" s="436"/>
      <c r="I486" s="436"/>
      <c r="J486" s="436">
        <v>40</v>
      </c>
      <c r="K486" s="436">
        <v>48</v>
      </c>
      <c r="L486" s="437">
        <v>20</v>
      </c>
      <c r="M486" s="437">
        <v>48</v>
      </c>
      <c r="N486" s="437">
        <v>20</v>
      </c>
      <c r="O486" s="437">
        <v>20</v>
      </c>
      <c r="P486" s="439">
        <v>500</v>
      </c>
      <c r="Q486" s="439">
        <v>500</v>
      </c>
      <c r="R486" s="436"/>
      <c r="S486" s="436"/>
      <c r="T486" s="436"/>
      <c r="U486" s="436"/>
      <c r="V486" s="436"/>
      <c r="W486" s="436"/>
      <c r="X486" s="436"/>
      <c r="Y486" s="436">
        <f>IF(NFI_Expiration=1,IF($A486&lt;VLOOKUP(H$5,NFI,5,0),1,0)*Table_NFI[[#This Row],[Hygiene Kit]],Table_NFI[Hygiene Kit])</f>
        <v>0</v>
      </c>
      <c r="Z486" s="436">
        <f>IF(NFI_Expiration=1,IF($A486&lt;VLOOKUP(I$5,NFI,5,0),1,0)*Table_NFI[[#This Row],[NFI Core Kit]],Table_NFI[NFI Core Kit])</f>
        <v>0</v>
      </c>
      <c r="AA486" s="436">
        <f>IF(NFI_Expiration=1,IF($A486&lt;VLOOKUP(J$5,NFI,5,0),1,0)*Table_NFI[[#This Row],[Sanitary Kit]],Table_NFI[Sanitary Kit])</f>
        <v>0</v>
      </c>
      <c r="AB486" s="436">
        <f>IF(NFI_Expiration=1,IF($A486&lt;VLOOKUP(K$5,NFI,5,0),1,0)*Table_NFI[[#This Row],[Mosquito net]],Table_NFI[Mosquito net])</f>
        <v>0</v>
      </c>
      <c r="AC486" s="436">
        <f>IF(NFI_Expiration=1,IF($A486&lt;VLOOKUP(L$5,NFI,5,0),1,0)*Table_NFI[[#This Row],[Tarpaulin]],Table_NFI[[#This Row],[Tarpaulin]])</f>
        <v>0</v>
      </c>
      <c r="AD486" s="436">
        <f>IF(NFI_Expiration=1,IF($A486&lt;VLOOKUP(M$5,NFI,5,0),1,0)*Table_NFI[[#This Row],[Blanket]],Table_NFI[[#This Row],[Blanket]])</f>
        <v>0</v>
      </c>
      <c r="AE486" s="436">
        <f>IF(NFI_Expiration=1,IF($A486&lt;VLOOKUP(N$5,NFI,5,0),1,0)*Table_NFI[[#This Row],[Kitchen Set]],Table_NFI[Kitchen Set])</f>
        <v>0</v>
      </c>
      <c r="AF486" s="436">
        <f>IF(NFI_Expiration=1,IF($A486&lt;VLOOKUP(O$5,NFI,5,0),1,0)*Table_NFI[[#This Row],[Clothes Kit]],Table_NFI[Clothes Kit])</f>
        <v>0</v>
      </c>
      <c r="AG486" s="436">
        <f>IF(NFI_Expiration=1,IF($A486&lt;VLOOKUP(P$5,NFI,5,0),1,0)*Table_NFI[[#This Row],[Plastic Bucket]],Table_NFI[Plastic Bucket])</f>
        <v>0</v>
      </c>
      <c r="AH486" s="436">
        <f>IF(NFI_Expiration=1,IF($A486&lt;VLOOKUP(Q$5,NFI,5,0),1,0)*Table_NFI[[#This Row],[Plastic Mat]],Table_NFI[Plastic Mat])*IF(Table_NFI[[#This Row],[Distribution Date]]&gt;"2014-04-01",1,2.5)</f>
        <v>0</v>
      </c>
      <c r="AI486" s="436">
        <f>IF(NFI_Expiration=1,IF($A486&lt;VLOOKUP(R$5,NFI,5,0),1,0)*Table_NFI[[#This Row],[Winter Clothes Adult]],Table_NFI[Winter Clothes Adult])</f>
        <v>0</v>
      </c>
      <c r="AJ486" s="436">
        <f>IF(NFI_Expiration=1,IF($A486&lt;VLOOKUP(S$5,NFI,5,0),1,0)*Table_NFI[[#This Row],[Winter Clothes Children]],Table_NFI[Winter Clothes Children])</f>
        <v>0</v>
      </c>
      <c r="AK486" s="436">
        <f>IF(NFI_Expiration=1,IF($A486&lt;VLOOKUP(T$5,NFI,5,0),1,0)*Table_NFI[[#This Row],[Winter Items Other]],Table_NFI[Winter Items Other])</f>
        <v>0</v>
      </c>
      <c r="AL486" s="436">
        <f>IF(NFI_Expiration=1,IF($A486&lt;VLOOKUP(M$5,NFI,5,0),1,0)*Table_NFI[[#This Row],[Winter Blanket]],Table_NFI[[#This Row],[Winter Blanket]])</f>
        <v>0</v>
      </c>
      <c r="AM486" s="436">
        <f>IF(Table_NFI[[#This Row],[Winter Clothes Adult]]+Table_NFI[[#This Row],[Winter Clothes Children]]+Table_NFI[[#This Row],[Winter Items Other]]+Table_NFI[[#This Row],[Winter Blanket]]&gt;0,1,0)</f>
        <v>0</v>
      </c>
      <c r="AN486" s="439">
        <f>IF(NFI_Expiration=1,IF($A486&lt;VLOOKUP(V$5,NFI,5,0),1,0)*Table_NFI[[#This Row],[Jerry Can]],Table_NFI[Jerry Can])</f>
        <v>0</v>
      </c>
      <c r="AO486" s="771" t="str">
        <f>IFERROR(VLOOKUP(Table_NFI[[#This Row],[Camp Name]],CL,2,0),"")</f>
        <v>MMR001CMP047</v>
      </c>
      <c r="AP486" s="772">
        <f ca="1">IF(Table_NFI[[#This Row],[Pcode]]="","",IF(OFFSET(CampList[Opening Date],MATCH(Table_NFI[[#This Row],[Pcode]],CampList[CP_Pcode],0)-1,0,1,1)&gt;=NFI_Monitor_Date,1,0))</f>
        <v>0</v>
      </c>
      <c r="AQ486" s="781" t="str">
        <f>IFERROR(VLOOKUP(Table_NFI[[#This Row],[Camp Name]],CL,3,0),"")</f>
        <v>Open</v>
      </c>
      <c r="AR486" s="439" t="str">
        <f ca="1">IF(Table_NFI[[#This Row],[Pcode]]="","",OFFSET(CampList[Priority],MATCH(Table_NFI[[#This Row],[Pcode]],CampList[CP_Pcode],0)-1,0,1,1))</f>
        <v>P4</v>
      </c>
      <c r="AS486" s="438">
        <f>IFERROR(Table_NFI[[#This Row],[Kitchen Set]]/VLOOKUP(Table_NFI[[#This Row],[Camp Name]],CL,4,0),"")</f>
        <v>3.0674846625766871E-2</v>
      </c>
      <c r="AT486" s="769" t="s">
        <v>1099</v>
      </c>
      <c r="AU486" s="773"/>
    </row>
    <row r="487" spans="1:47" s="774" customFormat="1" x14ac:dyDescent="0.25">
      <c r="A487" s="451">
        <f t="shared" si="7"/>
        <v>26.433333333333334</v>
      </c>
      <c r="B487" s="768">
        <v>41577</v>
      </c>
      <c r="C487" s="769" t="s">
        <v>454</v>
      </c>
      <c r="D487" s="769" t="s">
        <v>454</v>
      </c>
      <c r="E487" s="769" t="s">
        <v>380</v>
      </c>
      <c r="F487" s="435" t="s">
        <v>5</v>
      </c>
      <c r="G487" s="435" t="s">
        <v>6</v>
      </c>
      <c r="H487" s="436"/>
      <c r="I487" s="436"/>
      <c r="J487" s="436">
        <v>22</v>
      </c>
      <c r="K487" s="436">
        <v>40</v>
      </c>
      <c r="L487" s="437">
        <v>21</v>
      </c>
      <c r="M487" s="437">
        <v>40</v>
      </c>
      <c r="N487" s="437">
        <v>21</v>
      </c>
      <c r="O487" s="437">
        <v>21</v>
      </c>
      <c r="P487" s="439">
        <v>21</v>
      </c>
      <c r="Q487" s="439">
        <v>21</v>
      </c>
      <c r="R487" s="436"/>
      <c r="S487" s="436"/>
      <c r="T487" s="436"/>
      <c r="U487" s="436"/>
      <c r="V487" s="436"/>
      <c r="W487" s="436"/>
      <c r="X487" s="436"/>
      <c r="Y487" s="436">
        <f>IF(NFI_Expiration=1,IF($A487&lt;VLOOKUP(H$5,NFI,5,0),1,0)*Table_NFI[[#This Row],[Hygiene Kit]],Table_NFI[Hygiene Kit])</f>
        <v>0</v>
      </c>
      <c r="Z487" s="436">
        <f>IF(NFI_Expiration=1,IF($A487&lt;VLOOKUP(I$5,NFI,5,0),1,0)*Table_NFI[[#This Row],[NFI Core Kit]],Table_NFI[NFI Core Kit])</f>
        <v>0</v>
      </c>
      <c r="AA487" s="436">
        <f>IF(NFI_Expiration=1,IF($A487&lt;VLOOKUP(J$5,NFI,5,0),1,0)*Table_NFI[[#This Row],[Sanitary Kit]],Table_NFI[Sanitary Kit])</f>
        <v>0</v>
      </c>
      <c r="AB487" s="436">
        <f>IF(NFI_Expiration=1,IF($A487&lt;VLOOKUP(K$5,NFI,5,0),1,0)*Table_NFI[[#This Row],[Mosquito net]],Table_NFI[Mosquito net])</f>
        <v>0</v>
      </c>
      <c r="AC487" s="436">
        <f>IF(NFI_Expiration=1,IF($A487&lt;VLOOKUP(L$5,NFI,5,0),1,0)*Table_NFI[[#This Row],[Tarpaulin]],Table_NFI[[#This Row],[Tarpaulin]])</f>
        <v>0</v>
      </c>
      <c r="AD487" s="436">
        <f>IF(NFI_Expiration=1,IF($A487&lt;VLOOKUP(M$5,NFI,5,0),1,0)*Table_NFI[[#This Row],[Blanket]],Table_NFI[[#This Row],[Blanket]])</f>
        <v>0</v>
      </c>
      <c r="AE487" s="436">
        <f>IF(NFI_Expiration=1,IF($A487&lt;VLOOKUP(N$5,NFI,5,0),1,0)*Table_NFI[[#This Row],[Kitchen Set]],Table_NFI[Kitchen Set])</f>
        <v>0</v>
      </c>
      <c r="AF487" s="436">
        <f>IF(NFI_Expiration=1,IF($A487&lt;VLOOKUP(O$5,NFI,5,0),1,0)*Table_NFI[[#This Row],[Clothes Kit]],Table_NFI[Clothes Kit])</f>
        <v>0</v>
      </c>
      <c r="AG487" s="436">
        <f>IF(NFI_Expiration=1,IF($A487&lt;VLOOKUP(P$5,NFI,5,0),1,0)*Table_NFI[[#This Row],[Plastic Bucket]],Table_NFI[Plastic Bucket])</f>
        <v>0</v>
      </c>
      <c r="AH487" s="436">
        <f>IF(NFI_Expiration=1,IF($A487&lt;VLOOKUP(Q$5,NFI,5,0),1,0)*Table_NFI[[#This Row],[Plastic Mat]],Table_NFI[Plastic Mat])*IF(Table_NFI[[#This Row],[Distribution Date]]&gt;"2014-04-01",1,2.5)</f>
        <v>0</v>
      </c>
      <c r="AI487" s="436">
        <f>IF(NFI_Expiration=1,IF($A487&lt;VLOOKUP(R$5,NFI,5,0),1,0)*Table_NFI[[#This Row],[Winter Clothes Adult]],Table_NFI[Winter Clothes Adult])</f>
        <v>0</v>
      </c>
      <c r="AJ487" s="436">
        <f>IF(NFI_Expiration=1,IF($A487&lt;VLOOKUP(S$5,NFI,5,0),1,0)*Table_NFI[[#This Row],[Winter Clothes Children]],Table_NFI[Winter Clothes Children])</f>
        <v>0</v>
      </c>
      <c r="AK487" s="436">
        <f>IF(NFI_Expiration=1,IF($A487&lt;VLOOKUP(T$5,NFI,5,0),1,0)*Table_NFI[[#This Row],[Winter Items Other]],Table_NFI[Winter Items Other])</f>
        <v>0</v>
      </c>
      <c r="AL487" s="436">
        <f>IF(NFI_Expiration=1,IF($A487&lt;VLOOKUP(M$5,NFI,5,0),1,0)*Table_NFI[[#This Row],[Winter Blanket]],Table_NFI[[#This Row],[Winter Blanket]])</f>
        <v>0</v>
      </c>
      <c r="AM487" s="436">
        <f>IF(Table_NFI[[#This Row],[Winter Clothes Adult]]+Table_NFI[[#This Row],[Winter Clothes Children]]+Table_NFI[[#This Row],[Winter Items Other]]+Table_NFI[[#This Row],[Winter Blanket]]&gt;0,1,0)</f>
        <v>0</v>
      </c>
      <c r="AN487" s="439">
        <f>IF(NFI_Expiration=1,IF($A487&lt;VLOOKUP(V$5,NFI,5,0),1,0)*Table_NFI[[#This Row],[Jerry Can]],Table_NFI[Jerry Can])</f>
        <v>0</v>
      </c>
      <c r="AO487" s="771" t="str">
        <f>IFERROR(VLOOKUP(Table_NFI[[#This Row],[Camp Name]],CL,2,0),"")</f>
        <v>MMR001CMP050</v>
      </c>
      <c r="AP487" s="772">
        <f ca="1">IF(Table_NFI[[#This Row],[Pcode]]="","",IF(OFFSET(CampList[Opening Date],MATCH(Table_NFI[[#This Row],[Pcode]],CampList[CP_Pcode],0)-1,0,1,1)&gt;=NFI_Monitor_Date,1,0))</f>
        <v>0</v>
      </c>
      <c r="AQ487" s="781" t="str">
        <f>IFERROR(VLOOKUP(Table_NFI[[#This Row],[Camp Name]],CL,3,0),"")</f>
        <v>Open</v>
      </c>
      <c r="AR487" s="439" t="str">
        <f ca="1">IF(Table_NFI[[#This Row],[Pcode]]="","",OFFSET(CampList[Priority],MATCH(Table_NFI[[#This Row],[Pcode]],CampList[CP_Pcode],0)-1,0,1,1))</f>
        <v>P4</v>
      </c>
      <c r="AS487" s="438">
        <f>IFERROR(Table_NFI[[#This Row],[Kitchen Set]]/VLOOKUP(Table_NFI[[#This Row],[Camp Name]],CL,4,0),"")</f>
        <v>7.6642335766423361E-2</v>
      </c>
      <c r="AT487" s="769" t="s">
        <v>1099</v>
      </c>
      <c r="AU487" s="773"/>
    </row>
    <row r="488" spans="1:47" s="774" customFormat="1" x14ac:dyDescent="0.25">
      <c r="A488" s="451">
        <f t="shared" si="7"/>
        <v>26.433333333333334</v>
      </c>
      <c r="B488" s="768">
        <v>41577</v>
      </c>
      <c r="C488" s="769" t="s">
        <v>454</v>
      </c>
      <c r="D488" s="769" t="s">
        <v>454</v>
      </c>
      <c r="E488" s="769" t="s">
        <v>380</v>
      </c>
      <c r="F488" s="435" t="s">
        <v>5</v>
      </c>
      <c r="G488" s="435" t="s">
        <v>14</v>
      </c>
      <c r="H488" s="436"/>
      <c r="I488" s="436"/>
      <c r="J488" s="436">
        <v>72</v>
      </c>
      <c r="K488" s="436">
        <v>61</v>
      </c>
      <c r="L488" s="437">
        <v>36</v>
      </c>
      <c r="M488" s="437">
        <v>61</v>
      </c>
      <c r="N488" s="437">
        <v>36</v>
      </c>
      <c r="O488" s="437">
        <v>36</v>
      </c>
      <c r="P488" s="439">
        <v>36</v>
      </c>
      <c r="Q488" s="439">
        <v>36</v>
      </c>
      <c r="R488" s="436"/>
      <c r="S488" s="436"/>
      <c r="T488" s="436"/>
      <c r="U488" s="436"/>
      <c r="V488" s="436"/>
      <c r="W488" s="436"/>
      <c r="X488" s="436"/>
      <c r="Y488" s="436">
        <f>IF(NFI_Expiration=1,IF($A488&lt;VLOOKUP(H$5,NFI,5,0),1,0)*Table_NFI[[#This Row],[Hygiene Kit]],Table_NFI[Hygiene Kit])</f>
        <v>0</v>
      </c>
      <c r="Z488" s="436">
        <f>IF(NFI_Expiration=1,IF($A488&lt;VLOOKUP(I$5,NFI,5,0),1,0)*Table_NFI[[#This Row],[NFI Core Kit]],Table_NFI[NFI Core Kit])</f>
        <v>0</v>
      </c>
      <c r="AA488" s="436">
        <f>IF(NFI_Expiration=1,IF($A488&lt;VLOOKUP(J$5,NFI,5,0),1,0)*Table_NFI[[#This Row],[Sanitary Kit]],Table_NFI[Sanitary Kit])</f>
        <v>0</v>
      </c>
      <c r="AB488" s="436">
        <f>IF(NFI_Expiration=1,IF($A488&lt;VLOOKUP(K$5,NFI,5,0),1,0)*Table_NFI[[#This Row],[Mosquito net]],Table_NFI[Mosquito net])</f>
        <v>0</v>
      </c>
      <c r="AC488" s="436">
        <f>IF(NFI_Expiration=1,IF($A488&lt;VLOOKUP(L$5,NFI,5,0),1,0)*Table_NFI[[#This Row],[Tarpaulin]],Table_NFI[[#This Row],[Tarpaulin]])</f>
        <v>0</v>
      </c>
      <c r="AD488" s="436">
        <f>IF(NFI_Expiration=1,IF($A488&lt;VLOOKUP(M$5,NFI,5,0),1,0)*Table_NFI[[#This Row],[Blanket]],Table_NFI[[#This Row],[Blanket]])</f>
        <v>0</v>
      </c>
      <c r="AE488" s="436">
        <f>IF(NFI_Expiration=1,IF($A488&lt;VLOOKUP(N$5,NFI,5,0),1,0)*Table_NFI[[#This Row],[Kitchen Set]],Table_NFI[Kitchen Set])</f>
        <v>0</v>
      </c>
      <c r="AF488" s="436">
        <f>IF(NFI_Expiration=1,IF($A488&lt;VLOOKUP(O$5,NFI,5,0),1,0)*Table_NFI[[#This Row],[Clothes Kit]],Table_NFI[Clothes Kit])</f>
        <v>0</v>
      </c>
      <c r="AG488" s="436">
        <f>IF(NFI_Expiration=1,IF($A488&lt;VLOOKUP(P$5,NFI,5,0),1,0)*Table_NFI[[#This Row],[Plastic Bucket]],Table_NFI[Plastic Bucket])</f>
        <v>0</v>
      </c>
      <c r="AH488" s="436">
        <f>IF(NFI_Expiration=1,IF($A488&lt;VLOOKUP(Q$5,NFI,5,0),1,0)*Table_NFI[[#This Row],[Plastic Mat]],Table_NFI[Plastic Mat])*IF(Table_NFI[[#This Row],[Distribution Date]]&gt;"2014-04-01",1,2.5)</f>
        <v>0</v>
      </c>
      <c r="AI488" s="436">
        <f>IF(NFI_Expiration=1,IF($A488&lt;VLOOKUP(R$5,NFI,5,0),1,0)*Table_NFI[[#This Row],[Winter Clothes Adult]],Table_NFI[Winter Clothes Adult])</f>
        <v>0</v>
      </c>
      <c r="AJ488" s="436">
        <f>IF(NFI_Expiration=1,IF($A488&lt;VLOOKUP(S$5,NFI,5,0),1,0)*Table_NFI[[#This Row],[Winter Clothes Children]],Table_NFI[Winter Clothes Children])</f>
        <v>0</v>
      </c>
      <c r="AK488" s="436">
        <f>IF(NFI_Expiration=1,IF($A488&lt;VLOOKUP(T$5,NFI,5,0),1,0)*Table_NFI[[#This Row],[Winter Items Other]],Table_NFI[Winter Items Other])</f>
        <v>0</v>
      </c>
      <c r="AL488" s="436">
        <f>IF(NFI_Expiration=1,IF($A488&lt;VLOOKUP(M$5,NFI,5,0),1,0)*Table_NFI[[#This Row],[Winter Blanket]],Table_NFI[[#This Row],[Winter Blanket]])</f>
        <v>0</v>
      </c>
      <c r="AM488" s="436">
        <f>IF(Table_NFI[[#This Row],[Winter Clothes Adult]]+Table_NFI[[#This Row],[Winter Clothes Children]]+Table_NFI[[#This Row],[Winter Items Other]]+Table_NFI[[#This Row],[Winter Blanket]]&gt;0,1,0)</f>
        <v>0</v>
      </c>
      <c r="AN488" s="439">
        <f>IF(NFI_Expiration=1,IF($A488&lt;VLOOKUP(V$5,NFI,5,0),1,0)*Table_NFI[[#This Row],[Jerry Can]],Table_NFI[Jerry Can])</f>
        <v>0</v>
      </c>
      <c r="AO488" s="771" t="str">
        <f>IFERROR(VLOOKUP(Table_NFI[[#This Row],[Camp Name]],CL,2,0),"")</f>
        <v>MMR001CMP052</v>
      </c>
      <c r="AP488" s="772">
        <f ca="1">IF(Table_NFI[[#This Row],[Pcode]]="","",IF(OFFSET(CampList[Opening Date],MATCH(Table_NFI[[#This Row],[Pcode]],CampList[CP_Pcode],0)-1,0,1,1)&gt;=NFI_Monitor_Date,1,0))</f>
        <v>0</v>
      </c>
      <c r="AQ488" s="781" t="str">
        <f>IFERROR(VLOOKUP(Table_NFI[[#This Row],[Camp Name]],CL,3,0),"")</f>
        <v>Open</v>
      </c>
      <c r="AR488" s="439" t="str">
        <f ca="1">IF(Table_NFI[[#This Row],[Pcode]]="","",OFFSET(CampList[Priority],MATCH(Table_NFI[[#This Row],[Pcode]],CampList[CP_Pcode],0)-1,0,1,1))</f>
        <v>P4</v>
      </c>
      <c r="AS488" s="438">
        <f>IFERROR(Table_NFI[[#This Row],[Kitchen Set]]/VLOOKUP(Table_NFI[[#This Row],[Camp Name]],CL,4,0),"")</f>
        <v>0.83720930232558144</v>
      </c>
      <c r="AT488" s="769" t="s">
        <v>1099</v>
      </c>
      <c r="AU488" s="773"/>
    </row>
    <row r="489" spans="1:47" s="774" customFormat="1" x14ac:dyDescent="0.25">
      <c r="A489" s="451">
        <f t="shared" si="7"/>
        <v>26.433333333333334</v>
      </c>
      <c r="B489" s="768">
        <v>41577</v>
      </c>
      <c r="C489" s="769" t="s">
        <v>454</v>
      </c>
      <c r="D489" s="769" t="s">
        <v>454</v>
      </c>
      <c r="E489" s="769" t="s">
        <v>380</v>
      </c>
      <c r="F489" s="435" t="s">
        <v>5</v>
      </c>
      <c r="G489" s="435" t="s">
        <v>366</v>
      </c>
      <c r="H489" s="436"/>
      <c r="I489" s="436"/>
      <c r="J489" s="436">
        <v>81</v>
      </c>
      <c r="K489" s="436">
        <v>94</v>
      </c>
      <c r="L489" s="437">
        <v>50</v>
      </c>
      <c r="M489" s="437">
        <v>94</v>
      </c>
      <c r="N489" s="437">
        <v>50</v>
      </c>
      <c r="O489" s="437">
        <v>50</v>
      </c>
      <c r="P489" s="439">
        <v>50</v>
      </c>
      <c r="Q489" s="439">
        <v>50</v>
      </c>
      <c r="R489" s="436"/>
      <c r="S489" s="436"/>
      <c r="T489" s="436"/>
      <c r="U489" s="436"/>
      <c r="V489" s="436"/>
      <c r="W489" s="436"/>
      <c r="X489" s="436"/>
      <c r="Y489" s="436">
        <f>IF(NFI_Expiration=1,IF($A489&lt;VLOOKUP(H$5,NFI,5,0),1,0)*Table_NFI[[#This Row],[Hygiene Kit]],Table_NFI[Hygiene Kit])</f>
        <v>0</v>
      </c>
      <c r="Z489" s="436">
        <f>IF(NFI_Expiration=1,IF($A489&lt;VLOOKUP(I$5,NFI,5,0),1,0)*Table_NFI[[#This Row],[NFI Core Kit]],Table_NFI[NFI Core Kit])</f>
        <v>0</v>
      </c>
      <c r="AA489" s="436">
        <f>IF(NFI_Expiration=1,IF($A489&lt;VLOOKUP(J$5,NFI,5,0),1,0)*Table_NFI[[#This Row],[Sanitary Kit]],Table_NFI[Sanitary Kit])</f>
        <v>0</v>
      </c>
      <c r="AB489" s="436">
        <f>IF(NFI_Expiration=1,IF($A489&lt;VLOOKUP(K$5,NFI,5,0),1,0)*Table_NFI[[#This Row],[Mosquito net]],Table_NFI[Mosquito net])</f>
        <v>0</v>
      </c>
      <c r="AC489" s="436">
        <f>IF(NFI_Expiration=1,IF($A489&lt;VLOOKUP(L$5,NFI,5,0),1,0)*Table_NFI[[#This Row],[Tarpaulin]],Table_NFI[[#This Row],[Tarpaulin]])</f>
        <v>0</v>
      </c>
      <c r="AD489" s="436">
        <f>IF(NFI_Expiration=1,IF($A489&lt;VLOOKUP(M$5,NFI,5,0),1,0)*Table_NFI[[#This Row],[Blanket]],Table_NFI[[#This Row],[Blanket]])</f>
        <v>0</v>
      </c>
      <c r="AE489" s="436">
        <f>IF(NFI_Expiration=1,IF($A489&lt;VLOOKUP(N$5,NFI,5,0),1,0)*Table_NFI[[#This Row],[Kitchen Set]],Table_NFI[Kitchen Set])</f>
        <v>0</v>
      </c>
      <c r="AF489" s="436">
        <f>IF(NFI_Expiration=1,IF($A489&lt;VLOOKUP(O$5,NFI,5,0),1,0)*Table_NFI[[#This Row],[Clothes Kit]],Table_NFI[Clothes Kit])</f>
        <v>0</v>
      </c>
      <c r="AG489" s="436">
        <f>IF(NFI_Expiration=1,IF($A489&lt;VLOOKUP(P$5,NFI,5,0),1,0)*Table_NFI[[#This Row],[Plastic Bucket]],Table_NFI[Plastic Bucket])</f>
        <v>0</v>
      </c>
      <c r="AH489" s="436">
        <f>IF(NFI_Expiration=1,IF($A489&lt;VLOOKUP(Q$5,NFI,5,0),1,0)*Table_NFI[[#This Row],[Plastic Mat]],Table_NFI[Plastic Mat])*IF(Table_NFI[[#This Row],[Distribution Date]]&gt;"2014-04-01",1,2.5)</f>
        <v>0</v>
      </c>
      <c r="AI489" s="436">
        <f>IF(NFI_Expiration=1,IF($A489&lt;VLOOKUP(R$5,NFI,5,0),1,0)*Table_NFI[[#This Row],[Winter Clothes Adult]],Table_NFI[Winter Clothes Adult])</f>
        <v>0</v>
      </c>
      <c r="AJ489" s="436">
        <f>IF(NFI_Expiration=1,IF($A489&lt;VLOOKUP(S$5,NFI,5,0),1,0)*Table_NFI[[#This Row],[Winter Clothes Children]],Table_NFI[Winter Clothes Children])</f>
        <v>0</v>
      </c>
      <c r="AK489" s="436">
        <f>IF(NFI_Expiration=1,IF($A489&lt;VLOOKUP(T$5,NFI,5,0),1,0)*Table_NFI[[#This Row],[Winter Items Other]],Table_NFI[Winter Items Other])</f>
        <v>0</v>
      </c>
      <c r="AL489" s="436">
        <f>IF(NFI_Expiration=1,IF($A489&lt;VLOOKUP(M$5,NFI,5,0),1,0)*Table_NFI[[#This Row],[Winter Blanket]],Table_NFI[[#This Row],[Winter Blanket]])</f>
        <v>0</v>
      </c>
      <c r="AM489" s="436">
        <f>IF(Table_NFI[[#This Row],[Winter Clothes Adult]]+Table_NFI[[#This Row],[Winter Clothes Children]]+Table_NFI[[#This Row],[Winter Items Other]]+Table_NFI[[#This Row],[Winter Blanket]]&gt;0,1,0)</f>
        <v>0</v>
      </c>
      <c r="AN489" s="439">
        <f>IF(NFI_Expiration=1,IF($A489&lt;VLOOKUP(V$5,NFI,5,0),1,0)*Table_NFI[[#This Row],[Jerry Can]],Table_NFI[Jerry Can])</f>
        <v>0</v>
      </c>
      <c r="AO489" s="771" t="str">
        <f>IFERROR(VLOOKUP(Table_NFI[[#This Row],[Camp Name]],CL,2,0),"")</f>
        <v>MMR001CMP193</v>
      </c>
      <c r="AP489" s="772">
        <f ca="1">IF(Table_NFI[[#This Row],[Pcode]]="","",IF(OFFSET(CampList[Opening Date],MATCH(Table_NFI[[#This Row],[Pcode]],CampList[CP_Pcode],0)-1,0,1,1)&gt;=NFI_Monitor_Date,1,0))</f>
        <v>0</v>
      </c>
      <c r="AQ489" s="781" t="str">
        <f>IFERROR(VLOOKUP(Table_NFI[[#This Row],[Camp Name]],CL,3,0),"")</f>
        <v>Open</v>
      </c>
      <c r="AR489" s="439" t="str">
        <f ca="1">IF(Table_NFI[[#This Row],[Pcode]]="","",OFFSET(CampList[Priority],MATCH(Table_NFI[[#This Row],[Pcode]],CampList[CP_Pcode],0)-1,0,1,1))</f>
        <v>P4</v>
      </c>
      <c r="AS489" s="438">
        <f>IFERROR(Table_NFI[[#This Row],[Kitchen Set]]/VLOOKUP(Table_NFI[[#This Row],[Camp Name]],CL,4,0),"")</f>
        <v>0.31847133757961782</v>
      </c>
      <c r="AT489" s="769" t="s">
        <v>1099</v>
      </c>
      <c r="AU489" s="773"/>
    </row>
    <row r="490" spans="1:47" s="774" customFormat="1" x14ac:dyDescent="0.25">
      <c r="A490" s="451">
        <f t="shared" si="7"/>
        <v>27.566666666666666</v>
      </c>
      <c r="B490" s="768">
        <v>41543</v>
      </c>
      <c r="C490" s="769" t="s">
        <v>454</v>
      </c>
      <c r="D490" s="769" t="s">
        <v>454</v>
      </c>
      <c r="E490" s="769" t="s">
        <v>380</v>
      </c>
      <c r="F490" s="435" t="s">
        <v>185</v>
      </c>
      <c r="G490" s="435" t="s">
        <v>194</v>
      </c>
      <c r="H490" s="436"/>
      <c r="I490" s="436"/>
      <c r="J490" s="436">
        <v>882</v>
      </c>
      <c r="K490" s="436">
        <v>882</v>
      </c>
      <c r="L490" s="437">
        <v>441</v>
      </c>
      <c r="M490" s="437">
        <v>882</v>
      </c>
      <c r="N490" s="437">
        <v>441</v>
      </c>
      <c r="O490" s="437"/>
      <c r="P490" s="439">
        <v>441</v>
      </c>
      <c r="Q490" s="439">
        <v>882</v>
      </c>
      <c r="R490" s="436"/>
      <c r="S490" s="436"/>
      <c r="T490" s="436"/>
      <c r="U490" s="436"/>
      <c r="V490" s="436"/>
      <c r="W490" s="436"/>
      <c r="X490" s="436"/>
      <c r="Y490" s="436">
        <f>IF(NFI_Expiration=1,IF($A490&lt;VLOOKUP(H$5,NFI,5,0),1,0)*Table_NFI[[#This Row],[Hygiene Kit]],Table_NFI[Hygiene Kit])</f>
        <v>0</v>
      </c>
      <c r="Z490" s="436">
        <f>IF(NFI_Expiration=1,IF($A490&lt;VLOOKUP(I$5,NFI,5,0),1,0)*Table_NFI[[#This Row],[NFI Core Kit]],Table_NFI[NFI Core Kit])</f>
        <v>0</v>
      </c>
      <c r="AA490" s="436">
        <f>IF(NFI_Expiration=1,IF($A490&lt;VLOOKUP(J$5,NFI,5,0),1,0)*Table_NFI[[#This Row],[Sanitary Kit]],Table_NFI[Sanitary Kit])</f>
        <v>0</v>
      </c>
      <c r="AB490" s="436">
        <f>IF(NFI_Expiration=1,IF($A490&lt;VLOOKUP(K$5,NFI,5,0),1,0)*Table_NFI[[#This Row],[Mosquito net]],Table_NFI[Mosquito net])</f>
        <v>0</v>
      </c>
      <c r="AC490" s="436">
        <f>IF(NFI_Expiration=1,IF($A490&lt;VLOOKUP(L$5,NFI,5,0),1,0)*Table_NFI[[#This Row],[Tarpaulin]],Table_NFI[[#This Row],[Tarpaulin]])</f>
        <v>0</v>
      </c>
      <c r="AD490" s="436">
        <f>IF(NFI_Expiration=1,IF($A490&lt;VLOOKUP(M$5,NFI,5,0),1,0)*Table_NFI[[#This Row],[Blanket]],Table_NFI[[#This Row],[Blanket]])</f>
        <v>0</v>
      </c>
      <c r="AE490" s="436">
        <f>IF(NFI_Expiration=1,IF($A490&lt;VLOOKUP(N$5,NFI,5,0),1,0)*Table_NFI[[#This Row],[Kitchen Set]],Table_NFI[Kitchen Set])</f>
        <v>0</v>
      </c>
      <c r="AF490" s="436">
        <f>IF(NFI_Expiration=1,IF($A490&lt;VLOOKUP(O$5,NFI,5,0),1,0)*Table_NFI[[#This Row],[Clothes Kit]],Table_NFI[Clothes Kit])</f>
        <v>0</v>
      </c>
      <c r="AG490" s="436">
        <f>IF(NFI_Expiration=1,IF($A490&lt;VLOOKUP(P$5,NFI,5,0),1,0)*Table_NFI[[#This Row],[Plastic Bucket]],Table_NFI[Plastic Bucket])</f>
        <v>0</v>
      </c>
      <c r="AH490" s="436">
        <f>IF(NFI_Expiration=1,IF($A490&lt;VLOOKUP(Q$5,NFI,5,0),1,0)*Table_NFI[[#This Row],[Plastic Mat]],Table_NFI[Plastic Mat])*IF(Table_NFI[[#This Row],[Distribution Date]]&gt;"2014-04-01",1,2.5)</f>
        <v>0</v>
      </c>
      <c r="AI490" s="436">
        <f>IF(NFI_Expiration=1,IF($A490&lt;VLOOKUP(R$5,NFI,5,0),1,0)*Table_NFI[[#This Row],[Winter Clothes Adult]],Table_NFI[Winter Clothes Adult])</f>
        <v>0</v>
      </c>
      <c r="AJ490" s="436">
        <f>IF(NFI_Expiration=1,IF($A490&lt;VLOOKUP(S$5,NFI,5,0),1,0)*Table_NFI[[#This Row],[Winter Clothes Children]],Table_NFI[Winter Clothes Children])</f>
        <v>0</v>
      </c>
      <c r="AK490" s="436">
        <f>IF(NFI_Expiration=1,IF($A490&lt;VLOOKUP(T$5,NFI,5,0),1,0)*Table_NFI[[#This Row],[Winter Items Other]],Table_NFI[Winter Items Other])</f>
        <v>0</v>
      </c>
      <c r="AL490" s="436">
        <f>IF(NFI_Expiration=1,IF($A490&lt;VLOOKUP(M$5,NFI,5,0),1,0)*Table_NFI[[#This Row],[Winter Blanket]],Table_NFI[[#This Row],[Winter Blanket]])</f>
        <v>0</v>
      </c>
      <c r="AM490" s="436">
        <f>IF(Table_NFI[[#This Row],[Winter Clothes Adult]]+Table_NFI[[#This Row],[Winter Clothes Children]]+Table_NFI[[#This Row],[Winter Items Other]]+Table_NFI[[#This Row],[Winter Blanket]]&gt;0,1,0)</f>
        <v>0</v>
      </c>
      <c r="AN490" s="439">
        <f>IF(NFI_Expiration=1,IF($A490&lt;VLOOKUP(V$5,NFI,5,0),1,0)*Table_NFI[[#This Row],[Jerry Can]],Table_NFI[Jerry Can])</f>
        <v>0</v>
      </c>
      <c r="AO490" s="771" t="str">
        <f>IFERROR(VLOOKUP(Table_NFI[[#This Row],[Camp Name]],CL,2,0),"")</f>
        <v>MMR001CMP122</v>
      </c>
      <c r="AP490" s="772">
        <f ca="1">IF(Table_NFI[[#This Row],[Pcode]]="","",IF(OFFSET(CampList[Opening Date],MATCH(Table_NFI[[#This Row],[Pcode]],CampList[CP_Pcode],0)-1,0,1,1)&gt;=NFI_Monitor_Date,1,0))</f>
        <v>0</v>
      </c>
      <c r="AQ490" s="781" t="str">
        <f>IFERROR(VLOOKUP(Table_NFI[[#This Row],[Camp Name]],CL,3,0),"")</f>
        <v>Open</v>
      </c>
      <c r="AR490" s="439" t="str">
        <f ca="1">IF(Table_NFI[[#This Row],[Pcode]]="","",OFFSET(CampList[Priority],MATCH(Table_NFI[[#This Row],[Pcode]],CampList[CP_Pcode],0)-1,0,1,1))</f>
        <v>P2</v>
      </c>
      <c r="AS490" s="438">
        <f>IFERROR(Table_NFI[[#This Row],[Kitchen Set]]/VLOOKUP(Table_NFI[[#This Row],[Camp Name]],CL,4,0),"")</f>
        <v>0.71824104234527686</v>
      </c>
      <c r="AT490" s="769" t="s">
        <v>1099</v>
      </c>
      <c r="AU490" s="773"/>
    </row>
    <row r="491" spans="1:47" s="774" customFormat="1" x14ac:dyDescent="0.25">
      <c r="A491" s="451">
        <f t="shared" si="7"/>
        <v>27.566666666666666</v>
      </c>
      <c r="B491" s="768">
        <v>41543</v>
      </c>
      <c r="C491" s="769" t="s">
        <v>454</v>
      </c>
      <c r="D491" s="769" t="s">
        <v>454</v>
      </c>
      <c r="E491" s="769" t="s">
        <v>380</v>
      </c>
      <c r="F491" s="769" t="s">
        <v>185</v>
      </c>
      <c r="G491" s="435" t="s">
        <v>196</v>
      </c>
      <c r="H491" s="436"/>
      <c r="I491" s="436"/>
      <c r="J491" s="436">
        <v>1628</v>
      </c>
      <c r="K491" s="436">
        <v>3256</v>
      </c>
      <c r="L491" s="437">
        <v>1628</v>
      </c>
      <c r="M491" s="437">
        <v>3256</v>
      </c>
      <c r="N491" s="437">
        <v>1628</v>
      </c>
      <c r="O491" s="437"/>
      <c r="P491" s="437">
        <v>1628</v>
      </c>
      <c r="Q491" s="437">
        <v>3256</v>
      </c>
      <c r="R491" s="436"/>
      <c r="S491" s="436"/>
      <c r="T491" s="436"/>
      <c r="U491" s="436"/>
      <c r="V491" s="436"/>
      <c r="W491" s="436"/>
      <c r="X491" s="436"/>
      <c r="Y491" s="436">
        <f>IF(NFI_Expiration=1,IF($A491&lt;VLOOKUP(H$5,NFI,5,0),1,0)*Table_NFI[[#This Row],[Hygiene Kit]],Table_NFI[Hygiene Kit])</f>
        <v>0</v>
      </c>
      <c r="Z491" s="436">
        <f>IF(NFI_Expiration=1,IF($A491&lt;VLOOKUP(I$5,NFI,5,0),1,0)*Table_NFI[[#This Row],[NFI Core Kit]],Table_NFI[NFI Core Kit])</f>
        <v>0</v>
      </c>
      <c r="AA491" s="436">
        <f>IF(NFI_Expiration=1,IF($A491&lt;VLOOKUP(J$5,NFI,5,0),1,0)*Table_NFI[[#This Row],[Sanitary Kit]],Table_NFI[Sanitary Kit])</f>
        <v>0</v>
      </c>
      <c r="AB491" s="436">
        <f>IF(NFI_Expiration=1,IF($A491&lt;VLOOKUP(K$5,NFI,5,0),1,0)*Table_NFI[[#This Row],[Mosquito net]],Table_NFI[Mosquito net])</f>
        <v>0</v>
      </c>
      <c r="AC491" s="436">
        <f>IF(NFI_Expiration=1,IF($A491&lt;VLOOKUP(L$5,NFI,5,0),1,0)*Table_NFI[[#This Row],[Tarpaulin]],Table_NFI[[#This Row],[Tarpaulin]])</f>
        <v>0</v>
      </c>
      <c r="AD491" s="436">
        <f>IF(NFI_Expiration=1,IF($A491&lt;VLOOKUP(M$5,NFI,5,0),1,0)*Table_NFI[[#This Row],[Blanket]],Table_NFI[[#This Row],[Blanket]])</f>
        <v>0</v>
      </c>
      <c r="AE491" s="436">
        <f>IF(NFI_Expiration=1,IF($A491&lt;VLOOKUP(N$5,NFI,5,0),1,0)*Table_NFI[[#This Row],[Kitchen Set]],Table_NFI[Kitchen Set])</f>
        <v>0</v>
      </c>
      <c r="AF491" s="436">
        <f>IF(NFI_Expiration=1,IF($A491&lt;VLOOKUP(O$5,NFI,5,0),1,0)*Table_NFI[[#This Row],[Clothes Kit]],Table_NFI[Clothes Kit])</f>
        <v>0</v>
      </c>
      <c r="AG491" s="436">
        <f>IF(NFI_Expiration=1,IF($A491&lt;VLOOKUP(P$5,NFI,5,0),1,0)*Table_NFI[[#This Row],[Plastic Bucket]],Table_NFI[Plastic Bucket])</f>
        <v>0</v>
      </c>
      <c r="AH491" s="436">
        <f>IF(NFI_Expiration=1,IF($A491&lt;VLOOKUP(Q$5,NFI,5,0),1,0)*Table_NFI[[#This Row],[Plastic Mat]],Table_NFI[Plastic Mat])*IF(Table_NFI[[#This Row],[Distribution Date]]&gt;"2014-04-01",1,2.5)</f>
        <v>0</v>
      </c>
      <c r="AI491" s="436">
        <f>IF(NFI_Expiration=1,IF($A491&lt;VLOOKUP(R$5,NFI,5,0),1,0)*Table_NFI[[#This Row],[Winter Clothes Adult]],Table_NFI[Winter Clothes Adult])</f>
        <v>0</v>
      </c>
      <c r="AJ491" s="436">
        <f>IF(NFI_Expiration=1,IF($A491&lt;VLOOKUP(S$5,NFI,5,0),1,0)*Table_NFI[[#This Row],[Winter Clothes Children]],Table_NFI[Winter Clothes Children])</f>
        <v>0</v>
      </c>
      <c r="AK491" s="436">
        <f>IF(NFI_Expiration=1,IF($A491&lt;VLOOKUP(T$5,NFI,5,0),1,0)*Table_NFI[[#This Row],[Winter Items Other]],Table_NFI[Winter Items Other])</f>
        <v>0</v>
      </c>
      <c r="AL491" s="436">
        <f>IF(NFI_Expiration=1,IF($A491&lt;VLOOKUP(M$5,NFI,5,0),1,0)*Table_NFI[[#This Row],[Winter Blanket]],Table_NFI[[#This Row],[Winter Blanket]])</f>
        <v>0</v>
      </c>
      <c r="AM491" s="436">
        <f>IF(Table_NFI[[#This Row],[Winter Clothes Adult]]+Table_NFI[[#This Row],[Winter Clothes Children]]+Table_NFI[[#This Row],[Winter Items Other]]+Table_NFI[[#This Row],[Winter Blanket]]&gt;0,1,0)</f>
        <v>0</v>
      </c>
      <c r="AN491" s="439">
        <f>IF(NFI_Expiration=1,IF($A491&lt;VLOOKUP(V$5,NFI,5,0),1,0)*Table_NFI[[#This Row],[Jerry Can]],Table_NFI[Jerry Can])</f>
        <v>0</v>
      </c>
      <c r="AO491" s="771" t="str">
        <f>IFERROR(VLOOKUP(Table_NFI[[#This Row],[Camp Name]],CL,2,0),"")</f>
        <v>MMR001CMP121</v>
      </c>
      <c r="AP491" s="772">
        <f ca="1">IF(Table_NFI[[#This Row],[Pcode]]="","",IF(OFFSET(CampList[Opening Date],MATCH(Table_NFI[[#This Row],[Pcode]],CampList[CP_Pcode],0)-1,0,1,1)&gt;=NFI_Monitor_Date,1,0))</f>
        <v>0</v>
      </c>
      <c r="AQ491" s="781" t="str">
        <f>IFERROR(VLOOKUP(Table_NFI[[#This Row],[Camp Name]],CL,3,0),"")</f>
        <v>Open</v>
      </c>
      <c r="AR491" s="439" t="str">
        <f ca="1">IF(Table_NFI[[#This Row],[Pcode]]="","",OFFSET(CampList[Priority],MATCH(Table_NFI[[#This Row],[Pcode]],CampList[CP_Pcode],0)-1,0,1,1))</f>
        <v>P2</v>
      </c>
      <c r="AS491" s="438">
        <f>IFERROR(Table_NFI[[#This Row],[Kitchen Set]]/VLOOKUP(Table_NFI[[#This Row],[Camp Name]],CL,4,0),"")</f>
        <v>0.96047197640117998</v>
      </c>
      <c r="AT491" s="769" t="s">
        <v>1099</v>
      </c>
      <c r="AU491" s="773"/>
    </row>
    <row r="492" spans="1:47" s="774" customFormat="1" x14ac:dyDescent="0.25">
      <c r="A492" s="451">
        <f t="shared" si="7"/>
        <v>27.566666666666666</v>
      </c>
      <c r="B492" s="768">
        <v>41543</v>
      </c>
      <c r="C492" s="769" t="s">
        <v>454</v>
      </c>
      <c r="D492" s="769" t="s">
        <v>454</v>
      </c>
      <c r="E492" s="769" t="s">
        <v>380</v>
      </c>
      <c r="F492" s="435" t="s">
        <v>310</v>
      </c>
      <c r="G492" s="435" t="s">
        <v>1262</v>
      </c>
      <c r="H492" s="436"/>
      <c r="I492" s="436"/>
      <c r="J492" s="436">
        <v>437</v>
      </c>
      <c r="K492" s="436">
        <v>874</v>
      </c>
      <c r="L492" s="437">
        <v>437</v>
      </c>
      <c r="M492" s="437">
        <v>874</v>
      </c>
      <c r="N492" s="437">
        <v>437</v>
      </c>
      <c r="O492" s="437">
        <v>54</v>
      </c>
      <c r="P492" s="439">
        <v>383</v>
      </c>
      <c r="Q492" s="439">
        <v>766</v>
      </c>
      <c r="R492" s="436"/>
      <c r="S492" s="436"/>
      <c r="T492" s="436"/>
      <c r="U492" s="436"/>
      <c r="V492" s="436"/>
      <c r="W492" s="436"/>
      <c r="X492" s="436"/>
      <c r="Y492" s="436">
        <f>IF(NFI_Expiration=1,IF($A492&lt;VLOOKUP(H$5,NFI,5,0),1,0)*Table_NFI[[#This Row],[Hygiene Kit]],Table_NFI[Hygiene Kit])</f>
        <v>0</v>
      </c>
      <c r="Z492" s="436">
        <f>IF(NFI_Expiration=1,IF($A492&lt;VLOOKUP(I$5,NFI,5,0),1,0)*Table_NFI[[#This Row],[NFI Core Kit]],Table_NFI[NFI Core Kit])</f>
        <v>0</v>
      </c>
      <c r="AA492" s="436">
        <f>IF(NFI_Expiration=1,IF($A492&lt;VLOOKUP(J$5,NFI,5,0),1,0)*Table_NFI[[#This Row],[Sanitary Kit]],Table_NFI[Sanitary Kit])</f>
        <v>0</v>
      </c>
      <c r="AB492" s="436">
        <f>IF(NFI_Expiration=1,IF($A492&lt;VLOOKUP(K$5,NFI,5,0),1,0)*Table_NFI[[#This Row],[Mosquito net]],Table_NFI[Mosquito net])</f>
        <v>0</v>
      </c>
      <c r="AC492" s="436">
        <f>IF(NFI_Expiration=1,IF($A492&lt;VLOOKUP(L$5,NFI,5,0),1,0)*Table_NFI[[#This Row],[Tarpaulin]],Table_NFI[[#This Row],[Tarpaulin]])</f>
        <v>0</v>
      </c>
      <c r="AD492" s="436">
        <f>IF(NFI_Expiration=1,IF($A492&lt;VLOOKUP(M$5,NFI,5,0),1,0)*Table_NFI[[#This Row],[Blanket]],Table_NFI[[#This Row],[Blanket]])</f>
        <v>0</v>
      </c>
      <c r="AE492" s="436">
        <f>IF(NFI_Expiration=1,IF($A492&lt;VLOOKUP(N$5,NFI,5,0),1,0)*Table_NFI[[#This Row],[Kitchen Set]],Table_NFI[Kitchen Set])</f>
        <v>0</v>
      </c>
      <c r="AF492" s="436">
        <f>IF(NFI_Expiration=1,IF($A492&lt;VLOOKUP(O$5,NFI,5,0),1,0)*Table_NFI[[#This Row],[Clothes Kit]],Table_NFI[Clothes Kit])</f>
        <v>0</v>
      </c>
      <c r="AG492" s="436">
        <f>IF(NFI_Expiration=1,IF($A492&lt;VLOOKUP(P$5,NFI,5,0),1,0)*Table_NFI[[#This Row],[Plastic Bucket]],Table_NFI[Plastic Bucket])</f>
        <v>0</v>
      </c>
      <c r="AH492" s="436">
        <f>IF(NFI_Expiration=1,IF($A492&lt;VLOOKUP(Q$5,NFI,5,0),1,0)*Table_NFI[[#This Row],[Plastic Mat]],Table_NFI[Plastic Mat])*IF(Table_NFI[[#This Row],[Distribution Date]]&gt;"2014-04-01",1,2.5)</f>
        <v>0</v>
      </c>
      <c r="AI492" s="436">
        <f>IF(NFI_Expiration=1,IF($A492&lt;VLOOKUP(R$5,NFI,5,0),1,0)*Table_NFI[[#This Row],[Winter Clothes Adult]],Table_NFI[Winter Clothes Adult])</f>
        <v>0</v>
      </c>
      <c r="AJ492" s="436">
        <f>IF(NFI_Expiration=1,IF($A492&lt;VLOOKUP(S$5,NFI,5,0),1,0)*Table_NFI[[#This Row],[Winter Clothes Children]],Table_NFI[Winter Clothes Children])</f>
        <v>0</v>
      </c>
      <c r="AK492" s="436">
        <f>IF(NFI_Expiration=1,IF($A492&lt;VLOOKUP(T$5,NFI,5,0),1,0)*Table_NFI[[#This Row],[Winter Items Other]],Table_NFI[Winter Items Other])</f>
        <v>0</v>
      </c>
      <c r="AL492" s="436">
        <f>IF(NFI_Expiration=1,IF($A492&lt;VLOOKUP(M$5,NFI,5,0),1,0)*Table_NFI[[#This Row],[Winter Blanket]],Table_NFI[[#This Row],[Winter Blanket]])</f>
        <v>0</v>
      </c>
      <c r="AM492" s="436">
        <f>IF(Table_NFI[[#This Row],[Winter Clothes Adult]]+Table_NFI[[#This Row],[Winter Clothes Children]]+Table_NFI[[#This Row],[Winter Items Other]]+Table_NFI[[#This Row],[Winter Blanket]]&gt;0,1,0)</f>
        <v>0</v>
      </c>
      <c r="AN492" s="439">
        <f>IF(NFI_Expiration=1,IF($A492&lt;VLOOKUP(V$5,NFI,5,0),1,0)*Table_NFI[[#This Row],[Jerry Can]],Table_NFI[Jerry Can])</f>
        <v>0</v>
      </c>
      <c r="AO492" s="771" t="str">
        <f>IFERROR(VLOOKUP(Table_NFI[[#This Row],[Camp Name]],CL,2,0),"")</f>
        <v>MMR001CMP117</v>
      </c>
      <c r="AP492" s="772">
        <f ca="1">IF(Table_NFI[[#This Row],[Pcode]]="","",IF(OFFSET(CampList[Opening Date],MATCH(Table_NFI[[#This Row],[Pcode]],CampList[CP_Pcode],0)-1,0,1,1)&gt;=NFI_Monitor_Date,1,0))</f>
        <v>0</v>
      </c>
      <c r="AQ492" s="781" t="str">
        <f>IFERROR(VLOOKUP(Table_NFI[[#This Row],[Camp Name]],CL,3,0),"")</f>
        <v>Closed</v>
      </c>
      <c r="AR492" s="439" t="str">
        <f ca="1">IF(Table_NFI[[#This Row],[Pcode]]="","",OFFSET(CampList[Priority],MATCH(Table_NFI[[#This Row],[Pcode]],CampList[CP_Pcode],0)-1,0,1,1))</f>
        <v>P2</v>
      </c>
      <c r="AS492" s="438" t="str">
        <f>IFERROR(Table_NFI[[#This Row],[Kitchen Set]]/VLOOKUP(Table_NFI[[#This Row],[Camp Name]],CL,4,0),"")</f>
        <v/>
      </c>
      <c r="AT492" s="769" t="s">
        <v>1099</v>
      </c>
      <c r="AU492" s="773"/>
    </row>
    <row r="493" spans="1:47" s="774" customFormat="1" x14ac:dyDescent="0.25">
      <c r="A493" s="451">
        <f t="shared" si="7"/>
        <v>27.833333333333332</v>
      </c>
      <c r="B493" s="768">
        <v>41535</v>
      </c>
      <c r="C493" s="769" t="s">
        <v>454</v>
      </c>
      <c r="D493" s="769" t="s">
        <v>454</v>
      </c>
      <c r="E493" s="769" t="s">
        <v>380</v>
      </c>
      <c r="F493" s="435" t="s">
        <v>310</v>
      </c>
      <c r="G493" s="435" t="s">
        <v>353</v>
      </c>
      <c r="H493" s="436"/>
      <c r="I493" s="436"/>
      <c r="J493" s="436">
        <v>1520</v>
      </c>
      <c r="K493" s="436">
        <v>1520</v>
      </c>
      <c r="L493" s="437">
        <v>760</v>
      </c>
      <c r="M493" s="437">
        <v>1520</v>
      </c>
      <c r="N493" s="437">
        <v>760</v>
      </c>
      <c r="O493" s="437">
        <v>760</v>
      </c>
      <c r="P493" s="439"/>
      <c r="Q493" s="439"/>
      <c r="R493" s="436"/>
      <c r="S493" s="436"/>
      <c r="T493" s="436"/>
      <c r="U493" s="436"/>
      <c r="V493" s="436"/>
      <c r="W493" s="436"/>
      <c r="X493" s="436"/>
      <c r="Y493" s="436">
        <f>IF(NFI_Expiration=1,IF($A493&lt;VLOOKUP(H$5,NFI,5,0),1,0)*Table_NFI[[#This Row],[Hygiene Kit]],Table_NFI[Hygiene Kit])</f>
        <v>0</v>
      </c>
      <c r="Z493" s="436">
        <f>IF(NFI_Expiration=1,IF($A493&lt;VLOOKUP(I$5,NFI,5,0),1,0)*Table_NFI[[#This Row],[NFI Core Kit]],Table_NFI[NFI Core Kit])</f>
        <v>0</v>
      </c>
      <c r="AA493" s="436">
        <f>IF(NFI_Expiration=1,IF($A493&lt;VLOOKUP(J$5,NFI,5,0),1,0)*Table_NFI[[#This Row],[Sanitary Kit]],Table_NFI[Sanitary Kit])</f>
        <v>0</v>
      </c>
      <c r="AB493" s="436">
        <f>IF(NFI_Expiration=1,IF($A493&lt;VLOOKUP(K$5,NFI,5,0),1,0)*Table_NFI[[#This Row],[Mosquito net]],Table_NFI[Mosquito net])</f>
        <v>0</v>
      </c>
      <c r="AC493" s="436">
        <f>IF(NFI_Expiration=1,IF($A493&lt;VLOOKUP(L$5,NFI,5,0),1,0)*Table_NFI[[#This Row],[Tarpaulin]],Table_NFI[[#This Row],[Tarpaulin]])</f>
        <v>0</v>
      </c>
      <c r="AD493" s="436">
        <f>IF(NFI_Expiration=1,IF($A493&lt;VLOOKUP(M$5,NFI,5,0),1,0)*Table_NFI[[#This Row],[Blanket]],Table_NFI[[#This Row],[Blanket]])</f>
        <v>0</v>
      </c>
      <c r="AE493" s="436">
        <f>IF(NFI_Expiration=1,IF($A493&lt;VLOOKUP(N$5,NFI,5,0),1,0)*Table_NFI[[#This Row],[Kitchen Set]],Table_NFI[Kitchen Set])</f>
        <v>0</v>
      </c>
      <c r="AF493" s="436">
        <f>IF(NFI_Expiration=1,IF($A493&lt;VLOOKUP(O$5,NFI,5,0),1,0)*Table_NFI[[#This Row],[Clothes Kit]],Table_NFI[Clothes Kit])</f>
        <v>0</v>
      </c>
      <c r="AG493" s="436">
        <f>IF(NFI_Expiration=1,IF($A493&lt;VLOOKUP(P$5,NFI,5,0),1,0)*Table_NFI[[#This Row],[Plastic Bucket]],Table_NFI[Plastic Bucket])</f>
        <v>0</v>
      </c>
      <c r="AH493" s="436">
        <f>IF(NFI_Expiration=1,IF($A493&lt;VLOOKUP(Q$5,NFI,5,0),1,0)*Table_NFI[[#This Row],[Plastic Mat]],Table_NFI[Plastic Mat])*IF(Table_NFI[[#This Row],[Distribution Date]]&gt;"2014-04-01",1,2.5)</f>
        <v>0</v>
      </c>
      <c r="AI493" s="436">
        <f>IF(NFI_Expiration=1,IF($A493&lt;VLOOKUP(R$5,NFI,5,0),1,0)*Table_NFI[[#This Row],[Winter Clothes Adult]],Table_NFI[Winter Clothes Adult])</f>
        <v>0</v>
      </c>
      <c r="AJ493" s="436">
        <f>IF(NFI_Expiration=1,IF($A493&lt;VLOOKUP(S$5,NFI,5,0),1,0)*Table_NFI[[#This Row],[Winter Clothes Children]],Table_NFI[Winter Clothes Children])</f>
        <v>0</v>
      </c>
      <c r="AK493" s="436">
        <f>IF(NFI_Expiration=1,IF($A493&lt;VLOOKUP(T$5,NFI,5,0),1,0)*Table_NFI[[#This Row],[Winter Items Other]],Table_NFI[Winter Items Other])</f>
        <v>0</v>
      </c>
      <c r="AL493" s="436">
        <f>IF(NFI_Expiration=1,IF($A493&lt;VLOOKUP(M$5,NFI,5,0),1,0)*Table_NFI[[#This Row],[Winter Blanket]],Table_NFI[[#This Row],[Winter Blanket]])</f>
        <v>0</v>
      </c>
      <c r="AM493" s="436">
        <f>IF(Table_NFI[[#This Row],[Winter Clothes Adult]]+Table_NFI[[#This Row],[Winter Clothes Children]]+Table_NFI[[#This Row],[Winter Items Other]]+Table_NFI[[#This Row],[Winter Blanket]]&gt;0,1,0)</f>
        <v>0</v>
      </c>
      <c r="AN493" s="439">
        <f>IF(NFI_Expiration=1,IF($A493&lt;VLOOKUP(V$5,NFI,5,0),1,0)*Table_NFI[[#This Row],[Jerry Can]],Table_NFI[Jerry Can])</f>
        <v>0</v>
      </c>
      <c r="AO493" s="771" t="str">
        <f>IFERROR(VLOOKUP(Table_NFI[[#This Row],[Camp Name]],CL,2,0),"")</f>
        <v>MMR001CMP116</v>
      </c>
      <c r="AP493" s="772">
        <f ca="1">IF(Table_NFI[[#This Row],[Pcode]]="","",IF(OFFSET(CampList[Opening Date],MATCH(Table_NFI[[#This Row],[Pcode]],CampList[CP_Pcode],0)-1,0,1,1)&gt;=NFI_Monitor_Date,1,0))</f>
        <v>0</v>
      </c>
      <c r="AQ493" s="781" t="str">
        <f>IFERROR(VLOOKUP(Table_NFI[[#This Row],[Camp Name]],CL,3,0),"")</f>
        <v>Open</v>
      </c>
      <c r="AR493" s="439" t="str">
        <f ca="1">IF(Table_NFI[[#This Row],[Pcode]]="","",OFFSET(CampList[Priority],MATCH(Table_NFI[[#This Row],[Pcode]],CampList[CP_Pcode],0)-1,0,1,1))</f>
        <v>P4</v>
      </c>
      <c r="AS493" s="438">
        <f>IFERROR(Table_NFI[[#This Row],[Kitchen Set]]/VLOOKUP(Table_NFI[[#This Row],[Camp Name]],CL,4,0),"")</f>
        <v>0.56379821958456977</v>
      </c>
      <c r="AT493" s="769" t="s">
        <v>1099</v>
      </c>
      <c r="AU493" s="773"/>
    </row>
    <row r="494" spans="1:47" s="774" customFormat="1" x14ac:dyDescent="0.25">
      <c r="A494" s="451">
        <f t="shared" si="7"/>
        <v>28.033333333333335</v>
      </c>
      <c r="B494" s="768">
        <v>41529</v>
      </c>
      <c r="C494" s="769" t="s">
        <v>454</v>
      </c>
      <c r="D494" s="769" t="s">
        <v>454</v>
      </c>
      <c r="E494" s="769" t="s">
        <v>380</v>
      </c>
      <c r="F494" s="435" t="s">
        <v>185</v>
      </c>
      <c r="G494" s="435" t="s">
        <v>215</v>
      </c>
      <c r="H494" s="436"/>
      <c r="I494" s="436"/>
      <c r="J494" s="436">
        <v>640</v>
      </c>
      <c r="K494" s="436">
        <v>640</v>
      </c>
      <c r="L494" s="437">
        <v>320</v>
      </c>
      <c r="M494" s="437">
        <v>320</v>
      </c>
      <c r="N494" s="437">
        <v>320</v>
      </c>
      <c r="O494" s="437">
        <v>320</v>
      </c>
      <c r="P494" s="439">
        <v>640</v>
      </c>
      <c r="Q494" s="439">
        <v>320</v>
      </c>
      <c r="R494" s="436"/>
      <c r="S494" s="436"/>
      <c r="T494" s="436"/>
      <c r="U494" s="436"/>
      <c r="V494" s="436"/>
      <c r="W494" s="436"/>
      <c r="X494" s="436"/>
      <c r="Y494" s="436">
        <f>IF(NFI_Expiration=1,IF($A494&lt;VLOOKUP(H$5,NFI,5,0),1,0)*Table_NFI[[#This Row],[Hygiene Kit]],Table_NFI[Hygiene Kit])</f>
        <v>0</v>
      </c>
      <c r="Z494" s="436">
        <f>IF(NFI_Expiration=1,IF($A494&lt;VLOOKUP(I$5,NFI,5,0),1,0)*Table_NFI[[#This Row],[NFI Core Kit]],Table_NFI[NFI Core Kit])</f>
        <v>0</v>
      </c>
      <c r="AA494" s="436">
        <f>IF(NFI_Expiration=1,IF($A494&lt;VLOOKUP(J$5,NFI,5,0),1,0)*Table_NFI[[#This Row],[Sanitary Kit]],Table_NFI[Sanitary Kit])</f>
        <v>0</v>
      </c>
      <c r="AB494" s="436">
        <f>IF(NFI_Expiration=1,IF($A494&lt;VLOOKUP(K$5,NFI,5,0),1,0)*Table_NFI[[#This Row],[Mosquito net]],Table_NFI[Mosquito net])</f>
        <v>0</v>
      </c>
      <c r="AC494" s="436">
        <f>IF(NFI_Expiration=1,IF($A494&lt;VLOOKUP(L$5,NFI,5,0),1,0)*Table_NFI[[#This Row],[Tarpaulin]],Table_NFI[[#This Row],[Tarpaulin]])</f>
        <v>0</v>
      </c>
      <c r="AD494" s="436">
        <f>IF(NFI_Expiration=1,IF($A494&lt;VLOOKUP(M$5,NFI,5,0),1,0)*Table_NFI[[#This Row],[Blanket]],Table_NFI[[#This Row],[Blanket]])</f>
        <v>0</v>
      </c>
      <c r="AE494" s="436">
        <f>IF(NFI_Expiration=1,IF($A494&lt;VLOOKUP(N$5,NFI,5,0),1,0)*Table_NFI[[#This Row],[Kitchen Set]],Table_NFI[Kitchen Set])</f>
        <v>0</v>
      </c>
      <c r="AF494" s="436">
        <f>IF(NFI_Expiration=1,IF($A494&lt;VLOOKUP(O$5,NFI,5,0),1,0)*Table_NFI[[#This Row],[Clothes Kit]],Table_NFI[Clothes Kit])</f>
        <v>0</v>
      </c>
      <c r="AG494" s="436">
        <f>IF(NFI_Expiration=1,IF($A494&lt;VLOOKUP(P$5,NFI,5,0),1,0)*Table_NFI[[#This Row],[Plastic Bucket]],Table_NFI[Plastic Bucket])</f>
        <v>0</v>
      </c>
      <c r="AH494" s="436">
        <f>IF(NFI_Expiration=1,IF($A494&lt;VLOOKUP(Q$5,NFI,5,0),1,0)*Table_NFI[[#This Row],[Plastic Mat]],Table_NFI[Plastic Mat])*IF(Table_NFI[[#This Row],[Distribution Date]]&gt;"2014-04-01",1,2.5)</f>
        <v>0</v>
      </c>
      <c r="AI494" s="436">
        <f>IF(NFI_Expiration=1,IF($A494&lt;VLOOKUP(R$5,NFI,5,0),1,0)*Table_NFI[[#This Row],[Winter Clothes Adult]],Table_NFI[Winter Clothes Adult])</f>
        <v>0</v>
      </c>
      <c r="AJ494" s="436">
        <f>IF(NFI_Expiration=1,IF($A494&lt;VLOOKUP(S$5,NFI,5,0),1,0)*Table_NFI[[#This Row],[Winter Clothes Children]],Table_NFI[Winter Clothes Children])</f>
        <v>0</v>
      </c>
      <c r="AK494" s="436">
        <f>IF(NFI_Expiration=1,IF($A494&lt;VLOOKUP(T$5,NFI,5,0),1,0)*Table_NFI[[#This Row],[Winter Items Other]],Table_NFI[Winter Items Other])</f>
        <v>0</v>
      </c>
      <c r="AL494" s="436">
        <f>IF(NFI_Expiration=1,IF($A494&lt;VLOOKUP(M$5,NFI,5,0),1,0)*Table_NFI[[#This Row],[Winter Blanket]],Table_NFI[[#This Row],[Winter Blanket]])</f>
        <v>0</v>
      </c>
      <c r="AM494" s="436">
        <f>IF(Table_NFI[[#This Row],[Winter Clothes Adult]]+Table_NFI[[#This Row],[Winter Clothes Children]]+Table_NFI[[#This Row],[Winter Items Other]]+Table_NFI[[#This Row],[Winter Blanket]]&gt;0,1,0)</f>
        <v>0</v>
      </c>
      <c r="AN494" s="439">
        <f>IF(NFI_Expiration=1,IF($A494&lt;VLOOKUP(V$5,NFI,5,0),1,0)*Table_NFI[[#This Row],[Jerry Can]],Table_NFI[Jerry Can])</f>
        <v>0</v>
      </c>
      <c r="AO494" s="771" t="str">
        <f>IFERROR(VLOOKUP(Table_NFI[[#This Row],[Camp Name]],CL,2,0),"")</f>
        <v>MMR001CMP131</v>
      </c>
      <c r="AP494" s="772">
        <f ca="1">IF(Table_NFI[[#This Row],[Pcode]]="","",IF(OFFSET(CampList[Opening Date],MATCH(Table_NFI[[#This Row],[Pcode]],CampList[CP_Pcode],0)-1,0,1,1)&gt;=NFI_Monitor_Date,1,0))</f>
        <v>0</v>
      </c>
      <c r="AQ494" s="781" t="str">
        <f>IFERROR(VLOOKUP(Table_NFI[[#This Row],[Camp Name]],CL,3,0),"")</f>
        <v>Open</v>
      </c>
      <c r="AR494" s="439" t="str">
        <f ca="1">IF(Table_NFI[[#This Row],[Pcode]]="","",OFFSET(CampList[Priority],MATCH(Table_NFI[[#This Row],[Pcode]],CampList[CP_Pcode],0)-1,0,1,1))</f>
        <v>P1</v>
      </c>
      <c r="AS494" s="438">
        <f>IFERROR(Table_NFI[[#This Row],[Kitchen Set]]/VLOOKUP(Table_NFI[[#This Row],[Camp Name]],CL,4,0),"")</f>
        <v>0.85333333333333339</v>
      </c>
      <c r="AT494" s="769" t="s">
        <v>1099</v>
      </c>
      <c r="AU494" s="773"/>
    </row>
    <row r="495" spans="1:47" s="774" customFormat="1" x14ac:dyDescent="0.25">
      <c r="A495" s="451">
        <f t="shared" si="7"/>
        <v>29.033333333333335</v>
      </c>
      <c r="B495" s="768">
        <v>41499</v>
      </c>
      <c r="C495" s="769" t="s">
        <v>454</v>
      </c>
      <c r="D495" s="769" t="s">
        <v>462</v>
      </c>
      <c r="E495" s="769" t="s">
        <v>555</v>
      </c>
      <c r="F495" s="769" t="s">
        <v>784</v>
      </c>
      <c r="G495" s="435" t="s">
        <v>921</v>
      </c>
      <c r="H495" s="436"/>
      <c r="I495" s="436"/>
      <c r="J495" s="436">
        <v>67</v>
      </c>
      <c r="K495" s="436">
        <v>90</v>
      </c>
      <c r="L495" s="437">
        <v>30</v>
      </c>
      <c r="M495" s="437">
        <v>90</v>
      </c>
      <c r="N495" s="437">
        <v>30</v>
      </c>
      <c r="O495" s="437">
        <v>30</v>
      </c>
      <c r="P495" s="437">
        <v>30</v>
      </c>
      <c r="Q495" s="437">
        <v>30</v>
      </c>
      <c r="R495" s="436"/>
      <c r="S495" s="436"/>
      <c r="T495" s="436"/>
      <c r="U495" s="436"/>
      <c r="V495" s="436"/>
      <c r="W495" s="436"/>
      <c r="X495" s="436"/>
      <c r="Y495" s="436">
        <f>IF(NFI_Expiration=1,IF($A495&lt;VLOOKUP(H$5,NFI,5,0),1,0)*Table_NFI[[#This Row],[Hygiene Kit]],Table_NFI[Hygiene Kit])</f>
        <v>0</v>
      </c>
      <c r="Z495" s="436">
        <f>IF(NFI_Expiration=1,IF($A495&lt;VLOOKUP(I$5,NFI,5,0),1,0)*Table_NFI[[#This Row],[NFI Core Kit]],Table_NFI[NFI Core Kit])</f>
        <v>0</v>
      </c>
      <c r="AA495" s="436">
        <f>IF(NFI_Expiration=1,IF($A495&lt;VLOOKUP(J$5,NFI,5,0),1,0)*Table_NFI[[#This Row],[Sanitary Kit]],Table_NFI[Sanitary Kit])</f>
        <v>0</v>
      </c>
      <c r="AB495" s="436">
        <f>IF(NFI_Expiration=1,IF($A495&lt;VLOOKUP(K$5,NFI,5,0),1,0)*Table_NFI[[#This Row],[Mosquito net]],Table_NFI[Mosquito net])</f>
        <v>0</v>
      </c>
      <c r="AC495" s="436">
        <f>IF(NFI_Expiration=1,IF($A495&lt;VLOOKUP(L$5,NFI,5,0),1,0)*Table_NFI[[#This Row],[Tarpaulin]],Table_NFI[[#This Row],[Tarpaulin]])</f>
        <v>0</v>
      </c>
      <c r="AD495" s="436">
        <f>IF(NFI_Expiration=1,IF($A495&lt;VLOOKUP(M$5,NFI,5,0),1,0)*Table_NFI[[#This Row],[Blanket]],Table_NFI[[#This Row],[Blanket]])</f>
        <v>0</v>
      </c>
      <c r="AE495" s="436">
        <f>IF(NFI_Expiration=1,IF($A495&lt;VLOOKUP(N$5,NFI,5,0),1,0)*Table_NFI[[#This Row],[Kitchen Set]],Table_NFI[Kitchen Set])</f>
        <v>0</v>
      </c>
      <c r="AF495" s="436">
        <f>IF(NFI_Expiration=1,IF($A495&lt;VLOOKUP(O$5,NFI,5,0),1,0)*Table_NFI[[#This Row],[Clothes Kit]],Table_NFI[Clothes Kit])</f>
        <v>0</v>
      </c>
      <c r="AG495" s="436">
        <f>IF(NFI_Expiration=1,IF($A495&lt;VLOOKUP(P$5,NFI,5,0),1,0)*Table_NFI[[#This Row],[Plastic Bucket]],Table_NFI[Plastic Bucket])</f>
        <v>0</v>
      </c>
      <c r="AH495" s="436">
        <f>IF(NFI_Expiration=1,IF($A495&lt;VLOOKUP(Q$5,NFI,5,0),1,0)*Table_NFI[[#This Row],[Plastic Mat]],Table_NFI[Plastic Mat])*IF(Table_NFI[[#This Row],[Distribution Date]]&gt;"2014-04-01",1,2.5)</f>
        <v>0</v>
      </c>
      <c r="AI495" s="436">
        <f>IF(NFI_Expiration=1,IF($A495&lt;VLOOKUP(R$5,NFI,5,0),1,0)*Table_NFI[[#This Row],[Winter Clothes Adult]],Table_NFI[Winter Clothes Adult])</f>
        <v>0</v>
      </c>
      <c r="AJ495" s="436">
        <f>IF(NFI_Expiration=1,IF($A495&lt;VLOOKUP(S$5,NFI,5,0),1,0)*Table_NFI[[#This Row],[Winter Clothes Children]],Table_NFI[Winter Clothes Children])</f>
        <v>0</v>
      </c>
      <c r="AK495" s="436">
        <f>IF(NFI_Expiration=1,IF($A495&lt;VLOOKUP(T$5,NFI,5,0),1,0)*Table_NFI[[#This Row],[Winter Items Other]],Table_NFI[Winter Items Other])</f>
        <v>0</v>
      </c>
      <c r="AL495" s="436">
        <f>IF(NFI_Expiration=1,IF($A495&lt;VLOOKUP(M$5,NFI,5,0),1,0)*Table_NFI[[#This Row],[Winter Blanket]],Table_NFI[[#This Row],[Winter Blanket]])</f>
        <v>0</v>
      </c>
      <c r="AM495" s="436">
        <f>IF(Table_NFI[[#This Row],[Winter Clothes Adult]]+Table_NFI[[#This Row],[Winter Clothes Children]]+Table_NFI[[#This Row],[Winter Items Other]]+Table_NFI[[#This Row],[Winter Blanket]]&gt;0,1,0)</f>
        <v>0</v>
      </c>
      <c r="AN495" s="439">
        <f>IF(NFI_Expiration=1,IF($A495&lt;VLOOKUP(V$5,NFI,5,0),1,0)*Table_NFI[[#This Row],[Jerry Can]],Table_NFI[Jerry Can])</f>
        <v>0</v>
      </c>
      <c r="AO495" s="771" t="str">
        <f>IFERROR(VLOOKUP(Table_NFI[[#This Row],[Camp Name]],CL,2,0),"")</f>
        <v/>
      </c>
      <c r="AP495" s="772" t="str">
        <f ca="1">IF(Table_NFI[[#This Row],[Pcode]]="","",IF(OFFSET(CampList[Opening Date],MATCH(Table_NFI[[#This Row],[Pcode]],CampList[CP_Pcode],0)-1,0,1,1)&gt;=NFI_Monitor_Date,1,0))</f>
        <v/>
      </c>
      <c r="AQ495" s="781" t="str">
        <f>IFERROR(VLOOKUP(Table_NFI[[#This Row],[Camp Name]],CL,3,0),"")</f>
        <v/>
      </c>
      <c r="AR495" s="439" t="str">
        <f ca="1">IF(Table_NFI[[#This Row],[Pcode]]="","",OFFSET(CampList[Priority],MATCH(Table_NFI[[#This Row],[Pcode]],CampList[CP_Pcode],0)-1,0,1,1))</f>
        <v/>
      </c>
      <c r="AS495" s="438" t="str">
        <f>IFERROR(Table_NFI[[#This Row],[Kitchen Set]]/VLOOKUP(Table_NFI[[#This Row],[Camp Name]],CL,4,0),"")</f>
        <v/>
      </c>
      <c r="AT495" s="769" t="s">
        <v>1099</v>
      </c>
      <c r="AU495" s="773"/>
    </row>
    <row r="496" spans="1:47" s="774" customFormat="1" x14ac:dyDescent="0.25">
      <c r="A496" s="451">
        <f t="shared" si="7"/>
        <v>29.033333333333335</v>
      </c>
      <c r="B496" s="768">
        <v>41499</v>
      </c>
      <c r="C496" s="769" t="s">
        <v>454</v>
      </c>
      <c r="D496" s="769" t="s">
        <v>508</v>
      </c>
      <c r="E496" s="769" t="s">
        <v>555</v>
      </c>
      <c r="F496" s="769" t="s">
        <v>166</v>
      </c>
      <c r="G496" s="435" t="s">
        <v>12</v>
      </c>
      <c r="H496" s="436"/>
      <c r="I496" s="436"/>
      <c r="J496" s="436">
        <v>49</v>
      </c>
      <c r="K496" s="436">
        <v>90</v>
      </c>
      <c r="L496" s="437">
        <v>30</v>
      </c>
      <c r="M496" s="437">
        <v>90</v>
      </c>
      <c r="N496" s="437">
        <v>30</v>
      </c>
      <c r="O496" s="437">
        <v>30</v>
      </c>
      <c r="P496" s="437">
        <v>30</v>
      </c>
      <c r="Q496" s="437">
        <v>30</v>
      </c>
      <c r="R496" s="436"/>
      <c r="S496" s="436"/>
      <c r="T496" s="436"/>
      <c r="U496" s="436"/>
      <c r="V496" s="436"/>
      <c r="W496" s="436"/>
      <c r="X496" s="436"/>
      <c r="Y496" s="436">
        <f>IF(NFI_Expiration=1,IF($A496&lt;VLOOKUP(H$5,NFI,5,0),1,0)*Table_NFI[[#This Row],[Hygiene Kit]],Table_NFI[Hygiene Kit])</f>
        <v>0</v>
      </c>
      <c r="Z496" s="436">
        <f>IF(NFI_Expiration=1,IF($A496&lt;VLOOKUP(I$5,NFI,5,0),1,0)*Table_NFI[[#This Row],[NFI Core Kit]],Table_NFI[NFI Core Kit])</f>
        <v>0</v>
      </c>
      <c r="AA496" s="436">
        <f>IF(NFI_Expiration=1,IF($A496&lt;VLOOKUP(J$5,NFI,5,0),1,0)*Table_NFI[[#This Row],[Sanitary Kit]],Table_NFI[Sanitary Kit])</f>
        <v>0</v>
      </c>
      <c r="AB496" s="436">
        <f>IF(NFI_Expiration=1,IF($A496&lt;VLOOKUP(K$5,NFI,5,0),1,0)*Table_NFI[[#This Row],[Mosquito net]],Table_NFI[Mosquito net])</f>
        <v>0</v>
      </c>
      <c r="AC496" s="436">
        <f>IF(NFI_Expiration=1,IF($A496&lt;VLOOKUP(L$5,NFI,5,0),1,0)*Table_NFI[[#This Row],[Tarpaulin]],Table_NFI[[#This Row],[Tarpaulin]])</f>
        <v>0</v>
      </c>
      <c r="AD496" s="436">
        <f>IF(NFI_Expiration=1,IF($A496&lt;VLOOKUP(M$5,NFI,5,0),1,0)*Table_NFI[[#This Row],[Blanket]],Table_NFI[[#This Row],[Blanket]])</f>
        <v>0</v>
      </c>
      <c r="AE496" s="436">
        <f>IF(NFI_Expiration=1,IF($A496&lt;VLOOKUP(N$5,NFI,5,0),1,0)*Table_NFI[[#This Row],[Kitchen Set]],Table_NFI[Kitchen Set])</f>
        <v>0</v>
      </c>
      <c r="AF496" s="436">
        <f>IF(NFI_Expiration=1,IF($A496&lt;VLOOKUP(O$5,NFI,5,0),1,0)*Table_NFI[[#This Row],[Clothes Kit]],Table_NFI[Clothes Kit])</f>
        <v>0</v>
      </c>
      <c r="AG496" s="436">
        <f>IF(NFI_Expiration=1,IF($A496&lt;VLOOKUP(P$5,NFI,5,0),1,0)*Table_NFI[[#This Row],[Plastic Bucket]],Table_NFI[Plastic Bucket])</f>
        <v>0</v>
      </c>
      <c r="AH496" s="436">
        <f>IF(NFI_Expiration=1,IF($A496&lt;VLOOKUP(Q$5,NFI,5,0),1,0)*Table_NFI[[#This Row],[Plastic Mat]],Table_NFI[Plastic Mat])*IF(Table_NFI[[#This Row],[Distribution Date]]&gt;"2014-04-01",1,2.5)</f>
        <v>0</v>
      </c>
      <c r="AI496" s="436">
        <f>IF(NFI_Expiration=1,IF($A496&lt;VLOOKUP(R$5,NFI,5,0),1,0)*Table_NFI[[#This Row],[Winter Clothes Adult]],Table_NFI[Winter Clothes Adult])</f>
        <v>0</v>
      </c>
      <c r="AJ496" s="436">
        <f>IF(NFI_Expiration=1,IF($A496&lt;VLOOKUP(S$5,NFI,5,0),1,0)*Table_NFI[[#This Row],[Winter Clothes Children]],Table_NFI[Winter Clothes Children])</f>
        <v>0</v>
      </c>
      <c r="AK496" s="436">
        <f>IF(NFI_Expiration=1,IF($A496&lt;VLOOKUP(T$5,NFI,5,0),1,0)*Table_NFI[[#This Row],[Winter Items Other]],Table_NFI[Winter Items Other])</f>
        <v>0</v>
      </c>
      <c r="AL496" s="436">
        <f>IF(NFI_Expiration=1,IF($A496&lt;VLOOKUP(M$5,NFI,5,0),1,0)*Table_NFI[[#This Row],[Winter Blanket]],Table_NFI[[#This Row],[Winter Blanket]])</f>
        <v>0</v>
      </c>
      <c r="AM496" s="436">
        <f>IF(Table_NFI[[#This Row],[Winter Clothes Adult]]+Table_NFI[[#This Row],[Winter Clothes Children]]+Table_NFI[[#This Row],[Winter Items Other]]+Table_NFI[[#This Row],[Winter Blanket]]&gt;0,1,0)</f>
        <v>0</v>
      </c>
      <c r="AN496" s="439">
        <f>IF(NFI_Expiration=1,IF($A496&lt;VLOOKUP(V$5,NFI,5,0),1,0)*Table_NFI[[#This Row],[Jerry Can]],Table_NFI[Jerry Can])</f>
        <v>0</v>
      </c>
      <c r="AO496" s="771" t="str">
        <f>IFERROR(VLOOKUP(Table_NFI[[#This Row],[Camp Name]],CL,2,0),"")</f>
        <v>MMR001CMP163</v>
      </c>
      <c r="AP496" s="772">
        <f ca="1">IF(Table_NFI[[#This Row],[Pcode]]="","",IF(OFFSET(CampList[Opening Date],MATCH(Table_NFI[[#This Row],[Pcode]],CampList[CP_Pcode],0)-1,0,1,1)&gt;=NFI_Monitor_Date,1,0))</f>
        <v>0</v>
      </c>
      <c r="AQ496" s="781" t="str">
        <f>IFERROR(VLOOKUP(Table_NFI[[#This Row],[Camp Name]],CL,3,0),"")</f>
        <v>Open</v>
      </c>
      <c r="AR496" s="439" t="str">
        <f ca="1">IF(Table_NFI[[#This Row],[Pcode]]="","",OFFSET(CampList[Priority],MATCH(Table_NFI[[#This Row],[Pcode]],CampList[CP_Pcode],0)-1,0,1,1))</f>
        <v>P4</v>
      </c>
      <c r="AS496" s="438">
        <f>IFERROR(Table_NFI[[#This Row],[Kitchen Set]]/VLOOKUP(Table_NFI[[#This Row],[Camp Name]],CL,4,0),"")</f>
        <v>0.14218009478672985</v>
      </c>
      <c r="AT496" s="769" t="s">
        <v>1099</v>
      </c>
      <c r="AU496" s="773"/>
    </row>
    <row r="497" spans="1:47" s="774" customFormat="1" x14ac:dyDescent="0.25">
      <c r="A497" s="451">
        <f t="shared" si="7"/>
        <v>29.033333333333335</v>
      </c>
      <c r="B497" s="768">
        <v>41499</v>
      </c>
      <c r="C497" s="769" t="s">
        <v>454</v>
      </c>
      <c r="D497" s="769" t="s">
        <v>462</v>
      </c>
      <c r="E497" s="769" t="s">
        <v>555</v>
      </c>
      <c r="F497" s="769" t="s">
        <v>146</v>
      </c>
      <c r="G497" s="435" t="s">
        <v>372</v>
      </c>
      <c r="H497" s="436"/>
      <c r="I497" s="436"/>
      <c r="J497" s="436">
        <v>70</v>
      </c>
      <c r="K497" s="436">
        <v>120</v>
      </c>
      <c r="L497" s="437">
        <v>48</v>
      </c>
      <c r="M497" s="437">
        <v>120</v>
      </c>
      <c r="N497" s="437">
        <v>48</v>
      </c>
      <c r="O497" s="437">
        <v>48</v>
      </c>
      <c r="P497" s="437">
        <v>48</v>
      </c>
      <c r="Q497" s="437">
        <v>48</v>
      </c>
      <c r="R497" s="436"/>
      <c r="S497" s="436"/>
      <c r="T497" s="436"/>
      <c r="U497" s="436"/>
      <c r="V497" s="436"/>
      <c r="W497" s="436"/>
      <c r="X497" s="436"/>
      <c r="Y497" s="436">
        <f>IF(NFI_Expiration=1,IF($A497&lt;VLOOKUP(H$5,NFI,5,0),1,0)*Table_NFI[[#This Row],[Hygiene Kit]],Table_NFI[Hygiene Kit])</f>
        <v>0</v>
      </c>
      <c r="Z497" s="436">
        <f>IF(NFI_Expiration=1,IF($A497&lt;VLOOKUP(I$5,NFI,5,0),1,0)*Table_NFI[[#This Row],[NFI Core Kit]],Table_NFI[NFI Core Kit])</f>
        <v>0</v>
      </c>
      <c r="AA497" s="436">
        <f>IF(NFI_Expiration=1,IF($A497&lt;VLOOKUP(J$5,NFI,5,0),1,0)*Table_NFI[[#This Row],[Sanitary Kit]],Table_NFI[Sanitary Kit])</f>
        <v>0</v>
      </c>
      <c r="AB497" s="436">
        <f>IF(NFI_Expiration=1,IF($A497&lt;VLOOKUP(K$5,NFI,5,0),1,0)*Table_NFI[[#This Row],[Mosquito net]],Table_NFI[Mosquito net])</f>
        <v>0</v>
      </c>
      <c r="AC497" s="436">
        <f>IF(NFI_Expiration=1,IF($A497&lt;VLOOKUP(L$5,NFI,5,0),1,0)*Table_NFI[[#This Row],[Tarpaulin]],Table_NFI[[#This Row],[Tarpaulin]])</f>
        <v>0</v>
      </c>
      <c r="AD497" s="436">
        <f>IF(NFI_Expiration=1,IF($A497&lt;VLOOKUP(M$5,NFI,5,0),1,0)*Table_NFI[[#This Row],[Blanket]],Table_NFI[[#This Row],[Blanket]])</f>
        <v>0</v>
      </c>
      <c r="AE497" s="436">
        <f>IF(NFI_Expiration=1,IF($A497&lt;VLOOKUP(N$5,NFI,5,0),1,0)*Table_NFI[[#This Row],[Kitchen Set]],Table_NFI[Kitchen Set])</f>
        <v>0</v>
      </c>
      <c r="AF497" s="436">
        <f>IF(NFI_Expiration=1,IF($A497&lt;VLOOKUP(O$5,NFI,5,0),1,0)*Table_NFI[[#This Row],[Clothes Kit]],Table_NFI[Clothes Kit])</f>
        <v>0</v>
      </c>
      <c r="AG497" s="436">
        <f>IF(NFI_Expiration=1,IF($A497&lt;VLOOKUP(P$5,NFI,5,0),1,0)*Table_NFI[[#This Row],[Plastic Bucket]],Table_NFI[Plastic Bucket])</f>
        <v>0</v>
      </c>
      <c r="AH497" s="436">
        <f>IF(NFI_Expiration=1,IF($A497&lt;VLOOKUP(Q$5,NFI,5,0),1,0)*Table_NFI[[#This Row],[Plastic Mat]],Table_NFI[Plastic Mat])*IF(Table_NFI[[#This Row],[Distribution Date]]&gt;"2014-04-01",1,2.5)</f>
        <v>0</v>
      </c>
      <c r="AI497" s="436">
        <f>IF(NFI_Expiration=1,IF($A497&lt;VLOOKUP(R$5,NFI,5,0),1,0)*Table_NFI[[#This Row],[Winter Clothes Adult]],Table_NFI[Winter Clothes Adult])</f>
        <v>0</v>
      </c>
      <c r="AJ497" s="436">
        <f>IF(NFI_Expiration=1,IF($A497&lt;VLOOKUP(S$5,NFI,5,0),1,0)*Table_NFI[[#This Row],[Winter Clothes Children]],Table_NFI[Winter Clothes Children])</f>
        <v>0</v>
      </c>
      <c r="AK497" s="436">
        <f>IF(NFI_Expiration=1,IF($A497&lt;VLOOKUP(T$5,NFI,5,0),1,0)*Table_NFI[[#This Row],[Winter Items Other]],Table_NFI[Winter Items Other])</f>
        <v>0</v>
      </c>
      <c r="AL497" s="436">
        <f>IF(NFI_Expiration=1,IF($A497&lt;VLOOKUP(M$5,NFI,5,0),1,0)*Table_NFI[[#This Row],[Winter Blanket]],Table_NFI[[#This Row],[Winter Blanket]])</f>
        <v>0</v>
      </c>
      <c r="AM497" s="436">
        <f>IF(Table_NFI[[#This Row],[Winter Clothes Adult]]+Table_NFI[[#This Row],[Winter Clothes Children]]+Table_NFI[[#This Row],[Winter Items Other]]+Table_NFI[[#This Row],[Winter Blanket]]&gt;0,1,0)</f>
        <v>0</v>
      </c>
      <c r="AN497" s="439">
        <f>IF(NFI_Expiration=1,IF($A497&lt;VLOOKUP(V$5,NFI,5,0),1,0)*Table_NFI[[#This Row],[Jerry Can]],Table_NFI[Jerry Can])</f>
        <v>0</v>
      </c>
      <c r="AO497" s="771" t="str">
        <f>IFERROR(VLOOKUP(Table_NFI[[#This Row],[Camp Name]],CL,2,0),"")</f>
        <v>MMR015CMP015</v>
      </c>
      <c r="AP497" s="772">
        <f ca="1">IF(Table_NFI[[#This Row],[Pcode]]="","",IF(OFFSET(CampList[Opening Date],MATCH(Table_NFI[[#This Row],[Pcode]],CampList[CP_Pcode],0)-1,0,1,1)&gt;=NFI_Monitor_Date,1,0))</f>
        <v>0</v>
      </c>
      <c r="AQ497" s="781" t="str">
        <f>IFERROR(VLOOKUP(Table_NFI[[#This Row],[Camp Name]],CL,3,0),"")</f>
        <v>Open</v>
      </c>
      <c r="AR497" s="439" t="str">
        <f ca="1">IF(Table_NFI[[#This Row],[Pcode]]="","",OFFSET(CampList[Priority],MATCH(Table_NFI[[#This Row],[Pcode]],CampList[CP_Pcode],0)-1,0,1,1))</f>
        <v>P3</v>
      </c>
      <c r="AS497" s="438">
        <f>IFERROR(Table_NFI[[#This Row],[Kitchen Set]]/VLOOKUP(Table_NFI[[#This Row],[Camp Name]],CL,4,0),"")</f>
        <v>0.55172413793103448</v>
      </c>
      <c r="AT497" s="769" t="s">
        <v>1099</v>
      </c>
      <c r="AU497" s="773"/>
    </row>
    <row r="498" spans="1:47" s="774" customFormat="1" x14ac:dyDescent="0.25">
      <c r="A498" s="451">
        <f t="shared" si="7"/>
        <v>29.033333333333335</v>
      </c>
      <c r="B498" s="768">
        <v>41499</v>
      </c>
      <c r="C498" s="769" t="s">
        <v>454</v>
      </c>
      <c r="D498" s="770" t="s">
        <v>508</v>
      </c>
      <c r="E498" s="769" t="s">
        <v>555</v>
      </c>
      <c r="F498" s="435" t="s">
        <v>146</v>
      </c>
      <c r="G498" s="435" t="s">
        <v>370</v>
      </c>
      <c r="H498" s="436"/>
      <c r="I498" s="436"/>
      <c r="J498" s="436">
        <v>47</v>
      </c>
      <c r="K498" s="436">
        <v>103</v>
      </c>
      <c r="L498" s="437">
        <v>41</v>
      </c>
      <c r="M498" s="437">
        <v>103</v>
      </c>
      <c r="N498" s="437">
        <v>41</v>
      </c>
      <c r="O498" s="437">
        <v>41</v>
      </c>
      <c r="P498" s="437">
        <v>41</v>
      </c>
      <c r="Q498" s="437">
        <v>41</v>
      </c>
      <c r="R498" s="436"/>
      <c r="S498" s="436"/>
      <c r="T498" s="436"/>
      <c r="U498" s="436"/>
      <c r="V498" s="436"/>
      <c r="W498" s="436"/>
      <c r="X498" s="436"/>
      <c r="Y498" s="436">
        <f>IF(NFI_Expiration=1,IF($A498&lt;VLOOKUP(H$5,NFI,5,0),1,0)*Table_NFI[[#This Row],[Hygiene Kit]],Table_NFI[Hygiene Kit])</f>
        <v>0</v>
      </c>
      <c r="Z498" s="436">
        <f>IF(NFI_Expiration=1,IF($A498&lt;VLOOKUP(I$5,NFI,5,0),1,0)*Table_NFI[[#This Row],[NFI Core Kit]],Table_NFI[NFI Core Kit])</f>
        <v>0</v>
      </c>
      <c r="AA498" s="436">
        <f>IF(NFI_Expiration=1,IF($A498&lt;VLOOKUP(J$5,NFI,5,0),1,0)*Table_NFI[[#This Row],[Sanitary Kit]],Table_NFI[Sanitary Kit])</f>
        <v>0</v>
      </c>
      <c r="AB498" s="436">
        <f>IF(NFI_Expiration=1,IF($A498&lt;VLOOKUP(K$5,NFI,5,0),1,0)*Table_NFI[[#This Row],[Mosquito net]],Table_NFI[Mosquito net])</f>
        <v>0</v>
      </c>
      <c r="AC498" s="436">
        <f>IF(NFI_Expiration=1,IF($A498&lt;VLOOKUP(L$5,NFI,5,0),1,0)*Table_NFI[[#This Row],[Tarpaulin]],Table_NFI[[#This Row],[Tarpaulin]])</f>
        <v>0</v>
      </c>
      <c r="AD498" s="436">
        <f>IF(NFI_Expiration=1,IF($A498&lt;VLOOKUP(M$5,NFI,5,0),1,0)*Table_NFI[[#This Row],[Blanket]],Table_NFI[[#This Row],[Blanket]])</f>
        <v>0</v>
      </c>
      <c r="AE498" s="436">
        <f>IF(NFI_Expiration=1,IF($A498&lt;VLOOKUP(N$5,NFI,5,0),1,0)*Table_NFI[[#This Row],[Kitchen Set]],Table_NFI[Kitchen Set])</f>
        <v>0</v>
      </c>
      <c r="AF498" s="436">
        <f>IF(NFI_Expiration=1,IF($A498&lt;VLOOKUP(O$5,NFI,5,0),1,0)*Table_NFI[[#This Row],[Clothes Kit]],Table_NFI[Clothes Kit])</f>
        <v>0</v>
      </c>
      <c r="AG498" s="436">
        <f>IF(NFI_Expiration=1,IF($A498&lt;VLOOKUP(P$5,NFI,5,0),1,0)*Table_NFI[[#This Row],[Plastic Bucket]],Table_NFI[Plastic Bucket])</f>
        <v>0</v>
      </c>
      <c r="AH498" s="436">
        <f>IF(NFI_Expiration=1,IF($A498&lt;VLOOKUP(Q$5,NFI,5,0),1,0)*Table_NFI[[#This Row],[Plastic Mat]],Table_NFI[Plastic Mat])*IF(Table_NFI[[#This Row],[Distribution Date]]&gt;"2014-04-01",1,2.5)</f>
        <v>0</v>
      </c>
      <c r="AI498" s="436">
        <f>IF(NFI_Expiration=1,IF($A498&lt;VLOOKUP(R$5,NFI,5,0),1,0)*Table_NFI[[#This Row],[Winter Clothes Adult]],Table_NFI[Winter Clothes Adult])</f>
        <v>0</v>
      </c>
      <c r="AJ498" s="436">
        <f>IF(NFI_Expiration=1,IF($A498&lt;VLOOKUP(S$5,NFI,5,0),1,0)*Table_NFI[[#This Row],[Winter Clothes Children]],Table_NFI[Winter Clothes Children])</f>
        <v>0</v>
      </c>
      <c r="AK498" s="436">
        <f>IF(NFI_Expiration=1,IF($A498&lt;VLOOKUP(T$5,NFI,5,0),1,0)*Table_NFI[[#This Row],[Winter Items Other]],Table_NFI[Winter Items Other])</f>
        <v>0</v>
      </c>
      <c r="AL498" s="436">
        <f>IF(NFI_Expiration=1,IF($A498&lt;VLOOKUP(M$5,NFI,5,0),1,0)*Table_NFI[[#This Row],[Winter Blanket]],Table_NFI[[#This Row],[Winter Blanket]])</f>
        <v>0</v>
      </c>
      <c r="AM498" s="436">
        <f>IF(Table_NFI[[#This Row],[Winter Clothes Adult]]+Table_NFI[[#This Row],[Winter Clothes Children]]+Table_NFI[[#This Row],[Winter Items Other]]+Table_NFI[[#This Row],[Winter Blanket]]&gt;0,1,0)</f>
        <v>0</v>
      </c>
      <c r="AN498" s="439">
        <f>IF(NFI_Expiration=1,IF($A498&lt;VLOOKUP(V$5,NFI,5,0),1,0)*Table_NFI[[#This Row],[Jerry Can]],Table_NFI[Jerry Can])</f>
        <v>0</v>
      </c>
      <c r="AO498" s="771" t="str">
        <f>IFERROR(VLOOKUP(Table_NFI[[#This Row],[Camp Name]],CL,2,0),"")</f>
        <v>MMR015CMP017</v>
      </c>
      <c r="AP498" s="772">
        <f ca="1">IF(Table_NFI[[#This Row],[Pcode]]="","",IF(OFFSET(CampList[Opening Date],MATCH(Table_NFI[[#This Row],[Pcode]],CampList[CP_Pcode],0)-1,0,1,1)&gt;=NFI_Monitor_Date,1,0))</f>
        <v>0</v>
      </c>
      <c r="AQ498" s="781" t="str">
        <f>IFERROR(VLOOKUP(Table_NFI[[#This Row],[Camp Name]],CL,3,0),"")</f>
        <v>Open</v>
      </c>
      <c r="AR498" s="439" t="str">
        <f ca="1">IF(Table_NFI[[#This Row],[Pcode]]="","",OFFSET(CampList[Priority],MATCH(Table_NFI[[#This Row],[Pcode]],CampList[CP_Pcode],0)-1,0,1,1))</f>
        <v>P3</v>
      </c>
      <c r="AS498" s="438">
        <f>IFERROR(Table_NFI[[#This Row],[Kitchen Set]]/VLOOKUP(Table_NFI[[#This Row],[Camp Name]],CL,4,0),"")</f>
        <v>1.3225806451612903</v>
      </c>
      <c r="AT498" s="769" t="s">
        <v>1099</v>
      </c>
      <c r="AU498" s="773"/>
    </row>
    <row r="499" spans="1:47" s="774" customFormat="1" x14ac:dyDescent="0.25">
      <c r="A499" s="451">
        <f t="shared" si="7"/>
        <v>29.033333333333335</v>
      </c>
      <c r="B499" s="768">
        <v>41499</v>
      </c>
      <c r="C499" s="769" t="s">
        <v>454</v>
      </c>
      <c r="D499" s="770" t="s">
        <v>462</v>
      </c>
      <c r="E499" s="769" t="s">
        <v>555</v>
      </c>
      <c r="F499" s="435" t="s">
        <v>166</v>
      </c>
      <c r="G499" s="435" t="s">
        <v>167</v>
      </c>
      <c r="H499" s="436"/>
      <c r="I499" s="436"/>
      <c r="J499" s="436">
        <v>36</v>
      </c>
      <c r="K499" s="436">
        <v>84</v>
      </c>
      <c r="L499" s="437">
        <v>42</v>
      </c>
      <c r="M499" s="437">
        <v>84</v>
      </c>
      <c r="N499" s="437">
        <v>42</v>
      </c>
      <c r="O499" s="437">
        <v>42</v>
      </c>
      <c r="P499" s="437">
        <v>42</v>
      </c>
      <c r="Q499" s="437">
        <v>42</v>
      </c>
      <c r="R499" s="436"/>
      <c r="S499" s="436"/>
      <c r="T499" s="436"/>
      <c r="U499" s="436"/>
      <c r="V499" s="436"/>
      <c r="W499" s="436"/>
      <c r="X499" s="436"/>
      <c r="Y499" s="436">
        <f>IF(NFI_Expiration=1,IF($A499&lt;VLOOKUP(H$5,NFI,5,0),1,0)*Table_NFI[[#This Row],[Hygiene Kit]],Table_NFI[Hygiene Kit])</f>
        <v>0</v>
      </c>
      <c r="Z499" s="436">
        <f>IF(NFI_Expiration=1,IF($A499&lt;VLOOKUP(I$5,NFI,5,0),1,0)*Table_NFI[[#This Row],[NFI Core Kit]],Table_NFI[NFI Core Kit])</f>
        <v>0</v>
      </c>
      <c r="AA499" s="436">
        <f>IF(NFI_Expiration=1,IF($A499&lt;VLOOKUP(J$5,NFI,5,0),1,0)*Table_NFI[[#This Row],[Sanitary Kit]],Table_NFI[Sanitary Kit])</f>
        <v>0</v>
      </c>
      <c r="AB499" s="436">
        <f>IF(NFI_Expiration=1,IF($A499&lt;VLOOKUP(K$5,NFI,5,0),1,0)*Table_NFI[[#This Row],[Mosquito net]],Table_NFI[Mosquito net])</f>
        <v>0</v>
      </c>
      <c r="AC499" s="436">
        <f>IF(NFI_Expiration=1,IF($A499&lt;VLOOKUP(L$5,NFI,5,0),1,0)*Table_NFI[[#This Row],[Tarpaulin]],Table_NFI[[#This Row],[Tarpaulin]])</f>
        <v>0</v>
      </c>
      <c r="AD499" s="436">
        <f>IF(NFI_Expiration=1,IF($A499&lt;VLOOKUP(M$5,NFI,5,0),1,0)*Table_NFI[[#This Row],[Blanket]],Table_NFI[[#This Row],[Blanket]])</f>
        <v>0</v>
      </c>
      <c r="AE499" s="436">
        <f>IF(NFI_Expiration=1,IF($A499&lt;VLOOKUP(N$5,NFI,5,0),1,0)*Table_NFI[[#This Row],[Kitchen Set]],Table_NFI[Kitchen Set])</f>
        <v>0</v>
      </c>
      <c r="AF499" s="436">
        <f>IF(NFI_Expiration=1,IF($A499&lt;VLOOKUP(O$5,NFI,5,0),1,0)*Table_NFI[[#This Row],[Clothes Kit]],Table_NFI[Clothes Kit])</f>
        <v>0</v>
      </c>
      <c r="AG499" s="436">
        <f>IF(NFI_Expiration=1,IF($A499&lt;VLOOKUP(P$5,NFI,5,0),1,0)*Table_NFI[[#This Row],[Plastic Bucket]],Table_NFI[Plastic Bucket])</f>
        <v>0</v>
      </c>
      <c r="AH499" s="436">
        <f>IF(NFI_Expiration=1,IF($A499&lt;VLOOKUP(Q$5,NFI,5,0),1,0)*Table_NFI[[#This Row],[Plastic Mat]],Table_NFI[Plastic Mat])*IF(Table_NFI[[#This Row],[Distribution Date]]&gt;"2014-04-01",1,2.5)</f>
        <v>0</v>
      </c>
      <c r="AI499" s="436">
        <f>IF(NFI_Expiration=1,IF($A499&lt;VLOOKUP(R$5,NFI,5,0),1,0)*Table_NFI[[#This Row],[Winter Clothes Adult]],Table_NFI[Winter Clothes Adult])</f>
        <v>0</v>
      </c>
      <c r="AJ499" s="436">
        <f>IF(NFI_Expiration=1,IF($A499&lt;VLOOKUP(S$5,NFI,5,0),1,0)*Table_NFI[[#This Row],[Winter Clothes Children]],Table_NFI[Winter Clothes Children])</f>
        <v>0</v>
      </c>
      <c r="AK499" s="436">
        <f>IF(NFI_Expiration=1,IF($A499&lt;VLOOKUP(T$5,NFI,5,0),1,0)*Table_NFI[[#This Row],[Winter Items Other]],Table_NFI[Winter Items Other])</f>
        <v>0</v>
      </c>
      <c r="AL499" s="436">
        <f>IF(NFI_Expiration=1,IF($A499&lt;VLOOKUP(M$5,NFI,5,0),1,0)*Table_NFI[[#This Row],[Winter Blanket]],Table_NFI[[#This Row],[Winter Blanket]])</f>
        <v>0</v>
      </c>
      <c r="AM499" s="436">
        <f>IF(Table_NFI[[#This Row],[Winter Clothes Adult]]+Table_NFI[[#This Row],[Winter Clothes Children]]+Table_NFI[[#This Row],[Winter Items Other]]+Table_NFI[[#This Row],[Winter Blanket]]&gt;0,1,0)</f>
        <v>0</v>
      </c>
      <c r="AN499" s="439">
        <f>IF(NFI_Expiration=1,IF($A499&lt;VLOOKUP(V$5,NFI,5,0),1,0)*Table_NFI[[#This Row],[Jerry Can]],Table_NFI[Jerry Can])</f>
        <v>0</v>
      </c>
      <c r="AO499" s="771" t="str">
        <f>IFERROR(VLOOKUP(Table_NFI[[#This Row],[Camp Name]],CL,2,0),"")</f>
        <v>MMR015CMP009</v>
      </c>
      <c r="AP499" s="772">
        <f ca="1">IF(Table_NFI[[#This Row],[Pcode]]="","",IF(OFFSET(CampList[Opening Date],MATCH(Table_NFI[[#This Row],[Pcode]],CampList[CP_Pcode],0)-1,0,1,1)&gt;=NFI_Monitor_Date,1,0))</f>
        <v>0</v>
      </c>
      <c r="AQ499" s="781" t="str">
        <f>IFERROR(VLOOKUP(Table_NFI[[#This Row],[Camp Name]],CL,3,0),"")</f>
        <v>Open</v>
      </c>
      <c r="AR499" s="439" t="str">
        <f ca="1">IF(Table_NFI[[#This Row],[Pcode]]="","",OFFSET(CampList[Priority],MATCH(Table_NFI[[#This Row],[Pcode]],CampList[CP_Pcode],0)-1,0,1,1))</f>
        <v>P2</v>
      </c>
      <c r="AS499" s="438">
        <f>IFERROR(Table_NFI[[#This Row],[Kitchen Set]]/VLOOKUP(Table_NFI[[#This Row],[Camp Name]],CL,4,0),"")</f>
        <v>1.1052631578947369</v>
      </c>
      <c r="AT499" s="769" t="s">
        <v>1099</v>
      </c>
      <c r="AU499" s="773"/>
    </row>
    <row r="500" spans="1:47" s="774" customFormat="1" x14ac:dyDescent="0.25">
      <c r="A500" s="451">
        <f t="shared" si="7"/>
        <v>29.033333333333335</v>
      </c>
      <c r="B500" s="768">
        <v>41499</v>
      </c>
      <c r="C500" s="769" t="s">
        <v>454</v>
      </c>
      <c r="D500" s="770" t="s">
        <v>462</v>
      </c>
      <c r="E500" s="769" t="s">
        <v>555</v>
      </c>
      <c r="F500" s="435" t="s">
        <v>146</v>
      </c>
      <c r="G500" s="435" t="s">
        <v>368</v>
      </c>
      <c r="H500" s="436"/>
      <c r="I500" s="436"/>
      <c r="J500" s="436">
        <v>113</v>
      </c>
      <c r="K500" s="436">
        <v>160</v>
      </c>
      <c r="L500" s="437">
        <v>32</v>
      </c>
      <c r="M500" s="437">
        <v>160</v>
      </c>
      <c r="N500" s="437">
        <v>32</v>
      </c>
      <c r="O500" s="437">
        <v>32</v>
      </c>
      <c r="P500" s="437">
        <v>32</v>
      </c>
      <c r="Q500" s="437">
        <v>32</v>
      </c>
      <c r="R500" s="436"/>
      <c r="S500" s="436"/>
      <c r="T500" s="436"/>
      <c r="U500" s="436"/>
      <c r="V500" s="436"/>
      <c r="W500" s="436"/>
      <c r="X500" s="436"/>
      <c r="Y500" s="436">
        <f>IF(NFI_Expiration=1,IF($A500&lt;VLOOKUP(H$5,NFI,5,0),1,0)*Table_NFI[[#This Row],[Hygiene Kit]],Table_NFI[Hygiene Kit])</f>
        <v>0</v>
      </c>
      <c r="Z500" s="436">
        <f>IF(NFI_Expiration=1,IF($A500&lt;VLOOKUP(I$5,NFI,5,0),1,0)*Table_NFI[[#This Row],[NFI Core Kit]],Table_NFI[NFI Core Kit])</f>
        <v>0</v>
      </c>
      <c r="AA500" s="436">
        <f>IF(NFI_Expiration=1,IF($A500&lt;VLOOKUP(J$5,NFI,5,0),1,0)*Table_NFI[[#This Row],[Sanitary Kit]],Table_NFI[Sanitary Kit])</f>
        <v>0</v>
      </c>
      <c r="AB500" s="436">
        <f>IF(NFI_Expiration=1,IF($A500&lt;VLOOKUP(K$5,NFI,5,0),1,0)*Table_NFI[[#This Row],[Mosquito net]],Table_NFI[Mosquito net])</f>
        <v>0</v>
      </c>
      <c r="AC500" s="436">
        <f>IF(NFI_Expiration=1,IF($A500&lt;VLOOKUP(L$5,NFI,5,0),1,0)*Table_NFI[[#This Row],[Tarpaulin]],Table_NFI[[#This Row],[Tarpaulin]])</f>
        <v>0</v>
      </c>
      <c r="AD500" s="436">
        <f>IF(NFI_Expiration=1,IF($A500&lt;VLOOKUP(M$5,NFI,5,0),1,0)*Table_NFI[[#This Row],[Blanket]],Table_NFI[[#This Row],[Blanket]])</f>
        <v>0</v>
      </c>
      <c r="AE500" s="436">
        <f>IF(NFI_Expiration=1,IF($A500&lt;VLOOKUP(N$5,NFI,5,0),1,0)*Table_NFI[[#This Row],[Kitchen Set]],Table_NFI[Kitchen Set])</f>
        <v>0</v>
      </c>
      <c r="AF500" s="436">
        <f>IF(NFI_Expiration=1,IF($A500&lt;VLOOKUP(O$5,NFI,5,0),1,0)*Table_NFI[[#This Row],[Clothes Kit]],Table_NFI[Clothes Kit])</f>
        <v>0</v>
      </c>
      <c r="AG500" s="436">
        <f>IF(NFI_Expiration=1,IF($A500&lt;VLOOKUP(P$5,NFI,5,0),1,0)*Table_NFI[[#This Row],[Plastic Bucket]],Table_NFI[Plastic Bucket])</f>
        <v>0</v>
      </c>
      <c r="AH500" s="436">
        <f>IF(NFI_Expiration=1,IF($A500&lt;VLOOKUP(Q$5,NFI,5,0),1,0)*Table_NFI[[#This Row],[Plastic Mat]],Table_NFI[Plastic Mat])*IF(Table_NFI[[#This Row],[Distribution Date]]&gt;"2014-04-01",1,2.5)</f>
        <v>0</v>
      </c>
      <c r="AI500" s="436">
        <f>IF(NFI_Expiration=1,IF($A500&lt;VLOOKUP(R$5,NFI,5,0),1,0)*Table_NFI[[#This Row],[Winter Clothes Adult]],Table_NFI[Winter Clothes Adult])</f>
        <v>0</v>
      </c>
      <c r="AJ500" s="436">
        <f>IF(NFI_Expiration=1,IF($A500&lt;VLOOKUP(S$5,NFI,5,0),1,0)*Table_NFI[[#This Row],[Winter Clothes Children]],Table_NFI[Winter Clothes Children])</f>
        <v>0</v>
      </c>
      <c r="AK500" s="436">
        <f>IF(NFI_Expiration=1,IF($A500&lt;VLOOKUP(T$5,NFI,5,0),1,0)*Table_NFI[[#This Row],[Winter Items Other]],Table_NFI[Winter Items Other])</f>
        <v>0</v>
      </c>
      <c r="AL500" s="436">
        <f>IF(NFI_Expiration=1,IF($A500&lt;VLOOKUP(M$5,NFI,5,0),1,0)*Table_NFI[[#This Row],[Winter Blanket]],Table_NFI[[#This Row],[Winter Blanket]])</f>
        <v>0</v>
      </c>
      <c r="AM500" s="436">
        <f>IF(Table_NFI[[#This Row],[Winter Clothes Adult]]+Table_NFI[[#This Row],[Winter Clothes Children]]+Table_NFI[[#This Row],[Winter Items Other]]+Table_NFI[[#This Row],[Winter Blanket]]&gt;0,1,0)</f>
        <v>0</v>
      </c>
      <c r="AN500" s="439">
        <f>IF(NFI_Expiration=1,IF($A500&lt;VLOOKUP(V$5,NFI,5,0),1,0)*Table_NFI[[#This Row],[Jerry Can]],Table_NFI[Jerry Can])</f>
        <v>0</v>
      </c>
      <c r="AO500" s="771" t="str">
        <f>IFERROR(VLOOKUP(Table_NFI[[#This Row],[Camp Name]],CL,2,0),"")</f>
        <v>MMR015CMP018</v>
      </c>
      <c r="AP500" s="772">
        <f ca="1">IF(Table_NFI[[#This Row],[Pcode]]="","",IF(OFFSET(CampList[Opening Date],MATCH(Table_NFI[[#This Row],[Pcode]],CampList[CP_Pcode],0)-1,0,1,1)&gt;=NFI_Monitor_Date,1,0))</f>
        <v>0</v>
      </c>
      <c r="AQ500" s="781" t="str">
        <f>IFERROR(VLOOKUP(Table_NFI[[#This Row],[Camp Name]],CL,3,0),"")</f>
        <v>Open</v>
      </c>
      <c r="AR500" s="439" t="str">
        <f ca="1">IF(Table_NFI[[#This Row],[Pcode]]="","",OFFSET(CampList[Priority],MATCH(Table_NFI[[#This Row],[Pcode]],CampList[CP_Pcode],0)-1,0,1,1))</f>
        <v>P3</v>
      </c>
      <c r="AS500" s="438">
        <f>IFERROR(Table_NFI[[#This Row],[Kitchen Set]]/VLOOKUP(Table_NFI[[#This Row],[Camp Name]],CL,4,0),"")</f>
        <v>0.4050632911392405</v>
      </c>
      <c r="AT500" s="769" t="s">
        <v>1099</v>
      </c>
      <c r="AU500" s="773"/>
    </row>
    <row r="501" spans="1:47" s="774" customFormat="1" x14ac:dyDescent="0.25">
      <c r="A501" s="451">
        <f t="shared" si="7"/>
        <v>29.033333333333335</v>
      </c>
      <c r="B501" s="768">
        <v>41499</v>
      </c>
      <c r="C501" s="769" t="s">
        <v>454</v>
      </c>
      <c r="D501" s="770" t="s">
        <v>508</v>
      </c>
      <c r="E501" s="769" t="s">
        <v>555</v>
      </c>
      <c r="F501" s="435" t="s">
        <v>146</v>
      </c>
      <c r="G501" s="435" t="s">
        <v>371</v>
      </c>
      <c r="H501" s="436"/>
      <c r="I501" s="436"/>
      <c r="J501" s="436">
        <v>30</v>
      </c>
      <c r="K501" s="436">
        <v>56</v>
      </c>
      <c r="L501" s="437">
        <v>23</v>
      </c>
      <c r="M501" s="437">
        <v>56</v>
      </c>
      <c r="N501" s="437">
        <v>23</v>
      </c>
      <c r="O501" s="437">
        <v>23</v>
      </c>
      <c r="P501" s="437">
        <v>23</v>
      </c>
      <c r="Q501" s="437">
        <v>23</v>
      </c>
      <c r="R501" s="436"/>
      <c r="S501" s="436"/>
      <c r="T501" s="436"/>
      <c r="U501" s="436"/>
      <c r="V501" s="436"/>
      <c r="W501" s="436"/>
      <c r="X501" s="436"/>
      <c r="Y501" s="436">
        <f>IF(NFI_Expiration=1,IF($A501&lt;VLOOKUP(H$5,NFI,5,0),1,0)*Table_NFI[[#This Row],[Hygiene Kit]],Table_NFI[Hygiene Kit])</f>
        <v>0</v>
      </c>
      <c r="Z501" s="436">
        <f>IF(NFI_Expiration=1,IF($A501&lt;VLOOKUP(I$5,NFI,5,0),1,0)*Table_NFI[[#This Row],[NFI Core Kit]],Table_NFI[NFI Core Kit])</f>
        <v>0</v>
      </c>
      <c r="AA501" s="436">
        <f>IF(NFI_Expiration=1,IF($A501&lt;VLOOKUP(J$5,NFI,5,0),1,0)*Table_NFI[[#This Row],[Sanitary Kit]],Table_NFI[Sanitary Kit])</f>
        <v>0</v>
      </c>
      <c r="AB501" s="436">
        <f>IF(NFI_Expiration=1,IF($A501&lt;VLOOKUP(K$5,NFI,5,0),1,0)*Table_NFI[[#This Row],[Mosquito net]],Table_NFI[Mosquito net])</f>
        <v>0</v>
      </c>
      <c r="AC501" s="436">
        <f>IF(NFI_Expiration=1,IF($A501&lt;VLOOKUP(L$5,NFI,5,0),1,0)*Table_NFI[[#This Row],[Tarpaulin]],Table_NFI[[#This Row],[Tarpaulin]])</f>
        <v>0</v>
      </c>
      <c r="AD501" s="436">
        <f>IF(NFI_Expiration=1,IF($A501&lt;VLOOKUP(M$5,NFI,5,0),1,0)*Table_NFI[[#This Row],[Blanket]],Table_NFI[[#This Row],[Blanket]])</f>
        <v>0</v>
      </c>
      <c r="AE501" s="436">
        <f>IF(NFI_Expiration=1,IF($A501&lt;VLOOKUP(N$5,NFI,5,0),1,0)*Table_NFI[[#This Row],[Kitchen Set]],Table_NFI[Kitchen Set])</f>
        <v>0</v>
      </c>
      <c r="AF501" s="436">
        <f>IF(NFI_Expiration=1,IF($A501&lt;VLOOKUP(O$5,NFI,5,0),1,0)*Table_NFI[[#This Row],[Clothes Kit]],Table_NFI[Clothes Kit])</f>
        <v>0</v>
      </c>
      <c r="AG501" s="436">
        <f>IF(NFI_Expiration=1,IF($A501&lt;VLOOKUP(P$5,NFI,5,0),1,0)*Table_NFI[[#This Row],[Plastic Bucket]],Table_NFI[Plastic Bucket])</f>
        <v>0</v>
      </c>
      <c r="AH501" s="436">
        <f>IF(NFI_Expiration=1,IF($A501&lt;VLOOKUP(Q$5,NFI,5,0),1,0)*Table_NFI[[#This Row],[Plastic Mat]],Table_NFI[Plastic Mat])*IF(Table_NFI[[#This Row],[Distribution Date]]&gt;"2014-04-01",1,2.5)</f>
        <v>0</v>
      </c>
      <c r="AI501" s="436">
        <f>IF(NFI_Expiration=1,IF($A501&lt;VLOOKUP(R$5,NFI,5,0),1,0)*Table_NFI[[#This Row],[Winter Clothes Adult]],Table_NFI[Winter Clothes Adult])</f>
        <v>0</v>
      </c>
      <c r="AJ501" s="436">
        <f>IF(NFI_Expiration=1,IF($A501&lt;VLOOKUP(S$5,NFI,5,0),1,0)*Table_NFI[[#This Row],[Winter Clothes Children]],Table_NFI[Winter Clothes Children])</f>
        <v>0</v>
      </c>
      <c r="AK501" s="436">
        <f>IF(NFI_Expiration=1,IF($A501&lt;VLOOKUP(T$5,NFI,5,0),1,0)*Table_NFI[[#This Row],[Winter Items Other]],Table_NFI[Winter Items Other])</f>
        <v>0</v>
      </c>
      <c r="AL501" s="436">
        <f>IF(NFI_Expiration=1,IF($A501&lt;VLOOKUP(M$5,NFI,5,0),1,0)*Table_NFI[[#This Row],[Winter Blanket]],Table_NFI[[#This Row],[Winter Blanket]])</f>
        <v>0</v>
      </c>
      <c r="AM501" s="436">
        <f>IF(Table_NFI[[#This Row],[Winter Clothes Adult]]+Table_NFI[[#This Row],[Winter Clothes Children]]+Table_NFI[[#This Row],[Winter Items Other]]+Table_NFI[[#This Row],[Winter Blanket]]&gt;0,1,0)</f>
        <v>0</v>
      </c>
      <c r="AN501" s="439">
        <f>IF(NFI_Expiration=1,IF($A501&lt;VLOOKUP(V$5,NFI,5,0),1,0)*Table_NFI[[#This Row],[Jerry Can]],Table_NFI[Jerry Can])</f>
        <v>0</v>
      </c>
      <c r="AO501" s="771" t="str">
        <f>IFERROR(VLOOKUP(Table_NFI[[#This Row],[Camp Name]],CL,2,0),"")</f>
        <v>MMR015CMP006</v>
      </c>
      <c r="AP501" s="772">
        <f ca="1">IF(Table_NFI[[#This Row],[Pcode]]="","",IF(OFFSET(CampList[Opening Date],MATCH(Table_NFI[[#This Row],[Pcode]],CampList[CP_Pcode],0)-1,0,1,1)&gt;=NFI_Monitor_Date,1,0))</f>
        <v>0</v>
      </c>
      <c r="AQ501" s="781" t="str">
        <f>IFERROR(VLOOKUP(Table_NFI[[#This Row],[Camp Name]],CL,3,0),"")</f>
        <v>Open</v>
      </c>
      <c r="AR501" s="439" t="str">
        <f ca="1">IF(Table_NFI[[#This Row],[Pcode]]="","",OFFSET(CampList[Priority],MATCH(Table_NFI[[#This Row],[Pcode]],CampList[CP_Pcode],0)-1,0,1,1))</f>
        <v>P1</v>
      </c>
      <c r="AS501" s="438">
        <f>IFERROR(Table_NFI[[#This Row],[Kitchen Set]]/VLOOKUP(Table_NFI[[#This Row],[Camp Name]],CL,4,0),"")</f>
        <v>0.45098039215686275</v>
      </c>
      <c r="AT501" s="769" t="s">
        <v>1099</v>
      </c>
      <c r="AU501" s="773"/>
    </row>
    <row r="502" spans="1:47" s="774" customFormat="1" x14ac:dyDescent="0.25">
      <c r="A502" s="451">
        <f t="shared" si="7"/>
        <v>29.033333333333335</v>
      </c>
      <c r="B502" s="768">
        <v>41499</v>
      </c>
      <c r="C502" s="769" t="s">
        <v>454</v>
      </c>
      <c r="D502" s="770" t="s">
        <v>508</v>
      </c>
      <c r="E502" s="769" t="s">
        <v>555</v>
      </c>
      <c r="F502" s="435" t="s">
        <v>146</v>
      </c>
      <c r="G502" s="435" t="s">
        <v>367</v>
      </c>
      <c r="H502" s="436"/>
      <c r="I502" s="436"/>
      <c r="J502" s="436">
        <v>70</v>
      </c>
      <c r="K502" s="436">
        <v>130</v>
      </c>
      <c r="L502" s="437">
        <v>52</v>
      </c>
      <c r="M502" s="437">
        <v>130</v>
      </c>
      <c r="N502" s="437">
        <v>52</v>
      </c>
      <c r="O502" s="437">
        <v>52</v>
      </c>
      <c r="P502" s="437">
        <v>52</v>
      </c>
      <c r="Q502" s="437">
        <v>52</v>
      </c>
      <c r="R502" s="436"/>
      <c r="S502" s="436"/>
      <c r="T502" s="436"/>
      <c r="U502" s="436"/>
      <c r="V502" s="436"/>
      <c r="W502" s="436"/>
      <c r="X502" s="436"/>
      <c r="Y502" s="436">
        <f>IF(NFI_Expiration=1,IF($A502&lt;VLOOKUP(H$5,NFI,5,0),1,0)*Table_NFI[[#This Row],[Hygiene Kit]],Table_NFI[Hygiene Kit])</f>
        <v>0</v>
      </c>
      <c r="Z502" s="436">
        <f>IF(NFI_Expiration=1,IF($A502&lt;VLOOKUP(I$5,NFI,5,0),1,0)*Table_NFI[[#This Row],[NFI Core Kit]],Table_NFI[NFI Core Kit])</f>
        <v>0</v>
      </c>
      <c r="AA502" s="436">
        <f>IF(NFI_Expiration=1,IF($A502&lt;VLOOKUP(J$5,NFI,5,0),1,0)*Table_NFI[[#This Row],[Sanitary Kit]],Table_NFI[Sanitary Kit])</f>
        <v>0</v>
      </c>
      <c r="AB502" s="436">
        <f>IF(NFI_Expiration=1,IF($A502&lt;VLOOKUP(K$5,NFI,5,0),1,0)*Table_NFI[[#This Row],[Mosquito net]],Table_NFI[Mosquito net])</f>
        <v>0</v>
      </c>
      <c r="AC502" s="436">
        <f>IF(NFI_Expiration=1,IF($A502&lt;VLOOKUP(L$5,NFI,5,0),1,0)*Table_NFI[[#This Row],[Tarpaulin]],Table_NFI[[#This Row],[Tarpaulin]])</f>
        <v>0</v>
      </c>
      <c r="AD502" s="436">
        <f>IF(NFI_Expiration=1,IF($A502&lt;VLOOKUP(M$5,NFI,5,0),1,0)*Table_NFI[[#This Row],[Blanket]],Table_NFI[[#This Row],[Blanket]])</f>
        <v>0</v>
      </c>
      <c r="AE502" s="436">
        <f>IF(NFI_Expiration=1,IF($A502&lt;VLOOKUP(N$5,NFI,5,0),1,0)*Table_NFI[[#This Row],[Kitchen Set]],Table_NFI[Kitchen Set])</f>
        <v>0</v>
      </c>
      <c r="AF502" s="436">
        <f>IF(NFI_Expiration=1,IF($A502&lt;VLOOKUP(O$5,NFI,5,0),1,0)*Table_NFI[[#This Row],[Clothes Kit]],Table_NFI[Clothes Kit])</f>
        <v>0</v>
      </c>
      <c r="AG502" s="436">
        <f>IF(NFI_Expiration=1,IF($A502&lt;VLOOKUP(P$5,NFI,5,0),1,0)*Table_NFI[[#This Row],[Plastic Bucket]],Table_NFI[Plastic Bucket])</f>
        <v>0</v>
      </c>
      <c r="AH502" s="436">
        <f>IF(NFI_Expiration=1,IF($A502&lt;VLOOKUP(Q$5,NFI,5,0),1,0)*Table_NFI[[#This Row],[Plastic Mat]],Table_NFI[Plastic Mat])*IF(Table_NFI[[#This Row],[Distribution Date]]&gt;"2014-04-01",1,2.5)</f>
        <v>0</v>
      </c>
      <c r="AI502" s="436">
        <f>IF(NFI_Expiration=1,IF($A502&lt;VLOOKUP(R$5,NFI,5,0),1,0)*Table_NFI[[#This Row],[Winter Clothes Adult]],Table_NFI[Winter Clothes Adult])</f>
        <v>0</v>
      </c>
      <c r="AJ502" s="436">
        <f>IF(NFI_Expiration=1,IF($A502&lt;VLOOKUP(S$5,NFI,5,0),1,0)*Table_NFI[[#This Row],[Winter Clothes Children]],Table_NFI[Winter Clothes Children])</f>
        <v>0</v>
      </c>
      <c r="AK502" s="436">
        <f>IF(NFI_Expiration=1,IF($A502&lt;VLOOKUP(T$5,NFI,5,0),1,0)*Table_NFI[[#This Row],[Winter Items Other]],Table_NFI[Winter Items Other])</f>
        <v>0</v>
      </c>
      <c r="AL502" s="436">
        <f>IF(NFI_Expiration=1,IF($A502&lt;VLOOKUP(M$5,NFI,5,0),1,0)*Table_NFI[[#This Row],[Winter Blanket]],Table_NFI[[#This Row],[Winter Blanket]])</f>
        <v>0</v>
      </c>
      <c r="AM502" s="436">
        <f>IF(Table_NFI[[#This Row],[Winter Clothes Adult]]+Table_NFI[[#This Row],[Winter Clothes Children]]+Table_NFI[[#This Row],[Winter Items Other]]+Table_NFI[[#This Row],[Winter Blanket]]&gt;0,1,0)</f>
        <v>0</v>
      </c>
      <c r="AN502" s="439">
        <f>IF(NFI_Expiration=1,IF($A502&lt;VLOOKUP(V$5,NFI,5,0),1,0)*Table_NFI[[#This Row],[Jerry Can]],Table_NFI[Jerry Can])</f>
        <v>0</v>
      </c>
      <c r="AO502" s="771" t="str">
        <f>IFERROR(VLOOKUP(Table_NFI[[#This Row],[Camp Name]],CL,2,0),"")</f>
        <v>MMR015CMP019</v>
      </c>
      <c r="AP502" s="772">
        <f ca="1">IF(Table_NFI[[#This Row],[Pcode]]="","",IF(OFFSET(CampList[Opening Date],MATCH(Table_NFI[[#This Row],[Pcode]],CampList[CP_Pcode],0)-1,0,1,1)&gt;=NFI_Monitor_Date,1,0))</f>
        <v>0</v>
      </c>
      <c r="AQ502" s="781" t="str">
        <f>IFERROR(VLOOKUP(Table_NFI[[#This Row],[Camp Name]],CL,3,0),"")</f>
        <v>Closed</v>
      </c>
      <c r="AR502" s="439" t="str">
        <f ca="1">IF(Table_NFI[[#This Row],[Pcode]]="","",OFFSET(CampList[Priority],MATCH(Table_NFI[[#This Row],[Pcode]],CampList[CP_Pcode],0)-1,0,1,1))</f>
        <v/>
      </c>
      <c r="AS502" s="438" t="str">
        <f>IFERROR(Table_NFI[[#This Row],[Kitchen Set]]/VLOOKUP(Table_NFI[[#This Row],[Camp Name]],CL,4,0),"")</f>
        <v/>
      </c>
      <c r="AT502" s="769" t="s">
        <v>1099</v>
      </c>
      <c r="AU502" s="773"/>
    </row>
    <row r="503" spans="1:47" s="774" customFormat="1" x14ac:dyDescent="0.25">
      <c r="A503" s="451">
        <f t="shared" si="7"/>
        <v>29.033333333333335</v>
      </c>
      <c r="B503" s="768">
        <v>41499</v>
      </c>
      <c r="C503" s="769" t="s">
        <v>454</v>
      </c>
      <c r="D503" s="769" t="s">
        <v>462</v>
      </c>
      <c r="E503" s="769" t="s">
        <v>555</v>
      </c>
      <c r="F503" s="769" t="s">
        <v>289</v>
      </c>
      <c r="G503" s="435" t="s">
        <v>292</v>
      </c>
      <c r="H503" s="436"/>
      <c r="I503" s="436"/>
      <c r="J503" s="436">
        <v>125</v>
      </c>
      <c r="K503" s="436">
        <v>233</v>
      </c>
      <c r="L503" s="437">
        <v>93</v>
      </c>
      <c r="M503" s="437">
        <v>233</v>
      </c>
      <c r="N503" s="437">
        <v>93</v>
      </c>
      <c r="O503" s="437">
        <v>93</v>
      </c>
      <c r="P503" s="437">
        <v>93</v>
      </c>
      <c r="Q503" s="437">
        <v>93</v>
      </c>
      <c r="R503" s="436"/>
      <c r="S503" s="436"/>
      <c r="T503" s="436"/>
      <c r="U503" s="436"/>
      <c r="V503" s="436"/>
      <c r="W503" s="436"/>
      <c r="X503" s="436"/>
      <c r="Y503" s="436">
        <f>IF(NFI_Expiration=1,IF($A503&lt;VLOOKUP(H$5,NFI,5,0),1,0)*Table_NFI[[#This Row],[Hygiene Kit]],Table_NFI[Hygiene Kit])</f>
        <v>0</v>
      </c>
      <c r="Z503" s="436">
        <f>IF(NFI_Expiration=1,IF($A503&lt;VLOOKUP(I$5,NFI,5,0),1,0)*Table_NFI[[#This Row],[NFI Core Kit]],Table_NFI[NFI Core Kit])</f>
        <v>0</v>
      </c>
      <c r="AA503" s="436">
        <f>IF(NFI_Expiration=1,IF($A503&lt;VLOOKUP(J$5,NFI,5,0),1,0)*Table_NFI[[#This Row],[Sanitary Kit]],Table_NFI[Sanitary Kit])</f>
        <v>0</v>
      </c>
      <c r="AB503" s="436">
        <f>IF(NFI_Expiration=1,IF($A503&lt;VLOOKUP(K$5,NFI,5,0),1,0)*Table_NFI[[#This Row],[Mosquito net]],Table_NFI[Mosquito net])</f>
        <v>0</v>
      </c>
      <c r="AC503" s="436">
        <f>IF(NFI_Expiration=1,IF($A503&lt;VLOOKUP(L$5,NFI,5,0),1,0)*Table_NFI[[#This Row],[Tarpaulin]],Table_NFI[[#This Row],[Tarpaulin]])</f>
        <v>0</v>
      </c>
      <c r="AD503" s="436">
        <f>IF(NFI_Expiration=1,IF($A503&lt;VLOOKUP(M$5,NFI,5,0),1,0)*Table_NFI[[#This Row],[Blanket]],Table_NFI[[#This Row],[Blanket]])</f>
        <v>0</v>
      </c>
      <c r="AE503" s="436">
        <f>IF(NFI_Expiration=1,IF($A503&lt;VLOOKUP(N$5,NFI,5,0),1,0)*Table_NFI[[#This Row],[Kitchen Set]],Table_NFI[Kitchen Set])</f>
        <v>0</v>
      </c>
      <c r="AF503" s="436">
        <f>IF(NFI_Expiration=1,IF($A503&lt;VLOOKUP(O$5,NFI,5,0),1,0)*Table_NFI[[#This Row],[Clothes Kit]],Table_NFI[Clothes Kit])</f>
        <v>0</v>
      </c>
      <c r="AG503" s="436">
        <f>IF(NFI_Expiration=1,IF($A503&lt;VLOOKUP(P$5,NFI,5,0),1,0)*Table_NFI[[#This Row],[Plastic Bucket]],Table_NFI[Plastic Bucket])</f>
        <v>0</v>
      </c>
      <c r="AH503" s="436">
        <f>IF(NFI_Expiration=1,IF($A503&lt;VLOOKUP(Q$5,NFI,5,0),1,0)*Table_NFI[[#This Row],[Plastic Mat]],Table_NFI[Plastic Mat])*IF(Table_NFI[[#This Row],[Distribution Date]]&gt;"2014-04-01",1,2.5)</f>
        <v>0</v>
      </c>
      <c r="AI503" s="436">
        <f>IF(NFI_Expiration=1,IF($A503&lt;VLOOKUP(R$5,NFI,5,0),1,0)*Table_NFI[[#This Row],[Winter Clothes Adult]],Table_NFI[Winter Clothes Adult])</f>
        <v>0</v>
      </c>
      <c r="AJ503" s="436">
        <f>IF(NFI_Expiration=1,IF($A503&lt;VLOOKUP(S$5,NFI,5,0),1,0)*Table_NFI[[#This Row],[Winter Clothes Children]],Table_NFI[Winter Clothes Children])</f>
        <v>0</v>
      </c>
      <c r="AK503" s="436">
        <f>IF(NFI_Expiration=1,IF($A503&lt;VLOOKUP(T$5,NFI,5,0),1,0)*Table_NFI[[#This Row],[Winter Items Other]],Table_NFI[Winter Items Other])</f>
        <v>0</v>
      </c>
      <c r="AL503" s="436">
        <f>IF(NFI_Expiration=1,IF($A503&lt;VLOOKUP(M$5,NFI,5,0),1,0)*Table_NFI[[#This Row],[Winter Blanket]],Table_NFI[[#This Row],[Winter Blanket]])</f>
        <v>0</v>
      </c>
      <c r="AM503" s="436">
        <f>IF(Table_NFI[[#This Row],[Winter Clothes Adult]]+Table_NFI[[#This Row],[Winter Clothes Children]]+Table_NFI[[#This Row],[Winter Items Other]]+Table_NFI[[#This Row],[Winter Blanket]]&gt;0,1,0)</f>
        <v>0</v>
      </c>
      <c r="AN503" s="439">
        <f>IF(NFI_Expiration=1,IF($A503&lt;VLOOKUP(V$5,NFI,5,0),1,0)*Table_NFI[[#This Row],[Jerry Can]],Table_NFI[Jerry Can])</f>
        <v>0</v>
      </c>
      <c r="AO503" s="771" t="str">
        <f>IFERROR(VLOOKUP(Table_NFI[[#This Row],[Camp Name]],CL,2,0),"")</f>
        <v>MMR015CMP004</v>
      </c>
      <c r="AP503" s="772">
        <f ca="1">IF(Table_NFI[[#This Row],[Pcode]]="","",IF(OFFSET(CampList[Opening Date],MATCH(Table_NFI[[#This Row],[Pcode]],CampList[CP_Pcode],0)-1,0,1,1)&gt;=NFI_Monitor_Date,1,0))</f>
        <v>0</v>
      </c>
      <c r="AQ503" s="781" t="str">
        <f>IFERROR(VLOOKUP(Table_NFI[[#This Row],[Camp Name]],CL,3,0),"")</f>
        <v>Open</v>
      </c>
      <c r="AR503" s="439" t="str">
        <f ca="1">IF(Table_NFI[[#This Row],[Pcode]]="","",OFFSET(CampList[Priority],MATCH(Table_NFI[[#This Row],[Pcode]],CampList[CP_Pcode],0)-1,0,1,1))</f>
        <v>P3</v>
      </c>
      <c r="AS503" s="438">
        <f>IFERROR(Table_NFI[[#This Row],[Kitchen Set]]/VLOOKUP(Table_NFI[[#This Row],[Camp Name]],CL,4,0),"")</f>
        <v>1.1341463414634145</v>
      </c>
      <c r="AT503" s="769" t="s">
        <v>1099</v>
      </c>
      <c r="AU503" s="773"/>
    </row>
    <row r="504" spans="1:47" s="774" customFormat="1" x14ac:dyDescent="0.25">
      <c r="A504" s="451">
        <f t="shared" si="7"/>
        <v>29.033333333333335</v>
      </c>
      <c r="B504" s="768">
        <v>41499</v>
      </c>
      <c r="C504" s="769" t="s">
        <v>454</v>
      </c>
      <c r="D504" s="769" t="s">
        <v>508</v>
      </c>
      <c r="E504" s="769" t="s">
        <v>555</v>
      </c>
      <c r="F504" s="769" t="s">
        <v>289</v>
      </c>
      <c r="G504" s="435" t="s">
        <v>290</v>
      </c>
      <c r="H504" s="436"/>
      <c r="I504" s="436"/>
      <c r="J504" s="436">
        <v>100</v>
      </c>
      <c r="K504" s="436">
        <v>188</v>
      </c>
      <c r="L504" s="437">
        <v>75</v>
      </c>
      <c r="M504" s="437">
        <v>188</v>
      </c>
      <c r="N504" s="437">
        <v>75</v>
      </c>
      <c r="O504" s="437">
        <v>75</v>
      </c>
      <c r="P504" s="437">
        <v>75</v>
      </c>
      <c r="Q504" s="437">
        <v>75</v>
      </c>
      <c r="R504" s="436"/>
      <c r="S504" s="436"/>
      <c r="T504" s="436"/>
      <c r="U504" s="436"/>
      <c r="V504" s="436"/>
      <c r="W504" s="436"/>
      <c r="X504" s="436"/>
      <c r="Y504" s="436">
        <f>IF(NFI_Expiration=1,IF($A504&lt;VLOOKUP(H$5,NFI,5,0),1,0)*Table_NFI[[#This Row],[Hygiene Kit]],Table_NFI[Hygiene Kit])</f>
        <v>0</v>
      </c>
      <c r="Z504" s="436">
        <f>IF(NFI_Expiration=1,IF($A504&lt;VLOOKUP(I$5,NFI,5,0),1,0)*Table_NFI[[#This Row],[NFI Core Kit]],Table_NFI[NFI Core Kit])</f>
        <v>0</v>
      </c>
      <c r="AA504" s="436">
        <f>IF(NFI_Expiration=1,IF($A504&lt;VLOOKUP(J$5,NFI,5,0),1,0)*Table_NFI[[#This Row],[Sanitary Kit]],Table_NFI[Sanitary Kit])</f>
        <v>0</v>
      </c>
      <c r="AB504" s="436">
        <f>IF(NFI_Expiration=1,IF($A504&lt;VLOOKUP(K$5,NFI,5,0),1,0)*Table_NFI[[#This Row],[Mosquito net]],Table_NFI[Mosquito net])</f>
        <v>0</v>
      </c>
      <c r="AC504" s="436">
        <f>IF(NFI_Expiration=1,IF($A504&lt;VLOOKUP(L$5,NFI,5,0),1,0)*Table_NFI[[#This Row],[Tarpaulin]],Table_NFI[[#This Row],[Tarpaulin]])</f>
        <v>0</v>
      </c>
      <c r="AD504" s="436">
        <f>IF(NFI_Expiration=1,IF($A504&lt;VLOOKUP(M$5,NFI,5,0),1,0)*Table_NFI[[#This Row],[Blanket]],Table_NFI[[#This Row],[Blanket]])</f>
        <v>0</v>
      </c>
      <c r="AE504" s="436">
        <f>IF(NFI_Expiration=1,IF($A504&lt;VLOOKUP(N$5,NFI,5,0),1,0)*Table_NFI[[#This Row],[Kitchen Set]],Table_NFI[Kitchen Set])</f>
        <v>0</v>
      </c>
      <c r="AF504" s="436">
        <f>IF(NFI_Expiration=1,IF($A504&lt;VLOOKUP(O$5,NFI,5,0),1,0)*Table_NFI[[#This Row],[Clothes Kit]],Table_NFI[Clothes Kit])</f>
        <v>0</v>
      </c>
      <c r="AG504" s="436">
        <f>IF(NFI_Expiration=1,IF($A504&lt;VLOOKUP(P$5,NFI,5,0),1,0)*Table_NFI[[#This Row],[Plastic Bucket]],Table_NFI[Plastic Bucket])</f>
        <v>0</v>
      </c>
      <c r="AH504" s="436">
        <f>IF(NFI_Expiration=1,IF($A504&lt;VLOOKUP(Q$5,NFI,5,0),1,0)*Table_NFI[[#This Row],[Plastic Mat]],Table_NFI[Plastic Mat])*IF(Table_NFI[[#This Row],[Distribution Date]]&gt;"2014-04-01",1,2.5)</f>
        <v>0</v>
      </c>
      <c r="AI504" s="436">
        <f>IF(NFI_Expiration=1,IF($A504&lt;VLOOKUP(R$5,NFI,5,0),1,0)*Table_NFI[[#This Row],[Winter Clothes Adult]],Table_NFI[Winter Clothes Adult])</f>
        <v>0</v>
      </c>
      <c r="AJ504" s="436">
        <f>IF(NFI_Expiration=1,IF($A504&lt;VLOOKUP(S$5,NFI,5,0),1,0)*Table_NFI[[#This Row],[Winter Clothes Children]],Table_NFI[Winter Clothes Children])</f>
        <v>0</v>
      </c>
      <c r="AK504" s="436">
        <f>IF(NFI_Expiration=1,IF($A504&lt;VLOOKUP(T$5,NFI,5,0),1,0)*Table_NFI[[#This Row],[Winter Items Other]],Table_NFI[Winter Items Other])</f>
        <v>0</v>
      </c>
      <c r="AL504" s="436">
        <f>IF(NFI_Expiration=1,IF($A504&lt;VLOOKUP(M$5,NFI,5,0),1,0)*Table_NFI[[#This Row],[Winter Blanket]],Table_NFI[[#This Row],[Winter Blanket]])</f>
        <v>0</v>
      </c>
      <c r="AM504" s="436">
        <f>IF(Table_NFI[[#This Row],[Winter Clothes Adult]]+Table_NFI[[#This Row],[Winter Clothes Children]]+Table_NFI[[#This Row],[Winter Items Other]]+Table_NFI[[#This Row],[Winter Blanket]]&gt;0,1,0)</f>
        <v>0</v>
      </c>
      <c r="AN504" s="439">
        <f>IF(NFI_Expiration=1,IF($A504&lt;VLOOKUP(V$5,NFI,5,0),1,0)*Table_NFI[[#This Row],[Jerry Can]],Table_NFI[Jerry Can])</f>
        <v>0</v>
      </c>
      <c r="AO504" s="771" t="str">
        <f>IFERROR(VLOOKUP(Table_NFI[[#This Row],[Camp Name]],CL,2,0),"")</f>
        <v>MMR015CMP001</v>
      </c>
      <c r="AP504" s="772">
        <f ca="1">IF(Table_NFI[[#This Row],[Pcode]]="","",IF(OFFSET(CampList[Opening Date],MATCH(Table_NFI[[#This Row],[Pcode]],CampList[CP_Pcode],0)-1,0,1,1)&gt;=NFI_Monitor_Date,1,0))</f>
        <v>0</v>
      </c>
      <c r="AQ504" s="781" t="str">
        <f>IFERROR(VLOOKUP(Table_NFI[[#This Row],[Camp Name]],CL,3,0),"")</f>
        <v>Open</v>
      </c>
      <c r="AR504" s="439" t="str">
        <f ca="1">IF(Table_NFI[[#This Row],[Pcode]]="","",OFFSET(CampList[Priority],MATCH(Table_NFI[[#This Row],[Pcode]],CampList[CP_Pcode],0)-1,0,1,1))</f>
        <v>P3</v>
      </c>
      <c r="AS504" s="438">
        <f>IFERROR(Table_NFI[[#This Row],[Kitchen Set]]/VLOOKUP(Table_NFI[[#This Row],[Camp Name]],CL,4,0),"")</f>
        <v>1.1029411764705883</v>
      </c>
      <c r="AT504" s="769" t="s">
        <v>1099</v>
      </c>
      <c r="AU504" s="773"/>
    </row>
    <row r="505" spans="1:47" s="774" customFormat="1" x14ac:dyDescent="0.25">
      <c r="A505" s="451">
        <f t="shared" si="7"/>
        <v>29.033333333333335</v>
      </c>
      <c r="B505" s="768">
        <v>41499</v>
      </c>
      <c r="C505" s="769" t="s">
        <v>454</v>
      </c>
      <c r="D505" s="769" t="s">
        <v>508</v>
      </c>
      <c r="E505" s="769" t="s">
        <v>555</v>
      </c>
      <c r="F505" s="435" t="s">
        <v>289</v>
      </c>
      <c r="G505" s="435" t="s">
        <v>374</v>
      </c>
      <c r="H505" s="436"/>
      <c r="I505" s="436"/>
      <c r="J505" s="436">
        <v>36</v>
      </c>
      <c r="K505" s="436">
        <v>72</v>
      </c>
      <c r="L505" s="437">
        <v>33</v>
      </c>
      <c r="M505" s="437">
        <v>72</v>
      </c>
      <c r="N505" s="437">
        <v>33</v>
      </c>
      <c r="O505" s="437">
        <v>33</v>
      </c>
      <c r="P505" s="439">
        <v>33</v>
      </c>
      <c r="Q505" s="439">
        <v>33</v>
      </c>
      <c r="R505" s="436"/>
      <c r="S505" s="436"/>
      <c r="T505" s="436"/>
      <c r="U505" s="436"/>
      <c r="V505" s="436"/>
      <c r="W505" s="436"/>
      <c r="X505" s="436"/>
      <c r="Y505" s="436">
        <f>IF(NFI_Expiration=1,IF($A505&lt;VLOOKUP(H$5,NFI,5,0),1,0)*Table_NFI[[#This Row],[Hygiene Kit]],Table_NFI[Hygiene Kit])</f>
        <v>0</v>
      </c>
      <c r="Z505" s="436">
        <f>IF(NFI_Expiration=1,IF($A505&lt;VLOOKUP(I$5,NFI,5,0),1,0)*Table_NFI[[#This Row],[NFI Core Kit]],Table_NFI[NFI Core Kit])</f>
        <v>0</v>
      </c>
      <c r="AA505" s="436">
        <f>IF(NFI_Expiration=1,IF($A505&lt;VLOOKUP(J$5,NFI,5,0),1,0)*Table_NFI[[#This Row],[Sanitary Kit]],Table_NFI[Sanitary Kit])</f>
        <v>0</v>
      </c>
      <c r="AB505" s="436">
        <f>IF(NFI_Expiration=1,IF($A505&lt;VLOOKUP(K$5,NFI,5,0),1,0)*Table_NFI[[#This Row],[Mosquito net]],Table_NFI[Mosquito net])</f>
        <v>0</v>
      </c>
      <c r="AC505" s="436">
        <f>IF(NFI_Expiration=1,IF($A505&lt;VLOOKUP(L$5,NFI,5,0),1,0)*Table_NFI[[#This Row],[Tarpaulin]],Table_NFI[[#This Row],[Tarpaulin]])</f>
        <v>0</v>
      </c>
      <c r="AD505" s="436">
        <f>IF(NFI_Expiration=1,IF($A505&lt;VLOOKUP(M$5,NFI,5,0),1,0)*Table_NFI[[#This Row],[Blanket]],Table_NFI[[#This Row],[Blanket]])</f>
        <v>0</v>
      </c>
      <c r="AE505" s="436">
        <f>IF(NFI_Expiration=1,IF($A505&lt;VLOOKUP(N$5,NFI,5,0),1,0)*Table_NFI[[#This Row],[Kitchen Set]],Table_NFI[Kitchen Set])</f>
        <v>0</v>
      </c>
      <c r="AF505" s="436">
        <f>IF(NFI_Expiration=1,IF($A505&lt;VLOOKUP(O$5,NFI,5,0),1,0)*Table_NFI[[#This Row],[Clothes Kit]],Table_NFI[Clothes Kit])</f>
        <v>0</v>
      </c>
      <c r="AG505" s="436">
        <f>IF(NFI_Expiration=1,IF($A505&lt;VLOOKUP(P$5,NFI,5,0),1,0)*Table_NFI[[#This Row],[Plastic Bucket]],Table_NFI[Plastic Bucket])</f>
        <v>0</v>
      </c>
      <c r="AH505" s="436">
        <f>IF(NFI_Expiration=1,IF($A505&lt;VLOOKUP(Q$5,NFI,5,0),1,0)*Table_NFI[[#This Row],[Plastic Mat]],Table_NFI[Plastic Mat])*IF(Table_NFI[[#This Row],[Distribution Date]]&gt;"2014-04-01",1,2.5)</f>
        <v>0</v>
      </c>
      <c r="AI505" s="436">
        <f>IF(NFI_Expiration=1,IF($A505&lt;VLOOKUP(R$5,NFI,5,0),1,0)*Table_NFI[[#This Row],[Winter Clothes Adult]],Table_NFI[Winter Clothes Adult])</f>
        <v>0</v>
      </c>
      <c r="AJ505" s="436">
        <f>IF(NFI_Expiration=1,IF($A505&lt;VLOOKUP(S$5,NFI,5,0),1,0)*Table_NFI[[#This Row],[Winter Clothes Children]],Table_NFI[Winter Clothes Children])</f>
        <v>0</v>
      </c>
      <c r="AK505" s="436">
        <f>IF(NFI_Expiration=1,IF($A505&lt;VLOOKUP(T$5,NFI,5,0),1,0)*Table_NFI[[#This Row],[Winter Items Other]],Table_NFI[Winter Items Other])</f>
        <v>0</v>
      </c>
      <c r="AL505" s="436">
        <f>IF(NFI_Expiration=1,IF($A505&lt;VLOOKUP(M$5,NFI,5,0),1,0)*Table_NFI[[#This Row],[Winter Blanket]],Table_NFI[[#This Row],[Winter Blanket]])</f>
        <v>0</v>
      </c>
      <c r="AM505" s="436">
        <f>IF(Table_NFI[[#This Row],[Winter Clothes Adult]]+Table_NFI[[#This Row],[Winter Clothes Children]]+Table_NFI[[#This Row],[Winter Items Other]]+Table_NFI[[#This Row],[Winter Blanket]]&gt;0,1,0)</f>
        <v>0</v>
      </c>
      <c r="AN505" s="439">
        <f>IF(NFI_Expiration=1,IF($A505&lt;VLOOKUP(V$5,NFI,5,0),1,0)*Table_NFI[[#This Row],[Jerry Can]],Table_NFI[Jerry Can])</f>
        <v>0</v>
      </c>
      <c r="AO505" s="771" t="str">
        <f>IFERROR(VLOOKUP(Table_NFI[[#This Row],[Camp Name]],CL,2,0),"")</f>
        <v>MMR015CMP003</v>
      </c>
      <c r="AP505" s="772">
        <f ca="1">IF(Table_NFI[[#This Row],[Pcode]]="","",IF(OFFSET(CampList[Opening Date],MATCH(Table_NFI[[#This Row],[Pcode]],CampList[CP_Pcode],0)-1,0,1,1)&gt;=NFI_Monitor_Date,1,0))</f>
        <v>0</v>
      </c>
      <c r="AQ505" s="781" t="str">
        <f>IFERROR(VLOOKUP(Table_NFI[[#This Row],[Camp Name]],CL,3,0),"")</f>
        <v>Open</v>
      </c>
      <c r="AR505" s="439" t="str">
        <f ca="1">IF(Table_NFI[[#This Row],[Pcode]]="","",OFFSET(CampList[Priority],MATCH(Table_NFI[[#This Row],[Pcode]],CampList[CP_Pcode],0)-1,0,1,1))</f>
        <v>P3</v>
      </c>
      <c r="AS505" s="438">
        <f>IFERROR(Table_NFI[[#This Row],[Kitchen Set]]/VLOOKUP(Table_NFI[[#This Row],[Camp Name]],CL,4,0),"")</f>
        <v>0.6875</v>
      </c>
      <c r="AT505" s="769" t="s">
        <v>1099</v>
      </c>
      <c r="AU505" s="773"/>
    </row>
    <row r="506" spans="1:47" s="774" customFormat="1" x14ac:dyDescent="0.25">
      <c r="A506" s="451">
        <f t="shared" si="7"/>
        <v>29.033333333333335</v>
      </c>
      <c r="B506" s="768">
        <v>41499</v>
      </c>
      <c r="C506" s="769" t="s">
        <v>454</v>
      </c>
      <c r="D506" s="769" t="s">
        <v>508</v>
      </c>
      <c r="E506" s="769" t="s">
        <v>555</v>
      </c>
      <c r="F506" s="435" t="s">
        <v>289</v>
      </c>
      <c r="G506" s="435" t="s">
        <v>375</v>
      </c>
      <c r="H506" s="436"/>
      <c r="I506" s="436"/>
      <c r="J506" s="436">
        <v>40</v>
      </c>
      <c r="K506" s="436">
        <v>83</v>
      </c>
      <c r="L506" s="437">
        <v>33</v>
      </c>
      <c r="M506" s="437">
        <v>83</v>
      </c>
      <c r="N506" s="437">
        <v>33</v>
      </c>
      <c r="O506" s="437">
        <v>33</v>
      </c>
      <c r="P506" s="439">
        <v>33</v>
      </c>
      <c r="Q506" s="439">
        <v>33</v>
      </c>
      <c r="R506" s="436"/>
      <c r="S506" s="436"/>
      <c r="T506" s="436"/>
      <c r="U506" s="436"/>
      <c r="V506" s="436"/>
      <c r="W506" s="436"/>
      <c r="X506" s="436"/>
      <c r="Y506" s="436">
        <f>IF(NFI_Expiration=1,IF($A506&lt;VLOOKUP(H$5,NFI,5,0),1,0)*Table_NFI[[#This Row],[Hygiene Kit]],Table_NFI[Hygiene Kit])</f>
        <v>0</v>
      </c>
      <c r="Z506" s="436">
        <f>IF(NFI_Expiration=1,IF($A506&lt;VLOOKUP(I$5,NFI,5,0),1,0)*Table_NFI[[#This Row],[NFI Core Kit]],Table_NFI[NFI Core Kit])</f>
        <v>0</v>
      </c>
      <c r="AA506" s="436">
        <f>IF(NFI_Expiration=1,IF($A506&lt;VLOOKUP(J$5,NFI,5,0),1,0)*Table_NFI[[#This Row],[Sanitary Kit]],Table_NFI[Sanitary Kit])</f>
        <v>0</v>
      </c>
      <c r="AB506" s="436">
        <f>IF(NFI_Expiration=1,IF($A506&lt;VLOOKUP(K$5,NFI,5,0),1,0)*Table_NFI[[#This Row],[Mosquito net]],Table_NFI[Mosquito net])</f>
        <v>0</v>
      </c>
      <c r="AC506" s="436">
        <f>IF(NFI_Expiration=1,IF($A506&lt;VLOOKUP(L$5,NFI,5,0),1,0)*Table_NFI[[#This Row],[Tarpaulin]],Table_NFI[[#This Row],[Tarpaulin]])</f>
        <v>0</v>
      </c>
      <c r="AD506" s="436">
        <f>IF(NFI_Expiration=1,IF($A506&lt;VLOOKUP(M$5,NFI,5,0),1,0)*Table_NFI[[#This Row],[Blanket]],Table_NFI[[#This Row],[Blanket]])</f>
        <v>0</v>
      </c>
      <c r="AE506" s="436">
        <f>IF(NFI_Expiration=1,IF($A506&lt;VLOOKUP(N$5,NFI,5,0),1,0)*Table_NFI[[#This Row],[Kitchen Set]],Table_NFI[Kitchen Set])</f>
        <v>0</v>
      </c>
      <c r="AF506" s="436">
        <f>IF(NFI_Expiration=1,IF($A506&lt;VLOOKUP(O$5,NFI,5,0),1,0)*Table_NFI[[#This Row],[Clothes Kit]],Table_NFI[Clothes Kit])</f>
        <v>0</v>
      </c>
      <c r="AG506" s="436">
        <f>IF(NFI_Expiration=1,IF($A506&lt;VLOOKUP(P$5,NFI,5,0),1,0)*Table_NFI[[#This Row],[Plastic Bucket]],Table_NFI[Plastic Bucket])</f>
        <v>0</v>
      </c>
      <c r="AH506" s="436">
        <f>IF(NFI_Expiration=1,IF($A506&lt;VLOOKUP(Q$5,NFI,5,0),1,0)*Table_NFI[[#This Row],[Plastic Mat]],Table_NFI[Plastic Mat])*IF(Table_NFI[[#This Row],[Distribution Date]]&gt;"2014-04-01",1,2.5)</f>
        <v>0</v>
      </c>
      <c r="AI506" s="436">
        <f>IF(NFI_Expiration=1,IF($A506&lt;VLOOKUP(R$5,NFI,5,0),1,0)*Table_NFI[[#This Row],[Winter Clothes Adult]],Table_NFI[Winter Clothes Adult])</f>
        <v>0</v>
      </c>
      <c r="AJ506" s="436">
        <f>IF(NFI_Expiration=1,IF($A506&lt;VLOOKUP(S$5,NFI,5,0),1,0)*Table_NFI[[#This Row],[Winter Clothes Children]],Table_NFI[Winter Clothes Children])</f>
        <v>0</v>
      </c>
      <c r="AK506" s="436">
        <f>IF(NFI_Expiration=1,IF($A506&lt;VLOOKUP(T$5,NFI,5,0),1,0)*Table_NFI[[#This Row],[Winter Items Other]],Table_NFI[Winter Items Other])</f>
        <v>0</v>
      </c>
      <c r="AL506" s="436">
        <f>IF(NFI_Expiration=1,IF($A506&lt;VLOOKUP(M$5,NFI,5,0),1,0)*Table_NFI[[#This Row],[Winter Blanket]],Table_NFI[[#This Row],[Winter Blanket]])</f>
        <v>0</v>
      </c>
      <c r="AM506" s="436">
        <f>IF(Table_NFI[[#This Row],[Winter Clothes Adult]]+Table_NFI[[#This Row],[Winter Clothes Children]]+Table_NFI[[#This Row],[Winter Items Other]]+Table_NFI[[#This Row],[Winter Blanket]]&gt;0,1,0)</f>
        <v>0</v>
      </c>
      <c r="AN506" s="439">
        <f>IF(NFI_Expiration=1,IF($A506&lt;VLOOKUP(V$5,NFI,5,0),1,0)*Table_NFI[[#This Row],[Jerry Can]],Table_NFI[Jerry Can])</f>
        <v>0</v>
      </c>
      <c r="AO506" s="771" t="str">
        <f>IFERROR(VLOOKUP(Table_NFI[[#This Row],[Camp Name]],CL,2,0),"")</f>
        <v>MMR015CMP024</v>
      </c>
      <c r="AP506" s="772">
        <f ca="1">IF(Table_NFI[[#This Row],[Pcode]]="","",IF(OFFSET(CampList[Opening Date],MATCH(Table_NFI[[#This Row],[Pcode]],CampList[CP_Pcode],0)-1,0,1,1)&gt;=NFI_Monitor_Date,1,0))</f>
        <v>0</v>
      </c>
      <c r="AQ506" s="781" t="str">
        <f>IFERROR(VLOOKUP(Table_NFI[[#This Row],[Camp Name]],CL,3,0),"")</f>
        <v>Closed</v>
      </c>
      <c r="AR506" s="439" t="str">
        <f ca="1">IF(Table_NFI[[#This Row],[Pcode]]="","",OFFSET(CampList[Priority],MATCH(Table_NFI[[#This Row],[Pcode]],CampList[CP_Pcode],0)-1,0,1,1))</f>
        <v/>
      </c>
      <c r="AS506" s="438" t="str">
        <f>IFERROR(Table_NFI[[#This Row],[Kitchen Set]]/VLOOKUP(Table_NFI[[#This Row],[Camp Name]],CL,4,0),"")</f>
        <v/>
      </c>
      <c r="AT506" s="769" t="s">
        <v>1099</v>
      </c>
      <c r="AU506" s="773"/>
    </row>
    <row r="507" spans="1:47" s="774" customFormat="1" x14ac:dyDescent="0.25">
      <c r="A507" s="451">
        <f t="shared" si="7"/>
        <v>29.033333333333335</v>
      </c>
      <c r="B507" s="768">
        <v>41499</v>
      </c>
      <c r="C507" s="769" t="s">
        <v>454</v>
      </c>
      <c r="D507" s="769" t="s">
        <v>508</v>
      </c>
      <c r="E507" s="769" t="s">
        <v>555</v>
      </c>
      <c r="F507" s="435" t="s">
        <v>298</v>
      </c>
      <c r="G507" s="435" t="s">
        <v>595</v>
      </c>
      <c r="H507" s="436"/>
      <c r="I507" s="436"/>
      <c r="J507" s="436">
        <v>130</v>
      </c>
      <c r="K507" s="436">
        <v>288</v>
      </c>
      <c r="L507" s="437">
        <v>115</v>
      </c>
      <c r="M507" s="437">
        <v>288</v>
      </c>
      <c r="N507" s="437">
        <v>115</v>
      </c>
      <c r="O507" s="437">
        <v>115</v>
      </c>
      <c r="P507" s="439">
        <v>115</v>
      </c>
      <c r="Q507" s="439">
        <v>115</v>
      </c>
      <c r="R507" s="436"/>
      <c r="S507" s="436"/>
      <c r="T507" s="436"/>
      <c r="U507" s="436"/>
      <c r="V507" s="436"/>
      <c r="W507" s="436"/>
      <c r="X507" s="436"/>
      <c r="Y507" s="436">
        <f>IF(NFI_Expiration=1,IF($A507&lt;VLOOKUP(H$5,NFI,5,0),1,0)*Table_NFI[[#This Row],[Hygiene Kit]],Table_NFI[Hygiene Kit])</f>
        <v>0</v>
      </c>
      <c r="Z507" s="436">
        <f>IF(NFI_Expiration=1,IF($A507&lt;VLOOKUP(I$5,NFI,5,0),1,0)*Table_NFI[[#This Row],[NFI Core Kit]],Table_NFI[NFI Core Kit])</f>
        <v>0</v>
      </c>
      <c r="AA507" s="436">
        <f>IF(NFI_Expiration=1,IF($A507&lt;VLOOKUP(J$5,NFI,5,0),1,0)*Table_NFI[[#This Row],[Sanitary Kit]],Table_NFI[Sanitary Kit])</f>
        <v>0</v>
      </c>
      <c r="AB507" s="436">
        <f>IF(NFI_Expiration=1,IF($A507&lt;VLOOKUP(K$5,NFI,5,0),1,0)*Table_NFI[[#This Row],[Mosquito net]],Table_NFI[Mosquito net])</f>
        <v>0</v>
      </c>
      <c r="AC507" s="436">
        <f>IF(NFI_Expiration=1,IF($A507&lt;VLOOKUP(L$5,NFI,5,0),1,0)*Table_NFI[[#This Row],[Tarpaulin]],Table_NFI[[#This Row],[Tarpaulin]])</f>
        <v>0</v>
      </c>
      <c r="AD507" s="436">
        <f>IF(NFI_Expiration=1,IF($A507&lt;VLOOKUP(M$5,NFI,5,0),1,0)*Table_NFI[[#This Row],[Blanket]],Table_NFI[[#This Row],[Blanket]])</f>
        <v>0</v>
      </c>
      <c r="AE507" s="436">
        <f>IF(NFI_Expiration=1,IF($A507&lt;VLOOKUP(N$5,NFI,5,0),1,0)*Table_NFI[[#This Row],[Kitchen Set]],Table_NFI[Kitchen Set])</f>
        <v>0</v>
      </c>
      <c r="AF507" s="436">
        <f>IF(NFI_Expiration=1,IF($A507&lt;VLOOKUP(O$5,NFI,5,0),1,0)*Table_NFI[[#This Row],[Clothes Kit]],Table_NFI[Clothes Kit])</f>
        <v>0</v>
      </c>
      <c r="AG507" s="436">
        <f>IF(NFI_Expiration=1,IF($A507&lt;VLOOKUP(P$5,NFI,5,0),1,0)*Table_NFI[[#This Row],[Plastic Bucket]],Table_NFI[Plastic Bucket])</f>
        <v>0</v>
      </c>
      <c r="AH507" s="436">
        <f>IF(NFI_Expiration=1,IF($A507&lt;VLOOKUP(Q$5,NFI,5,0),1,0)*Table_NFI[[#This Row],[Plastic Mat]],Table_NFI[Plastic Mat])*IF(Table_NFI[[#This Row],[Distribution Date]]&gt;"2014-04-01",1,2.5)</f>
        <v>0</v>
      </c>
      <c r="AI507" s="436">
        <f>IF(NFI_Expiration=1,IF($A507&lt;VLOOKUP(R$5,NFI,5,0),1,0)*Table_NFI[[#This Row],[Winter Clothes Adult]],Table_NFI[Winter Clothes Adult])</f>
        <v>0</v>
      </c>
      <c r="AJ507" s="436">
        <f>IF(NFI_Expiration=1,IF($A507&lt;VLOOKUP(S$5,NFI,5,0),1,0)*Table_NFI[[#This Row],[Winter Clothes Children]],Table_NFI[Winter Clothes Children])</f>
        <v>0</v>
      </c>
      <c r="AK507" s="436">
        <f>IF(NFI_Expiration=1,IF($A507&lt;VLOOKUP(T$5,NFI,5,0),1,0)*Table_NFI[[#This Row],[Winter Items Other]],Table_NFI[Winter Items Other])</f>
        <v>0</v>
      </c>
      <c r="AL507" s="436">
        <f>IF(NFI_Expiration=1,IF($A507&lt;VLOOKUP(M$5,NFI,5,0),1,0)*Table_NFI[[#This Row],[Winter Blanket]],Table_NFI[[#This Row],[Winter Blanket]])</f>
        <v>0</v>
      </c>
      <c r="AM507" s="436">
        <f>IF(Table_NFI[[#This Row],[Winter Clothes Adult]]+Table_NFI[[#This Row],[Winter Clothes Children]]+Table_NFI[[#This Row],[Winter Items Other]]+Table_NFI[[#This Row],[Winter Blanket]]&gt;0,1,0)</f>
        <v>0</v>
      </c>
      <c r="AN507" s="439">
        <f>IF(NFI_Expiration=1,IF($A507&lt;VLOOKUP(V$5,NFI,5,0),1,0)*Table_NFI[[#This Row],[Jerry Can]],Table_NFI[Jerry Can])</f>
        <v>0</v>
      </c>
      <c r="AO507" s="771" t="str">
        <f>IFERROR(VLOOKUP(Table_NFI[[#This Row],[Camp Name]],CL,2,0),"")</f>
        <v>MMR015CMP210</v>
      </c>
      <c r="AP507" s="772">
        <f ca="1">IF(Table_NFI[[#This Row],[Pcode]]="","",IF(OFFSET(CampList[Opening Date],MATCH(Table_NFI[[#This Row],[Pcode]],CampList[CP_Pcode],0)-1,0,1,1)&gt;=NFI_Monitor_Date,1,0))</f>
        <v>0</v>
      </c>
      <c r="AQ507" s="781" t="str">
        <f>IFERROR(VLOOKUP(Table_NFI[[#This Row],[Camp Name]],CL,3,0),"")</f>
        <v>Open</v>
      </c>
      <c r="AR507" s="439" t="str">
        <f ca="1">IF(Table_NFI[[#This Row],[Pcode]]="","",OFFSET(CampList[Priority],MATCH(Table_NFI[[#This Row],[Pcode]],CampList[CP_Pcode],0)-1,0,1,1))</f>
        <v>P3</v>
      </c>
      <c r="AS507" s="438">
        <f>IFERROR(Table_NFI[[#This Row],[Kitchen Set]]/VLOOKUP(Table_NFI[[#This Row],[Camp Name]],CL,4,0),"")</f>
        <v>0.97457627118644063</v>
      </c>
      <c r="AT507" s="769" t="s">
        <v>1099</v>
      </c>
      <c r="AU507" s="773"/>
    </row>
    <row r="508" spans="1:47" s="774" customFormat="1" x14ac:dyDescent="0.25">
      <c r="A508" s="451">
        <f t="shared" si="7"/>
        <v>29.033333333333335</v>
      </c>
      <c r="B508" s="768">
        <v>41499</v>
      </c>
      <c r="C508" s="769" t="s">
        <v>454</v>
      </c>
      <c r="D508" s="769" t="s">
        <v>462</v>
      </c>
      <c r="E508" s="769" t="s">
        <v>555</v>
      </c>
      <c r="F508" s="435" t="s">
        <v>784</v>
      </c>
      <c r="G508" s="435" t="s">
        <v>596</v>
      </c>
      <c r="H508" s="436"/>
      <c r="I508" s="436"/>
      <c r="J508" s="436">
        <v>27</v>
      </c>
      <c r="K508" s="436">
        <v>43</v>
      </c>
      <c r="L508" s="437">
        <v>17</v>
      </c>
      <c r="M508" s="437">
        <v>43</v>
      </c>
      <c r="N508" s="437">
        <v>17</v>
      </c>
      <c r="O508" s="437">
        <v>17</v>
      </c>
      <c r="P508" s="439">
        <v>17</v>
      </c>
      <c r="Q508" s="439">
        <v>17</v>
      </c>
      <c r="R508" s="436"/>
      <c r="S508" s="436"/>
      <c r="T508" s="436"/>
      <c r="U508" s="436"/>
      <c r="V508" s="436"/>
      <c r="W508" s="436"/>
      <c r="X508" s="436"/>
      <c r="Y508" s="436">
        <f>IF(NFI_Expiration=1,IF($A508&lt;VLOOKUP(H$5,NFI,5,0),1,0)*Table_NFI[[#This Row],[Hygiene Kit]],Table_NFI[Hygiene Kit])</f>
        <v>0</v>
      </c>
      <c r="Z508" s="436">
        <f>IF(NFI_Expiration=1,IF($A508&lt;VLOOKUP(I$5,NFI,5,0),1,0)*Table_NFI[[#This Row],[NFI Core Kit]],Table_NFI[NFI Core Kit])</f>
        <v>0</v>
      </c>
      <c r="AA508" s="436">
        <f>IF(NFI_Expiration=1,IF($A508&lt;VLOOKUP(J$5,NFI,5,0),1,0)*Table_NFI[[#This Row],[Sanitary Kit]],Table_NFI[Sanitary Kit])</f>
        <v>0</v>
      </c>
      <c r="AB508" s="436">
        <f>IF(NFI_Expiration=1,IF($A508&lt;VLOOKUP(K$5,NFI,5,0),1,0)*Table_NFI[[#This Row],[Mosquito net]],Table_NFI[Mosquito net])</f>
        <v>0</v>
      </c>
      <c r="AC508" s="436">
        <f>IF(NFI_Expiration=1,IF($A508&lt;VLOOKUP(L$5,NFI,5,0),1,0)*Table_NFI[[#This Row],[Tarpaulin]],Table_NFI[[#This Row],[Tarpaulin]])</f>
        <v>0</v>
      </c>
      <c r="AD508" s="436">
        <f>IF(NFI_Expiration=1,IF($A508&lt;VLOOKUP(M$5,NFI,5,0),1,0)*Table_NFI[[#This Row],[Blanket]],Table_NFI[[#This Row],[Blanket]])</f>
        <v>0</v>
      </c>
      <c r="AE508" s="436">
        <f>IF(NFI_Expiration=1,IF($A508&lt;VLOOKUP(N$5,NFI,5,0),1,0)*Table_NFI[[#This Row],[Kitchen Set]],Table_NFI[Kitchen Set])</f>
        <v>0</v>
      </c>
      <c r="AF508" s="436">
        <f>IF(NFI_Expiration=1,IF($A508&lt;VLOOKUP(O$5,NFI,5,0),1,0)*Table_NFI[[#This Row],[Clothes Kit]],Table_NFI[Clothes Kit])</f>
        <v>0</v>
      </c>
      <c r="AG508" s="436">
        <f>IF(NFI_Expiration=1,IF($A508&lt;VLOOKUP(P$5,NFI,5,0),1,0)*Table_NFI[[#This Row],[Plastic Bucket]],Table_NFI[Plastic Bucket])</f>
        <v>0</v>
      </c>
      <c r="AH508" s="436">
        <f>IF(NFI_Expiration=1,IF($A508&lt;VLOOKUP(Q$5,NFI,5,0),1,0)*Table_NFI[[#This Row],[Plastic Mat]],Table_NFI[Plastic Mat])*IF(Table_NFI[[#This Row],[Distribution Date]]&gt;"2014-04-01",1,2.5)</f>
        <v>0</v>
      </c>
      <c r="AI508" s="436">
        <f>IF(NFI_Expiration=1,IF($A508&lt;VLOOKUP(R$5,NFI,5,0),1,0)*Table_NFI[[#This Row],[Winter Clothes Adult]],Table_NFI[Winter Clothes Adult])</f>
        <v>0</v>
      </c>
      <c r="AJ508" s="436">
        <f>IF(NFI_Expiration=1,IF($A508&lt;VLOOKUP(S$5,NFI,5,0),1,0)*Table_NFI[[#This Row],[Winter Clothes Children]],Table_NFI[Winter Clothes Children])</f>
        <v>0</v>
      </c>
      <c r="AK508" s="436">
        <f>IF(NFI_Expiration=1,IF($A508&lt;VLOOKUP(T$5,NFI,5,0),1,0)*Table_NFI[[#This Row],[Winter Items Other]],Table_NFI[Winter Items Other])</f>
        <v>0</v>
      </c>
      <c r="AL508" s="436">
        <f>IF(NFI_Expiration=1,IF($A508&lt;VLOOKUP(M$5,NFI,5,0),1,0)*Table_NFI[[#This Row],[Winter Blanket]],Table_NFI[[#This Row],[Winter Blanket]])</f>
        <v>0</v>
      </c>
      <c r="AM508" s="436">
        <f>IF(Table_NFI[[#This Row],[Winter Clothes Adult]]+Table_NFI[[#This Row],[Winter Clothes Children]]+Table_NFI[[#This Row],[Winter Items Other]]+Table_NFI[[#This Row],[Winter Blanket]]&gt;0,1,0)</f>
        <v>0</v>
      </c>
      <c r="AN508" s="439">
        <f>IF(NFI_Expiration=1,IF($A508&lt;VLOOKUP(V$5,NFI,5,0),1,0)*Table_NFI[[#This Row],[Jerry Can]],Table_NFI[Jerry Can])</f>
        <v>0</v>
      </c>
      <c r="AO508" s="771" t="str">
        <f>IFERROR(VLOOKUP(Table_NFI[[#This Row],[Camp Name]],CL,2,0),"")</f>
        <v>MMR015CMP207</v>
      </c>
      <c r="AP508" s="772">
        <f ca="1">IF(Table_NFI[[#This Row],[Pcode]]="","",IF(OFFSET(CampList[Opening Date],MATCH(Table_NFI[[#This Row],[Pcode]],CampList[CP_Pcode],0)-1,0,1,1)&gt;=NFI_Monitor_Date,1,0))</f>
        <v>0</v>
      </c>
      <c r="AQ508" s="781" t="str">
        <f>IFERROR(VLOOKUP(Table_NFI[[#This Row],[Camp Name]],CL,3,0),"")</f>
        <v>Open</v>
      </c>
      <c r="AR508" s="439" t="str">
        <f ca="1">IF(Table_NFI[[#This Row],[Pcode]]="","",OFFSET(CampList[Priority],MATCH(Table_NFI[[#This Row],[Pcode]],CampList[CP_Pcode],0)-1,0,1,1))</f>
        <v>P4</v>
      </c>
      <c r="AS508" s="438">
        <f>IFERROR(Table_NFI[[#This Row],[Kitchen Set]]/VLOOKUP(Table_NFI[[#This Row],[Camp Name]],CL,4,0),"")</f>
        <v>0.2537313432835821</v>
      </c>
      <c r="AT508" s="769" t="s">
        <v>1099</v>
      </c>
      <c r="AU508" s="773"/>
    </row>
    <row r="509" spans="1:47" s="774" customFormat="1" x14ac:dyDescent="0.25">
      <c r="A509" s="451">
        <f t="shared" si="7"/>
        <v>29.233333333333334</v>
      </c>
      <c r="B509" s="768">
        <v>41493</v>
      </c>
      <c r="C509" s="769" t="s">
        <v>454</v>
      </c>
      <c r="D509" s="769" t="s">
        <v>454</v>
      </c>
      <c r="E509" s="769" t="s">
        <v>380</v>
      </c>
      <c r="F509" s="435" t="s">
        <v>310</v>
      </c>
      <c r="G509" s="435" t="s">
        <v>320</v>
      </c>
      <c r="H509" s="436"/>
      <c r="I509" s="436"/>
      <c r="J509" s="436">
        <v>15</v>
      </c>
      <c r="K509" s="436">
        <v>57</v>
      </c>
      <c r="L509" s="437">
        <v>24</v>
      </c>
      <c r="M509" s="437">
        <v>57</v>
      </c>
      <c r="N509" s="437">
        <v>24</v>
      </c>
      <c r="O509" s="437">
        <v>24</v>
      </c>
      <c r="P509" s="437">
        <v>24</v>
      </c>
      <c r="Q509" s="437">
        <v>24</v>
      </c>
      <c r="R509" s="436"/>
      <c r="S509" s="436"/>
      <c r="T509" s="436"/>
      <c r="U509" s="436"/>
      <c r="V509" s="436"/>
      <c r="W509" s="436"/>
      <c r="X509" s="436"/>
      <c r="Y509" s="436">
        <f>IF(NFI_Expiration=1,IF($A509&lt;VLOOKUP(H$5,NFI,5,0),1,0)*Table_NFI[[#This Row],[Hygiene Kit]],Table_NFI[Hygiene Kit])</f>
        <v>0</v>
      </c>
      <c r="Z509" s="436">
        <f>IF(NFI_Expiration=1,IF($A509&lt;VLOOKUP(I$5,NFI,5,0),1,0)*Table_NFI[[#This Row],[NFI Core Kit]],Table_NFI[NFI Core Kit])</f>
        <v>0</v>
      </c>
      <c r="AA509" s="436">
        <f>IF(NFI_Expiration=1,IF($A509&lt;VLOOKUP(J$5,NFI,5,0),1,0)*Table_NFI[[#This Row],[Sanitary Kit]],Table_NFI[Sanitary Kit])</f>
        <v>0</v>
      </c>
      <c r="AB509" s="436">
        <f>IF(NFI_Expiration=1,IF($A509&lt;VLOOKUP(K$5,NFI,5,0),1,0)*Table_NFI[[#This Row],[Mosquito net]],Table_NFI[Mosquito net])</f>
        <v>0</v>
      </c>
      <c r="AC509" s="436">
        <f>IF(NFI_Expiration=1,IF($A509&lt;VLOOKUP(L$5,NFI,5,0),1,0)*Table_NFI[[#This Row],[Tarpaulin]],Table_NFI[[#This Row],[Tarpaulin]])</f>
        <v>0</v>
      </c>
      <c r="AD509" s="436">
        <f>IF(NFI_Expiration=1,IF($A509&lt;VLOOKUP(M$5,NFI,5,0),1,0)*Table_NFI[[#This Row],[Blanket]],Table_NFI[[#This Row],[Blanket]])</f>
        <v>0</v>
      </c>
      <c r="AE509" s="436">
        <f>IF(NFI_Expiration=1,IF($A509&lt;VLOOKUP(N$5,NFI,5,0),1,0)*Table_NFI[[#This Row],[Kitchen Set]],Table_NFI[Kitchen Set])</f>
        <v>0</v>
      </c>
      <c r="AF509" s="436">
        <f>IF(NFI_Expiration=1,IF($A509&lt;VLOOKUP(O$5,NFI,5,0),1,0)*Table_NFI[[#This Row],[Clothes Kit]],Table_NFI[Clothes Kit])</f>
        <v>0</v>
      </c>
      <c r="AG509" s="436">
        <f>IF(NFI_Expiration=1,IF($A509&lt;VLOOKUP(P$5,NFI,5,0),1,0)*Table_NFI[[#This Row],[Plastic Bucket]],Table_NFI[Plastic Bucket])</f>
        <v>0</v>
      </c>
      <c r="AH509" s="436">
        <f>IF(NFI_Expiration=1,IF($A509&lt;VLOOKUP(Q$5,NFI,5,0),1,0)*Table_NFI[[#This Row],[Plastic Mat]],Table_NFI[Plastic Mat])*IF(Table_NFI[[#This Row],[Distribution Date]]&gt;"2014-04-01",1,2.5)</f>
        <v>0</v>
      </c>
      <c r="AI509" s="436">
        <f>IF(NFI_Expiration=1,IF($A509&lt;VLOOKUP(R$5,NFI,5,0),1,0)*Table_NFI[[#This Row],[Winter Clothes Adult]],Table_NFI[Winter Clothes Adult])</f>
        <v>0</v>
      </c>
      <c r="AJ509" s="436">
        <f>IF(NFI_Expiration=1,IF($A509&lt;VLOOKUP(S$5,NFI,5,0),1,0)*Table_NFI[[#This Row],[Winter Clothes Children]],Table_NFI[Winter Clothes Children])</f>
        <v>0</v>
      </c>
      <c r="AK509" s="436">
        <f>IF(NFI_Expiration=1,IF($A509&lt;VLOOKUP(T$5,NFI,5,0),1,0)*Table_NFI[[#This Row],[Winter Items Other]],Table_NFI[Winter Items Other])</f>
        <v>0</v>
      </c>
      <c r="AL509" s="436">
        <f>IF(NFI_Expiration=1,IF($A509&lt;VLOOKUP(M$5,NFI,5,0),1,0)*Table_NFI[[#This Row],[Winter Blanket]],Table_NFI[[#This Row],[Winter Blanket]])</f>
        <v>0</v>
      </c>
      <c r="AM509" s="436">
        <f>IF(Table_NFI[[#This Row],[Winter Clothes Adult]]+Table_NFI[[#This Row],[Winter Clothes Children]]+Table_NFI[[#This Row],[Winter Items Other]]+Table_NFI[[#This Row],[Winter Blanket]]&gt;0,1,0)</f>
        <v>0</v>
      </c>
      <c r="AN509" s="439">
        <f>IF(NFI_Expiration=1,IF($A509&lt;VLOOKUP(V$5,NFI,5,0),1,0)*Table_NFI[[#This Row],[Jerry Can]],Table_NFI[Jerry Can])</f>
        <v>0</v>
      </c>
      <c r="AO509" s="771" t="str">
        <f>IFERROR(VLOOKUP(Table_NFI[[#This Row],[Camp Name]],CL,2,0),"")</f>
        <v>MMR001CMP027</v>
      </c>
      <c r="AP509" s="772">
        <f ca="1">IF(Table_NFI[[#This Row],[Pcode]]="","",IF(OFFSET(CampList[Opening Date],MATCH(Table_NFI[[#This Row],[Pcode]],CampList[CP_Pcode],0)-1,0,1,1)&gt;=NFI_Monitor_Date,1,0))</f>
        <v>0</v>
      </c>
      <c r="AQ509" s="781" t="str">
        <f>IFERROR(VLOOKUP(Table_NFI[[#This Row],[Camp Name]],CL,3,0),"")</f>
        <v>Open</v>
      </c>
      <c r="AR509" s="439" t="str">
        <f ca="1">IF(Table_NFI[[#This Row],[Pcode]]="","",OFFSET(CampList[Priority],MATCH(Table_NFI[[#This Row],[Pcode]],CampList[CP_Pcode],0)-1,0,1,1))</f>
        <v>P4</v>
      </c>
      <c r="AS509" s="438">
        <f>IFERROR(Table_NFI[[#This Row],[Kitchen Set]]/VLOOKUP(Table_NFI[[#This Row],[Camp Name]],CL,4,0),"")</f>
        <v>0.96</v>
      </c>
      <c r="AT509" s="769" t="s">
        <v>1099</v>
      </c>
      <c r="AU509" s="773"/>
    </row>
    <row r="510" spans="1:47" s="774" customFormat="1" x14ac:dyDescent="0.25">
      <c r="A510" s="451">
        <f t="shared" si="7"/>
        <v>29.233333333333334</v>
      </c>
      <c r="B510" s="768">
        <v>41493</v>
      </c>
      <c r="C510" s="769" t="s">
        <v>454</v>
      </c>
      <c r="D510" s="770" t="s">
        <v>454</v>
      </c>
      <c r="E510" s="769" t="s">
        <v>380</v>
      </c>
      <c r="F510" s="435" t="s">
        <v>310</v>
      </c>
      <c r="G510" s="435" t="s">
        <v>328</v>
      </c>
      <c r="H510" s="436"/>
      <c r="I510" s="436"/>
      <c r="J510" s="436">
        <v>20</v>
      </c>
      <c r="K510" s="436">
        <v>40</v>
      </c>
      <c r="L510" s="437">
        <v>17</v>
      </c>
      <c r="M510" s="437">
        <v>40</v>
      </c>
      <c r="N510" s="437">
        <v>17</v>
      </c>
      <c r="O510" s="437">
        <v>17</v>
      </c>
      <c r="P510" s="437">
        <v>17</v>
      </c>
      <c r="Q510" s="437">
        <v>17</v>
      </c>
      <c r="R510" s="436"/>
      <c r="S510" s="436"/>
      <c r="T510" s="436"/>
      <c r="U510" s="436"/>
      <c r="V510" s="436"/>
      <c r="W510" s="436"/>
      <c r="X510" s="436"/>
      <c r="Y510" s="436">
        <f>IF(NFI_Expiration=1,IF($A510&lt;VLOOKUP(H$5,NFI,5,0),1,0)*Table_NFI[[#This Row],[Hygiene Kit]],Table_NFI[Hygiene Kit])</f>
        <v>0</v>
      </c>
      <c r="Z510" s="436">
        <f>IF(NFI_Expiration=1,IF($A510&lt;VLOOKUP(I$5,NFI,5,0),1,0)*Table_NFI[[#This Row],[NFI Core Kit]],Table_NFI[NFI Core Kit])</f>
        <v>0</v>
      </c>
      <c r="AA510" s="436">
        <f>IF(NFI_Expiration=1,IF($A510&lt;VLOOKUP(J$5,NFI,5,0),1,0)*Table_NFI[[#This Row],[Sanitary Kit]],Table_NFI[Sanitary Kit])</f>
        <v>0</v>
      </c>
      <c r="AB510" s="436">
        <f>IF(NFI_Expiration=1,IF($A510&lt;VLOOKUP(K$5,NFI,5,0),1,0)*Table_NFI[[#This Row],[Mosquito net]],Table_NFI[Mosquito net])</f>
        <v>0</v>
      </c>
      <c r="AC510" s="436">
        <f>IF(NFI_Expiration=1,IF($A510&lt;VLOOKUP(L$5,NFI,5,0),1,0)*Table_NFI[[#This Row],[Tarpaulin]],Table_NFI[[#This Row],[Tarpaulin]])</f>
        <v>0</v>
      </c>
      <c r="AD510" s="436">
        <f>IF(NFI_Expiration=1,IF($A510&lt;VLOOKUP(M$5,NFI,5,0),1,0)*Table_NFI[[#This Row],[Blanket]],Table_NFI[[#This Row],[Blanket]])</f>
        <v>0</v>
      </c>
      <c r="AE510" s="436">
        <f>IF(NFI_Expiration=1,IF($A510&lt;VLOOKUP(N$5,NFI,5,0),1,0)*Table_NFI[[#This Row],[Kitchen Set]],Table_NFI[Kitchen Set])</f>
        <v>0</v>
      </c>
      <c r="AF510" s="436">
        <f>IF(NFI_Expiration=1,IF($A510&lt;VLOOKUP(O$5,NFI,5,0),1,0)*Table_NFI[[#This Row],[Clothes Kit]],Table_NFI[Clothes Kit])</f>
        <v>0</v>
      </c>
      <c r="AG510" s="436">
        <f>IF(NFI_Expiration=1,IF($A510&lt;VLOOKUP(P$5,NFI,5,0),1,0)*Table_NFI[[#This Row],[Plastic Bucket]],Table_NFI[Plastic Bucket])</f>
        <v>0</v>
      </c>
      <c r="AH510" s="436">
        <f>IF(NFI_Expiration=1,IF($A510&lt;VLOOKUP(Q$5,NFI,5,0),1,0)*Table_NFI[[#This Row],[Plastic Mat]],Table_NFI[Plastic Mat])*IF(Table_NFI[[#This Row],[Distribution Date]]&gt;"2014-04-01",1,2.5)</f>
        <v>0</v>
      </c>
      <c r="AI510" s="436">
        <f>IF(NFI_Expiration=1,IF($A510&lt;VLOOKUP(R$5,NFI,5,0),1,0)*Table_NFI[[#This Row],[Winter Clothes Adult]],Table_NFI[Winter Clothes Adult])</f>
        <v>0</v>
      </c>
      <c r="AJ510" s="436">
        <f>IF(NFI_Expiration=1,IF($A510&lt;VLOOKUP(S$5,NFI,5,0),1,0)*Table_NFI[[#This Row],[Winter Clothes Children]],Table_NFI[Winter Clothes Children])</f>
        <v>0</v>
      </c>
      <c r="AK510" s="436">
        <f>IF(NFI_Expiration=1,IF($A510&lt;VLOOKUP(T$5,NFI,5,0),1,0)*Table_NFI[[#This Row],[Winter Items Other]],Table_NFI[Winter Items Other])</f>
        <v>0</v>
      </c>
      <c r="AL510" s="436">
        <f>IF(NFI_Expiration=1,IF($A510&lt;VLOOKUP(M$5,NFI,5,0),1,0)*Table_NFI[[#This Row],[Winter Blanket]],Table_NFI[[#This Row],[Winter Blanket]])</f>
        <v>0</v>
      </c>
      <c r="AM510" s="436">
        <f>IF(Table_NFI[[#This Row],[Winter Clothes Adult]]+Table_NFI[[#This Row],[Winter Clothes Children]]+Table_NFI[[#This Row],[Winter Items Other]]+Table_NFI[[#This Row],[Winter Blanket]]&gt;0,1,0)</f>
        <v>0</v>
      </c>
      <c r="AN510" s="439">
        <f>IF(NFI_Expiration=1,IF($A510&lt;VLOOKUP(V$5,NFI,5,0),1,0)*Table_NFI[[#This Row],[Jerry Can]],Table_NFI[Jerry Can])</f>
        <v>0</v>
      </c>
      <c r="AO510" s="771" t="str">
        <f>IFERROR(VLOOKUP(Table_NFI[[#This Row],[Camp Name]],CL,2,0),"")</f>
        <v>MMR001CMP031</v>
      </c>
      <c r="AP510" s="772">
        <f ca="1">IF(Table_NFI[[#This Row],[Pcode]]="","",IF(OFFSET(CampList[Opening Date],MATCH(Table_NFI[[#This Row],[Pcode]],CampList[CP_Pcode],0)-1,0,1,1)&gt;=NFI_Monitor_Date,1,0))</f>
        <v>0</v>
      </c>
      <c r="AQ510" s="781" t="str">
        <f>IFERROR(VLOOKUP(Table_NFI[[#This Row],[Camp Name]],CL,3,0),"")</f>
        <v>Open</v>
      </c>
      <c r="AR510" s="439" t="str">
        <f ca="1">IF(Table_NFI[[#This Row],[Pcode]]="","",OFFSET(CampList[Priority],MATCH(Table_NFI[[#This Row],[Pcode]],CampList[CP_Pcode],0)-1,0,1,1))</f>
        <v>P4</v>
      </c>
      <c r="AS510" s="438">
        <f>IFERROR(Table_NFI[[#This Row],[Kitchen Set]]/VLOOKUP(Table_NFI[[#This Row],[Camp Name]],CL,4,0),"")</f>
        <v>0.12592592592592591</v>
      </c>
      <c r="AT510" s="769" t="s">
        <v>1099</v>
      </c>
      <c r="AU510" s="773"/>
    </row>
    <row r="511" spans="1:47" s="774" customFormat="1" x14ac:dyDescent="0.25">
      <c r="A511" s="451">
        <f t="shared" si="7"/>
        <v>29.233333333333334</v>
      </c>
      <c r="B511" s="768">
        <v>41493</v>
      </c>
      <c r="C511" s="769" t="s">
        <v>454</v>
      </c>
      <c r="D511" s="770" t="s">
        <v>454</v>
      </c>
      <c r="E511" s="769" t="s">
        <v>380</v>
      </c>
      <c r="F511" s="435" t="s">
        <v>237</v>
      </c>
      <c r="G511" s="435" t="s">
        <v>259</v>
      </c>
      <c r="H511" s="436"/>
      <c r="I511" s="436"/>
      <c r="J511" s="436">
        <v>15</v>
      </c>
      <c r="K511" s="436">
        <v>25</v>
      </c>
      <c r="L511" s="437">
        <v>11</v>
      </c>
      <c r="M511" s="437">
        <v>25</v>
      </c>
      <c r="N511" s="437">
        <v>11</v>
      </c>
      <c r="O511" s="437">
        <v>11</v>
      </c>
      <c r="P511" s="437">
        <v>11</v>
      </c>
      <c r="Q511" s="437">
        <v>11</v>
      </c>
      <c r="R511" s="436"/>
      <c r="S511" s="436"/>
      <c r="T511" s="436"/>
      <c r="U511" s="436"/>
      <c r="V511" s="436"/>
      <c r="W511" s="436"/>
      <c r="X511" s="436"/>
      <c r="Y511" s="436">
        <f>IF(NFI_Expiration=1,IF($A511&lt;VLOOKUP(H$5,NFI,5,0),1,0)*Table_NFI[[#This Row],[Hygiene Kit]],Table_NFI[Hygiene Kit])</f>
        <v>0</v>
      </c>
      <c r="Z511" s="436">
        <f>IF(NFI_Expiration=1,IF($A511&lt;VLOOKUP(I$5,NFI,5,0),1,0)*Table_NFI[[#This Row],[NFI Core Kit]],Table_NFI[NFI Core Kit])</f>
        <v>0</v>
      </c>
      <c r="AA511" s="436">
        <f>IF(NFI_Expiration=1,IF($A511&lt;VLOOKUP(J$5,NFI,5,0),1,0)*Table_NFI[[#This Row],[Sanitary Kit]],Table_NFI[Sanitary Kit])</f>
        <v>0</v>
      </c>
      <c r="AB511" s="436">
        <f>IF(NFI_Expiration=1,IF($A511&lt;VLOOKUP(K$5,NFI,5,0),1,0)*Table_NFI[[#This Row],[Mosquito net]],Table_NFI[Mosquito net])</f>
        <v>0</v>
      </c>
      <c r="AC511" s="436">
        <f>IF(NFI_Expiration=1,IF($A511&lt;VLOOKUP(L$5,NFI,5,0),1,0)*Table_NFI[[#This Row],[Tarpaulin]],Table_NFI[[#This Row],[Tarpaulin]])</f>
        <v>0</v>
      </c>
      <c r="AD511" s="436">
        <f>IF(NFI_Expiration=1,IF($A511&lt;VLOOKUP(M$5,NFI,5,0),1,0)*Table_NFI[[#This Row],[Blanket]],Table_NFI[[#This Row],[Blanket]])</f>
        <v>0</v>
      </c>
      <c r="AE511" s="436">
        <f>IF(NFI_Expiration=1,IF($A511&lt;VLOOKUP(N$5,NFI,5,0),1,0)*Table_NFI[[#This Row],[Kitchen Set]],Table_NFI[Kitchen Set])</f>
        <v>0</v>
      </c>
      <c r="AF511" s="436">
        <f>IF(NFI_Expiration=1,IF($A511&lt;VLOOKUP(O$5,NFI,5,0),1,0)*Table_NFI[[#This Row],[Clothes Kit]],Table_NFI[Clothes Kit])</f>
        <v>0</v>
      </c>
      <c r="AG511" s="436">
        <f>IF(NFI_Expiration=1,IF($A511&lt;VLOOKUP(P$5,NFI,5,0),1,0)*Table_NFI[[#This Row],[Plastic Bucket]],Table_NFI[Plastic Bucket])</f>
        <v>0</v>
      </c>
      <c r="AH511" s="436">
        <f>IF(NFI_Expiration=1,IF($A511&lt;VLOOKUP(Q$5,NFI,5,0),1,0)*Table_NFI[[#This Row],[Plastic Mat]],Table_NFI[Plastic Mat])*IF(Table_NFI[[#This Row],[Distribution Date]]&gt;"2014-04-01",1,2.5)</f>
        <v>0</v>
      </c>
      <c r="AI511" s="436">
        <f>IF(NFI_Expiration=1,IF($A511&lt;VLOOKUP(R$5,NFI,5,0),1,0)*Table_NFI[[#This Row],[Winter Clothes Adult]],Table_NFI[Winter Clothes Adult])</f>
        <v>0</v>
      </c>
      <c r="AJ511" s="436">
        <f>IF(NFI_Expiration=1,IF($A511&lt;VLOOKUP(S$5,NFI,5,0),1,0)*Table_NFI[[#This Row],[Winter Clothes Children]],Table_NFI[Winter Clothes Children])</f>
        <v>0</v>
      </c>
      <c r="AK511" s="436">
        <f>IF(NFI_Expiration=1,IF($A511&lt;VLOOKUP(T$5,NFI,5,0),1,0)*Table_NFI[[#This Row],[Winter Items Other]],Table_NFI[Winter Items Other])</f>
        <v>0</v>
      </c>
      <c r="AL511" s="436">
        <f>IF(NFI_Expiration=1,IF($A511&lt;VLOOKUP(M$5,NFI,5,0),1,0)*Table_NFI[[#This Row],[Winter Blanket]],Table_NFI[[#This Row],[Winter Blanket]])</f>
        <v>0</v>
      </c>
      <c r="AM511" s="436">
        <f>IF(Table_NFI[[#This Row],[Winter Clothes Adult]]+Table_NFI[[#This Row],[Winter Clothes Children]]+Table_NFI[[#This Row],[Winter Items Other]]+Table_NFI[[#This Row],[Winter Blanket]]&gt;0,1,0)</f>
        <v>0</v>
      </c>
      <c r="AN511" s="439">
        <f>IF(NFI_Expiration=1,IF($A511&lt;VLOOKUP(V$5,NFI,5,0),1,0)*Table_NFI[[#This Row],[Jerry Can]],Table_NFI[Jerry Can])</f>
        <v>0</v>
      </c>
      <c r="AO511" s="771" t="str">
        <f>IFERROR(VLOOKUP(Table_NFI[[#This Row],[Camp Name]],CL,2,0),"")</f>
        <v>MMR001CMP016</v>
      </c>
      <c r="AP511" s="772">
        <f ca="1">IF(Table_NFI[[#This Row],[Pcode]]="","",IF(OFFSET(CampList[Opening Date],MATCH(Table_NFI[[#This Row],[Pcode]],CampList[CP_Pcode],0)-1,0,1,1)&gt;=NFI_Monitor_Date,1,0))</f>
        <v>0</v>
      </c>
      <c r="AQ511" s="781" t="str">
        <f>IFERROR(VLOOKUP(Table_NFI[[#This Row],[Camp Name]],CL,3,0),"")</f>
        <v>Open</v>
      </c>
      <c r="AR511" s="439" t="str">
        <f ca="1">IF(Table_NFI[[#This Row],[Pcode]]="","",OFFSET(CampList[Priority],MATCH(Table_NFI[[#This Row],[Pcode]],CampList[CP_Pcode],0)-1,0,1,1))</f>
        <v>P4</v>
      </c>
      <c r="AS511" s="438">
        <f>IFERROR(Table_NFI[[#This Row],[Kitchen Set]]/VLOOKUP(Table_NFI[[#This Row],[Camp Name]],CL,4,0),"")</f>
        <v>0.15277777777777779</v>
      </c>
      <c r="AT511" s="769" t="s">
        <v>1099</v>
      </c>
      <c r="AU511" s="773"/>
    </row>
    <row r="512" spans="1:47" s="774" customFormat="1" x14ac:dyDescent="0.25">
      <c r="A512" s="451">
        <f t="shared" si="7"/>
        <v>29.7</v>
      </c>
      <c r="B512" s="768">
        <v>41479</v>
      </c>
      <c r="C512" s="769" t="s">
        <v>454</v>
      </c>
      <c r="D512" s="769" t="s">
        <v>462</v>
      </c>
      <c r="E512" s="769" t="s">
        <v>380</v>
      </c>
      <c r="F512" s="435" t="s">
        <v>237</v>
      </c>
      <c r="G512" s="435" t="s">
        <v>240</v>
      </c>
      <c r="H512" s="436"/>
      <c r="I512" s="436"/>
      <c r="J512" s="436">
        <v>66</v>
      </c>
      <c r="K512" s="436">
        <v>98</v>
      </c>
      <c r="L512" s="437">
        <v>45</v>
      </c>
      <c r="M512" s="437">
        <v>98</v>
      </c>
      <c r="N512" s="437">
        <v>45</v>
      </c>
      <c r="O512" s="437">
        <v>45</v>
      </c>
      <c r="P512" s="439">
        <v>45</v>
      </c>
      <c r="Q512" s="439">
        <v>45</v>
      </c>
      <c r="R512" s="436"/>
      <c r="S512" s="436"/>
      <c r="T512" s="436"/>
      <c r="U512" s="436"/>
      <c r="V512" s="436"/>
      <c r="W512" s="436"/>
      <c r="X512" s="436"/>
      <c r="Y512" s="436">
        <f>IF(NFI_Expiration=1,IF($A512&lt;VLOOKUP(H$5,NFI,5,0),1,0)*Table_NFI[[#This Row],[Hygiene Kit]],Table_NFI[Hygiene Kit])</f>
        <v>0</v>
      </c>
      <c r="Z512" s="436">
        <f>IF(NFI_Expiration=1,IF($A512&lt;VLOOKUP(I$5,NFI,5,0),1,0)*Table_NFI[[#This Row],[NFI Core Kit]],Table_NFI[NFI Core Kit])</f>
        <v>0</v>
      </c>
      <c r="AA512" s="436">
        <f>IF(NFI_Expiration=1,IF($A512&lt;VLOOKUP(J$5,NFI,5,0),1,0)*Table_NFI[[#This Row],[Sanitary Kit]],Table_NFI[Sanitary Kit])</f>
        <v>0</v>
      </c>
      <c r="AB512" s="436">
        <f>IF(NFI_Expiration=1,IF($A512&lt;VLOOKUP(K$5,NFI,5,0),1,0)*Table_NFI[[#This Row],[Mosquito net]],Table_NFI[Mosquito net])</f>
        <v>0</v>
      </c>
      <c r="AC512" s="436">
        <f>IF(NFI_Expiration=1,IF($A512&lt;VLOOKUP(L$5,NFI,5,0),1,0)*Table_NFI[[#This Row],[Tarpaulin]],Table_NFI[[#This Row],[Tarpaulin]])</f>
        <v>0</v>
      </c>
      <c r="AD512" s="436">
        <f>IF(NFI_Expiration=1,IF($A512&lt;VLOOKUP(M$5,NFI,5,0),1,0)*Table_NFI[[#This Row],[Blanket]],Table_NFI[[#This Row],[Blanket]])</f>
        <v>0</v>
      </c>
      <c r="AE512" s="436">
        <f>IF(NFI_Expiration=1,IF($A512&lt;VLOOKUP(N$5,NFI,5,0),1,0)*Table_NFI[[#This Row],[Kitchen Set]],Table_NFI[Kitchen Set])</f>
        <v>0</v>
      </c>
      <c r="AF512" s="436">
        <f>IF(NFI_Expiration=1,IF($A512&lt;VLOOKUP(O$5,NFI,5,0),1,0)*Table_NFI[[#This Row],[Clothes Kit]],Table_NFI[Clothes Kit])</f>
        <v>0</v>
      </c>
      <c r="AG512" s="436">
        <f>IF(NFI_Expiration=1,IF($A512&lt;VLOOKUP(P$5,NFI,5,0),1,0)*Table_NFI[[#This Row],[Plastic Bucket]],Table_NFI[Plastic Bucket])</f>
        <v>0</v>
      </c>
      <c r="AH512" s="436">
        <f>IF(NFI_Expiration=1,IF($A512&lt;VLOOKUP(Q$5,NFI,5,0),1,0)*Table_NFI[[#This Row],[Plastic Mat]],Table_NFI[Plastic Mat])*IF(Table_NFI[[#This Row],[Distribution Date]]&gt;"2014-04-01",1,2.5)</f>
        <v>0</v>
      </c>
      <c r="AI512" s="436">
        <f>IF(NFI_Expiration=1,IF($A512&lt;VLOOKUP(R$5,NFI,5,0),1,0)*Table_NFI[[#This Row],[Winter Clothes Adult]],Table_NFI[Winter Clothes Adult])</f>
        <v>0</v>
      </c>
      <c r="AJ512" s="436">
        <f>IF(NFI_Expiration=1,IF($A512&lt;VLOOKUP(S$5,NFI,5,0),1,0)*Table_NFI[[#This Row],[Winter Clothes Children]],Table_NFI[Winter Clothes Children])</f>
        <v>0</v>
      </c>
      <c r="AK512" s="436">
        <f>IF(NFI_Expiration=1,IF($A512&lt;VLOOKUP(T$5,NFI,5,0),1,0)*Table_NFI[[#This Row],[Winter Items Other]],Table_NFI[Winter Items Other])</f>
        <v>0</v>
      </c>
      <c r="AL512" s="436">
        <f>IF(NFI_Expiration=1,IF($A512&lt;VLOOKUP(M$5,NFI,5,0),1,0)*Table_NFI[[#This Row],[Winter Blanket]],Table_NFI[[#This Row],[Winter Blanket]])</f>
        <v>0</v>
      </c>
      <c r="AM512" s="436">
        <f>IF(Table_NFI[[#This Row],[Winter Clothes Adult]]+Table_NFI[[#This Row],[Winter Clothes Children]]+Table_NFI[[#This Row],[Winter Items Other]]+Table_NFI[[#This Row],[Winter Blanket]]&gt;0,1,0)</f>
        <v>0</v>
      </c>
      <c r="AN512" s="439">
        <f>IF(NFI_Expiration=1,IF($A512&lt;VLOOKUP(V$5,NFI,5,0),1,0)*Table_NFI[[#This Row],[Jerry Can]],Table_NFI[Jerry Can])</f>
        <v>0</v>
      </c>
      <c r="AO512" s="771" t="str">
        <f>IFERROR(VLOOKUP(Table_NFI[[#This Row],[Camp Name]],CL,2,0),"")</f>
        <v>MMR001CMP015</v>
      </c>
      <c r="AP512" s="772">
        <f ca="1">IF(Table_NFI[[#This Row],[Pcode]]="","",IF(OFFSET(CampList[Opening Date],MATCH(Table_NFI[[#This Row],[Pcode]],CampList[CP_Pcode],0)-1,0,1,1)&gt;=NFI_Monitor_Date,1,0))</f>
        <v>0</v>
      </c>
      <c r="AQ512" s="781" t="str">
        <f>IFERROR(VLOOKUP(Table_NFI[[#This Row],[Camp Name]],CL,3,0),"")</f>
        <v>Open</v>
      </c>
      <c r="AR512" s="439" t="str">
        <f ca="1">IF(Table_NFI[[#This Row],[Pcode]]="","",OFFSET(CampList[Priority],MATCH(Table_NFI[[#This Row],[Pcode]],CampList[CP_Pcode],0)-1,0,1,1))</f>
        <v>P4</v>
      </c>
      <c r="AS512" s="438">
        <f>IFERROR(Table_NFI[[#This Row],[Kitchen Set]]/VLOOKUP(Table_NFI[[#This Row],[Camp Name]],CL,4,0),"")</f>
        <v>0.41666666666666669</v>
      </c>
      <c r="AT512" s="769" t="s">
        <v>1099</v>
      </c>
      <c r="AU512" s="773"/>
    </row>
    <row r="513" spans="1:47" s="774" customFormat="1" x14ac:dyDescent="0.25">
      <c r="A513" s="451">
        <f t="shared" si="7"/>
        <v>29.7</v>
      </c>
      <c r="B513" s="768">
        <v>41479</v>
      </c>
      <c r="C513" s="769" t="s">
        <v>454</v>
      </c>
      <c r="D513" s="770" t="s">
        <v>462</v>
      </c>
      <c r="E513" s="769" t="s">
        <v>380</v>
      </c>
      <c r="F513" s="435" t="s">
        <v>237</v>
      </c>
      <c r="G513" s="435" t="s">
        <v>285</v>
      </c>
      <c r="H513" s="436"/>
      <c r="I513" s="436"/>
      <c r="J513" s="436">
        <v>100</v>
      </c>
      <c r="K513" s="436">
        <v>158</v>
      </c>
      <c r="L513" s="437">
        <v>65</v>
      </c>
      <c r="M513" s="437">
        <v>158</v>
      </c>
      <c r="N513" s="437">
        <v>65</v>
      </c>
      <c r="O513" s="437">
        <v>65</v>
      </c>
      <c r="P513" s="437">
        <v>65</v>
      </c>
      <c r="Q513" s="437">
        <v>65</v>
      </c>
      <c r="R513" s="436"/>
      <c r="S513" s="436"/>
      <c r="T513" s="436"/>
      <c r="U513" s="436"/>
      <c r="V513" s="436"/>
      <c r="W513" s="436"/>
      <c r="X513" s="436"/>
      <c r="Y513" s="436">
        <f>IF(NFI_Expiration=1,IF($A513&lt;VLOOKUP(H$5,NFI,5,0),1,0)*Table_NFI[[#This Row],[Hygiene Kit]],Table_NFI[Hygiene Kit])</f>
        <v>0</v>
      </c>
      <c r="Z513" s="436">
        <f>IF(NFI_Expiration=1,IF($A513&lt;VLOOKUP(I$5,NFI,5,0),1,0)*Table_NFI[[#This Row],[NFI Core Kit]],Table_NFI[NFI Core Kit])</f>
        <v>0</v>
      </c>
      <c r="AA513" s="436">
        <f>IF(NFI_Expiration=1,IF($A513&lt;VLOOKUP(J$5,NFI,5,0),1,0)*Table_NFI[[#This Row],[Sanitary Kit]],Table_NFI[Sanitary Kit])</f>
        <v>0</v>
      </c>
      <c r="AB513" s="436">
        <f>IF(NFI_Expiration=1,IF($A513&lt;VLOOKUP(K$5,NFI,5,0),1,0)*Table_NFI[[#This Row],[Mosquito net]],Table_NFI[Mosquito net])</f>
        <v>0</v>
      </c>
      <c r="AC513" s="436">
        <f>IF(NFI_Expiration=1,IF($A513&lt;VLOOKUP(L$5,NFI,5,0),1,0)*Table_NFI[[#This Row],[Tarpaulin]],Table_NFI[[#This Row],[Tarpaulin]])</f>
        <v>0</v>
      </c>
      <c r="AD513" s="436">
        <f>IF(NFI_Expiration=1,IF($A513&lt;VLOOKUP(M$5,NFI,5,0),1,0)*Table_NFI[[#This Row],[Blanket]],Table_NFI[[#This Row],[Blanket]])</f>
        <v>0</v>
      </c>
      <c r="AE513" s="436">
        <f>IF(NFI_Expiration=1,IF($A513&lt;VLOOKUP(N$5,NFI,5,0),1,0)*Table_NFI[[#This Row],[Kitchen Set]],Table_NFI[Kitchen Set])</f>
        <v>0</v>
      </c>
      <c r="AF513" s="436">
        <f>IF(NFI_Expiration=1,IF($A513&lt;VLOOKUP(O$5,NFI,5,0),1,0)*Table_NFI[[#This Row],[Clothes Kit]],Table_NFI[Clothes Kit])</f>
        <v>0</v>
      </c>
      <c r="AG513" s="436">
        <f>IF(NFI_Expiration=1,IF($A513&lt;VLOOKUP(P$5,NFI,5,0),1,0)*Table_NFI[[#This Row],[Plastic Bucket]],Table_NFI[Plastic Bucket])</f>
        <v>0</v>
      </c>
      <c r="AH513" s="436">
        <f>IF(NFI_Expiration=1,IF($A513&lt;VLOOKUP(Q$5,NFI,5,0),1,0)*Table_NFI[[#This Row],[Plastic Mat]],Table_NFI[Plastic Mat])*IF(Table_NFI[[#This Row],[Distribution Date]]&gt;"2014-04-01",1,2.5)</f>
        <v>0</v>
      </c>
      <c r="AI513" s="436">
        <f>IF(NFI_Expiration=1,IF($A513&lt;VLOOKUP(R$5,NFI,5,0),1,0)*Table_NFI[[#This Row],[Winter Clothes Adult]],Table_NFI[Winter Clothes Adult])</f>
        <v>0</v>
      </c>
      <c r="AJ513" s="436">
        <f>IF(NFI_Expiration=1,IF($A513&lt;VLOOKUP(S$5,NFI,5,0),1,0)*Table_NFI[[#This Row],[Winter Clothes Children]],Table_NFI[Winter Clothes Children])</f>
        <v>0</v>
      </c>
      <c r="AK513" s="436">
        <f>IF(NFI_Expiration=1,IF($A513&lt;VLOOKUP(T$5,NFI,5,0),1,0)*Table_NFI[[#This Row],[Winter Items Other]],Table_NFI[Winter Items Other])</f>
        <v>0</v>
      </c>
      <c r="AL513" s="436">
        <f>IF(NFI_Expiration=1,IF($A513&lt;VLOOKUP(M$5,NFI,5,0),1,0)*Table_NFI[[#This Row],[Winter Blanket]],Table_NFI[[#This Row],[Winter Blanket]])</f>
        <v>0</v>
      </c>
      <c r="AM513" s="436">
        <f>IF(Table_NFI[[#This Row],[Winter Clothes Adult]]+Table_NFI[[#This Row],[Winter Clothes Children]]+Table_NFI[[#This Row],[Winter Items Other]]+Table_NFI[[#This Row],[Winter Blanket]]&gt;0,1,0)</f>
        <v>0</v>
      </c>
      <c r="AN513" s="439">
        <f>IF(NFI_Expiration=1,IF($A513&lt;VLOOKUP(V$5,NFI,5,0),1,0)*Table_NFI[[#This Row],[Jerry Can]],Table_NFI[Jerry Can])</f>
        <v>0</v>
      </c>
      <c r="AO513" s="771" t="str">
        <f>IFERROR(VLOOKUP(Table_NFI[[#This Row],[Camp Name]],CL,2,0),"")</f>
        <v>MMR001CMP014</v>
      </c>
      <c r="AP513" s="772">
        <f ca="1">IF(Table_NFI[[#This Row],[Pcode]]="","",IF(OFFSET(CampList[Opening Date],MATCH(Table_NFI[[#This Row],[Pcode]],CampList[CP_Pcode],0)-1,0,1,1)&gt;=NFI_Monitor_Date,1,0))</f>
        <v>0</v>
      </c>
      <c r="AQ513" s="781" t="str">
        <f>IFERROR(VLOOKUP(Table_NFI[[#This Row],[Camp Name]],CL,3,0),"")</f>
        <v>Open</v>
      </c>
      <c r="AR513" s="439" t="str">
        <f ca="1">IF(Table_NFI[[#This Row],[Pcode]]="","",OFFSET(CampList[Priority],MATCH(Table_NFI[[#This Row],[Pcode]],CampList[CP_Pcode],0)-1,0,1,1))</f>
        <v>P4</v>
      </c>
      <c r="AS513" s="438">
        <f>IFERROR(Table_NFI[[#This Row],[Kitchen Set]]/VLOOKUP(Table_NFI[[#This Row],[Camp Name]],CL,4,0),"")</f>
        <v>0.3987730061349693</v>
      </c>
      <c r="AT513" s="769" t="s">
        <v>1099</v>
      </c>
      <c r="AU513" s="773"/>
    </row>
    <row r="514" spans="1:47" s="774" customFormat="1" x14ac:dyDescent="0.25">
      <c r="A514" s="451">
        <f t="shared" si="7"/>
        <v>29.7</v>
      </c>
      <c r="B514" s="768">
        <v>41479</v>
      </c>
      <c r="C514" s="769" t="s">
        <v>454</v>
      </c>
      <c r="D514" s="770" t="s">
        <v>507</v>
      </c>
      <c r="E514" s="769" t="s">
        <v>380</v>
      </c>
      <c r="F514" s="435" t="s">
        <v>310</v>
      </c>
      <c r="G514" s="435" t="s">
        <v>328</v>
      </c>
      <c r="H514" s="436"/>
      <c r="I514" s="436"/>
      <c r="J514" s="436">
        <v>10</v>
      </c>
      <c r="K514" s="436">
        <v>14</v>
      </c>
      <c r="L514" s="437">
        <v>7</v>
      </c>
      <c r="M514" s="437">
        <v>14</v>
      </c>
      <c r="N514" s="437">
        <v>7</v>
      </c>
      <c r="O514" s="437">
        <v>7</v>
      </c>
      <c r="P514" s="437">
        <v>7</v>
      </c>
      <c r="Q514" s="437">
        <v>7</v>
      </c>
      <c r="R514" s="436"/>
      <c r="S514" s="436"/>
      <c r="T514" s="436"/>
      <c r="U514" s="436"/>
      <c r="V514" s="436"/>
      <c r="W514" s="436"/>
      <c r="X514" s="436"/>
      <c r="Y514" s="436">
        <f>IF(NFI_Expiration=1,IF($A514&lt;VLOOKUP(H$5,NFI,5,0),1,0)*Table_NFI[[#This Row],[Hygiene Kit]],Table_NFI[Hygiene Kit])</f>
        <v>0</v>
      </c>
      <c r="Z514" s="436">
        <f>IF(NFI_Expiration=1,IF($A514&lt;VLOOKUP(I$5,NFI,5,0),1,0)*Table_NFI[[#This Row],[NFI Core Kit]],Table_NFI[NFI Core Kit])</f>
        <v>0</v>
      </c>
      <c r="AA514" s="436">
        <f>IF(NFI_Expiration=1,IF($A514&lt;VLOOKUP(J$5,NFI,5,0),1,0)*Table_NFI[[#This Row],[Sanitary Kit]],Table_NFI[Sanitary Kit])</f>
        <v>0</v>
      </c>
      <c r="AB514" s="436">
        <f>IF(NFI_Expiration=1,IF($A514&lt;VLOOKUP(K$5,NFI,5,0),1,0)*Table_NFI[[#This Row],[Mosquito net]],Table_NFI[Mosquito net])</f>
        <v>0</v>
      </c>
      <c r="AC514" s="436">
        <f>IF(NFI_Expiration=1,IF($A514&lt;VLOOKUP(L$5,NFI,5,0),1,0)*Table_NFI[[#This Row],[Tarpaulin]],Table_NFI[[#This Row],[Tarpaulin]])</f>
        <v>0</v>
      </c>
      <c r="AD514" s="436">
        <f>IF(NFI_Expiration=1,IF($A514&lt;VLOOKUP(M$5,NFI,5,0),1,0)*Table_NFI[[#This Row],[Blanket]],Table_NFI[[#This Row],[Blanket]])</f>
        <v>0</v>
      </c>
      <c r="AE514" s="436">
        <f>IF(NFI_Expiration=1,IF($A514&lt;VLOOKUP(N$5,NFI,5,0),1,0)*Table_NFI[[#This Row],[Kitchen Set]],Table_NFI[Kitchen Set])</f>
        <v>0</v>
      </c>
      <c r="AF514" s="436">
        <f>IF(NFI_Expiration=1,IF($A514&lt;VLOOKUP(O$5,NFI,5,0),1,0)*Table_NFI[[#This Row],[Clothes Kit]],Table_NFI[Clothes Kit])</f>
        <v>0</v>
      </c>
      <c r="AG514" s="436">
        <f>IF(NFI_Expiration=1,IF($A514&lt;VLOOKUP(P$5,NFI,5,0),1,0)*Table_NFI[[#This Row],[Plastic Bucket]],Table_NFI[Plastic Bucket])</f>
        <v>0</v>
      </c>
      <c r="AH514" s="436">
        <f>IF(NFI_Expiration=1,IF($A514&lt;VLOOKUP(Q$5,NFI,5,0),1,0)*Table_NFI[[#This Row],[Plastic Mat]],Table_NFI[Plastic Mat])*IF(Table_NFI[[#This Row],[Distribution Date]]&gt;"2014-04-01",1,2.5)</f>
        <v>0</v>
      </c>
      <c r="AI514" s="436">
        <f>IF(NFI_Expiration=1,IF($A514&lt;VLOOKUP(R$5,NFI,5,0),1,0)*Table_NFI[[#This Row],[Winter Clothes Adult]],Table_NFI[Winter Clothes Adult])</f>
        <v>0</v>
      </c>
      <c r="AJ514" s="436">
        <f>IF(NFI_Expiration=1,IF($A514&lt;VLOOKUP(S$5,NFI,5,0),1,0)*Table_NFI[[#This Row],[Winter Clothes Children]],Table_NFI[Winter Clothes Children])</f>
        <v>0</v>
      </c>
      <c r="AK514" s="436">
        <f>IF(NFI_Expiration=1,IF($A514&lt;VLOOKUP(T$5,NFI,5,0),1,0)*Table_NFI[[#This Row],[Winter Items Other]],Table_NFI[Winter Items Other])</f>
        <v>0</v>
      </c>
      <c r="AL514" s="436">
        <f>IF(NFI_Expiration=1,IF($A514&lt;VLOOKUP(M$5,NFI,5,0),1,0)*Table_NFI[[#This Row],[Winter Blanket]],Table_NFI[[#This Row],[Winter Blanket]])</f>
        <v>0</v>
      </c>
      <c r="AM514" s="436">
        <f>IF(Table_NFI[[#This Row],[Winter Clothes Adult]]+Table_NFI[[#This Row],[Winter Clothes Children]]+Table_NFI[[#This Row],[Winter Items Other]]+Table_NFI[[#This Row],[Winter Blanket]]&gt;0,1,0)</f>
        <v>0</v>
      </c>
      <c r="AN514" s="439">
        <f>IF(NFI_Expiration=1,IF($A514&lt;VLOOKUP(V$5,NFI,5,0),1,0)*Table_NFI[[#This Row],[Jerry Can]],Table_NFI[Jerry Can])</f>
        <v>0</v>
      </c>
      <c r="AO514" s="771" t="str">
        <f>IFERROR(VLOOKUP(Table_NFI[[#This Row],[Camp Name]],CL,2,0),"")</f>
        <v>MMR001CMP031</v>
      </c>
      <c r="AP514" s="772">
        <f ca="1">IF(Table_NFI[[#This Row],[Pcode]]="","",IF(OFFSET(CampList[Opening Date],MATCH(Table_NFI[[#This Row],[Pcode]],CampList[CP_Pcode],0)-1,0,1,1)&gt;=NFI_Monitor_Date,1,0))</f>
        <v>0</v>
      </c>
      <c r="AQ514" s="781" t="str">
        <f>IFERROR(VLOOKUP(Table_NFI[[#This Row],[Camp Name]],CL,3,0),"")</f>
        <v>Open</v>
      </c>
      <c r="AR514" s="439" t="str">
        <f ca="1">IF(Table_NFI[[#This Row],[Pcode]]="","",OFFSET(CampList[Priority],MATCH(Table_NFI[[#This Row],[Pcode]],CampList[CP_Pcode],0)-1,0,1,1))</f>
        <v>P4</v>
      </c>
      <c r="AS514" s="438">
        <f>IFERROR(Table_NFI[[#This Row],[Kitchen Set]]/VLOOKUP(Table_NFI[[#This Row],[Camp Name]],CL,4,0),"")</f>
        <v>5.185185185185185E-2</v>
      </c>
      <c r="AT514" s="769" t="s">
        <v>1099</v>
      </c>
      <c r="AU514" s="773"/>
    </row>
    <row r="515" spans="1:47" s="774" customFormat="1" x14ac:dyDescent="0.25">
      <c r="A515" s="451">
        <f t="shared" si="7"/>
        <v>29.7</v>
      </c>
      <c r="B515" s="768">
        <v>41479</v>
      </c>
      <c r="C515" s="769" t="s">
        <v>454</v>
      </c>
      <c r="D515" s="769" t="s">
        <v>508</v>
      </c>
      <c r="E515" s="769" t="s">
        <v>380</v>
      </c>
      <c r="F515" s="769" t="s">
        <v>310</v>
      </c>
      <c r="G515" s="435" t="s">
        <v>330</v>
      </c>
      <c r="H515" s="436"/>
      <c r="I515" s="436"/>
      <c r="J515" s="436">
        <v>40</v>
      </c>
      <c r="K515" s="436">
        <v>49</v>
      </c>
      <c r="L515" s="437">
        <v>23</v>
      </c>
      <c r="M515" s="437">
        <v>49</v>
      </c>
      <c r="N515" s="437">
        <v>23</v>
      </c>
      <c r="O515" s="437">
        <v>23</v>
      </c>
      <c r="P515" s="437">
        <v>23</v>
      </c>
      <c r="Q515" s="437">
        <v>23</v>
      </c>
      <c r="R515" s="436"/>
      <c r="S515" s="436"/>
      <c r="T515" s="436"/>
      <c r="U515" s="436"/>
      <c r="V515" s="436"/>
      <c r="W515" s="436"/>
      <c r="X515" s="436"/>
      <c r="Y515" s="436">
        <f>IF(NFI_Expiration=1,IF($A515&lt;VLOOKUP(H$5,NFI,5,0),1,0)*Table_NFI[[#This Row],[Hygiene Kit]],Table_NFI[Hygiene Kit])</f>
        <v>0</v>
      </c>
      <c r="Z515" s="436">
        <f>IF(NFI_Expiration=1,IF($A515&lt;VLOOKUP(I$5,NFI,5,0),1,0)*Table_NFI[[#This Row],[NFI Core Kit]],Table_NFI[NFI Core Kit])</f>
        <v>0</v>
      </c>
      <c r="AA515" s="436">
        <f>IF(NFI_Expiration=1,IF($A515&lt;VLOOKUP(J$5,NFI,5,0),1,0)*Table_NFI[[#This Row],[Sanitary Kit]],Table_NFI[Sanitary Kit])</f>
        <v>0</v>
      </c>
      <c r="AB515" s="436">
        <f>IF(NFI_Expiration=1,IF($A515&lt;VLOOKUP(K$5,NFI,5,0),1,0)*Table_NFI[[#This Row],[Mosquito net]],Table_NFI[Mosquito net])</f>
        <v>0</v>
      </c>
      <c r="AC515" s="436">
        <f>IF(NFI_Expiration=1,IF($A515&lt;VLOOKUP(L$5,NFI,5,0),1,0)*Table_NFI[[#This Row],[Tarpaulin]],Table_NFI[[#This Row],[Tarpaulin]])</f>
        <v>0</v>
      </c>
      <c r="AD515" s="436">
        <f>IF(NFI_Expiration=1,IF($A515&lt;VLOOKUP(M$5,NFI,5,0),1,0)*Table_NFI[[#This Row],[Blanket]],Table_NFI[[#This Row],[Blanket]])</f>
        <v>0</v>
      </c>
      <c r="AE515" s="436">
        <f>IF(NFI_Expiration=1,IF($A515&lt;VLOOKUP(N$5,NFI,5,0),1,0)*Table_NFI[[#This Row],[Kitchen Set]],Table_NFI[Kitchen Set])</f>
        <v>0</v>
      </c>
      <c r="AF515" s="436">
        <f>IF(NFI_Expiration=1,IF($A515&lt;VLOOKUP(O$5,NFI,5,0),1,0)*Table_NFI[[#This Row],[Clothes Kit]],Table_NFI[Clothes Kit])</f>
        <v>0</v>
      </c>
      <c r="AG515" s="436">
        <f>IF(NFI_Expiration=1,IF($A515&lt;VLOOKUP(P$5,NFI,5,0),1,0)*Table_NFI[[#This Row],[Plastic Bucket]],Table_NFI[Plastic Bucket])</f>
        <v>0</v>
      </c>
      <c r="AH515" s="436">
        <f>IF(NFI_Expiration=1,IF($A515&lt;VLOOKUP(Q$5,NFI,5,0),1,0)*Table_NFI[[#This Row],[Plastic Mat]],Table_NFI[Plastic Mat])*IF(Table_NFI[[#This Row],[Distribution Date]]&gt;"2014-04-01",1,2.5)</f>
        <v>0</v>
      </c>
      <c r="AI515" s="436">
        <f>IF(NFI_Expiration=1,IF($A515&lt;VLOOKUP(R$5,NFI,5,0),1,0)*Table_NFI[[#This Row],[Winter Clothes Adult]],Table_NFI[Winter Clothes Adult])</f>
        <v>0</v>
      </c>
      <c r="AJ515" s="436">
        <f>IF(NFI_Expiration=1,IF($A515&lt;VLOOKUP(S$5,NFI,5,0),1,0)*Table_NFI[[#This Row],[Winter Clothes Children]],Table_NFI[Winter Clothes Children])</f>
        <v>0</v>
      </c>
      <c r="AK515" s="436">
        <f>IF(NFI_Expiration=1,IF($A515&lt;VLOOKUP(T$5,NFI,5,0),1,0)*Table_NFI[[#This Row],[Winter Items Other]],Table_NFI[Winter Items Other])</f>
        <v>0</v>
      </c>
      <c r="AL515" s="436">
        <f>IF(NFI_Expiration=1,IF($A515&lt;VLOOKUP(M$5,NFI,5,0),1,0)*Table_NFI[[#This Row],[Winter Blanket]],Table_NFI[[#This Row],[Winter Blanket]])</f>
        <v>0</v>
      </c>
      <c r="AM515" s="436">
        <f>IF(Table_NFI[[#This Row],[Winter Clothes Adult]]+Table_NFI[[#This Row],[Winter Clothes Children]]+Table_NFI[[#This Row],[Winter Items Other]]+Table_NFI[[#This Row],[Winter Blanket]]&gt;0,1,0)</f>
        <v>0</v>
      </c>
      <c r="AN515" s="439">
        <f>IF(NFI_Expiration=1,IF($A515&lt;VLOOKUP(V$5,NFI,5,0),1,0)*Table_NFI[[#This Row],[Jerry Can]],Table_NFI[Jerry Can])</f>
        <v>0</v>
      </c>
      <c r="AO515" s="771" t="str">
        <f>IFERROR(VLOOKUP(Table_NFI[[#This Row],[Camp Name]],CL,2,0),"")</f>
        <v>MMR001CMP029</v>
      </c>
      <c r="AP515" s="772">
        <f ca="1">IF(Table_NFI[[#This Row],[Pcode]]="","",IF(OFFSET(CampList[Opening Date],MATCH(Table_NFI[[#This Row],[Pcode]],CampList[CP_Pcode],0)-1,0,1,1)&gt;=NFI_Monitor_Date,1,0))</f>
        <v>0</v>
      </c>
      <c r="AQ515" s="781" t="str">
        <f>IFERROR(VLOOKUP(Table_NFI[[#This Row],[Camp Name]],CL,3,0),"")</f>
        <v>Open</v>
      </c>
      <c r="AR515" s="439" t="str">
        <f ca="1">IF(Table_NFI[[#This Row],[Pcode]]="","",OFFSET(CampList[Priority],MATCH(Table_NFI[[#This Row],[Pcode]],CampList[CP_Pcode],0)-1,0,1,1))</f>
        <v>P4</v>
      </c>
      <c r="AS515" s="438">
        <f>IFERROR(Table_NFI[[#This Row],[Kitchen Set]]/VLOOKUP(Table_NFI[[#This Row],[Camp Name]],CL,4,0),"")</f>
        <v>0.1013215859030837</v>
      </c>
      <c r="AT515" s="769" t="s">
        <v>1099</v>
      </c>
      <c r="AU515" s="773"/>
    </row>
    <row r="516" spans="1:47" s="774" customFormat="1" x14ac:dyDescent="0.25">
      <c r="A516" s="451">
        <f t="shared" si="7"/>
        <v>29.7</v>
      </c>
      <c r="B516" s="768">
        <v>41479</v>
      </c>
      <c r="C516" s="769" t="s">
        <v>454</v>
      </c>
      <c r="D516" s="769" t="s">
        <v>508</v>
      </c>
      <c r="E516" s="769" t="s">
        <v>380</v>
      </c>
      <c r="F516" s="435" t="s">
        <v>237</v>
      </c>
      <c r="G516" s="435" t="s">
        <v>271</v>
      </c>
      <c r="H516" s="436"/>
      <c r="I516" s="436"/>
      <c r="J516" s="436">
        <v>21</v>
      </c>
      <c r="K516" s="436">
        <v>30</v>
      </c>
      <c r="L516" s="439">
        <v>15</v>
      </c>
      <c r="M516" s="439">
        <v>30</v>
      </c>
      <c r="N516" s="439">
        <v>15</v>
      </c>
      <c r="O516" s="439">
        <v>15</v>
      </c>
      <c r="P516" s="439">
        <v>15</v>
      </c>
      <c r="Q516" s="439">
        <v>15</v>
      </c>
      <c r="R516" s="436"/>
      <c r="S516" s="436"/>
      <c r="T516" s="436"/>
      <c r="U516" s="436"/>
      <c r="V516" s="436"/>
      <c r="W516" s="436"/>
      <c r="X516" s="436"/>
      <c r="Y516" s="436">
        <f>IF(NFI_Expiration=1,IF($A516&lt;VLOOKUP(H$5,NFI,5,0),1,0)*Table_NFI[[#This Row],[Hygiene Kit]],Table_NFI[Hygiene Kit])</f>
        <v>0</v>
      </c>
      <c r="Z516" s="436">
        <f>IF(NFI_Expiration=1,IF($A516&lt;VLOOKUP(I$5,NFI,5,0),1,0)*Table_NFI[[#This Row],[NFI Core Kit]],Table_NFI[NFI Core Kit])</f>
        <v>0</v>
      </c>
      <c r="AA516" s="436">
        <f>IF(NFI_Expiration=1,IF($A516&lt;VLOOKUP(J$5,NFI,5,0),1,0)*Table_NFI[[#This Row],[Sanitary Kit]],Table_NFI[Sanitary Kit])</f>
        <v>0</v>
      </c>
      <c r="AB516" s="436">
        <f>IF(NFI_Expiration=1,IF($A516&lt;VLOOKUP(K$5,NFI,5,0),1,0)*Table_NFI[[#This Row],[Mosquito net]],Table_NFI[Mosquito net])</f>
        <v>0</v>
      </c>
      <c r="AC516" s="436">
        <f>IF(NFI_Expiration=1,IF($A516&lt;VLOOKUP(L$5,NFI,5,0),1,0)*Table_NFI[[#This Row],[Tarpaulin]],Table_NFI[[#This Row],[Tarpaulin]])</f>
        <v>0</v>
      </c>
      <c r="AD516" s="436">
        <f>IF(NFI_Expiration=1,IF($A516&lt;VLOOKUP(M$5,NFI,5,0),1,0)*Table_NFI[[#This Row],[Blanket]],Table_NFI[[#This Row],[Blanket]])</f>
        <v>0</v>
      </c>
      <c r="AE516" s="436">
        <f>IF(NFI_Expiration=1,IF($A516&lt;VLOOKUP(N$5,NFI,5,0),1,0)*Table_NFI[[#This Row],[Kitchen Set]],Table_NFI[Kitchen Set])</f>
        <v>0</v>
      </c>
      <c r="AF516" s="436">
        <f>IF(NFI_Expiration=1,IF($A516&lt;VLOOKUP(O$5,NFI,5,0),1,0)*Table_NFI[[#This Row],[Clothes Kit]],Table_NFI[Clothes Kit])</f>
        <v>0</v>
      </c>
      <c r="AG516" s="436">
        <f>IF(NFI_Expiration=1,IF($A516&lt;VLOOKUP(P$5,NFI,5,0),1,0)*Table_NFI[[#This Row],[Plastic Bucket]],Table_NFI[Plastic Bucket])</f>
        <v>0</v>
      </c>
      <c r="AH516" s="436">
        <f>IF(NFI_Expiration=1,IF($A516&lt;VLOOKUP(Q$5,NFI,5,0),1,0)*Table_NFI[[#This Row],[Plastic Mat]],Table_NFI[Plastic Mat])*IF(Table_NFI[[#This Row],[Distribution Date]]&gt;"2014-04-01",1,2.5)</f>
        <v>0</v>
      </c>
      <c r="AI516" s="436">
        <f>IF(NFI_Expiration=1,IF($A516&lt;VLOOKUP(R$5,NFI,5,0),1,0)*Table_NFI[[#This Row],[Winter Clothes Adult]],Table_NFI[Winter Clothes Adult])</f>
        <v>0</v>
      </c>
      <c r="AJ516" s="436">
        <f>IF(NFI_Expiration=1,IF($A516&lt;VLOOKUP(S$5,NFI,5,0),1,0)*Table_NFI[[#This Row],[Winter Clothes Children]],Table_NFI[Winter Clothes Children])</f>
        <v>0</v>
      </c>
      <c r="AK516" s="436">
        <f>IF(NFI_Expiration=1,IF($A516&lt;VLOOKUP(T$5,NFI,5,0),1,0)*Table_NFI[[#This Row],[Winter Items Other]],Table_NFI[Winter Items Other])</f>
        <v>0</v>
      </c>
      <c r="AL516" s="436">
        <f>IF(NFI_Expiration=1,IF($A516&lt;VLOOKUP(M$5,NFI,5,0),1,0)*Table_NFI[[#This Row],[Winter Blanket]],Table_NFI[[#This Row],[Winter Blanket]])</f>
        <v>0</v>
      </c>
      <c r="AM516" s="436">
        <f>IF(Table_NFI[[#This Row],[Winter Clothes Adult]]+Table_NFI[[#This Row],[Winter Clothes Children]]+Table_NFI[[#This Row],[Winter Items Other]]+Table_NFI[[#This Row],[Winter Blanket]]&gt;0,1,0)</f>
        <v>0</v>
      </c>
      <c r="AN516" s="439">
        <f>IF(NFI_Expiration=1,IF($A516&lt;VLOOKUP(V$5,NFI,5,0),1,0)*Table_NFI[[#This Row],[Jerry Can]],Table_NFI[Jerry Can])</f>
        <v>0</v>
      </c>
      <c r="AO516" s="771" t="str">
        <f>IFERROR(VLOOKUP(Table_NFI[[#This Row],[Camp Name]],CL,2,0),"")</f>
        <v>MMR001CMP024</v>
      </c>
      <c r="AP516" s="772">
        <f ca="1">IF(Table_NFI[[#This Row],[Pcode]]="","",IF(OFFSET(CampList[Opening Date],MATCH(Table_NFI[[#This Row],[Pcode]],CampList[CP_Pcode],0)-1,0,1,1)&gt;=NFI_Monitor_Date,1,0))</f>
        <v>0</v>
      </c>
      <c r="AQ516" s="781" t="str">
        <f>IFERROR(VLOOKUP(Table_NFI[[#This Row],[Camp Name]],CL,3,0),"")</f>
        <v>Open</v>
      </c>
      <c r="AR516" s="439" t="str">
        <f ca="1">IF(Table_NFI[[#This Row],[Pcode]]="","",OFFSET(CampList[Priority],MATCH(Table_NFI[[#This Row],[Pcode]],CampList[CP_Pcode],0)-1,0,1,1))</f>
        <v>P4</v>
      </c>
      <c r="AS516" s="438">
        <f>IFERROR(Table_NFI[[#This Row],[Kitchen Set]]/VLOOKUP(Table_NFI[[#This Row],[Camp Name]],CL,4,0),"")</f>
        <v>0.21739130434782608</v>
      </c>
      <c r="AT516" s="769" t="s">
        <v>1099</v>
      </c>
      <c r="AU516" s="773"/>
    </row>
    <row r="517" spans="1:47" s="774" customFormat="1" x14ac:dyDescent="0.25">
      <c r="A517" s="451">
        <f t="shared" si="7"/>
        <v>29.7</v>
      </c>
      <c r="B517" s="768">
        <v>41479</v>
      </c>
      <c r="C517" s="769" t="s">
        <v>454</v>
      </c>
      <c r="D517" s="769" t="s">
        <v>508</v>
      </c>
      <c r="E517" s="769" t="s">
        <v>380</v>
      </c>
      <c r="F517" s="769" t="s">
        <v>529</v>
      </c>
      <c r="G517" s="435" t="s">
        <v>108</v>
      </c>
      <c r="H517" s="436"/>
      <c r="I517" s="436"/>
      <c r="J517" s="436">
        <v>15</v>
      </c>
      <c r="K517" s="436">
        <v>25</v>
      </c>
      <c r="L517" s="437">
        <v>10</v>
      </c>
      <c r="M517" s="437">
        <v>25</v>
      </c>
      <c r="N517" s="437">
        <v>10</v>
      </c>
      <c r="O517" s="437">
        <v>10</v>
      </c>
      <c r="P517" s="437">
        <v>10</v>
      </c>
      <c r="Q517" s="437">
        <v>10</v>
      </c>
      <c r="R517" s="436"/>
      <c r="S517" s="436"/>
      <c r="T517" s="436"/>
      <c r="U517" s="436"/>
      <c r="V517" s="436"/>
      <c r="W517" s="436"/>
      <c r="X517" s="436"/>
      <c r="Y517" s="436">
        <f>IF(NFI_Expiration=1,IF($A517&lt;VLOOKUP(H$5,NFI,5,0),1,0)*Table_NFI[[#This Row],[Hygiene Kit]],Table_NFI[Hygiene Kit])</f>
        <v>0</v>
      </c>
      <c r="Z517" s="436">
        <f>IF(NFI_Expiration=1,IF($A517&lt;VLOOKUP(I$5,NFI,5,0),1,0)*Table_NFI[[#This Row],[NFI Core Kit]],Table_NFI[NFI Core Kit])</f>
        <v>0</v>
      </c>
      <c r="AA517" s="436">
        <f>IF(NFI_Expiration=1,IF($A517&lt;VLOOKUP(J$5,NFI,5,0),1,0)*Table_NFI[[#This Row],[Sanitary Kit]],Table_NFI[Sanitary Kit])</f>
        <v>0</v>
      </c>
      <c r="AB517" s="436">
        <f>IF(NFI_Expiration=1,IF($A517&lt;VLOOKUP(K$5,NFI,5,0),1,0)*Table_NFI[[#This Row],[Mosquito net]],Table_NFI[Mosquito net])</f>
        <v>0</v>
      </c>
      <c r="AC517" s="436">
        <f>IF(NFI_Expiration=1,IF($A517&lt;VLOOKUP(L$5,NFI,5,0),1,0)*Table_NFI[[#This Row],[Tarpaulin]],Table_NFI[[#This Row],[Tarpaulin]])</f>
        <v>0</v>
      </c>
      <c r="AD517" s="436">
        <f>IF(NFI_Expiration=1,IF($A517&lt;VLOOKUP(M$5,NFI,5,0),1,0)*Table_NFI[[#This Row],[Blanket]],Table_NFI[[#This Row],[Blanket]])</f>
        <v>0</v>
      </c>
      <c r="AE517" s="436">
        <f>IF(NFI_Expiration=1,IF($A517&lt;VLOOKUP(N$5,NFI,5,0),1,0)*Table_NFI[[#This Row],[Kitchen Set]],Table_NFI[Kitchen Set])</f>
        <v>0</v>
      </c>
      <c r="AF517" s="436">
        <f>IF(NFI_Expiration=1,IF($A517&lt;VLOOKUP(O$5,NFI,5,0),1,0)*Table_NFI[[#This Row],[Clothes Kit]],Table_NFI[Clothes Kit])</f>
        <v>0</v>
      </c>
      <c r="AG517" s="436">
        <f>IF(NFI_Expiration=1,IF($A517&lt;VLOOKUP(P$5,NFI,5,0),1,0)*Table_NFI[[#This Row],[Plastic Bucket]],Table_NFI[Plastic Bucket])</f>
        <v>0</v>
      </c>
      <c r="AH517" s="436">
        <f>IF(NFI_Expiration=1,IF($A517&lt;VLOOKUP(Q$5,NFI,5,0),1,0)*Table_NFI[[#This Row],[Plastic Mat]],Table_NFI[Plastic Mat])*IF(Table_NFI[[#This Row],[Distribution Date]]&gt;"2014-04-01",1,2.5)</f>
        <v>0</v>
      </c>
      <c r="AI517" s="436">
        <f>IF(NFI_Expiration=1,IF($A517&lt;VLOOKUP(R$5,NFI,5,0),1,0)*Table_NFI[[#This Row],[Winter Clothes Adult]],Table_NFI[Winter Clothes Adult])</f>
        <v>0</v>
      </c>
      <c r="AJ517" s="436">
        <f>IF(NFI_Expiration=1,IF($A517&lt;VLOOKUP(S$5,NFI,5,0),1,0)*Table_NFI[[#This Row],[Winter Clothes Children]],Table_NFI[Winter Clothes Children])</f>
        <v>0</v>
      </c>
      <c r="AK517" s="436">
        <f>IF(NFI_Expiration=1,IF($A517&lt;VLOOKUP(T$5,NFI,5,0),1,0)*Table_NFI[[#This Row],[Winter Items Other]],Table_NFI[Winter Items Other])</f>
        <v>0</v>
      </c>
      <c r="AL517" s="436">
        <f>IF(NFI_Expiration=1,IF($A517&lt;VLOOKUP(M$5,NFI,5,0),1,0)*Table_NFI[[#This Row],[Winter Blanket]],Table_NFI[[#This Row],[Winter Blanket]])</f>
        <v>0</v>
      </c>
      <c r="AM517" s="436">
        <f>IF(Table_NFI[[#This Row],[Winter Clothes Adult]]+Table_NFI[[#This Row],[Winter Clothes Children]]+Table_NFI[[#This Row],[Winter Items Other]]+Table_NFI[[#This Row],[Winter Blanket]]&gt;0,1,0)</f>
        <v>0</v>
      </c>
      <c r="AN517" s="439">
        <f>IF(NFI_Expiration=1,IF($A517&lt;VLOOKUP(V$5,NFI,5,0),1,0)*Table_NFI[[#This Row],[Jerry Can]],Table_NFI[Jerry Can])</f>
        <v>0</v>
      </c>
      <c r="AO517" s="771" t="str">
        <f>IFERROR(VLOOKUP(Table_NFI[[#This Row],[Camp Name]],CL,2,0),"")</f>
        <v>MMR001CMP103</v>
      </c>
      <c r="AP517" s="772">
        <f ca="1">IF(Table_NFI[[#This Row],[Pcode]]="","",IF(OFFSET(CampList[Opening Date],MATCH(Table_NFI[[#This Row],[Pcode]],CampList[CP_Pcode],0)-1,0,1,1)&gt;=NFI_Monitor_Date,1,0))</f>
        <v>0</v>
      </c>
      <c r="AQ517" s="781" t="str">
        <f>IFERROR(VLOOKUP(Table_NFI[[#This Row],[Camp Name]],CL,3,0),"")</f>
        <v>Open</v>
      </c>
      <c r="AR517" s="439" t="str">
        <f ca="1">IF(Table_NFI[[#This Row],[Pcode]]="","",OFFSET(CampList[Priority],MATCH(Table_NFI[[#This Row],[Pcode]],CampList[CP_Pcode],0)-1,0,1,1))</f>
        <v>P4</v>
      </c>
      <c r="AS517" s="438">
        <f>IFERROR(Table_NFI[[#This Row],[Kitchen Set]]/VLOOKUP(Table_NFI[[#This Row],[Camp Name]],CL,4,0),"")</f>
        <v>0.18518518518518517</v>
      </c>
      <c r="AT517" s="769" t="s">
        <v>1099</v>
      </c>
      <c r="AU517" s="773"/>
    </row>
    <row r="518" spans="1:47" s="774" customFormat="1" x14ac:dyDescent="0.25">
      <c r="A518" s="451">
        <f t="shared" ref="A518:A581" si="8">IF(ISBLANK(B518),"",(Report_Date-B518)/30)</f>
        <v>29.7</v>
      </c>
      <c r="B518" s="768">
        <v>41479</v>
      </c>
      <c r="C518" s="769" t="s">
        <v>454</v>
      </c>
      <c r="D518" s="769" t="s">
        <v>508</v>
      </c>
      <c r="E518" s="769" t="s">
        <v>380</v>
      </c>
      <c r="F518" s="769" t="s">
        <v>237</v>
      </c>
      <c r="G518" s="435" t="s">
        <v>273</v>
      </c>
      <c r="H518" s="436"/>
      <c r="I518" s="436"/>
      <c r="J518" s="436">
        <v>31</v>
      </c>
      <c r="K518" s="436">
        <v>41</v>
      </c>
      <c r="L518" s="437">
        <v>17</v>
      </c>
      <c r="M518" s="437">
        <v>41</v>
      </c>
      <c r="N518" s="437">
        <v>17</v>
      </c>
      <c r="O518" s="437">
        <v>17</v>
      </c>
      <c r="P518" s="437">
        <v>17</v>
      </c>
      <c r="Q518" s="437">
        <v>17</v>
      </c>
      <c r="R518" s="436"/>
      <c r="S518" s="436"/>
      <c r="T518" s="436"/>
      <c r="U518" s="436"/>
      <c r="V518" s="436"/>
      <c r="W518" s="436"/>
      <c r="X518" s="436"/>
      <c r="Y518" s="436">
        <f>IF(NFI_Expiration=1,IF($A518&lt;VLOOKUP(H$5,NFI,5,0),1,0)*Table_NFI[[#This Row],[Hygiene Kit]],Table_NFI[Hygiene Kit])</f>
        <v>0</v>
      </c>
      <c r="Z518" s="436">
        <f>IF(NFI_Expiration=1,IF($A518&lt;VLOOKUP(I$5,NFI,5,0),1,0)*Table_NFI[[#This Row],[NFI Core Kit]],Table_NFI[NFI Core Kit])</f>
        <v>0</v>
      </c>
      <c r="AA518" s="436">
        <f>IF(NFI_Expiration=1,IF($A518&lt;VLOOKUP(J$5,NFI,5,0),1,0)*Table_NFI[[#This Row],[Sanitary Kit]],Table_NFI[Sanitary Kit])</f>
        <v>0</v>
      </c>
      <c r="AB518" s="436">
        <f>IF(NFI_Expiration=1,IF($A518&lt;VLOOKUP(K$5,NFI,5,0),1,0)*Table_NFI[[#This Row],[Mosquito net]],Table_NFI[Mosquito net])</f>
        <v>0</v>
      </c>
      <c r="AC518" s="436">
        <f>IF(NFI_Expiration=1,IF($A518&lt;VLOOKUP(L$5,NFI,5,0),1,0)*Table_NFI[[#This Row],[Tarpaulin]],Table_NFI[[#This Row],[Tarpaulin]])</f>
        <v>0</v>
      </c>
      <c r="AD518" s="436">
        <f>IF(NFI_Expiration=1,IF($A518&lt;VLOOKUP(M$5,NFI,5,0),1,0)*Table_NFI[[#This Row],[Blanket]],Table_NFI[[#This Row],[Blanket]])</f>
        <v>0</v>
      </c>
      <c r="AE518" s="436">
        <f>IF(NFI_Expiration=1,IF($A518&lt;VLOOKUP(N$5,NFI,5,0),1,0)*Table_NFI[[#This Row],[Kitchen Set]],Table_NFI[Kitchen Set])</f>
        <v>0</v>
      </c>
      <c r="AF518" s="436">
        <f>IF(NFI_Expiration=1,IF($A518&lt;VLOOKUP(O$5,NFI,5,0),1,0)*Table_NFI[[#This Row],[Clothes Kit]],Table_NFI[Clothes Kit])</f>
        <v>0</v>
      </c>
      <c r="AG518" s="436">
        <f>IF(NFI_Expiration=1,IF($A518&lt;VLOOKUP(P$5,NFI,5,0),1,0)*Table_NFI[[#This Row],[Plastic Bucket]],Table_NFI[Plastic Bucket])</f>
        <v>0</v>
      </c>
      <c r="AH518" s="436">
        <f>IF(NFI_Expiration=1,IF($A518&lt;VLOOKUP(Q$5,NFI,5,0),1,0)*Table_NFI[[#This Row],[Plastic Mat]],Table_NFI[Plastic Mat])*IF(Table_NFI[[#This Row],[Distribution Date]]&gt;"2014-04-01",1,2.5)</f>
        <v>0</v>
      </c>
      <c r="AI518" s="436">
        <f>IF(NFI_Expiration=1,IF($A518&lt;VLOOKUP(R$5,NFI,5,0),1,0)*Table_NFI[[#This Row],[Winter Clothes Adult]],Table_NFI[Winter Clothes Adult])</f>
        <v>0</v>
      </c>
      <c r="AJ518" s="436">
        <f>IF(NFI_Expiration=1,IF($A518&lt;VLOOKUP(S$5,NFI,5,0),1,0)*Table_NFI[[#This Row],[Winter Clothes Children]],Table_NFI[Winter Clothes Children])</f>
        <v>0</v>
      </c>
      <c r="AK518" s="436">
        <f>IF(NFI_Expiration=1,IF($A518&lt;VLOOKUP(T$5,NFI,5,0),1,0)*Table_NFI[[#This Row],[Winter Items Other]],Table_NFI[Winter Items Other])</f>
        <v>0</v>
      </c>
      <c r="AL518" s="436">
        <f>IF(NFI_Expiration=1,IF($A518&lt;VLOOKUP(M$5,NFI,5,0),1,0)*Table_NFI[[#This Row],[Winter Blanket]],Table_NFI[[#This Row],[Winter Blanket]])</f>
        <v>0</v>
      </c>
      <c r="AM518" s="436">
        <f>IF(Table_NFI[[#This Row],[Winter Clothes Adult]]+Table_NFI[[#This Row],[Winter Clothes Children]]+Table_NFI[[#This Row],[Winter Items Other]]+Table_NFI[[#This Row],[Winter Blanket]]&gt;0,1,0)</f>
        <v>0</v>
      </c>
      <c r="AN518" s="439">
        <f>IF(NFI_Expiration=1,IF($A518&lt;VLOOKUP(V$5,NFI,5,0),1,0)*Table_NFI[[#This Row],[Jerry Can]],Table_NFI[Jerry Can])</f>
        <v>0</v>
      </c>
      <c r="AO518" s="771" t="str">
        <f>IFERROR(VLOOKUP(Table_NFI[[#This Row],[Camp Name]],CL,2,0),"")</f>
        <v>MMR001CMP162</v>
      </c>
      <c r="AP518" s="772">
        <f ca="1">IF(Table_NFI[[#This Row],[Pcode]]="","",IF(OFFSET(CampList[Opening Date],MATCH(Table_NFI[[#This Row],[Pcode]],CampList[CP_Pcode],0)-1,0,1,1)&gt;=NFI_Monitor_Date,1,0))</f>
        <v>0</v>
      </c>
      <c r="AQ518" s="781" t="str">
        <f>IFERROR(VLOOKUP(Table_NFI[[#This Row],[Camp Name]],CL,3,0),"")</f>
        <v>Open</v>
      </c>
      <c r="AR518" s="439" t="str">
        <f ca="1">IF(Table_NFI[[#This Row],[Pcode]]="","",OFFSET(CampList[Priority],MATCH(Table_NFI[[#This Row],[Pcode]],CampList[CP_Pcode],0)-1,0,1,1))</f>
        <v>P4</v>
      </c>
      <c r="AS518" s="438">
        <f>IFERROR(Table_NFI[[#This Row],[Kitchen Set]]/VLOOKUP(Table_NFI[[#This Row],[Camp Name]],CL,4,0),"")</f>
        <v>0.37777777777777777</v>
      </c>
      <c r="AT518" s="769" t="s">
        <v>1099</v>
      </c>
      <c r="AU518" s="773"/>
    </row>
    <row r="519" spans="1:47" s="774" customFormat="1" x14ac:dyDescent="0.25">
      <c r="A519" s="451">
        <f t="shared" si="8"/>
        <v>29.7</v>
      </c>
      <c r="B519" s="768">
        <v>41479</v>
      </c>
      <c r="C519" s="769" t="s">
        <v>454</v>
      </c>
      <c r="D519" s="769" t="s">
        <v>462</v>
      </c>
      <c r="E519" s="769" t="s">
        <v>380</v>
      </c>
      <c r="F519" s="435" t="s">
        <v>310</v>
      </c>
      <c r="G519" s="435" t="s">
        <v>342</v>
      </c>
      <c r="H519" s="436"/>
      <c r="I519" s="436"/>
      <c r="J519" s="436">
        <v>31</v>
      </c>
      <c r="K519" s="436">
        <v>44</v>
      </c>
      <c r="L519" s="439">
        <v>18</v>
      </c>
      <c r="M519" s="439">
        <v>44</v>
      </c>
      <c r="N519" s="439">
        <v>18</v>
      </c>
      <c r="O519" s="439">
        <v>18</v>
      </c>
      <c r="P519" s="439">
        <v>18</v>
      </c>
      <c r="Q519" s="439">
        <v>18</v>
      </c>
      <c r="R519" s="436"/>
      <c r="S519" s="436"/>
      <c r="T519" s="436"/>
      <c r="U519" s="436"/>
      <c r="V519" s="436"/>
      <c r="W519" s="436"/>
      <c r="X519" s="436"/>
      <c r="Y519" s="436">
        <f>IF(NFI_Expiration=1,IF($A519&lt;VLOOKUP(H$5,NFI,5,0),1,0)*Table_NFI[[#This Row],[Hygiene Kit]],Table_NFI[Hygiene Kit])</f>
        <v>0</v>
      </c>
      <c r="Z519" s="436">
        <f>IF(NFI_Expiration=1,IF($A519&lt;VLOOKUP(I$5,NFI,5,0),1,0)*Table_NFI[[#This Row],[NFI Core Kit]],Table_NFI[NFI Core Kit])</f>
        <v>0</v>
      </c>
      <c r="AA519" s="436">
        <f>IF(NFI_Expiration=1,IF($A519&lt;VLOOKUP(J$5,NFI,5,0),1,0)*Table_NFI[[#This Row],[Sanitary Kit]],Table_NFI[Sanitary Kit])</f>
        <v>0</v>
      </c>
      <c r="AB519" s="436">
        <f>IF(NFI_Expiration=1,IF($A519&lt;VLOOKUP(K$5,NFI,5,0),1,0)*Table_NFI[[#This Row],[Mosquito net]],Table_NFI[Mosquito net])</f>
        <v>0</v>
      </c>
      <c r="AC519" s="436">
        <f>IF(NFI_Expiration=1,IF($A519&lt;VLOOKUP(L$5,NFI,5,0),1,0)*Table_NFI[[#This Row],[Tarpaulin]],Table_NFI[[#This Row],[Tarpaulin]])</f>
        <v>0</v>
      </c>
      <c r="AD519" s="436">
        <f>IF(NFI_Expiration=1,IF($A519&lt;VLOOKUP(M$5,NFI,5,0),1,0)*Table_NFI[[#This Row],[Blanket]],Table_NFI[[#This Row],[Blanket]])</f>
        <v>0</v>
      </c>
      <c r="AE519" s="436">
        <f>IF(NFI_Expiration=1,IF($A519&lt;VLOOKUP(N$5,NFI,5,0),1,0)*Table_NFI[[#This Row],[Kitchen Set]],Table_NFI[Kitchen Set])</f>
        <v>0</v>
      </c>
      <c r="AF519" s="436">
        <f>IF(NFI_Expiration=1,IF($A519&lt;VLOOKUP(O$5,NFI,5,0),1,0)*Table_NFI[[#This Row],[Clothes Kit]],Table_NFI[Clothes Kit])</f>
        <v>0</v>
      </c>
      <c r="AG519" s="436">
        <f>IF(NFI_Expiration=1,IF($A519&lt;VLOOKUP(P$5,NFI,5,0),1,0)*Table_NFI[[#This Row],[Plastic Bucket]],Table_NFI[Plastic Bucket])</f>
        <v>0</v>
      </c>
      <c r="AH519" s="436">
        <f>IF(NFI_Expiration=1,IF($A519&lt;VLOOKUP(Q$5,NFI,5,0),1,0)*Table_NFI[[#This Row],[Plastic Mat]],Table_NFI[Plastic Mat])*IF(Table_NFI[[#This Row],[Distribution Date]]&gt;"2014-04-01",1,2.5)</f>
        <v>0</v>
      </c>
      <c r="AI519" s="436">
        <f>IF(NFI_Expiration=1,IF($A519&lt;VLOOKUP(R$5,NFI,5,0),1,0)*Table_NFI[[#This Row],[Winter Clothes Adult]],Table_NFI[Winter Clothes Adult])</f>
        <v>0</v>
      </c>
      <c r="AJ519" s="436">
        <f>IF(NFI_Expiration=1,IF($A519&lt;VLOOKUP(S$5,NFI,5,0),1,0)*Table_NFI[[#This Row],[Winter Clothes Children]],Table_NFI[Winter Clothes Children])</f>
        <v>0</v>
      </c>
      <c r="AK519" s="436">
        <f>IF(NFI_Expiration=1,IF($A519&lt;VLOOKUP(T$5,NFI,5,0),1,0)*Table_NFI[[#This Row],[Winter Items Other]],Table_NFI[Winter Items Other])</f>
        <v>0</v>
      </c>
      <c r="AL519" s="436">
        <f>IF(NFI_Expiration=1,IF($A519&lt;VLOOKUP(M$5,NFI,5,0),1,0)*Table_NFI[[#This Row],[Winter Blanket]],Table_NFI[[#This Row],[Winter Blanket]])</f>
        <v>0</v>
      </c>
      <c r="AM519" s="436">
        <f>IF(Table_NFI[[#This Row],[Winter Clothes Adult]]+Table_NFI[[#This Row],[Winter Clothes Children]]+Table_NFI[[#This Row],[Winter Items Other]]+Table_NFI[[#This Row],[Winter Blanket]]&gt;0,1,0)</f>
        <v>0</v>
      </c>
      <c r="AN519" s="439">
        <f>IF(NFI_Expiration=1,IF($A519&lt;VLOOKUP(V$5,NFI,5,0),1,0)*Table_NFI[[#This Row],[Jerry Can]],Table_NFI[Jerry Can])</f>
        <v>0</v>
      </c>
      <c r="AO519" s="771" t="str">
        <f>IFERROR(VLOOKUP(Table_NFI[[#This Row],[Camp Name]],CL,2,0),"")</f>
        <v>MMR001CMP025</v>
      </c>
      <c r="AP519" s="772">
        <f ca="1">IF(Table_NFI[[#This Row],[Pcode]]="","",IF(OFFSET(CampList[Opening Date],MATCH(Table_NFI[[#This Row],[Pcode]],CampList[CP_Pcode],0)-1,0,1,1)&gt;=NFI_Monitor_Date,1,0))</f>
        <v>0</v>
      </c>
      <c r="AQ519" s="781" t="str">
        <f>IFERROR(VLOOKUP(Table_NFI[[#This Row],[Camp Name]],CL,3,0),"")</f>
        <v>Open</v>
      </c>
      <c r="AR519" s="439" t="str">
        <f ca="1">IF(Table_NFI[[#This Row],[Pcode]]="","",OFFSET(CampList[Priority],MATCH(Table_NFI[[#This Row],[Pcode]],CampList[CP_Pcode],0)-1,0,1,1))</f>
        <v>P4</v>
      </c>
      <c r="AS519" s="438">
        <f>IFERROR(Table_NFI[[#This Row],[Kitchen Set]]/VLOOKUP(Table_NFI[[#This Row],[Camp Name]],CL,4,0),"")</f>
        <v>0.27692307692307694</v>
      </c>
      <c r="AT519" s="769" t="s">
        <v>1099</v>
      </c>
      <c r="AU519" s="773"/>
    </row>
    <row r="520" spans="1:47" s="774" customFormat="1" x14ac:dyDescent="0.25">
      <c r="A520" s="451">
        <f t="shared" si="8"/>
        <v>29.7</v>
      </c>
      <c r="B520" s="768">
        <v>41479</v>
      </c>
      <c r="C520" s="769" t="s">
        <v>454</v>
      </c>
      <c r="D520" s="769" t="s">
        <v>507</v>
      </c>
      <c r="E520" s="769" t="s">
        <v>380</v>
      </c>
      <c r="F520" s="769" t="s">
        <v>310</v>
      </c>
      <c r="G520" s="435" t="s">
        <v>351</v>
      </c>
      <c r="H520" s="436"/>
      <c r="I520" s="436"/>
      <c r="J520" s="436">
        <v>41</v>
      </c>
      <c r="K520" s="436">
        <v>73</v>
      </c>
      <c r="L520" s="437">
        <v>31</v>
      </c>
      <c r="M520" s="437">
        <v>73</v>
      </c>
      <c r="N520" s="437">
        <v>31</v>
      </c>
      <c r="O520" s="437">
        <v>31</v>
      </c>
      <c r="P520" s="437">
        <v>31</v>
      </c>
      <c r="Q520" s="437">
        <v>31</v>
      </c>
      <c r="R520" s="436"/>
      <c r="S520" s="436"/>
      <c r="T520" s="436"/>
      <c r="U520" s="436"/>
      <c r="V520" s="436"/>
      <c r="W520" s="436"/>
      <c r="X520" s="436"/>
      <c r="Y520" s="436">
        <f>IF(NFI_Expiration=1,IF($A520&lt;VLOOKUP(H$5,NFI,5,0),1,0)*Table_NFI[[#This Row],[Hygiene Kit]],Table_NFI[Hygiene Kit])</f>
        <v>0</v>
      </c>
      <c r="Z520" s="436">
        <f>IF(NFI_Expiration=1,IF($A520&lt;VLOOKUP(I$5,NFI,5,0),1,0)*Table_NFI[[#This Row],[NFI Core Kit]],Table_NFI[NFI Core Kit])</f>
        <v>0</v>
      </c>
      <c r="AA520" s="436">
        <f>IF(NFI_Expiration=1,IF($A520&lt;VLOOKUP(J$5,NFI,5,0),1,0)*Table_NFI[[#This Row],[Sanitary Kit]],Table_NFI[Sanitary Kit])</f>
        <v>0</v>
      </c>
      <c r="AB520" s="436">
        <f>IF(NFI_Expiration=1,IF($A520&lt;VLOOKUP(K$5,NFI,5,0),1,0)*Table_NFI[[#This Row],[Mosquito net]],Table_NFI[Mosquito net])</f>
        <v>0</v>
      </c>
      <c r="AC520" s="436">
        <f>IF(NFI_Expiration=1,IF($A520&lt;VLOOKUP(L$5,NFI,5,0),1,0)*Table_NFI[[#This Row],[Tarpaulin]],Table_NFI[[#This Row],[Tarpaulin]])</f>
        <v>0</v>
      </c>
      <c r="AD520" s="436">
        <f>IF(NFI_Expiration=1,IF($A520&lt;VLOOKUP(M$5,NFI,5,0),1,0)*Table_NFI[[#This Row],[Blanket]],Table_NFI[[#This Row],[Blanket]])</f>
        <v>0</v>
      </c>
      <c r="AE520" s="436">
        <f>IF(NFI_Expiration=1,IF($A520&lt;VLOOKUP(N$5,NFI,5,0),1,0)*Table_NFI[[#This Row],[Kitchen Set]],Table_NFI[Kitchen Set])</f>
        <v>0</v>
      </c>
      <c r="AF520" s="436">
        <f>IF(NFI_Expiration=1,IF($A520&lt;VLOOKUP(O$5,NFI,5,0),1,0)*Table_NFI[[#This Row],[Clothes Kit]],Table_NFI[Clothes Kit])</f>
        <v>0</v>
      </c>
      <c r="AG520" s="436">
        <f>IF(NFI_Expiration=1,IF($A520&lt;VLOOKUP(P$5,NFI,5,0),1,0)*Table_NFI[[#This Row],[Plastic Bucket]],Table_NFI[Plastic Bucket])</f>
        <v>0</v>
      </c>
      <c r="AH520" s="436">
        <f>IF(NFI_Expiration=1,IF($A520&lt;VLOOKUP(Q$5,NFI,5,0),1,0)*Table_NFI[[#This Row],[Plastic Mat]],Table_NFI[Plastic Mat])*IF(Table_NFI[[#This Row],[Distribution Date]]&gt;"2014-04-01",1,2.5)</f>
        <v>0</v>
      </c>
      <c r="AI520" s="436">
        <f>IF(NFI_Expiration=1,IF($A520&lt;VLOOKUP(R$5,NFI,5,0),1,0)*Table_NFI[[#This Row],[Winter Clothes Adult]],Table_NFI[Winter Clothes Adult])</f>
        <v>0</v>
      </c>
      <c r="AJ520" s="436">
        <f>IF(NFI_Expiration=1,IF($A520&lt;VLOOKUP(S$5,NFI,5,0),1,0)*Table_NFI[[#This Row],[Winter Clothes Children]],Table_NFI[Winter Clothes Children])</f>
        <v>0</v>
      </c>
      <c r="AK520" s="436">
        <f>IF(NFI_Expiration=1,IF($A520&lt;VLOOKUP(T$5,NFI,5,0),1,0)*Table_NFI[[#This Row],[Winter Items Other]],Table_NFI[Winter Items Other])</f>
        <v>0</v>
      </c>
      <c r="AL520" s="436">
        <f>IF(NFI_Expiration=1,IF($A520&lt;VLOOKUP(M$5,NFI,5,0),1,0)*Table_NFI[[#This Row],[Winter Blanket]],Table_NFI[[#This Row],[Winter Blanket]])</f>
        <v>0</v>
      </c>
      <c r="AM520" s="436">
        <f>IF(Table_NFI[[#This Row],[Winter Clothes Adult]]+Table_NFI[[#This Row],[Winter Clothes Children]]+Table_NFI[[#This Row],[Winter Items Other]]+Table_NFI[[#This Row],[Winter Blanket]]&gt;0,1,0)</f>
        <v>0</v>
      </c>
      <c r="AN520" s="439">
        <f>IF(NFI_Expiration=1,IF($A520&lt;VLOOKUP(V$5,NFI,5,0),1,0)*Table_NFI[[#This Row],[Jerry Can]],Table_NFI[Jerry Can])</f>
        <v>0</v>
      </c>
      <c r="AO520" s="771" t="str">
        <f>IFERROR(VLOOKUP(Table_NFI[[#This Row],[Camp Name]],CL,2,0),"")</f>
        <v>MMR001CMP026</v>
      </c>
      <c r="AP520" s="772">
        <f ca="1">IF(Table_NFI[[#This Row],[Pcode]]="","",IF(OFFSET(CampList[Opening Date],MATCH(Table_NFI[[#This Row],[Pcode]],CampList[CP_Pcode],0)-1,0,1,1)&gt;=NFI_Monitor_Date,1,0))</f>
        <v>0</v>
      </c>
      <c r="AQ520" s="781" t="str">
        <f>IFERROR(VLOOKUP(Table_NFI[[#This Row],[Camp Name]],CL,3,0),"")</f>
        <v>Open</v>
      </c>
      <c r="AR520" s="439" t="str">
        <f ca="1">IF(Table_NFI[[#This Row],[Pcode]]="","",OFFSET(CampList[Priority],MATCH(Table_NFI[[#This Row],[Pcode]],CampList[CP_Pcode],0)-1,0,1,1))</f>
        <v>P4</v>
      </c>
      <c r="AS520" s="438">
        <f>IFERROR(Table_NFI[[#This Row],[Kitchen Set]]/VLOOKUP(Table_NFI[[#This Row],[Camp Name]],CL,4,0),"")</f>
        <v>0.34065934065934067</v>
      </c>
      <c r="AT520" s="769" t="s">
        <v>1099</v>
      </c>
      <c r="AU520" s="773"/>
    </row>
    <row r="521" spans="1:47" s="774" customFormat="1" x14ac:dyDescent="0.25">
      <c r="A521" s="451">
        <f t="shared" si="8"/>
        <v>29.7</v>
      </c>
      <c r="B521" s="768">
        <v>41479</v>
      </c>
      <c r="C521" s="769" t="s">
        <v>454</v>
      </c>
      <c r="D521" s="770" t="s">
        <v>462</v>
      </c>
      <c r="E521" s="769" t="s">
        <v>380</v>
      </c>
      <c r="F521" s="435" t="s">
        <v>237</v>
      </c>
      <c r="G521" s="435" t="s">
        <v>277</v>
      </c>
      <c r="H521" s="436"/>
      <c r="I521" s="436"/>
      <c r="J521" s="436">
        <v>21</v>
      </c>
      <c r="K521" s="436">
        <v>36</v>
      </c>
      <c r="L521" s="437">
        <v>16</v>
      </c>
      <c r="M521" s="437">
        <v>36</v>
      </c>
      <c r="N521" s="437">
        <v>16</v>
      </c>
      <c r="O521" s="437">
        <v>16</v>
      </c>
      <c r="P521" s="437">
        <v>16</v>
      </c>
      <c r="Q521" s="437">
        <v>16</v>
      </c>
      <c r="R521" s="436"/>
      <c r="S521" s="436"/>
      <c r="T521" s="436"/>
      <c r="U521" s="436"/>
      <c r="V521" s="436"/>
      <c r="W521" s="436"/>
      <c r="X521" s="436"/>
      <c r="Y521" s="436">
        <f>IF(NFI_Expiration=1,IF($A521&lt;VLOOKUP(H$5,NFI,5,0),1,0)*Table_NFI[[#This Row],[Hygiene Kit]],Table_NFI[Hygiene Kit])</f>
        <v>0</v>
      </c>
      <c r="Z521" s="436">
        <f>IF(NFI_Expiration=1,IF($A521&lt;VLOOKUP(I$5,NFI,5,0),1,0)*Table_NFI[[#This Row],[NFI Core Kit]],Table_NFI[NFI Core Kit])</f>
        <v>0</v>
      </c>
      <c r="AA521" s="436">
        <f>IF(NFI_Expiration=1,IF($A521&lt;VLOOKUP(J$5,NFI,5,0),1,0)*Table_NFI[[#This Row],[Sanitary Kit]],Table_NFI[Sanitary Kit])</f>
        <v>0</v>
      </c>
      <c r="AB521" s="436">
        <f>IF(NFI_Expiration=1,IF($A521&lt;VLOOKUP(K$5,NFI,5,0),1,0)*Table_NFI[[#This Row],[Mosquito net]],Table_NFI[Mosquito net])</f>
        <v>0</v>
      </c>
      <c r="AC521" s="436">
        <f>IF(NFI_Expiration=1,IF($A521&lt;VLOOKUP(L$5,NFI,5,0),1,0)*Table_NFI[[#This Row],[Tarpaulin]],Table_NFI[[#This Row],[Tarpaulin]])</f>
        <v>0</v>
      </c>
      <c r="AD521" s="436">
        <f>IF(NFI_Expiration=1,IF($A521&lt;VLOOKUP(M$5,NFI,5,0),1,0)*Table_NFI[[#This Row],[Blanket]],Table_NFI[[#This Row],[Blanket]])</f>
        <v>0</v>
      </c>
      <c r="AE521" s="436">
        <f>IF(NFI_Expiration=1,IF($A521&lt;VLOOKUP(N$5,NFI,5,0),1,0)*Table_NFI[[#This Row],[Kitchen Set]],Table_NFI[Kitchen Set])</f>
        <v>0</v>
      </c>
      <c r="AF521" s="436">
        <f>IF(NFI_Expiration=1,IF($A521&lt;VLOOKUP(O$5,NFI,5,0),1,0)*Table_NFI[[#This Row],[Clothes Kit]],Table_NFI[Clothes Kit])</f>
        <v>0</v>
      </c>
      <c r="AG521" s="436">
        <f>IF(NFI_Expiration=1,IF($A521&lt;VLOOKUP(P$5,NFI,5,0),1,0)*Table_NFI[[#This Row],[Plastic Bucket]],Table_NFI[Plastic Bucket])</f>
        <v>0</v>
      </c>
      <c r="AH521" s="436">
        <f>IF(NFI_Expiration=1,IF($A521&lt;VLOOKUP(Q$5,NFI,5,0),1,0)*Table_NFI[[#This Row],[Plastic Mat]],Table_NFI[Plastic Mat])*IF(Table_NFI[[#This Row],[Distribution Date]]&gt;"2014-04-01",1,2.5)</f>
        <v>0</v>
      </c>
      <c r="AI521" s="436">
        <f>IF(NFI_Expiration=1,IF($A521&lt;VLOOKUP(R$5,NFI,5,0),1,0)*Table_NFI[[#This Row],[Winter Clothes Adult]],Table_NFI[Winter Clothes Adult])</f>
        <v>0</v>
      </c>
      <c r="AJ521" s="436">
        <f>IF(NFI_Expiration=1,IF($A521&lt;VLOOKUP(S$5,NFI,5,0),1,0)*Table_NFI[[#This Row],[Winter Clothes Children]],Table_NFI[Winter Clothes Children])</f>
        <v>0</v>
      </c>
      <c r="AK521" s="436">
        <f>IF(NFI_Expiration=1,IF($A521&lt;VLOOKUP(T$5,NFI,5,0),1,0)*Table_NFI[[#This Row],[Winter Items Other]],Table_NFI[Winter Items Other])</f>
        <v>0</v>
      </c>
      <c r="AL521" s="436">
        <f>IF(NFI_Expiration=1,IF($A521&lt;VLOOKUP(M$5,NFI,5,0),1,0)*Table_NFI[[#This Row],[Winter Blanket]],Table_NFI[[#This Row],[Winter Blanket]])</f>
        <v>0</v>
      </c>
      <c r="AM521" s="436">
        <f>IF(Table_NFI[[#This Row],[Winter Clothes Adult]]+Table_NFI[[#This Row],[Winter Clothes Children]]+Table_NFI[[#This Row],[Winter Items Other]]+Table_NFI[[#This Row],[Winter Blanket]]&gt;0,1,0)</f>
        <v>0</v>
      </c>
      <c r="AN521" s="439">
        <f>IF(NFI_Expiration=1,IF($A521&lt;VLOOKUP(V$5,NFI,5,0),1,0)*Table_NFI[[#This Row],[Jerry Can]],Table_NFI[Jerry Can])</f>
        <v>0</v>
      </c>
      <c r="AO521" s="771" t="str">
        <f>IFERROR(VLOOKUP(Table_NFI[[#This Row],[Camp Name]],CL,2,0),"")</f>
        <v>MMR001CMP006</v>
      </c>
      <c r="AP521" s="772">
        <f ca="1">IF(Table_NFI[[#This Row],[Pcode]]="","",IF(OFFSET(CampList[Opening Date],MATCH(Table_NFI[[#This Row],[Pcode]],CampList[CP_Pcode],0)-1,0,1,1)&gt;=NFI_Monitor_Date,1,0))</f>
        <v>0</v>
      </c>
      <c r="AQ521" s="781" t="str">
        <f>IFERROR(VLOOKUP(Table_NFI[[#This Row],[Camp Name]],CL,3,0),"")</f>
        <v>Open</v>
      </c>
      <c r="AR521" s="439" t="str">
        <f ca="1">IF(Table_NFI[[#This Row],[Pcode]]="","",OFFSET(CampList[Priority],MATCH(Table_NFI[[#This Row],[Pcode]],CampList[CP_Pcode],0)-1,0,1,1))</f>
        <v>P4</v>
      </c>
      <c r="AS521" s="438">
        <f>IFERROR(Table_NFI[[#This Row],[Kitchen Set]]/VLOOKUP(Table_NFI[[#This Row],[Camp Name]],CL,4,0),"")</f>
        <v>0.16842105263157894</v>
      </c>
      <c r="AT521" s="769" t="s">
        <v>1099</v>
      </c>
      <c r="AU521" s="773"/>
    </row>
    <row r="522" spans="1:47" s="774" customFormat="1" x14ac:dyDescent="0.25">
      <c r="A522" s="451">
        <f t="shared" si="8"/>
        <v>29.7</v>
      </c>
      <c r="B522" s="768">
        <v>41479</v>
      </c>
      <c r="C522" s="769" t="s">
        <v>454</v>
      </c>
      <c r="D522" s="769" t="s">
        <v>462</v>
      </c>
      <c r="E522" s="769" t="s">
        <v>380</v>
      </c>
      <c r="F522" s="769" t="s">
        <v>237</v>
      </c>
      <c r="G522" s="435" t="s">
        <v>1258</v>
      </c>
      <c r="H522" s="436"/>
      <c r="I522" s="436"/>
      <c r="J522" s="436">
        <v>34</v>
      </c>
      <c r="K522" s="436">
        <v>46</v>
      </c>
      <c r="L522" s="437">
        <v>22</v>
      </c>
      <c r="M522" s="437">
        <v>46</v>
      </c>
      <c r="N522" s="437">
        <v>22</v>
      </c>
      <c r="O522" s="437">
        <v>22</v>
      </c>
      <c r="P522" s="437">
        <v>22</v>
      </c>
      <c r="Q522" s="437">
        <v>22</v>
      </c>
      <c r="R522" s="436"/>
      <c r="S522" s="436"/>
      <c r="T522" s="436"/>
      <c r="U522" s="436"/>
      <c r="V522" s="436"/>
      <c r="W522" s="436"/>
      <c r="X522" s="436"/>
      <c r="Y522" s="436">
        <f>IF(NFI_Expiration=1,IF($A522&lt;VLOOKUP(H$5,NFI,5,0),1,0)*Table_NFI[[#This Row],[Hygiene Kit]],Table_NFI[Hygiene Kit])</f>
        <v>0</v>
      </c>
      <c r="Z522" s="436">
        <f>IF(NFI_Expiration=1,IF($A522&lt;VLOOKUP(I$5,NFI,5,0),1,0)*Table_NFI[[#This Row],[NFI Core Kit]],Table_NFI[NFI Core Kit])</f>
        <v>0</v>
      </c>
      <c r="AA522" s="436">
        <f>IF(NFI_Expiration=1,IF($A522&lt;VLOOKUP(J$5,NFI,5,0),1,0)*Table_NFI[[#This Row],[Sanitary Kit]],Table_NFI[Sanitary Kit])</f>
        <v>0</v>
      </c>
      <c r="AB522" s="436">
        <f>IF(NFI_Expiration=1,IF($A522&lt;VLOOKUP(K$5,NFI,5,0),1,0)*Table_NFI[[#This Row],[Mosquito net]],Table_NFI[Mosquito net])</f>
        <v>0</v>
      </c>
      <c r="AC522" s="436">
        <f>IF(NFI_Expiration=1,IF($A522&lt;VLOOKUP(L$5,NFI,5,0),1,0)*Table_NFI[[#This Row],[Tarpaulin]],Table_NFI[[#This Row],[Tarpaulin]])</f>
        <v>0</v>
      </c>
      <c r="AD522" s="436">
        <f>IF(NFI_Expiration=1,IF($A522&lt;VLOOKUP(M$5,NFI,5,0),1,0)*Table_NFI[[#This Row],[Blanket]],Table_NFI[[#This Row],[Blanket]])</f>
        <v>0</v>
      </c>
      <c r="AE522" s="436">
        <f>IF(NFI_Expiration=1,IF($A522&lt;VLOOKUP(N$5,NFI,5,0),1,0)*Table_NFI[[#This Row],[Kitchen Set]],Table_NFI[Kitchen Set])</f>
        <v>0</v>
      </c>
      <c r="AF522" s="436">
        <f>IF(NFI_Expiration=1,IF($A522&lt;VLOOKUP(O$5,NFI,5,0),1,0)*Table_NFI[[#This Row],[Clothes Kit]],Table_NFI[Clothes Kit])</f>
        <v>0</v>
      </c>
      <c r="AG522" s="436">
        <f>IF(NFI_Expiration=1,IF($A522&lt;VLOOKUP(P$5,NFI,5,0),1,0)*Table_NFI[[#This Row],[Plastic Bucket]],Table_NFI[Plastic Bucket])</f>
        <v>0</v>
      </c>
      <c r="AH522" s="436">
        <f>IF(NFI_Expiration=1,IF($A522&lt;VLOOKUP(Q$5,NFI,5,0),1,0)*Table_NFI[[#This Row],[Plastic Mat]],Table_NFI[Plastic Mat])*IF(Table_NFI[[#This Row],[Distribution Date]]&gt;"2014-04-01",1,2.5)</f>
        <v>0</v>
      </c>
      <c r="AI522" s="436">
        <f>IF(NFI_Expiration=1,IF($A522&lt;VLOOKUP(R$5,NFI,5,0),1,0)*Table_NFI[[#This Row],[Winter Clothes Adult]],Table_NFI[Winter Clothes Adult])</f>
        <v>0</v>
      </c>
      <c r="AJ522" s="436">
        <f>IF(NFI_Expiration=1,IF($A522&lt;VLOOKUP(S$5,NFI,5,0),1,0)*Table_NFI[[#This Row],[Winter Clothes Children]],Table_NFI[Winter Clothes Children])</f>
        <v>0</v>
      </c>
      <c r="AK522" s="436">
        <f>IF(NFI_Expiration=1,IF($A522&lt;VLOOKUP(T$5,NFI,5,0),1,0)*Table_NFI[[#This Row],[Winter Items Other]],Table_NFI[Winter Items Other])</f>
        <v>0</v>
      </c>
      <c r="AL522" s="436">
        <f>IF(NFI_Expiration=1,IF($A522&lt;VLOOKUP(M$5,NFI,5,0),1,0)*Table_NFI[[#This Row],[Winter Blanket]],Table_NFI[[#This Row],[Winter Blanket]])</f>
        <v>0</v>
      </c>
      <c r="AM522" s="436">
        <f>IF(Table_NFI[[#This Row],[Winter Clothes Adult]]+Table_NFI[[#This Row],[Winter Clothes Children]]+Table_NFI[[#This Row],[Winter Items Other]]+Table_NFI[[#This Row],[Winter Blanket]]&gt;0,1,0)</f>
        <v>0</v>
      </c>
      <c r="AN522" s="439">
        <f>IF(NFI_Expiration=1,IF($A522&lt;VLOOKUP(V$5,NFI,5,0),1,0)*Table_NFI[[#This Row],[Jerry Can]],Table_NFI[Jerry Can])</f>
        <v>0</v>
      </c>
      <c r="AO522" s="771" t="str">
        <f>IFERROR(VLOOKUP(Table_NFI[[#This Row],[Camp Name]],CL,2,0),"")</f>
        <v>MMR001CMP023</v>
      </c>
      <c r="AP522" s="772">
        <f ca="1">IF(Table_NFI[[#This Row],[Pcode]]="","",IF(OFFSET(CampList[Opening Date],MATCH(Table_NFI[[#This Row],[Pcode]],CampList[CP_Pcode],0)-1,0,1,1)&gt;=NFI_Monitor_Date,1,0))</f>
        <v>0</v>
      </c>
      <c r="AQ522" s="781" t="str">
        <f>IFERROR(VLOOKUP(Table_NFI[[#This Row],[Camp Name]],CL,3,0),"")</f>
        <v>Open</v>
      </c>
      <c r="AR522" s="439" t="str">
        <f ca="1">IF(Table_NFI[[#This Row],[Pcode]]="","",OFFSET(CampList[Priority],MATCH(Table_NFI[[#This Row],[Pcode]],CampList[CP_Pcode],0)-1,0,1,1))</f>
        <v>P4</v>
      </c>
      <c r="AS522" s="438">
        <f>IFERROR(Table_NFI[[#This Row],[Kitchen Set]]/VLOOKUP(Table_NFI[[#This Row],[Camp Name]],CL,4,0),"")</f>
        <v>0.3235294117647059</v>
      </c>
      <c r="AT522" s="769" t="s">
        <v>1099</v>
      </c>
      <c r="AU522" s="773"/>
    </row>
    <row r="523" spans="1:47" s="774" customFormat="1" x14ac:dyDescent="0.25">
      <c r="A523" s="451">
        <f t="shared" si="8"/>
        <v>29.7</v>
      </c>
      <c r="B523" s="768">
        <v>41479</v>
      </c>
      <c r="C523" s="769" t="s">
        <v>454</v>
      </c>
      <c r="D523" s="769" t="s">
        <v>507</v>
      </c>
      <c r="E523" s="769" t="s">
        <v>380</v>
      </c>
      <c r="F523" s="435" t="s">
        <v>310</v>
      </c>
      <c r="G523" s="435" t="s">
        <v>316</v>
      </c>
      <c r="H523" s="436"/>
      <c r="I523" s="436"/>
      <c r="J523" s="436">
        <v>22</v>
      </c>
      <c r="K523" s="436">
        <v>32</v>
      </c>
      <c r="L523" s="439">
        <v>15</v>
      </c>
      <c r="M523" s="439">
        <v>32</v>
      </c>
      <c r="N523" s="439">
        <v>15</v>
      </c>
      <c r="O523" s="439">
        <v>15</v>
      </c>
      <c r="P523" s="439">
        <v>15</v>
      </c>
      <c r="Q523" s="439">
        <v>15</v>
      </c>
      <c r="R523" s="436"/>
      <c r="S523" s="436"/>
      <c r="T523" s="436"/>
      <c r="U523" s="436"/>
      <c r="V523" s="436"/>
      <c r="W523" s="436"/>
      <c r="X523" s="436"/>
      <c r="Y523" s="436">
        <f>IF(NFI_Expiration=1,IF($A523&lt;VLOOKUP(H$5,NFI,5,0),1,0)*Table_NFI[[#This Row],[Hygiene Kit]],Table_NFI[Hygiene Kit])</f>
        <v>0</v>
      </c>
      <c r="Z523" s="436">
        <f>IF(NFI_Expiration=1,IF($A523&lt;VLOOKUP(I$5,NFI,5,0),1,0)*Table_NFI[[#This Row],[NFI Core Kit]],Table_NFI[NFI Core Kit])</f>
        <v>0</v>
      </c>
      <c r="AA523" s="436">
        <f>IF(NFI_Expiration=1,IF($A523&lt;VLOOKUP(J$5,NFI,5,0),1,0)*Table_NFI[[#This Row],[Sanitary Kit]],Table_NFI[Sanitary Kit])</f>
        <v>0</v>
      </c>
      <c r="AB523" s="436">
        <f>IF(NFI_Expiration=1,IF($A523&lt;VLOOKUP(K$5,NFI,5,0),1,0)*Table_NFI[[#This Row],[Mosquito net]],Table_NFI[Mosquito net])</f>
        <v>0</v>
      </c>
      <c r="AC523" s="436">
        <f>IF(NFI_Expiration=1,IF($A523&lt;VLOOKUP(L$5,NFI,5,0),1,0)*Table_NFI[[#This Row],[Tarpaulin]],Table_NFI[[#This Row],[Tarpaulin]])</f>
        <v>0</v>
      </c>
      <c r="AD523" s="436">
        <f>IF(NFI_Expiration=1,IF($A523&lt;VLOOKUP(M$5,NFI,5,0),1,0)*Table_NFI[[#This Row],[Blanket]],Table_NFI[[#This Row],[Blanket]])</f>
        <v>0</v>
      </c>
      <c r="AE523" s="436">
        <f>IF(NFI_Expiration=1,IF($A523&lt;VLOOKUP(N$5,NFI,5,0),1,0)*Table_NFI[[#This Row],[Kitchen Set]],Table_NFI[Kitchen Set])</f>
        <v>0</v>
      </c>
      <c r="AF523" s="436">
        <f>IF(NFI_Expiration=1,IF($A523&lt;VLOOKUP(O$5,NFI,5,0),1,0)*Table_NFI[[#This Row],[Clothes Kit]],Table_NFI[Clothes Kit])</f>
        <v>0</v>
      </c>
      <c r="AG523" s="436">
        <f>IF(NFI_Expiration=1,IF($A523&lt;VLOOKUP(P$5,NFI,5,0),1,0)*Table_NFI[[#This Row],[Plastic Bucket]],Table_NFI[Plastic Bucket])</f>
        <v>0</v>
      </c>
      <c r="AH523" s="436">
        <f>IF(NFI_Expiration=1,IF($A523&lt;VLOOKUP(Q$5,NFI,5,0),1,0)*Table_NFI[[#This Row],[Plastic Mat]],Table_NFI[Plastic Mat])*IF(Table_NFI[[#This Row],[Distribution Date]]&gt;"2014-04-01",1,2.5)</f>
        <v>0</v>
      </c>
      <c r="AI523" s="436">
        <f>IF(NFI_Expiration=1,IF($A523&lt;VLOOKUP(R$5,NFI,5,0),1,0)*Table_NFI[[#This Row],[Winter Clothes Adult]],Table_NFI[Winter Clothes Adult])</f>
        <v>0</v>
      </c>
      <c r="AJ523" s="436">
        <f>IF(NFI_Expiration=1,IF($A523&lt;VLOOKUP(S$5,NFI,5,0),1,0)*Table_NFI[[#This Row],[Winter Clothes Children]],Table_NFI[Winter Clothes Children])</f>
        <v>0</v>
      </c>
      <c r="AK523" s="436">
        <f>IF(NFI_Expiration=1,IF($A523&lt;VLOOKUP(T$5,NFI,5,0),1,0)*Table_NFI[[#This Row],[Winter Items Other]],Table_NFI[Winter Items Other])</f>
        <v>0</v>
      </c>
      <c r="AL523" s="436">
        <f>IF(NFI_Expiration=1,IF($A523&lt;VLOOKUP(M$5,NFI,5,0),1,0)*Table_NFI[[#This Row],[Winter Blanket]],Table_NFI[[#This Row],[Winter Blanket]])</f>
        <v>0</v>
      </c>
      <c r="AM523" s="436">
        <f>IF(Table_NFI[[#This Row],[Winter Clothes Adult]]+Table_NFI[[#This Row],[Winter Clothes Children]]+Table_NFI[[#This Row],[Winter Items Other]]+Table_NFI[[#This Row],[Winter Blanket]]&gt;0,1,0)</f>
        <v>0</v>
      </c>
      <c r="AN523" s="439">
        <f>IF(NFI_Expiration=1,IF($A523&lt;VLOOKUP(V$5,NFI,5,0),1,0)*Table_NFI[[#This Row],[Jerry Can]],Table_NFI[Jerry Can])</f>
        <v>0</v>
      </c>
      <c r="AO523" s="771" t="str">
        <f>IFERROR(VLOOKUP(Table_NFI[[#This Row],[Camp Name]],CL,2,0),"")</f>
        <v>MMR001CMP038</v>
      </c>
      <c r="AP523" s="772">
        <f ca="1">IF(Table_NFI[[#This Row],[Pcode]]="","",IF(OFFSET(CampList[Opening Date],MATCH(Table_NFI[[#This Row],[Pcode]],CampList[CP_Pcode],0)-1,0,1,1)&gt;=NFI_Monitor_Date,1,0))</f>
        <v>0</v>
      </c>
      <c r="AQ523" s="781" t="str">
        <f>IFERROR(VLOOKUP(Table_NFI[[#This Row],[Camp Name]],CL,3,0),"")</f>
        <v>Open</v>
      </c>
      <c r="AR523" s="439" t="str">
        <f ca="1">IF(Table_NFI[[#This Row],[Pcode]]="","",OFFSET(CampList[Priority],MATCH(Table_NFI[[#This Row],[Pcode]],CampList[CP_Pcode],0)-1,0,1,1))</f>
        <v>P4</v>
      </c>
      <c r="AS523" s="438">
        <f>IFERROR(Table_NFI[[#This Row],[Kitchen Set]]/VLOOKUP(Table_NFI[[#This Row],[Camp Name]],CL,4,0),"")</f>
        <v>0.16666666666666666</v>
      </c>
      <c r="AT523" s="769" t="s">
        <v>1099</v>
      </c>
      <c r="AU523" s="773"/>
    </row>
    <row r="524" spans="1:47" s="774" customFormat="1" x14ac:dyDescent="0.25">
      <c r="A524" s="451">
        <f t="shared" si="8"/>
        <v>29.966666666666665</v>
      </c>
      <c r="B524" s="768">
        <v>41471</v>
      </c>
      <c r="C524" s="769" t="s">
        <v>454</v>
      </c>
      <c r="D524" s="770" t="s">
        <v>507</v>
      </c>
      <c r="E524" s="769" t="s">
        <v>380</v>
      </c>
      <c r="F524" s="435" t="s">
        <v>237</v>
      </c>
      <c r="G524" s="435" t="s">
        <v>1258</v>
      </c>
      <c r="H524" s="436"/>
      <c r="I524" s="436"/>
      <c r="J524" s="436">
        <v>55</v>
      </c>
      <c r="K524" s="436">
        <v>74</v>
      </c>
      <c r="L524" s="437">
        <v>31</v>
      </c>
      <c r="M524" s="437">
        <v>74</v>
      </c>
      <c r="N524" s="437">
        <v>31</v>
      </c>
      <c r="O524" s="437">
        <v>31</v>
      </c>
      <c r="P524" s="437">
        <v>31</v>
      </c>
      <c r="Q524" s="437">
        <v>31</v>
      </c>
      <c r="R524" s="436"/>
      <c r="S524" s="436"/>
      <c r="T524" s="436"/>
      <c r="U524" s="436"/>
      <c r="V524" s="436"/>
      <c r="W524" s="436"/>
      <c r="X524" s="436"/>
      <c r="Y524" s="436">
        <f>IF(NFI_Expiration=1,IF($A524&lt;VLOOKUP(H$5,NFI,5,0),1,0)*Table_NFI[[#This Row],[Hygiene Kit]],Table_NFI[Hygiene Kit])</f>
        <v>0</v>
      </c>
      <c r="Z524" s="436">
        <f>IF(NFI_Expiration=1,IF($A524&lt;VLOOKUP(I$5,NFI,5,0),1,0)*Table_NFI[[#This Row],[NFI Core Kit]],Table_NFI[NFI Core Kit])</f>
        <v>0</v>
      </c>
      <c r="AA524" s="436">
        <f>IF(NFI_Expiration=1,IF($A524&lt;VLOOKUP(J$5,NFI,5,0),1,0)*Table_NFI[[#This Row],[Sanitary Kit]],Table_NFI[Sanitary Kit])</f>
        <v>0</v>
      </c>
      <c r="AB524" s="436">
        <f>IF(NFI_Expiration=1,IF($A524&lt;VLOOKUP(K$5,NFI,5,0),1,0)*Table_NFI[[#This Row],[Mosquito net]],Table_NFI[Mosquito net])</f>
        <v>0</v>
      </c>
      <c r="AC524" s="436">
        <f>IF(NFI_Expiration=1,IF($A524&lt;VLOOKUP(L$5,NFI,5,0),1,0)*Table_NFI[[#This Row],[Tarpaulin]],Table_NFI[[#This Row],[Tarpaulin]])</f>
        <v>0</v>
      </c>
      <c r="AD524" s="436">
        <f>IF(NFI_Expiration=1,IF($A524&lt;VLOOKUP(M$5,NFI,5,0),1,0)*Table_NFI[[#This Row],[Blanket]],Table_NFI[[#This Row],[Blanket]])</f>
        <v>0</v>
      </c>
      <c r="AE524" s="436">
        <f>IF(NFI_Expiration=1,IF($A524&lt;VLOOKUP(N$5,NFI,5,0),1,0)*Table_NFI[[#This Row],[Kitchen Set]],Table_NFI[Kitchen Set])</f>
        <v>0</v>
      </c>
      <c r="AF524" s="436">
        <f>IF(NFI_Expiration=1,IF($A524&lt;VLOOKUP(O$5,NFI,5,0),1,0)*Table_NFI[[#This Row],[Clothes Kit]],Table_NFI[Clothes Kit])</f>
        <v>0</v>
      </c>
      <c r="AG524" s="436">
        <f>IF(NFI_Expiration=1,IF($A524&lt;VLOOKUP(P$5,NFI,5,0),1,0)*Table_NFI[[#This Row],[Plastic Bucket]],Table_NFI[Plastic Bucket])</f>
        <v>0</v>
      </c>
      <c r="AH524" s="436">
        <f>IF(NFI_Expiration=1,IF($A524&lt;VLOOKUP(Q$5,NFI,5,0),1,0)*Table_NFI[[#This Row],[Plastic Mat]],Table_NFI[Plastic Mat])*IF(Table_NFI[[#This Row],[Distribution Date]]&gt;"2014-04-01",1,2.5)</f>
        <v>0</v>
      </c>
      <c r="AI524" s="436">
        <f>IF(NFI_Expiration=1,IF($A524&lt;VLOOKUP(R$5,NFI,5,0),1,0)*Table_NFI[[#This Row],[Winter Clothes Adult]],Table_NFI[Winter Clothes Adult])</f>
        <v>0</v>
      </c>
      <c r="AJ524" s="436">
        <f>IF(NFI_Expiration=1,IF($A524&lt;VLOOKUP(S$5,NFI,5,0),1,0)*Table_NFI[[#This Row],[Winter Clothes Children]],Table_NFI[Winter Clothes Children])</f>
        <v>0</v>
      </c>
      <c r="AK524" s="436">
        <f>IF(NFI_Expiration=1,IF($A524&lt;VLOOKUP(T$5,NFI,5,0),1,0)*Table_NFI[[#This Row],[Winter Items Other]],Table_NFI[Winter Items Other])</f>
        <v>0</v>
      </c>
      <c r="AL524" s="436">
        <f>IF(NFI_Expiration=1,IF($A524&lt;VLOOKUP(M$5,NFI,5,0),1,0)*Table_NFI[[#This Row],[Winter Blanket]],Table_NFI[[#This Row],[Winter Blanket]])</f>
        <v>0</v>
      </c>
      <c r="AM524" s="436">
        <f>IF(Table_NFI[[#This Row],[Winter Clothes Adult]]+Table_NFI[[#This Row],[Winter Clothes Children]]+Table_NFI[[#This Row],[Winter Items Other]]+Table_NFI[[#This Row],[Winter Blanket]]&gt;0,1,0)</f>
        <v>0</v>
      </c>
      <c r="AN524" s="439">
        <f>IF(NFI_Expiration=1,IF($A524&lt;VLOOKUP(V$5,NFI,5,0),1,0)*Table_NFI[[#This Row],[Jerry Can]],Table_NFI[Jerry Can])</f>
        <v>0</v>
      </c>
      <c r="AO524" s="771" t="str">
        <f>IFERROR(VLOOKUP(Table_NFI[[#This Row],[Camp Name]],CL,2,0),"")</f>
        <v>MMR001CMP023</v>
      </c>
      <c r="AP524" s="772">
        <f ca="1">IF(Table_NFI[[#This Row],[Pcode]]="","",IF(OFFSET(CampList[Opening Date],MATCH(Table_NFI[[#This Row],[Pcode]],CampList[CP_Pcode],0)-1,0,1,1)&gt;=NFI_Monitor_Date,1,0))</f>
        <v>0</v>
      </c>
      <c r="AQ524" s="781" t="str">
        <f>IFERROR(VLOOKUP(Table_NFI[[#This Row],[Camp Name]],CL,3,0),"")</f>
        <v>Open</v>
      </c>
      <c r="AR524" s="439" t="str">
        <f ca="1">IF(Table_NFI[[#This Row],[Pcode]]="","",OFFSET(CampList[Priority],MATCH(Table_NFI[[#This Row],[Pcode]],CampList[CP_Pcode],0)-1,0,1,1))</f>
        <v>P4</v>
      </c>
      <c r="AS524" s="438">
        <f>IFERROR(Table_NFI[[#This Row],[Kitchen Set]]/VLOOKUP(Table_NFI[[#This Row],[Camp Name]],CL,4,0),"")</f>
        <v>0.45588235294117646</v>
      </c>
      <c r="AT524" s="769" t="s">
        <v>1099</v>
      </c>
      <c r="AU524" s="773"/>
    </row>
    <row r="525" spans="1:47" s="774" customFormat="1" x14ac:dyDescent="0.25">
      <c r="A525" s="451">
        <f t="shared" si="8"/>
        <v>30.5</v>
      </c>
      <c r="B525" s="768">
        <v>41455</v>
      </c>
      <c r="C525" s="769" t="s">
        <v>454</v>
      </c>
      <c r="D525" s="769"/>
      <c r="E525" s="769" t="s">
        <v>380</v>
      </c>
      <c r="F525" s="769" t="s">
        <v>151</v>
      </c>
      <c r="G525" s="769" t="s">
        <v>891</v>
      </c>
      <c r="H525" s="436"/>
      <c r="I525" s="436"/>
      <c r="J525" s="436"/>
      <c r="K525" s="436"/>
      <c r="L525" s="437"/>
      <c r="M525" s="437">
        <v>9</v>
      </c>
      <c r="N525" s="437"/>
      <c r="O525" s="437"/>
      <c r="P525" s="439">
        <v>19</v>
      </c>
      <c r="Q525" s="439">
        <v>1</v>
      </c>
      <c r="R525" s="436"/>
      <c r="S525" s="436"/>
      <c r="T525" s="436"/>
      <c r="U525" s="436"/>
      <c r="V525" s="436"/>
      <c r="W525" s="436"/>
      <c r="X525" s="436"/>
      <c r="Y525" s="436">
        <f>IF(NFI_Expiration=1,IF($A525&lt;VLOOKUP(H$5,NFI,5,0),1,0)*Table_NFI[[#This Row],[Hygiene Kit]],Table_NFI[Hygiene Kit])</f>
        <v>0</v>
      </c>
      <c r="Z525" s="436">
        <f>IF(NFI_Expiration=1,IF($A525&lt;VLOOKUP(I$5,NFI,5,0),1,0)*Table_NFI[[#This Row],[NFI Core Kit]],Table_NFI[NFI Core Kit])</f>
        <v>0</v>
      </c>
      <c r="AA525" s="436">
        <f>IF(NFI_Expiration=1,IF($A525&lt;VLOOKUP(J$5,NFI,5,0),1,0)*Table_NFI[[#This Row],[Sanitary Kit]],Table_NFI[Sanitary Kit])</f>
        <v>0</v>
      </c>
      <c r="AB525" s="436">
        <f>IF(NFI_Expiration=1,IF($A525&lt;VLOOKUP(K$5,NFI,5,0),1,0)*Table_NFI[[#This Row],[Mosquito net]],Table_NFI[Mosquito net])</f>
        <v>0</v>
      </c>
      <c r="AC525" s="436">
        <f>IF(NFI_Expiration=1,IF($A525&lt;VLOOKUP(L$5,NFI,5,0),1,0)*Table_NFI[[#This Row],[Tarpaulin]],Table_NFI[[#This Row],[Tarpaulin]])</f>
        <v>0</v>
      </c>
      <c r="AD525" s="436">
        <f>IF(NFI_Expiration=1,IF($A525&lt;VLOOKUP(M$5,NFI,5,0),1,0)*Table_NFI[[#This Row],[Blanket]],Table_NFI[[#This Row],[Blanket]])</f>
        <v>0</v>
      </c>
      <c r="AE525" s="436">
        <f>IF(NFI_Expiration=1,IF($A525&lt;VLOOKUP(N$5,NFI,5,0),1,0)*Table_NFI[[#This Row],[Kitchen Set]],Table_NFI[Kitchen Set])</f>
        <v>0</v>
      </c>
      <c r="AF525" s="436">
        <f>IF(NFI_Expiration=1,IF($A525&lt;VLOOKUP(O$5,NFI,5,0),1,0)*Table_NFI[[#This Row],[Clothes Kit]],Table_NFI[Clothes Kit])</f>
        <v>0</v>
      </c>
      <c r="AG525" s="436">
        <f>IF(NFI_Expiration=1,IF($A525&lt;VLOOKUP(P$5,NFI,5,0),1,0)*Table_NFI[[#This Row],[Plastic Bucket]],Table_NFI[Plastic Bucket])</f>
        <v>0</v>
      </c>
      <c r="AH525" s="436">
        <f>IF(NFI_Expiration=1,IF($A525&lt;VLOOKUP(Q$5,NFI,5,0),1,0)*Table_NFI[[#This Row],[Plastic Mat]],Table_NFI[Plastic Mat])*IF(Table_NFI[[#This Row],[Distribution Date]]&gt;"2014-04-01",1,2.5)</f>
        <v>0</v>
      </c>
      <c r="AI525" s="436">
        <f>IF(NFI_Expiration=1,IF($A525&lt;VLOOKUP(R$5,NFI,5,0),1,0)*Table_NFI[[#This Row],[Winter Clothes Adult]],Table_NFI[Winter Clothes Adult])</f>
        <v>0</v>
      </c>
      <c r="AJ525" s="436">
        <f>IF(NFI_Expiration=1,IF($A525&lt;VLOOKUP(S$5,NFI,5,0),1,0)*Table_NFI[[#This Row],[Winter Clothes Children]],Table_NFI[Winter Clothes Children])</f>
        <v>0</v>
      </c>
      <c r="AK525" s="436">
        <f>IF(NFI_Expiration=1,IF($A525&lt;VLOOKUP(T$5,NFI,5,0),1,0)*Table_NFI[[#This Row],[Winter Items Other]],Table_NFI[Winter Items Other])</f>
        <v>0</v>
      </c>
      <c r="AL525" s="436">
        <f>IF(NFI_Expiration=1,IF($A525&lt;VLOOKUP(M$5,NFI,5,0),1,0)*Table_NFI[[#This Row],[Winter Blanket]],Table_NFI[[#This Row],[Winter Blanket]])</f>
        <v>0</v>
      </c>
      <c r="AM525" s="436">
        <f>IF(Table_NFI[[#This Row],[Winter Clothes Adult]]+Table_NFI[[#This Row],[Winter Clothes Children]]+Table_NFI[[#This Row],[Winter Items Other]]+Table_NFI[[#This Row],[Winter Blanket]]&gt;0,1,0)</f>
        <v>0</v>
      </c>
      <c r="AN525" s="439">
        <f>IF(NFI_Expiration=1,IF($A525&lt;VLOOKUP(V$5,NFI,5,0),1,0)*Table_NFI[[#This Row],[Jerry Can]],Table_NFI[Jerry Can])</f>
        <v>0</v>
      </c>
      <c r="AO525" s="771" t="str">
        <f>IFERROR(VLOOKUP(Table_NFI[[#This Row],[Camp Name]],CL,2,0),"")</f>
        <v>MMR001CMP218</v>
      </c>
      <c r="AP525" s="772">
        <f ca="1">IF(Table_NFI[[#This Row],[Pcode]]="","",IF(OFFSET(CampList[Opening Date],MATCH(Table_NFI[[#This Row],[Pcode]],CampList[CP_Pcode],0)-1,0,1,1)&gt;=NFI_Monitor_Date,1,0))</f>
        <v>0</v>
      </c>
      <c r="AQ525" s="781" t="str">
        <f>IFERROR(VLOOKUP(Table_NFI[[#This Row],[Camp Name]],CL,3,0),"")</f>
        <v>Open</v>
      </c>
      <c r="AR525" s="439" t="str">
        <f ca="1">IF(Table_NFI[[#This Row],[Pcode]]="","",OFFSET(CampList[Priority],MATCH(Table_NFI[[#This Row],[Pcode]],CampList[CP_Pcode],0)-1,0,1,1))</f>
        <v>P4</v>
      </c>
      <c r="AS525" s="438">
        <f>IFERROR(Table_NFI[[#This Row],[Kitchen Set]]/VLOOKUP(Table_NFI[[#This Row],[Camp Name]],CL,4,0),"")</f>
        <v>0</v>
      </c>
      <c r="AT525" s="769"/>
      <c r="AU525" s="773"/>
    </row>
    <row r="526" spans="1:47" s="774" customFormat="1" x14ac:dyDescent="0.25">
      <c r="A526" s="451">
        <f t="shared" si="8"/>
        <v>30.5</v>
      </c>
      <c r="B526" s="768">
        <v>41455</v>
      </c>
      <c r="C526" s="769" t="s">
        <v>454</v>
      </c>
      <c r="D526" s="769"/>
      <c r="E526" s="769" t="s">
        <v>380</v>
      </c>
      <c r="F526" s="769" t="s">
        <v>151</v>
      </c>
      <c r="G526" s="769" t="s">
        <v>949</v>
      </c>
      <c r="H526" s="436"/>
      <c r="I526" s="436"/>
      <c r="J526" s="436"/>
      <c r="K526" s="436">
        <v>50</v>
      </c>
      <c r="L526" s="437">
        <v>15</v>
      </c>
      <c r="M526" s="437"/>
      <c r="N526" s="437">
        <v>15</v>
      </c>
      <c r="O526" s="437"/>
      <c r="P526" s="439">
        <v>15</v>
      </c>
      <c r="Q526" s="439">
        <v>60</v>
      </c>
      <c r="R526" s="436"/>
      <c r="S526" s="436"/>
      <c r="T526" s="436"/>
      <c r="U526" s="436"/>
      <c r="V526" s="436"/>
      <c r="W526" s="436"/>
      <c r="X526" s="436"/>
      <c r="Y526" s="436">
        <f>IF(NFI_Expiration=1,IF($A526&lt;VLOOKUP(H$5,NFI,5,0),1,0)*Table_NFI[[#This Row],[Hygiene Kit]],Table_NFI[Hygiene Kit])</f>
        <v>0</v>
      </c>
      <c r="Z526" s="436">
        <f>IF(NFI_Expiration=1,IF($A526&lt;VLOOKUP(I$5,NFI,5,0),1,0)*Table_NFI[[#This Row],[NFI Core Kit]],Table_NFI[NFI Core Kit])</f>
        <v>0</v>
      </c>
      <c r="AA526" s="436">
        <f>IF(NFI_Expiration=1,IF($A526&lt;VLOOKUP(J$5,NFI,5,0),1,0)*Table_NFI[[#This Row],[Sanitary Kit]],Table_NFI[Sanitary Kit])</f>
        <v>0</v>
      </c>
      <c r="AB526" s="436">
        <f>IF(NFI_Expiration=1,IF($A526&lt;VLOOKUP(K$5,NFI,5,0),1,0)*Table_NFI[[#This Row],[Mosquito net]],Table_NFI[Mosquito net])</f>
        <v>0</v>
      </c>
      <c r="AC526" s="436">
        <f>IF(NFI_Expiration=1,IF($A526&lt;VLOOKUP(L$5,NFI,5,0),1,0)*Table_NFI[[#This Row],[Tarpaulin]],Table_NFI[[#This Row],[Tarpaulin]])</f>
        <v>0</v>
      </c>
      <c r="AD526" s="436">
        <f>IF(NFI_Expiration=1,IF($A526&lt;VLOOKUP(M$5,NFI,5,0),1,0)*Table_NFI[[#This Row],[Blanket]],Table_NFI[[#This Row],[Blanket]])</f>
        <v>0</v>
      </c>
      <c r="AE526" s="436">
        <f>IF(NFI_Expiration=1,IF($A526&lt;VLOOKUP(N$5,NFI,5,0),1,0)*Table_NFI[[#This Row],[Kitchen Set]],Table_NFI[Kitchen Set])</f>
        <v>0</v>
      </c>
      <c r="AF526" s="436">
        <f>IF(NFI_Expiration=1,IF($A526&lt;VLOOKUP(O$5,NFI,5,0),1,0)*Table_NFI[[#This Row],[Clothes Kit]],Table_NFI[Clothes Kit])</f>
        <v>0</v>
      </c>
      <c r="AG526" s="436">
        <f>IF(NFI_Expiration=1,IF($A526&lt;VLOOKUP(P$5,NFI,5,0),1,0)*Table_NFI[[#This Row],[Plastic Bucket]],Table_NFI[Plastic Bucket])</f>
        <v>0</v>
      </c>
      <c r="AH526" s="436">
        <f>IF(NFI_Expiration=1,IF($A526&lt;VLOOKUP(Q$5,NFI,5,0),1,0)*Table_NFI[[#This Row],[Plastic Mat]],Table_NFI[Plastic Mat])*IF(Table_NFI[[#This Row],[Distribution Date]]&gt;"2014-04-01",1,2.5)</f>
        <v>0</v>
      </c>
      <c r="AI526" s="436">
        <f>IF(NFI_Expiration=1,IF($A526&lt;VLOOKUP(R$5,NFI,5,0),1,0)*Table_NFI[[#This Row],[Winter Clothes Adult]],Table_NFI[Winter Clothes Adult])</f>
        <v>0</v>
      </c>
      <c r="AJ526" s="436">
        <f>IF(NFI_Expiration=1,IF($A526&lt;VLOOKUP(S$5,NFI,5,0),1,0)*Table_NFI[[#This Row],[Winter Clothes Children]],Table_NFI[Winter Clothes Children])</f>
        <v>0</v>
      </c>
      <c r="AK526" s="436">
        <f>IF(NFI_Expiration=1,IF($A526&lt;VLOOKUP(T$5,NFI,5,0),1,0)*Table_NFI[[#This Row],[Winter Items Other]],Table_NFI[Winter Items Other])</f>
        <v>0</v>
      </c>
      <c r="AL526" s="436">
        <f>IF(NFI_Expiration=1,IF($A526&lt;VLOOKUP(M$5,NFI,5,0),1,0)*Table_NFI[[#This Row],[Winter Blanket]],Table_NFI[[#This Row],[Winter Blanket]])</f>
        <v>0</v>
      </c>
      <c r="AM526" s="436">
        <f>IF(Table_NFI[[#This Row],[Winter Clothes Adult]]+Table_NFI[[#This Row],[Winter Clothes Children]]+Table_NFI[[#This Row],[Winter Items Other]]+Table_NFI[[#This Row],[Winter Blanket]]&gt;0,1,0)</f>
        <v>0</v>
      </c>
      <c r="AN526" s="439">
        <f>IF(NFI_Expiration=1,IF($A526&lt;VLOOKUP(V$5,NFI,5,0),1,0)*Table_NFI[[#This Row],[Jerry Can]],Table_NFI[Jerry Can])</f>
        <v>0</v>
      </c>
      <c r="AO526" s="771" t="str">
        <f>IFERROR(VLOOKUP(Table_NFI[[#This Row],[Camp Name]],CL,2,0),"")</f>
        <v>MMR001CMP223</v>
      </c>
      <c r="AP526" s="772">
        <f ca="1">IF(Table_NFI[[#This Row],[Pcode]]="","",IF(OFFSET(CampList[Opening Date],MATCH(Table_NFI[[#This Row],[Pcode]],CampList[CP_Pcode],0)-1,0,1,1)&gt;=NFI_Monitor_Date,1,0))</f>
        <v>0</v>
      </c>
      <c r="AQ526" s="781" t="str">
        <f>IFERROR(VLOOKUP(Table_NFI[[#This Row],[Camp Name]],CL,3,0),"")</f>
        <v>Open</v>
      </c>
      <c r="AR526" s="439" t="str">
        <f ca="1">IF(Table_NFI[[#This Row],[Pcode]]="","",OFFSET(CampList[Priority],MATCH(Table_NFI[[#This Row],[Pcode]],CampList[CP_Pcode],0)-1,0,1,1))</f>
        <v>P4</v>
      </c>
      <c r="AS526" s="438">
        <f>IFERROR(Table_NFI[[#This Row],[Kitchen Set]]/VLOOKUP(Table_NFI[[#This Row],[Camp Name]],CL,4,0),"")</f>
        <v>0.12195121951219512</v>
      </c>
      <c r="AT526" s="769"/>
      <c r="AU526" s="773"/>
    </row>
    <row r="527" spans="1:47" s="774" customFormat="1" x14ac:dyDescent="0.25">
      <c r="A527" s="451">
        <f t="shared" si="8"/>
        <v>30.533333333333335</v>
      </c>
      <c r="B527" s="768">
        <v>41454</v>
      </c>
      <c r="C527" s="769" t="s">
        <v>454</v>
      </c>
      <c r="D527" s="769"/>
      <c r="E527" s="769" t="s">
        <v>380</v>
      </c>
      <c r="F527" s="769" t="s">
        <v>151</v>
      </c>
      <c r="G527" s="769" t="s">
        <v>891</v>
      </c>
      <c r="H527" s="436"/>
      <c r="I527" s="436"/>
      <c r="J527" s="436"/>
      <c r="K527" s="436"/>
      <c r="L527" s="437">
        <v>19</v>
      </c>
      <c r="M527" s="437"/>
      <c r="N527" s="437">
        <v>19</v>
      </c>
      <c r="O527" s="437"/>
      <c r="P527" s="439"/>
      <c r="Q527" s="439">
        <v>100</v>
      </c>
      <c r="R527" s="436"/>
      <c r="S527" s="436"/>
      <c r="T527" s="436"/>
      <c r="U527" s="436"/>
      <c r="V527" s="436"/>
      <c r="W527" s="436"/>
      <c r="X527" s="436"/>
      <c r="Y527" s="436">
        <f>IF(NFI_Expiration=1,IF($A527&lt;VLOOKUP(H$5,NFI,5,0),1,0)*Table_NFI[[#This Row],[Hygiene Kit]],Table_NFI[Hygiene Kit])</f>
        <v>0</v>
      </c>
      <c r="Z527" s="436">
        <f>IF(NFI_Expiration=1,IF($A527&lt;VLOOKUP(I$5,NFI,5,0),1,0)*Table_NFI[[#This Row],[NFI Core Kit]],Table_NFI[NFI Core Kit])</f>
        <v>0</v>
      </c>
      <c r="AA527" s="436">
        <f>IF(NFI_Expiration=1,IF($A527&lt;VLOOKUP(J$5,NFI,5,0),1,0)*Table_NFI[[#This Row],[Sanitary Kit]],Table_NFI[Sanitary Kit])</f>
        <v>0</v>
      </c>
      <c r="AB527" s="436">
        <f>IF(NFI_Expiration=1,IF($A527&lt;VLOOKUP(K$5,NFI,5,0),1,0)*Table_NFI[[#This Row],[Mosquito net]],Table_NFI[Mosquito net])</f>
        <v>0</v>
      </c>
      <c r="AC527" s="436">
        <f>IF(NFI_Expiration=1,IF($A527&lt;VLOOKUP(L$5,NFI,5,0),1,0)*Table_NFI[[#This Row],[Tarpaulin]],Table_NFI[[#This Row],[Tarpaulin]])</f>
        <v>0</v>
      </c>
      <c r="AD527" s="436">
        <f>IF(NFI_Expiration=1,IF($A527&lt;VLOOKUP(M$5,NFI,5,0),1,0)*Table_NFI[[#This Row],[Blanket]],Table_NFI[[#This Row],[Blanket]])</f>
        <v>0</v>
      </c>
      <c r="AE527" s="436">
        <f>IF(NFI_Expiration=1,IF($A527&lt;VLOOKUP(N$5,NFI,5,0),1,0)*Table_NFI[[#This Row],[Kitchen Set]],Table_NFI[Kitchen Set])</f>
        <v>0</v>
      </c>
      <c r="AF527" s="436">
        <f>IF(NFI_Expiration=1,IF($A527&lt;VLOOKUP(O$5,NFI,5,0),1,0)*Table_NFI[[#This Row],[Clothes Kit]],Table_NFI[Clothes Kit])</f>
        <v>0</v>
      </c>
      <c r="AG527" s="436">
        <f>IF(NFI_Expiration=1,IF($A527&lt;VLOOKUP(P$5,NFI,5,0),1,0)*Table_NFI[[#This Row],[Plastic Bucket]],Table_NFI[Plastic Bucket])</f>
        <v>0</v>
      </c>
      <c r="AH527" s="436">
        <f>IF(NFI_Expiration=1,IF($A527&lt;VLOOKUP(Q$5,NFI,5,0),1,0)*Table_NFI[[#This Row],[Plastic Mat]],Table_NFI[Plastic Mat])*IF(Table_NFI[[#This Row],[Distribution Date]]&gt;"2014-04-01",1,2.5)</f>
        <v>0</v>
      </c>
      <c r="AI527" s="436">
        <f>IF(NFI_Expiration=1,IF($A527&lt;VLOOKUP(R$5,NFI,5,0),1,0)*Table_NFI[[#This Row],[Winter Clothes Adult]],Table_NFI[Winter Clothes Adult])</f>
        <v>0</v>
      </c>
      <c r="AJ527" s="436">
        <f>IF(NFI_Expiration=1,IF($A527&lt;VLOOKUP(S$5,NFI,5,0),1,0)*Table_NFI[[#This Row],[Winter Clothes Children]],Table_NFI[Winter Clothes Children])</f>
        <v>0</v>
      </c>
      <c r="AK527" s="436">
        <f>IF(NFI_Expiration=1,IF($A527&lt;VLOOKUP(T$5,NFI,5,0),1,0)*Table_NFI[[#This Row],[Winter Items Other]],Table_NFI[Winter Items Other])</f>
        <v>0</v>
      </c>
      <c r="AL527" s="436">
        <f>IF(NFI_Expiration=1,IF($A527&lt;VLOOKUP(M$5,NFI,5,0),1,0)*Table_NFI[[#This Row],[Winter Blanket]],Table_NFI[[#This Row],[Winter Blanket]])</f>
        <v>0</v>
      </c>
      <c r="AM527" s="436">
        <f>IF(Table_NFI[[#This Row],[Winter Clothes Adult]]+Table_NFI[[#This Row],[Winter Clothes Children]]+Table_NFI[[#This Row],[Winter Items Other]]+Table_NFI[[#This Row],[Winter Blanket]]&gt;0,1,0)</f>
        <v>0</v>
      </c>
      <c r="AN527" s="439">
        <f>IF(NFI_Expiration=1,IF($A527&lt;VLOOKUP(V$5,NFI,5,0),1,0)*Table_NFI[[#This Row],[Jerry Can]],Table_NFI[Jerry Can])</f>
        <v>0</v>
      </c>
      <c r="AO527" s="771" t="str">
        <f>IFERROR(VLOOKUP(Table_NFI[[#This Row],[Camp Name]],CL,2,0),"")</f>
        <v>MMR001CMP218</v>
      </c>
      <c r="AP527" s="772">
        <f ca="1">IF(Table_NFI[[#This Row],[Pcode]]="","",IF(OFFSET(CampList[Opening Date],MATCH(Table_NFI[[#This Row],[Pcode]],CampList[CP_Pcode],0)-1,0,1,1)&gt;=NFI_Monitor_Date,1,0))</f>
        <v>0</v>
      </c>
      <c r="AQ527" s="781" t="str">
        <f>IFERROR(VLOOKUP(Table_NFI[[#This Row],[Camp Name]],CL,3,0),"")</f>
        <v>Open</v>
      </c>
      <c r="AR527" s="439" t="str">
        <f ca="1">IF(Table_NFI[[#This Row],[Pcode]]="","",OFFSET(CampList[Priority],MATCH(Table_NFI[[#This Row],[Pcode]],CampList[CP_Pcode],0)-1,0,1,1))</f>
        <v>P4</v>
      </c>
      <c r="AS527" s="438">
        <f>IFERROR(Table_NFI[[#This Row],[Kitchen Set]]/VLOOKUP(Table_NFI[[#This Row],[Camp Name]],CL,4,0),"")</f>
        <v>5.1075268817204304E-2</v>
      </c>
      <c r="AT527" s="769"/>
      <c r="AU527" s="773"/>
    </row>
    <row r="528" spans="1:47" s="774" customFormat="1" x14ac:dyDescent="0.25">
      <c r="A528" s="451">
        <f t="shared" si="8"/>
        <v>30.566666666666666</v>
      </c>
      <c r="B528" s="768">
        <v>41453</v>
      </c>
      <c r="C528" s="769" t="s">
        <v>454</v>
      </c>
      <c r="D528" s="769"/>
      <c r="E528" s="769" t="s">
        <v>380</v>
      </c>
      <c r="F528" s="769" t="s">
        <v>151</v>
      </c>
      <c r="G528" s="769" t="s">
        <v>891</v>
      </c>
      <c r="H528" s="436"/>
      <c r="I528" s="436"/>
      <c r="J528" s="436"/>
      <c r="K528" s="436">
        <v>10</v>
      </c>
      <c r="L528" s="437">
        <v>3</v>
      </c>
      <c r="M528" s="437">
        <v>10</v>
      </c>
      <c r="N528" s="437">
        <v>3</v>
      </c>
      <c r="O528" s="437"/>
      <c r="P528" s="439">
        <v>3</v>
      </c>
      <c r="Q528" s="439">
        <v>10</v>
      </c>
      <c r="R528" s="436"/>
      <c r="S528" s="436"/>
      <c r="T528" s="436"/>
      <c r="U528" s="436"/>
      <c r="V528" s="436"/>
      <c r="W528" s="436"/>
      <c r="X528" s="436"/>
      <c r="Y528" s="436">
        <f>IF(NFI_Expiration=1,IF($A528&lt;VLOOKUP(H$5,NFI,5,0),1,0)*Table_NFI[[#This Row],[Hygiene Kit]],Table_NFI[Hygiene Kit])</f>
        <v>0</v>
      </c>
      <c r="Z528" s="436">
        <f>IF(NFI_Expiration=1,IF($A528&lt;VLOOKUP(I$5,NFI,5,0),1,0)*Table_NFI[[#This Row],[NFI Core Kit]],Table_NFI[NFI Core Kit])</f>
        <v>0</v>
      </c>
      <c r="AA528" s="436">
        <f>IF(NFI_Expiration=1,IF($A528&lt;VLOOKUP(J$5,NFI,5,0),1,0)*Table_NFI[[#This Row],[Sanitary Kit]],Table_NFI[Sanitary Kit])</f>
        <v>0</v>
      </c>
      <c r="AB528" s="436">
        <f>IF(NFI_Expiration=1,IF($A528&lt;VLOOKUP(K$5,NFI,5,0),1,0)*Table_NFI[[#This Row],[Mosquito net]],Table_NFI[Mosquito net])</f>
        <v>0</v>
      </c>
      <c r="AC528" s="436">
        <f>IF(NFI_Expiration=1,IF($A528&lt;VLOOKUP(L$5,NFI,5,0),1,0)*Table_NFI[[#This Row],[Tarpaulin]],Table_NFI[[#This Row],[Tarpaulin]])</f>
        <v>0</v>
      </c>
      <c r="AD528" s="436">
        <f>IF(NFI_Expiration=1,IF($A528&lt;VLOOKUP(M$5,NFI,5,0),1,0)*Table_NFI[[#This Row],[Blanket]],Table_NFI[[#This Row],[Blanket]])</f>
        <v>0</v>
      </c>
      <c r="AE528" s="436">
        <f>IF(NFI_Expiration=1,IF($A528&lt;VLOOKUP(N$5,NFI,5,0),1,0)*Table_NFI[[#This Row],[Kitchen Set]],Table_NFI[Kitchen Set])</f>
        <v>0</v>
      </c>
      <c r="AF528" s="436">
        <f>IF(NFI_Expiration=1,IF($A528&lt;VLOOKUP(O$5,NFI,5,0),1,0)*Table_NFI[[#This Row],[Clothes Kit]],Table_NFI[Clothes Kit])</f>
        <v>0</v>
      </c>
      <c r="AG528" s="436">
        <f>IF(NFI_Expiration=1,IF($A528&lt;VLOOKUP(P$5,NFI,5,0),1,0)*Table_NFI[[#This Row],[Plastic Bucket]],Table_NFI[Plastic Bucket])</f>
        <v>0</v>
      </c>
      <c r="AH528" s="436">
        <f>IF(NFI_Expiration=1,IF($A528&lt;VLOOKUP(Q$5,NFI,5,0),1,0)*Table_NFI[[#This Row],[Plastic Mat]],Table_NFI[Plastic Mat])*IF(Table_NFI[[#This Row],[Distribution Date]]&gt;"2014-04-01",1,2.5)</f>
        <v>0</v>
      </c>
      <c r="AI528" s="436">
        <f>IF(NFI_Expiration=1,IF($A528&lt;VLOOKUP(R$5,NFI,5,0),1,0)*Table_NFI[[#This Row],[Winter Clothes Adult]],Table_NFI[Winter Clothes Adult])</f>
        <v>0</v>
      </c>
      <c r="AJ528" s="436">
        <f>IF(NFI_Expiration=1,IF($A528&lt;VLOOKUP(S$5,NFI,5,0),1,0)*Table_NFI[[#This Row],[Winter Clothes Children]],Table_NFI[Winter Clothes Children])</f>
        <v>0</v>
      </c>
      <c r="AK528" s="436">
        <f>IF(NFI_Expiration=1,IF($A528&lt;VLOOKUP(T$5,NFI,5,0),1,0)*Table_NFI[[#This Row],[Winter Items Other]],Table_NFI[Winter Items Other])</f>
        <v>0</v>
      </c>
      <c r="AL528" s="436">
        <f>IF(NFI_Expiration=1,IF($A528&lt;VLOOKUP(M$5,NFI,5,0),1,0)*Table_NFI[[#This Row],[Winter Blanket]],Table_NFI[[#This Row],[Winter Blanket]])</f>
        <v>0</v>
      </c>
      <c r="AM528" s="436">
        <f>IF(Table_NFI[[#This Row],[Winter Clothes Adult]]+Table_NFI[[#This Row],[Winter Clothes Children]]+Table_NFI[[#This Row],[Winter Items Other]]+Table_NFI[[#This Row],[Winter Blanket]]&gt;0,1,0)</f>
        <v>0</v>
      </c>
      <c r="AN528" s="439">
        <f>IF(NFI_Expiration=1,IF($A528&lt;VLOOKUP(V$5,NFI,5,0),1,0)*Table_NFI[[#This Row],[Jerry Can]],Table_NFI[Jerry Can])</f>
        <v>0</v>
      </c>
      <c r="AO528" s="771" t="str">
        <f>IFERROR(VLOOKUP(Table_NFI[[#This Row],[Camp Name]],CL,2,0),"")</f>
        <v>MMR001CMP218</v>
      </c>
      <c r="AP528" s="772">
        <f ca="1">IF(Table_NFI[[#This Row],[Pcode]]="","",IF(OFFSET(CampList[Opening Date],MATCH(Table_NFI[[#This Row],[Pcode]],CampList[CP_Pcode],0)-1,0,1,1)&gt;=NFI_Monitor_Date,1,0))</f>
        <v>0</v>
      </c>
      <c r="AQ528" s="781" t="str">
        <f>IFERROR(VLOOKUP(Table_NFI[[#This Row],[Camp Name]],CL,3,0),"")</f>
        <v>Open</v>
      </c>
      <c r="AR528" s="439" t="str">
        <f ca="1">IF(Table_NFI[[#This Row],[Pcode]]="","",OFFSET(CampList[Priority],MATCH(Table_NFI[[#This Row],[Pcode]],CampList[CP_Pcode],0)-1,0,1,1))</f>
        <v>P4</v>
      </c>
      <c r="AS528" s="438">
        <f>IFERROR(Table_NFI[[#This Row],[Kitchen Set]]/VLOOKUP(Table_NFI[[#This Row],[Camp Name]],CL,4,0),"")</f>
        <v>8.0645161290322578E-3</v>
      </c>
      <c r="AT528" s="769"/>
      <c r="AU528" s="773"/>
    </row>
    <row r="529" spans="1:47" s="774" customFormat="1" x14ac:dyDescent="0.25">
      <c r="A529" s="451">
        <f t="shared" si="8"/>
        <v>30.6</v>
      </c>
      <c r="B529" s="768">
        <v>41452</v>
      </c>
      <c r="C529" s="769" t="s">
        <v>454</v>
      </c>
      <c r="D529" s="769"/>
      <c r="E529" s="769" t="s">
        <v>380</v>
      </c>
      <c r="F529" s="769" t="s">
        <v>151</v>
      </c>
      <c r="G529" s="769" t="s">
        <v>891</v>
      </c>
      <c r="H529" s="436"/>
      <c r="I529" s="436"/>
      <c r="J529" s="436"/>
      <c r="K529" s="436">
        <v>54</v>
      </c>
      <c r="L529" s="437">
        <v>18</v>
      </c>
      <c r="M529" s="437">
        <v>45</v>
      </c>
      <c r="N529" s="437">
        <v>18</v>
      </c>
      <c r="O529" s="437"/>
      <c r="P529" s="439">
        <v>18</v>
      </c>
      <c r="Q529" s="439">
        <v>50</v>
      </c>
      <c r="R529" s="436"/>
      <c r="S529" s="436"/>
      <c r="T529" s="436"/>
      <c r="U529" s="436"/>
      <c r="V529" s="436"/>
      <c r="W529" s="436"/>
      <c r="X529" s="436"/>
      <c r="Y529" s="436">
        <f>IF(NFI_Expiration=1,IF($A529&lt;VLOOKUP(H$5,NFI,5,0),1,0)*Table_NFI[[#This Row],[Hygiene Kit]],Table_NFI[Hygiene Kit])</f>
        <v>0</v>
      </c>
      <c r="Z529" s="436">
        <f>IF(NFI_Expiration=1,IF($A529&lt;VLOOKUP(I$5,NFI,5,0),1,0)*Table_NFI[[#This Row],[NFI Core Kit]],Table_NFI[NFI Core Kit])</f>
        <v>0</v>
      </c>
      <c r="AA529" s="436">
        <f>IF(NFI_Expiration=1,IF($A529&lt;VLOOKUP(J$5,NFI,5,0),1,0)*Table_NFI[[#This Row],[Sanitary Kit]],Table_NFI[Sanitary Kit])</f>
        <v>0</v>
      </c>
      <c r="AB529" s="436">
        <f>IF(NFI_Expiration=1,IF($A529&lt;VLOOKUP(K$5,NFI,5,0),1,0)*Table_NFI[[#This Row],[Mosquito net]],Table_NFI[Mosquito net])</f>
        <v>0</v>
      </c>
      <c r="AC529" s="436">
        <f>IF(NFI_Expiration=1,IF($A529&lt;VLOOKUP(L$5,NFI,5,0),1,0)*Table_NFI[[#This Row],[Tarpaulin]],Table_NFI[[#This Row],[Tarpaulin]])</f>
        <v>0</v>
      </c>
      <c r="AD529" s="436">
        <f>IF(NFI_Expiration=1,IF($A529&lt;VLOOKUP(M$5,NFI,5,0),1,0)*Table_NFI[[#This Row],[Blanket]],Table_NFI[[#This Row],[Blanket]])</f>
        <v>0</v>
      </c>
      <c r="AE529" s="436">
        <f>IF(NFI_Expiration=1,IF($A529&lt;VLOOKUP(N$5,NFI,5,0),1,0)*Table_NFI[[#This Row],[Kitchen Set]],Table_NFI[Kitchen Set])</f>
        <v>0</v>
      </c>
      <c r="AF529" s="436">
        <f>IF(NFI_Expiration=1,IF($A529&lt;VLOOKUP(O$5,NFI,5,0),1,0)*Table_NFI[[#This Row],[Clothes Kit]],Table_NFI[Clothes Kit])</f>
        <v>0</v>
      </c>
      <c r="AG529" s="436">
        <f>IF(NFI_Expiration=1,IF($A529&lt;VLOOKUP(P$5,NFI,5,0),1,0)*Table_NFI[[#This Row],[Plastic Bucket]],Table_NFI[Plastic Bucket])</f>
        <v>0</v>
      </c>
      <c r="AH529" s="436">
        <f>IF(NFI_Expiration=1,IF($A529&lt;VLOOKUP(Q$5,NFI,5,0),1,0)*Table_NFI[[#This Row],[Plastic Mat]],Table_NFI[Plastic Mat])*IF(Table_NFI[[#This Row],[Distribution Date]]&gt;"2014-04-01",1,2.5)</f>
        <v>0</v>
      </c>
      <c r="AI529" s="436">
        <f>IF(NFI_Expiration=1,IF($A529&lt;VLOOKUP(R$5,NFI,5,0),1,0)*Table_NFI[[#This Row],[Winter Clothes Adult]],Table_NFI[Winter Clothes Adult])</f>
        <v>0</v>
      </c>
      <c r="AJ529" s="436">
        <f>IF(NFI_Expiration=1,IF($A529&lt;VLOOKUP(S$5,NFI,5,0),1,0)*Table_NFI[[#This Row],[Winter Clothes Children]],Table_NFI[Winter Clothes Children])</f>
        <v>0</v>
      </c>
      <c r="AK529" s="436">
        <f>IF(NFI_Expiration=1,IF($A529&lt;VLOOKUP(T$5,NFI,5,0),1,0)*Table_NFI[[#This Row],[Winter Items Other]],Table_NFI[Winter Items Other])</f>
        <v>0</v>
      </c>
      <c r="AL529" s="436">
        <f>IF(NFI_Expiration=1,IF($A529&lt;VLOOKUP(M$5,NFI,5,0),1,0)*Table_NFI[[#This Row],[Winter Blanket]],Table_NFI[[#This Row],[Winter Blanket]])</f>
        <v>0</v>
      </c>
      <c r="AM529" s="436">
        <f>IF(Table_NFI[[#This Row],[Winter Clothes Adult]]+Table_NFI[[#This Row],[Winter Clothes Children]]+Table_NFI[[#This Row],[Winter Items Other]]+Table_NFI[[#This Row],[Winter Blanket]]&gt;0,1,0)</f>
        <v>0</v>
      </c>
      <c r="AN529" s="439">
        <f>IF(NFI_Expiration=1,IF($A529&lt;VLOOKUP(V$5,NFI,5,0),1,0)*Table_NFI[[#This Row],[Jerry Can]],Table_NFI[Jerry Can])</f>
        <v>0</v>
      </c>
      <c r="AO529" s="771" t="str">
        <f>IFERROR(VLOOKUP(Table_NFI[[#This Row],[Camp Name]],CL,2,0),"")</f>
        <v>MMR001CMP218</v>
      </c>
      <c r="AP529" s="772">
        <f ca="1">IF(Table_NFI[[#This Row],[Pcode]]="","",IF(OFFSET(CampList[Opening Date],MATCH(Table_NFI[[#This Row],[Pcode]],CampList[CP_Pcode],0)-1,0,1,1)&gt;=NFI_Monitor_Date,1,0))</f>
        <v>0</v>
      </c>
      <c r="AQ529" s="781" t="str">
        <f>IFERROR(VLOOKUP(Table_NFI[[#This Row],[Camp Name]],CL,3,0),"")</f>
        <v>Open</v>
      </c>
      <c r="AR529" s="439" t="str">
        <f ca="1">IF(Table_NFI[[#This Row],[Pcode]]="","",OFFSET(CampList[Priority],MATCH(Table_NFI[[#This Row],[Pcode]],CampList[CP_Pcode],0)-1,0,1,1))</f>
        <v>P4</v>
      </c>
      <c r="AS529" s="438">
        <f>IFERROR(Table_NFI[[#This Row],[Kitchen Set]]/VLOOKUP(Table_NFI[[#This Row],[Camp Name]],CL,4,0),"")</f>
        <v>4.8387096774193547E-2</v>
      </c>
      <c r="AT529" s="769"/>
      <c r="AU529" s="773"/>
    </row>
    <row r="530" spans="1:47" s="774" customFormat="1" x14ac:dyDescent="0.25">
      <c r="A530" s="451">
        <f t="shared" si="8"/>
        <v>31.033333333333335</v>
      </c>
      <c r="B530" s="768">
        <v>41439</v>
      </c>
      <c r="C530" s="769" t="s">
        <v>454</v>
      </c>
      <c r="D530" s="770" t="s">
        <v>454</v>
      </c>
      <c r="E530" s="769" t="s">
        <v>380</v>
      </c>
      <c r="F530" s="435" t="s">
        <v>185</v>
      </c>
      <c r="G530" s="435" t="s">
        <v>219</v>
      </c>
      <c r="H530" s="436"/>
      <c r="I530" s="436"/>
      <c r="J530" s="436">
        <v>42</v>
      </c>
      <c r="K530" s="436">
        <v>42</v>
      </c>
      <c r="L530" s="437">
        <v>21</v>
      </c>
      <c r="M530" s="437">
        <v>42</v>
      </c>
      <c r="N530" s="437">
        <v>21</v>
      </c>
      <c r="O530" s="437">
        <v>21</v>
      </c>
      <c r="P530" s="437">
        <v>21</v>
      </c>
      <c r="Q530" s="437">
        <v>21</v>
      </c>
      <c r="R530" s="436"/>
      <c r="S530" s="436"/>
      <c r="T530" s="436"/>
      <c r="U530" s="436"/>
      <c r="V530" s="436"/>
      <c r="W530" s="436"/>
      <c r="X530" s="436"/>
      <c r="Y530" s="436">
        <f>IF(NFI_Expiration=1,IF($A530&lt;VLOOKUP(H$5,NFI,5,0),1,0)*Table_NFI[[#This Row],[Hygiene Kit]],Table_NFI[Hygiene Kit])</f>
        <v>0</v>
      </c>
      <c r="Z530" s="436">
        <f>IF(NFI_Expiration=1,IF($A530&lt;VLOOKUP(I$5,NFI,5,0),1,0)*Table_NFI[[#This Row],[NFI Core Kit]],Table_NFI[NFI Core Kit])</f>
        <v>0</v>
      </c>
      <c r="AA530" s="436">
        <f>IF(NFI_Expiration=1,IF($A530&lt;VLOOKUP(J$5,NFI,5,0),1,0)*Table_NFI[[#This Row],[Sanitary Kit]],Table_NFI[Sanitary Kit])</f>
        <v>0</v>
      </c>
      <c r="AB530" s="436">
        <f>IF(NFI_Expiration=1,IF($A530&lt;VLOOKUP(K$5,NFI,5,0),1,0)*Table_NFI[[#This Row],[Mosquito net]],Table_NFI[Mosquito net])</f>
        <v>0</v>
      </c>
      <c r="AC530" s="436">
        <f>IF(NFI_Expiration=1,IF($A530&lt;VLOOKUP(L$5,NFI,5,0),1,0)*Table_NFI[[#This Row],[Tarpaulin]],Table_NFI[[#This Row],[Tarpaulin]])</f>
        <v>0</v>
      </c>
      <c r="AD530" s="436">
        <f>IF(NFI_Expiration=1,IF($A530&lt;VLOOKUP(M$5,NFI,5,0),1,0)*Table_NFI[[#This Row],[Blanket]],Table_NFI[[#This Row],[Blanket]])</f>
        <v>0</v>
      </c>
      <c r="AE530" s="436">
        <f>IF(NFI_Expiration=1,IF($A530&lt;VLOOKUP(N$5,NFI,5,0),1,0)*Table_NFI[[#This Row],[Kitchen Set]],Table_NFI[Kitchen Set])</f>
        <v>0</v>
      </c>
      <c r="AF530" s="436">
        <f>IF(NFI_Expiration=1,IF($A530&lt;VLOOKUP(O$5,NFI,5,0),1,0)*Table_NFI[[#This Row],[Clothes Kit]],Table_NFI[Clothes Kit])</f>
        <v>0</v>
      </c>
      <c r="AG530" s="436">
        <f>IF(NFI_Expiration=1,IF($A530&lt;VLOOKUP(P$5,NFI,5,0),1,0)*Table_NFI[[#This Row],[Plastic Bucket]],Table_NFI[Plastic Bucket])</f>
        <v>0</v>
      </c>
      <c r="AH530" s="436">
        <f>IF(NFI_Expiration=1,IF($A530&lt;VLOOKUP(Q$5,NFI,5,0),1,0)*Table_NFI[[#This Row],[Plastic Mat]],Table_NFI[Plastic Mat])*IF(Table_NFI[[#This Row],[Distribution Date]]&gt;"2014-04-01",1,2.5)</f>
        <v>0</v>
      </c>
      <c r="AI530" s="436">
        <f>IF(NFI_Expiration=1,IF($A530&lt;VLOOKUP(R$5,NFI,5,0),1,0)*Table_NFI[[#This Row],[Winter Clothes Adult]],Table_NFI[Winter Clothes Adult])</f>
        <v>0</v>
      </c>
      <c r="AJ530" s="436">
        <f>IF(NFI_Expiration=1,IF($A530&lt;VLOOKUP(S$5,NFI,5,0),1,0)*Table_NFI[[#This Row],[Winter Clothes Children]],Table_NFI[Winter Clothes Children])</f>
        <v>0</v>
      </c>
      <c r="AK530" s="436">
        <f>IF(NFI_Expiration=1,IF($A530&lt;VLOOKUP(T$5,NFI,5,0),1,0)*Table_NFI[[#This Row],[Winter Items Other]],Table_NFI[Winter Items Other])</f>
        <v>0</v>
      </c>
      <c r="AL530" s="436">
        <f>IF(NFI_Expiration=1,IF($A530&lt;VLOOKUP(M$5,NFI,5,0),1,0)*Table_NFI[[#This Row],[Winter Blanket]],Table_NFI[[#This Row],[Winter Blanket]])</f>
        <v>0</v>
      </c>
      <c r="AM530" s="436">
        <f>IF(Table_NFI[[#This Row],[Winter Clothes Adult]]+Table_NFI[[#This Row],[Winter Clothes Children]]+Table_NFI[[#This Row],[Winter Items Other]]+Table_NFI[[#This Row],[Winter Blanket]]&gt;0,1,0)</f>
        <v>0</v>
      </c>
      <c r="AN530" s="439">
        <f>IF(NFI_Expiration=1,IF($A530&lt;VLOOKUP(V$5,NFI,5,0),1,0)*Table_NFI[[#This Row],[Jerry Can]],Table_NFI[Jerry Can])</f>
        <v>0</v>
      </c>
      <c r="AO530" s="771" t="str">
        <f>IFERROR(VLOOKUP(Table_NFI[[#This Row],[Camp Name]],CL,2,0),"")</f>
        <v>MMR001CMP126</v>
      </c>
      <c r="AP530" s="772">
        <f ca="1">IF(Table_NFI[[#This Row],[Pcode]]="","",IF(OFFSET(CampList[Opening Date],MATCH(Table_NFI[[#This Row],[Pcode]],CampList[CP_Pcode],0)-1,0,1,1)&gt;=NFI_Monitor_Date,1,0))</f>
        <v>0</v>
      </c>
      <c r="AQ530" s="781" t="str">
        <f>IFERROR(VLOOKUP(Table_NFI[[#This Row],[Camp Name]],CL,3,0),"")</f>
        <v>Open</v>
      </c>
      <c r="AR530" s="439" t="str">
        <f ca="1">IF(Table_NFI[[#This Row],[Pcode]]="","",OFFSET(CampList[Priority],MATCH(Table_NFI[[#This Row],[Pcode]],CampList[CP_Pcode],0)-1,0,1,1))</f>
        <v>P2</v>
      </c>
      <c r="AS530" s="438">
        <f>IFERROR(Table_NFI[[#This Row],[Kitchen Set]]/VLOOKUP(Table_NFI[[#This Row],[Camp Name]],CL,4,0),"")</f>
        <v>3.10192023633678E-2</v>
      </c>
      <c r="AT530" s="769" t="s">
        <v>1099</v>
      </c>
      <c r="AU530" s="773"/>
    </row>
    <row r="531" spans="1:47" s="774" customFormat="1" x14ac:dyDescent="0.25">
      <c r="A531" s="451">
        <f t="shared" si="8"/>
        <v>31.066666666666666</v>
      </c>
      <c r="B531" s="768">
        <v>41438</v>
      </c>
      <c r="C531" s="769" t="s">
        <v>454</v>
      </c>
      <c r="D531" s="770" t="s">
        <v>454</v>
      </c>
      <c r="E531" s="769" t="s">
        <v>380</v>
      </c>
      <c r="F531" s="435" t="s">
        <v>185</v>
      </c>
      <c r="G531" s="435" t="s">
        <v>186</v>
      </c>
      <c r="H531" s="436"/>
      <c r="I531" s="436"/>
      <c r="J531" s="436">
        <v>152</v>
      </c>
      <c r="K531" s="436">
        <v>11</v>
      </c>
      <c r="L531" s="437">
        <v>4</v>
      </c>
      <c r="M531" s="437">
        <v>11</v>
      </c>
      <c r="N531" s="437">
        <v>4</v>
      </c>
      <c r="O531" s="437">
        <v>4</v>
      </c>
      <c r="P531" s="437">
        <v>4</v>
      </c>
      <c r="Q531" s="437">
        <v>4</v>
      </c>
      <c r="R531" s="436"/>
      <c r="S531" s="436"/>
      <c r="T531" s="436"/>
      <c r="U531" s="436"/>
      <c r="V531" s="436"/>
      <c r="W531" s="436"/>
      <c r="X531" s="436"/>
      <c r="Y531" s="436">
        <f>IF(NFI_Expiration=1,IF($A531&lt;VLOOKUP(H$5,NFI,5,0),1,0)*Table_NFI[[#This Row],[Hygiene Kit]],Table_NFI[Hygiene Kit])</f>
        <v>0</v>
      </c>
      <c r="Z531" s="436">
        <f>IF(NFI_Expiration=1,IF($A531&lt;VLOOKUP(I$5,NFI,5,0),1,0)*Table_NFI[[#This Row],[NFI Core Kit]],Table_NFI[NFI Core Kit])</f>
        <v>0</v>
      </c>
      <c r="AA531" s="436">
        <f>IF(NFI_Expiration=1,IF($A531&lt;VLOOKUP(J$5,NFI,5,0),1,0)*Table_NFI[[#This Row],[Sanitary Kit]],Table_NFI[Sanitary Kit])</f>
        <v>0</v>
      </c>
      <c r="AB531" s="436">
        <f>IF(NFI_Expiration=1,IF($A531&lt;VLOOKUP(K$5,NFI,5,0),1,0)*Table_NFI[[#This Row],[Mosquito net]],Table_NFI[Mosquito net])</f>
        <v>0</v>
      </c>
      <c r="AC531" s="436">
        <f>IF(NFI_Expiration=1,IF($A531&lt;VLOOKUP(L$5,NFI,5,0),1,0)*Table_NFI[[#This Row],[Tarpaulin]],Table_NFI[[#This Row],[Tarpaulin]])</f>
        <v>0</v>
      </c>
      <c r="AD531" s="436">
        <f>IF(NFI_Expiration=1,IF($A531&lt;VLOOKUP(M$5,NFI,5,0),1,0)*Table_NFI[[#This Row],[Blanket]],Table_NFI[[#This Row],[Blanket]])</f>
        <v>0</v>
      </c>
      <c r="AE531" s="436">
        <f>IF(NFI_Expiration=1,IF($A531&lt;VLOOKUP(N$5,NFI,5,0),1,0)*Table_NFI[[#This Row],[Kitchen Set]],Table_NFI[Kitchen Set])</f>
        <v>0</v>
      </c>
      <c r="AF531" s="436">
        <f>IF(NFI_Expiration=1,IF($A531&lt;VLOOKUP(O$5,NFI,5,0),1,0)*Table_NFI[[#This Row],[Clothes Kit]],Table_NFI[Clothes Kit])</f>
        <v>0</v>
      </c>
      <c r="AG531" s="436">
        <f>IF(NFI_Expiration=1,IF($A531&lt;VLOOKUP(P$5,NFI,5,0),1,0)*Table_NFI[[#This Row],[Plastic Bucket]],Table_NFI[Plastic Bucket])</f>
        <v>0</v>
      </c>
      <c r="AH531" s="436">
        <f>IF(NFI_Expiration=1,IF($A531&lt;VLOOKUP(Q$5,NFI,5,0),1,0)*Table_NFI[[#This Row],[Plastic Mat]],Table_NFI[Plastic Mat])*IF(Table_NFI[[#This Row],[Distribution Date]]&gt;"2014-04-01",1,2.5)</f>
        <v>0</v>
      </c>
      <c r="AI531" s="436">
        <f>IF(NFI_Expiration=1,IF($A531&lt;VLOOKUP(R$5,NFI,5,0),1,0)*Table_NFI[[#This Row],[Winter Clothes Adult]],Table_NFI[Winter Clothes Adult])</f>
        <v>0</v>
      </c>
      <c r="AJ531" s="436">
        <f>IF(NFI_Expiration=1,IF($A531&lt;VLOOKUP(S$5,NFI,5,0),1,0)*Table_NFI[[#This Row],[Winter Clothes Children]],Table_NFI[Winter Clothes Children])</f>
        <v>0</v>
      </c>
      <c r="AK531" s="436">
        <f>IF(NFI_Expiration=1,IF($A531&lt;VLOOKUP(T$5,NFI,5,0),1,0)*Table_NFI[[#This Row],[Winter Items Other]],Table_NFI[Winter Items Other])</f>
        <v>0</v>
      </c>
      <c r="AL531" s="436">
        <f>IF(NFI_Expiration=1,IF($A531&lt;VLOOKUP(M$5,NFI,5,0),1,0)*Table_NFI[[#This Row],[Winter Blanket]],Table_NFI[[#This Row],[Winter Blanket]])</f>
        <v>0</v>
      </c>
      <c r="AM531" s="436">
        <f>IF(Table_NFI[[#This Row],[Winter Clothes Adult]]+Table_NFI[[#This Row],[Winter Clothes Children]]+Table_NFI[[#This Row],[Winter Items Other]]+Table_NFI[[#This Row],[Winter Blanket]]&gt;0,1,0)</f>
        <v>0</v>
      </c>
      <c r="AN531" s="439">
        <f>IF(NFI_Expiration=1,IF($A531&lt;VLOOKUP(V$5,NFI,5,0),1,0)*Table_NFI[[#This Row],[Jerry Can]],Table_NFI[Jerry Can])</f>
        <v>0</v>
      </c>
      <c r="AO531" s="771" t="str">
        <f>IFERROR(VLOOKUP(Table_NFI[[#This Row],[Camp Name]],CL,2,0),"")</f>
        <v>MMR001CMP071</v>
      </c>
      <c r="AP531" s="772">
        <f ca="1">IF(Table_NFI[[#This Row],[Pcode]]="","",IF(OFFSET(CampList[Opening Date],MATCH(Table_NFI[[#This Row],[Pcode]],CampList[CP_Pcode],0)-1,0,1,1)&gt;=NFI_Monitor_Date,1,0))</f>
        <v>0</v>
      </c>
      <c r="AQ531" s="781" t="str">
        <f>IFERROR(VLOOKUP(Table_NFI[[#This Row],[Camp Name]],CL,3,0),"")</f>
        <v>Open</v>
      </c>
      <c r="AR531" s="439" t="str">
        <f ca="1">IF(Table_NFI[[#This Row],[Pcode]]="","",OFFSET(CampList[Priority],MATCH(Table_NFI[[#This Row],[Pcode]],CampList[CP_Pcode],0)-1,0,1,1))</f>
        <v>P3</v>
      </c>
      <c r="AS531" s="438">
        <f>IFERROR(Table_NFI[[#This Row],[Kitchen Set]]/VLOOKUP(Table_NFI[[#This Row],[Camp Name]],CL,4,0),"")</f>
        <v>0.13793103448275862</v>
      </c>
      <c r="AT531" s="769" t="s">
        <v>1099</v>
      </c>
      <c r="AU531" s="773"/>
    </row>
    <row r="532" spans="1:47" s="774" customFormat="1" x14ac:dyDescent="0.25">
      <c r="A532" s="451">
        <f t="shared" si="8"/>
        <v>31.066666666666666</v>
      </c>
      <c r="B532" s="768">
        <v>41438</v>
      </c>
      <c r="C532" s="769" t="s">
        <v>454</v>
      </c>
      <c r="D532" s="770" t="s">
        <v>454</v>
      </c>
      <c r="E532" s="769" t="s">
        <v>380</v>
      </c>
      <c r="F532" s="435" t="s">
        <v>185</v>
      </c>
      <c r="G532" s="435" t="s">
        <v>223</v>
      </c>
      <c r="H532" s="436"/>
      <c r="I532" s="436"/>
      <c r="J532" s="436">
        <v>425</v>
      </c>
      <c r="K532" s="436">
        <v>30</v>
      </c>
      <c r="L532" s="437">
        <v>11</v>
      </c>
      <c r="M532" s="437">
        <v>30</v>
      </c>
      <c r="N532" s="437">
        <v>11</v>
      </c>
      <c r="O532" s="437">
        <v>11</v>
      </c>
      <c r="P532" s="437">
        <v>11</v>
      </c>
      <c r="Q532" s="437">
        <v>11</v>
      </c>
      <c r="R532" s="436"/>
      <c r="S532" s="436"/>
      <c r="T532" s="436"/>
      <c r="U532" s="436"/>
      <c r="V532" s="436"/>
      <c r="W532" s="436"/>
      <c r="X532" s="436"/>
      <c r="Y532" s="436">
        <f>IF(NFI_Expiration=1,IF($A532&lt;VLOOKUP(H$5,NFI,5,0),1,0)*Table_NFI[[#This Row],[Hygiene Kit]],Table_NFI[Hygiene Kit])</f>
        <v>0</v>
      </c>
      <c r="Z532" s="436">
        <f>IF(NFI_Expiration=1,IF($A532&lt;VLOOKUP(I$5,NFI,5,0),1,0)*Table_NFI[[#This Row],[NFI Core Kit]],Table_NFI[NFI Core Kit])</f>
        <v>0</v>
      </c>
      <c r="AA532" s="436">
        <f>IF(NFI_Expiration=1,IF($A532&lt;VLOOKUP(J$5,NFI,5,0),1,0)*Table_NFI[[#This Row],[Sanitary Kit]],Table_NFI[Sanitary Kit])</f>
        <v>0</v>
      </c>
      <c r="AB532" s="436">
        <f>IF(NFI_Expiration=1,IF($A532&lt;VLOOKUP(K$5,NFI,5,0),1,0)*Table_NFI[[#This Row],[Mosquito net]],Table_NFI[Mosquito net])</f>
        <v>0</v>
      </c>
      <c r="AC532" s="436">
        <f>IF(NFI_Expiration=1,IF($A532&lt;VLOOKUP(L$5,NFI,5,0),1,0)*Table_NFI[[#This Row],[Tarpaulin]],Table_NFI[[#This Row],[Tarpaulin]])</f>
        <v>0</v>
      </c>
      <c r="AD532" s="436">
        <f>IF(NFI_Expiration=1,IF($A532&lt;VLOOKUP(M$5,NFI,5,0),1,0)*Table_NFI[[#This Row],[Blanket]],Table_NFI[[#This Row],[Blanket]])</f>
        <v>0</v>
      </c>
      <c r="AE532" s="436">
        <f>IF(NFI_Expiration=1,IF($A532&lt;VLOOKUP(N$5,NFI,5,0),1,0)*Table_NFI[[#This Row],[Kitchen Set]],Table_NFI[Kitchen Set])</f>
        <v>0</v>
      </c>
      <c r="AF532" s="436">
        <f>IF(NFI_Expiration=1,IF($A532&lt;VLOOKUP(O$5,NFI,5,0),1,0)*Table_NFI[[#This Row],[Clothes Kit]],Table_NFI[Clothes Kit])</f>
        <v>0</v>
      </c>
      <c r="AG532" s="436">
        <f>IF(NFI_Expiration=1,IF($A532&lt;VLOOKUP(P$5,NFI,5,0),1,0)*Table_NFI[[#This Row],[Plastic Bucket]],Table_NFI[Plastic Bucket])</f>
        <v>0</v>
      </c>
      <c r="AH532" s="436">
        <f>IF(NFI_Expiration=1,IF($A532&lt;VLOOKUP(Q$5,NFI,5,0),1,0)*Table_NFI[[#This Row],[Plastic Mat]],Table_NFI[Plastic Mat])*IF(Table_NFI[[#This Row],[Distribution Date]]&gt;"2014-04-01",1,2.5)</f>
        <v>0</v>
      </c>
      <c r="AI532" s="436">
        <f>IF(NFI_Expiration=1,IF($A532&lt;VLOOKUP(R$5,NFI,5,0),1,0)*Table_NFI[[#This Row],[Winter Clothes Adult]],Table_NFI[Winter Clothes Adult])</f>
        <v>0</v>
      </c>
      <c r="AJ532" s="436">
        <f>IF(NFI_Expiration=1,IF($A532&lt;VLOOKUP(S$5,NFI,5,0),1,0)*Table_NFI[[#This Row],[Winter Clothes Children]],Table_NFI[Winter Clothes Children])</f>
        <v>0</v>
      </c>
      <c r="AK532" s="436">
        <f>IF(NFI_Expiration=1,IF($A532&lt;VLOOKUP(T$5,NFI,5,0),1,0)*Table_NFI[[#This Row],[Winter Items Other]],Table_NFI[Winter Items Other])</f>
        <v>0</v>
      </c>
      <c r="AL532" s="436">
        <f>IF(NFI_Expiration=1,IF($A532&lt;VLOOKUP(M$5,NFI,5,0),1,0)*Table_NFI[[#This Row],[Winter Blanket]],Table_NFI[[#This Row],[Winter Blanket]])</f>
        <v>0</v>
      </c>
      <c r="AM532" s="436">
        <f>IF(Table_NFI[[#This Row],[Winter Clothes Adult]]+Table_NFI[[#This Row],[Winter Clothes Children]]+Table_NFI[[#This Row],[Winter Items Other]]+Table_NFI[[#This Row],[Winter Blanket]]&gt;0,1,0)</f>
        <v>0</v>
      </c>
      <c r="AN532" s="439">
        <f>IF(NFI_Expiration=1,IF($A532&lt;VLOOKUP(V$5,NFI,5,0),1,0)*Table_NFI[[#This Row],[Jerry Can]],Table_NFI[Jerry Can])</f>
        <v>0</v>
      </c>
      <c r="AO532" s="771" t="str">
        <f>IFERROR(VLOOKUP(Table_NFI[[#This Row],[Camp Name]],CL,2,0),"")</f>
        <v>MMR001CMP069</v>
      </c>
      <c r="AP532" s="772">
        <f ca="1">IF(Table_NFI[[#This Row],[Pcode]]="","",IF(OFFSET(CampList[Opening Date],MATCH(Table_NFI[[#This Row],[Pcode]],CampList[CP_Pcode],0)-1,0,1,1)&gt;=NFI_Monitor_Date,1,0))</f>
        <v>0</v>
      </c>
      <c r="AQ532" s="781" t="str">
        <f>IFERROR(VLOOKUP(Table_NFI[[#This Row],[Camp Name]],CL,3,0),"")</f>
        <v>Open</v>
      </c>
      <c r="AR532" s="439" t="str">
        <f ca="1">IF(Table_NFI[[#This Row],[Pcode]]="","",OFFSET(CampList[Priority],MATCH(Table_NFI[[#This Row],[Pcode]],CampList[CP_Pcode],0)-1,0,1,1))</f>
        <v>P3</v>
      </c>
      <c r="AS532" s="438">
        <f>IFERROR(Table_NFI[[#This Row],[Kitchen Set]]/VLOOKUP(Table_NFI[[#This Row],[Camp Name]],CL,4,0),"")</f>
        <v>8.8709677419354843E-2</v>
      </c>
      <c r="AT532" s="769" t="s">
        <v>1099</v>
      </c>
      <c r="AU532" s="773"/>
    </row>
    <row r="533" spans="1:47" s="774" customFormat="1" x14ac:dyDescent="0.25">
      <c r="A533" s="451">
        <f t="shared" si="8"/>
        <v>31.066666666666666</v>
      </c>
      <c r="B533" s="768">
        <v>41438</v>
      </c>
      <c r="C533" s="769" t="s">
        <v>454</v>
      </c>
      <c r="D533" s="770" t="s">
        <v>454</v>
      </c>
      <c r="E533" s="769" t="s">
        <v>380</v>
      </c>
      <c r="F533" s="435" t="s">
        <v>185</v>
      </c>
      <c r="G533" s="435" t="s">
        <v>190</v>
      </c>
      <c r="H533" s="436"/>
      <c r="I533" s="436"/>
      <c r="J533" s="436">
        <v>941</v>
      </c>
      <c r="K533" s="436">
        <v>67</v>
      </c>
      <c r="L533" s="437">
        <v>24</v>
      </c>
      <c r="M533" s="437">
        <v>67</v>
      </c>
      <c r="N533" s="437">
        <v>24</v>
      </c>
      <c r="O533" s="437">
        <v>24</v>
      </c>
      <c r="P533" s="437">
        <v>24</v>
      </c>
      <c r="Q533" s="437">
        <v>24</v>
      </c>
      <c r="R533" s="436"/>
      <c r="S533" s="436"/>
      <c r="T533" s="436"/>
      <c r="U533" s="436"/>
      <c r="V533" s="436"/>
      <c r="W533" s="436"/>
      <c r="X533" s="436"/>
      <c r="Y533" s="436">
        <f>IF(NFI_Expiration=1,IF($A533&lt;VLOOKUP(H$5,NFI,5,0),1,0)*Table_NFI[[#This Row],[Hygiene Kit]],Table_NFI[Hygiene Kit])</f>
        <v>0</v>
      </c>
      <c r="Z533" s="436">
        <f>IF(NFI_Expiration=1,IF($A533&lt;VLOOKUP(I$5,NFI,5,0),1,0)*Table_NFI[[#This Row],[NFI Core Kit]],Table_NFI[NFI Core Kit])</f>
        <v>0</v>
      </c>
      <c r="AA533" s="436">
        <f>IF(NFI_Expiration=1,IF($A533&lt;VLOOKUP(J$5,NFI,5,0),1,0)*Table_NFI[[#This Row],[Sanitary Kit]],Table_NFI[Sanitary Kit])</f>
        <v>0</v>
      </c>
      <c r="AB533" s="436">
        <f>IF(NFI_Expiration=1,IF($A533&lt;VLOOKUP(K$5,NFI,5,0),1,0)*Table_NFI[[#This Row],[Mosquito net]],Table_NFI[Mosquito net])</f>
        <v>0</v>
      </c>
      <c r="AC533" s="436">
        <f>IF(NFI_Expiration=1,IF($A533&lt;VLOOKUP(L$5,NFI,5,0),1,0)*Table_NFI[[#This Row],[Tarpaulin]],Table_NFI[[#This Row],[Tarpaulin]])</f>
        <v>0</v>
      </c>
      <c r="AD533" s="436">
        <f>IF(NFI_Expiration=1,IF($A533&lt;VLOOKUP(M$5,NFI,5,0),1,0)*Table_NFI[[#This Row],[Blanket]],Table_NFI[[#This Row],[Blanket]])</f>
        <v>0</v>
      </c>
      <c r="AE533" s="436">
        <f>IF(NFI_Expiration=1,IF($A533&lt;VLOOKUP(N$5,NFI,5,0),1,0)*Table_NFI[[#This Row],[Kitchen Set]],Table_NFI[Kitchen Set])</f>
        <v>0</v>
      </c>
      <c r="AF533" s="436">
        <f>IF(NFI_Expiration=1,IF($A533&lt;VLOOKUP(O$5,NFI,5,0),1,0)*Table_NFI[[#This Row],[Clothes Kit]],Table_NFI[Clothes Kit])</f>
        <v>0</v>
      </c>
      <c r="AG533" s="436">
        <f>IF(NFI_Expiration=1,IF($A533&lt;VLOOKUP(P$5,NFI,5,0),1,0)*Table_NFI[[#This Row],[Plastic Bucket]],Table_NFI[Plastic Bucket])</f>
        <v>0</v>
      </c>
      <c r="AH533" s="436">
        <f>IF(NFI_Expiration=1,IF($A533&lt;VLOOKUP(Q$5,NFI,5,0),1,0)*Table_NFI[[#This Row],[Plastic Mat]],Table_NFI[Plastic Mat])*IF(Table_NFI[[#This Row],[Distribution Date]]&gt;"2014-04-01",1,2.5)</f>
        <v>0</v>
      </c>
      <c r="AI533" s="436">
        <f>IF(NFI_Expiration=1,IF($A533&lt;VLOOKUP(R$5,NFI,5,0),1,0)*Table_NFI[[#This Row],[Winter Clothes Adult]],Table_NFI[Winter Clothes Adult])</f>
        <v>0</v>
      </c>
      <c r="AJ533" s="436">
        <f>IF(NFI_Expiration=1,IF($A533&lt;VLOOKUP(S$5,NFI,5,0),1,0)*Table_NFI[[#This Row],[Winter Clothes Children]],Table_NFI[Winter Clothes Children])</f>
        <v>0</v>
      </c>
      <c r="AK533" s="436">
        <f>IF(NFI_Expiration=1,IF($A533&lt;VLOOKUP(T$5,NFI,5,0),1,0)*Table_NFI[[#This Row],[Winter Items Other]],Table_NFI[Winter Items Other])</f>
        <v>0</v>
      </c>
      <c r="AL533" s="436">
        <f>IF(NFI_Expiration=1,IF($A533&lt;VLOOKUP(M$5,NFI,5,0),1,0)*Table_NFI[[#This Row],[Winter Blanket]],Table_NFI[[#This Row],[Winter Blanket]])</f>
        <v>0</v>
      </c>
      <c r="AM533" s="436">
        <f>IF(Table_NFI[[#This Row],[Winter Clothes Adult]]+Table_NFI[[#This Row],[Winter Clothes Children]]+Table_NFI[[#This Row],[Winter Items Other]]+Table_NFI[[#This Row],[Winter Blanket]]&gt;0,1,0)</f>
        <v>0</v>
      </c>
      <c r="AN533" s="439">
        <f>IF(NFI_Expiration=1,IF($A533&lt;VLOOKUP(V$5,NFI,5,0),1,0)*Table_NFI[[#This Row],[Jerry Can]],Table_NFI[Jerry Can])</f>
        <v>0</v>
      </c>
      <c r="AO533" s="771" t="str">
        <f>IFERROR(VLOOKUP(Table_NFI[[#This Row],[Camp Name]],CL,2,0),"")</f>
        <v>MMR001CMP070</v>
      </c>
      <c r="AP533" s="772">
        <f ca="1">IF(Table_NFI[[#This Row],[Pcode]]="","",IF(OFFSET(CampList[Opening Date],MATCH(Table_NFI[[#This Row],[Pcode]],CampList[CP_Pcode],0)-1,0,1,1)&gt;=NFI_Monitor_Date,1,0))</f>
        <v>0</v>
      </c>
      <c r="AQ533" s="781" t="str">
        <f>IFERROR(VLOOKUP(Table_NFI[[#This Row],[Camp Name]],CL,3,0),"")</f>
        <v>Open</v>
      </c>
      <c r="AR533" s="439" t="str">
        <f ca="1">IF(Table_NFI[[#This Row],[Pcode]]="","",OFFSET(CampList[Priority],MATCH(Table_NFI[[#This Row],[Pcode]],CampList[CP_Pcode],0)-1,0,1,1))</f>
        <v>P3</v>
      </c>
      <c r="AS533" s="438">
        <f>IFERROR(Table_NFI[[#This Row],[Kitchen Set]]/VLOOKUP(Table_NFI[[#This Row],[Camp Name]],CL,4,0),"")</f>
        <v>0.1276595744680851</v>
      </c>
      <c r="AT533" s="769" t="s">
        <v>1099</v>
      </c>
      <c r="AU533" s="773"/>
    </row>
    <row r="534" spans="1:47" s="774" customFormat="1" x14ac:dyDescent="0.25">
      <c r="A534" s="451">
        <f t="shared" si="8"/>
        <v>31.8</v>
      </c>
      <c r="B534" s="768">
        <v>41416</v>
      </c>
      <c r="C534" s="769" t="s">
        <v>908</v>
      </c>
      <c r="D534" s="770" t="s">
        <v>508</v>
      </c>
      <c r="E534" s="769" t="s">
        <v>380</v>
      </c>
      <c r="F534" s="435" t="s">
        <v>27</v>
      </c>
      <c r="G534" s="435" t="s">
        <v>28</v>
      </c>
      <c r="H534" s="436">
        <v>510</v>
      </c>
      <c r="I534" s="436"/>
      <c r="J534" s="436"/>
      <c r="K534" s="436"/>
      <c r="L534" s="437"/>
      <c r="M534" s="437"/>
      <c r="N534" s="437"/>
      <c r="O534" s="437"/>
      <c r="P534" s="437"/>
      <c r="Q534" s="437"/>
      <c r="R534" s="436"/>
      <c r="S534" s="436"/>
      <c r="T534" s="436"/>
      <c r="U534" s="436"/>
      <c r="V534" s="436"/>
      <c r="W534" s="436"/>
      <c r="X534" s="436"/>
      <c r="Y534" s="436">
        <f>IF(NFI_Expiration=1,IF($A534&lt;VLOOKUP(H$5,NFI,5,0),1,0)*Table_NFI[[#This Row],[Hygiene Kit]],Table_NFI[Hygiene Kit])</f>
        <v>0</v>
      </c>
      <c r="Z534" s="436">
        <f>IF(NFI_Expiration=1,IF($A534&lt;VLOOKUP(I$5,NFI,5,0),1,0)*Table_NFI[[#This Row],[NFI Core Kit]],Table_NFI[NFI Core Kit])</f>
        <v>0</v>
      </c>
      <c r="AA534" s="436">
        <f>IF(NFI_Expiration=1,IF($A534&lt;VLOOKUP(J$5,NFI,5,0),1,0)*Table_NFI[[#This Row],[Sanitary Kit]],Table_NFI[Sanitary Kit])</f>
        <v>0</v>
      </c>
      <c r="AB534" s="436">
        <f>IF(NFI_Expiration=1,IF($A534&lt;VLOOKUP(K$5,NFI,5,0),1,0)*Table_NFI[[#This Row],[Mosquito net]],Table_NFI[Mosquito net])</f>
        <v>0</v>
      </c>
      <c r="AC534" s="436">
        <f>IF(NFI_Expiration=1,IF($A534&lt;VLOOKUP(L$5,NFI,5,0),1,0)*Table_NFI[[#This Row],[Tarpaulin]],Table_NFI[[#This Row],[Tarpaulin]])</f>
        <v>0</v>
      </c>
      <c r="AD534" s="436">
        <f>IF(NFI_Expiration=1,IF($A534&lt;VLOOKUP(M$5,NFI,5,0),1,0)*Table_NFI[[#This Row],[Blanket]],Table_NFI[[#This Row],[Blanket]])</f>
        <v>0</v>
      </c>
      <c r="AE534" s="436">
        <f>IF(NFI_Expiration=1,IF($A534&lt;VLOOKUP(N$5,NFI,5,0),1,0)*Table_NFI[[#This Row],[Kitchen Set]],Table_NFI[Kitchen Set])</f>
        <v>0</v>
      </c>
      <c r="AF534" s="436">
        <f>IF(NFI_Expiration=1,IF($A534&lt;VLOOKUP(O$5,NFI,5,0),1,0)*Table_NFI[[#This Row],[Clothes Kit]],Table_NFI[Clothes Kit])</f>
        <v>0</v>
      </c>
      <c r="AG534" s="436">
        <f>IF(NFI_Expiration=1,IF($A534&lt;VLOOKUP(P$5,NFI,5,0),1,0)*Table_NFI[[#This Row],[Plastic Bucket]],Table_NFI[Plastic Bucket])</f>
        <v>0</v>
      </c>
      <c r="AH534" s="436">
        <f>IF(NFI_Expiration=1,IF($A534&lt;VLOOKUP(Q$5,NFI,5,0),1,0)*Table_NFI[[#This Row],[Plastic Mat]],Table_NFI[Plastic Mat])*IF(Table_NFI[[#This Row],[Distribution Date]]&gt;"2014-04-01",1,2.5)</f>
        <v>0</v>
      </c>
      <c r="AI534" s="436">
        <f>IF(NFI_Expiration=1,IF($A534&lt;VLOOKUP(R$5,NFI,5,0),1,0)*Table_NFI[[#This Row],[Winter Clothes Adult]],Table_NFI[Winter Clothes Adult])</f>
        <v>0</v>
      </c>
      <c r="AJ534" s="436">
        <f>IF(NFI_Expiration=1,IF($A534&lt;VLOOKUP(S$5,NFI,5,0),1,0)*Table_NFI[[#This Row],[Winter Clothes Children]],Table_NFI[Winter Clothes Children])</f>
        <v>0</v>
      </c>
      <c r="AK534" s="436">
        <f>IF(NFI_Expiration=1,IF($A534&lt;VLOOKUP(T$5,NFI,5,0),1,0)*Table_NFI[[#This Row],[Winter Items Other]],Table_NFI[Winter Items Other])</f>
        <v>0</v>
      </c>
      <c r="AL534" s="436">
        <f>IF(NFI_Expiration=1,IF($A534&lt;VLOOKUP(M$5,NFI,5,0),1,0)*Table_NFI[[#This Row],[Winter Blanket]],Table_NFI[[#This Row],[Winter Blanket]])</f>
        <v>0</v>
      </c>
      <c r="AM534" s="436">
        <f>IF(Table_NFI[[#This Row],[Winter Clothes Adult]]+Table_NFI[[#This Row],[Winter Clothes Children]]+Table_NFI[[#This Row],[Winter Items Other]]+Table_NFI[[#This Row],[Winter Blanket]]&gt;0,1,0)</f>
        <v>0</v>
      </c>
      <c r="AN534" s="439">
        <f>IF(NFI_Expiration=1,IF($A534&lt;VLOOKUP(V$5,NFI,5,0),1,0)*Table_NFI[[#This Row],[Jerry Can]],Table_NFI[Jerry Can])</f>
        <v>0</v>
      </c>
      <c r="AO534" s="771" t="str">
        <f>IFERROR(VLOOKUP(Table_NFI[[#This Row],[Camp Name]],CL,2,0),"")</f>
        <v>MMR001CMP042</v>
      </c>
      <c r="AP534" s="772">
        <f ca="1">IF(Table_NFI[[#This Row],[Pcode]]="","",IF(OFFSET(CampList[Opening Date],MATCH(Table_NFI[[#This Row],[Pcode]],CampList[CP_Pcode],0)-1,0,1,1)&gt;=NFI_Monitor_Date,1,0))</f>
        <v>0</v>
      </c>
      <c r="AQ534" s="771" t="str">
        <f>IFERROR(VLOOKUP(Table_NFI[[#This Row],[Camp Name]],CL,3,0),"")</f>
        <v>Open</v>
      </c>
      <c r="AR534" s="436" t="str">
        <f ca="1">IF(Table_NFI[[#This Row],[Pcode]]="","",OFFSET(CampList[Priority],MATCH(Table_NFI[[#This Row],[Pcode]],CampList[CP_Pcode],0)-1,0,1,1))</f>
        <v>P1</v>
      </c>
      <c r="AS534" s="438">
        <f>IFERROR(Table_NFI[[#This Row],[Kitchen Set]]/VLOOKUP(Table_NFI[[#This Row],[Camp Name]],CL,4,0),"")</f>
        <v>0</v>
      </c>
      <c r="AT534" s="769" t="s">
        <v>1099</v>
      </c>
      <c r="AU534" s="773"/>
    </row>
    <row r="535" spans="1:47" s="774" customFormat="1" x14ac:dyDescent="0.25">
      <c r="A535" s="451">
        <f t="shared" si="8"/>
        <v>31.8</v>
      </c>
      <c r="B535" s="768">
        <v>41416</v>
      </c>
      <c r="C535" s="769" t="s">
        <v>454</v>
      </c>
      <c r="D535" s="770" t="s">
        <v>454</v>
      </c>
      <c r="E535" s="769" t="s">
        <v>380</v>
      </c>
      <c r="F535" s="435" t="s">
        <v>27</v>
      </c>
      <c r="G535" s="435" t="s">
        <v>28</v>
      </c>
      <c r="H535" s="436"/>
      <c r="I535" s="436"/>
      <c r="J535" s="436">
        <v>80</v>
      </c>
      <c r="K535" s="436">
        <v>84</v>
      </c>
      <c r="L535" s="437">
        <v>41</v>
      </c>
      <c r="M535" s="437">
        <v>84</v>
      </c>
      <c r="N535" s="437">
        <v>41</v>
      </c>
      <c r="O535" s="437">
        <v>41</v>
      </c>
      <c r="P535" s="437">
        <v>41</v>
      </c>
      <c r="Q535" s="437">
        <v>41</v>
      </c>
      <c r="R535" s="436"/>
      <c r="S535" s="436"/>
      <c r="T535" s="436"/>
      <c r="U535" s="436"/>
      <c r="V535" s="436"/>
      <c r="W535" s="436"/>
      <c r="X535" s="436"/>
      <c r="Y535" s="436">
        <f>IF(NFI_Expiration=1,IF($A535&lt;VLOOKUP(H$5,NFI,5,0),1,0)*Table_NFI[[#This Row],[Hygiene Kit]],Table_NFI[Hygiene Kit])</f>
        <v>0</v>
      </c>
      <c r="Z535" s="436">
        <f>IF(NFI_Expiration=1,IF($A535&lt;VLOOKUP(I$5,NFI,5,0),1,0)*Table_NFI[[#This Row],[NFI Core Kit]],Table_NFI[NFI Core Kit])</f>
        <v>0</v>
      </c>
      <c r="AA535" s="436">
        <f>IF(NFI_Expiration=1,IF($A535&lt;VLOOKUP(J$5,NFI,5,0),1,0)*Table_NFI[[#This Row],[Sanitary Kit]],Table_NFI[Sanitary Kit])</f>
        <v>0</v>
      </c>
      <c r="AB535" s="436">
        <f>IF(NFI_Expiration=1,IF($A535&lt;VLOOKUP(K$5,NFI,5,0),1,0)*Table_NFI[[#This Row],[Mosquito net]],Table_NFI[Mosquito net])</f>
        <v>0</v>
      </c>
      <c r="AC535" s="436">
        <f>IF(NFI_Expiration=1,IF($A535&lt;VLOOKUP(L$5,NFI,5,0),1,0)*Table_NFI[[#This Row],[Tarpaulin]],Table_NFI[[#This Row],[Tarpaulin]])</f>
        <v>0</v>
      </c>
      <c r="AD535" s="436">
        <f>IF(NFI_Expiration=1,IF($A535&lt;VLOOKUP(M$5,NFI,5,0),1,0)*Table_NFI[[#This Row],[Blanket]],Table_NFI[[#This Row],[Blanket]])</f>
        <v>0</v>
      </c>
      <c r="AE535" s="436">
        <f>IF(NFI_Expiration=1,IF($A535&lt;VLOOKUP(N$5,NFI,5,0),1,0)*Table_NFI[[#This Row],[Kitchen Set]],Table_NFI[Kitchen Set])</f>
        <v>0</v>
      </c>
      <c r="AF535" s="436">
        <f>IF(NFI_Expiration=1,IF($A535&lt;VLOOKUP(O$5,NFI,5,0),1,0)*Table_NFI[[#This Row],[Clothes Kit]],Table_NFI[Clothes Kit])</f>
        <v>0</v>
      </c>
      <c r="AG535" s="436">
        <f>IF(NFI_Expiration=1,IF($A535&lt;VLOOKUP(P$5,NFI,5,0),1,0)*Table_NFI[[#This Row],[Plastic Bucket]],Table_NFI[Plastic Bucket])</f>
        <v>0</v>
      </c>
      <c r="AH535" s="436">
        <f>IF(NFI_Expiration=1,IF($A535&lt;VLOOKUP(Q$5,NFI,5,0),1,0)*Table_NFI[[#This Row],[Plastic Mat]],Table_NFI[Plastic Mat])*IF(Table_NFI[[#This Row],[Distribution Date]]&gt;"2014-04-01",1,2.5)</f>
        <v>0</v>
      </c>
      <c r="AI535" s="436">
        <f>IF(NFI_Expiration=1,IF($A535&lt;VLOOKUP(R$5,NFI,5,0),1,0)*Table_NFI[[#This Row],[Winter Clothes Adult]],Table_NFI[Winter Clothes Adult])</f>
        <v>0</v>
      </c>
      <c r="AJ535" s="436">
        <f>IF(NFI_Expiration=1,IF($A535&lt;VLOOKUP(S$5,NFI,5,0),1,0)*Table_NFI[[#This Row],[Winter Clothes Children]],Table_NFI[Winter Clothes Children])</f>
        <v>0</v>
      </c>
      <c r="AK535" s="436">
        <f>IF(NFI_Expiration=1,IF($A535&lt;VLOOKUP(T$5,NFI,5,0),1,0)*Table_NFI[[#This Row],[Winter Items Other]],Table_NFI[Winter Items Other])</f>
        <v>0</v>
      </c>
      <c r="AL535" s="436">
        <f>IF(NFI_Expiration=1,IF($A535&lt;VLOOKUP(M$5,NFI,5,0),1,0)*Table_NFI[[#This Row],[Winter Blanket]],Table_NFI[[#This Row],[Winter Blanket]])</f>
        <v>0</v>
      </c>
      <c r="AM535" s="436">
        <f>IF(Table_NFI[[#This Row],[Winter Clothes Adult]]+Table_NFI[[#This Row],[Winter Clothes Children]]+Table_NFI[[#This Row],[Winter Items Other]]+Table_NFI[[#This Row],[Winter Blanket]]&gt;0,1,0)</f>
        <v>0</v>
      </c>
      <c r="AN535" s="439">
        <f>IF(NFI_Expiration=1,IF($A535&lt;VLOOKUP(V$5,NFI,5,0),1,0)*Table_NFI[[#This Row],[Jerry Can]],Table_NFI[Jerry Can])</f>
        <v>0</v>
      </c>
      <c r="AO535" s="771" t="str">
        <f>IFERROR(VLOOKUP(Table_NFI[[#This Row],[Camp Name]],CL,2,0),"")</f>
        <v>MMR001CMP042</v>
      </c>
      <c r="AP535" s="772">
        <f ca="1">IF(Table_NFI[[#This Row],[Pcode]]="","",IF(OFFSET(CampList[Opening Date],MATCH(Table_NFI[[#This Row],[Pcode]],CampList[CP_Pcode],0)-1,0,1,1)&gt;=NFI_Monitor_Date,1,0))</f>
        <v>0</v>
      </c>
      <c r="AQ535" s="781" t="str">
        <f>IFERROR(VLOOKUP(Table_NFI[[#This Row],[Camp Name]],CL,3,0),"")</f>
        <v>Open</v>
      </c>
      <c r="AR535" s="439" t="str">
        <f ca="1">IF(Table_NFI[[#This Row],[Pcode]]="","",OFFSET(CampList[Priority],MATCH(Table_NFI[[#This Row],[Pcode]],CampList[CP_Pcode],0)-1,0,1,1))</f>
        <v>P1</v>
      </c>
      <c r="AS535" s="438">
        <f>IFERROR(Table_NFI[[#This Row],[Kitchen Set]]/VLOOKUP(Table_NFI[[#This Row],[Camp Name]],CL,4,0),"")</f>
        <v>0.37962962962962965</v>
      </c>
      <c r="AT535" s="769" t="s">
        <v>1099</v>
      </c>
      <c r="AU535" s="773"/>
    </row>
    <row r="536" spans="1:47" s="774" customFormat="1" x14ac:dyDescent="0.25">
      <c r="A536" s="451">
        <f t="shared" si="8"/>
        <v>31.8</v>
      </c>
      <c r="B536" s="768">
        <v>41416</v>
      </c>
      <c r="C536" s="769" t="s">
        <v>908</v>
      </c>
      <c r="D536" s="770" t="s">
        <v>508</v>
      </c>
      <c r="E536" s="769" t="s">
        <v>380</v>
      </c>
      <c r="F536" s="435" t="s">
        <v>27</v>
      </c>
      <c r="G536" s="435" t="s">
        <v>365</v>
      </c>
      <c r="H536" s="436">
        <v>35</v>
      </c>
      <c r="I536" s="436"/>
      <c r="J536" s="436"/>
      <c r="K536" s="436"/>
      <c r="L536" s="437"/>
      <c r="M536" s="437"/>
      <c r="N536" s="437"/>
      <c r="O536" s="437"/>
      <c r="P536" s="437"/>
      <c r="Q536" s="437"/>
      <c r="R536" s="436"/>
      <c r="S536" s="436"/>
      <c r="T536" s="436"/>
      <c r="U536" s="436"/>
      <c r="V536" s="436"/>
      <c r="W536" s="436"/>
      <c r="X536" s="436"/>
      <c r="Y536" s="436">
        <f>IF(NFI_Expiration=1,IF($A536&lt;VLOOKUP(H$5,NFI,5,0),1,0)*Table_NFI[[#This Row],[Hygiene Kit]],Table_NFI[Hygiene Kit])</f>
        <v>0</v>
      </c>
      <c r="Z536" s="436">
        <f>IF(NFI_Expiration=1,IF($A536&lt;VLOOKUP(I$5,NFI,5,0),1,0)*Table_NFI[[#This Row],[NFI Core Kit]],Table_NFI[NFI Core Kit])</f>
        <v>0</v>
      </c>
      <c r="AA536" s="436">
        <f>IF(NFI_Expiration=1,IF($A536&lt;VLOOKUP(J$5,NFI,5,0),1,0)*Table_NFI[[#This Row],[Sanitary Kit]],Table_NFI[Sanitary Kit])</f>
        <v>0</v>
      </c>
      <c r="AB536" s="436">
        <f>IF(NFI_Expiration=1,IF($A536&lt;VLOOKUP(K$5,NFI,5,0),1,0)*Table_NFI[[#This Row],[Mosquito net]],Table_NFI[Mosquito net])</f>
        <v>0</v>
      </c>
      <c r="AC536" s="436">
        <f>IF(NFI_Expiration=1,IF($A536&lt;VLOOKUP(L$5,NFI,5,0),1,0)*Table_NFI[[#This Row],[Tarpaulin]],Table_NFI[[#This Row],[Tarpaulin]])</f>
        <v>0</v>
      </c>
      <c r="AD536" s="436">
        <f>IF(NFI_Expiration=1,IF($A536&lt;VLOOKUP(M$5,NFI,5,0),1,0)*Table_NFI[[#This Row],[Blanket]],Table_NFI[[#This Row],[Blanket]])</f>
        <v>0</v>
      </c>
      <c r="AE536" s="436">
        <f>IF(NFI_Expiration=1,IF($A536&lt;VLOOKUP(N$5,NFI,5,0),1,0)*Table_NFI[[#This Row],[Kitchen Set]],Table_NFI[Kitchen Set])</f>
        <v>0</v>
      </c>
      <c r="AF536" s="436">
        <f>IF(NFI_Expiration=1,IF($A536&lt;VLOOKUP(O$5,NFI,5,0),1,0)*Table_NFI[[#This Row],[Clothes Kit]],Table_NFI[Clothes Kit])</f>
        <v>0</v>
      </c>
      <c r="AG536" s="436">
        <f>IF(NFI_Expiration=1,IF($A536&lt;VLOOKUP(P$5,NFI,5,0),1,0)*Table_NFI[[#This Row],[Plastic Bucket]],Table_NFI[Plastic Bucket])</f>
        <v>0</v>
      </c>
      <c r="AH536" s="436">
        <f>IF(NFI_Expiration=1,IF($A536&lt;VLOOKUP(Q$5,NFI,5,0),1,0)*Table_NFI[[#This Row],[Plastic Mat]],Table_NFI[Plastic Mat])*IF(Table_NFI[[#This Row],[Distribution Date]]&gt;"2014-04-01",1,2.5)</f>
        <v>0</v>
      </c>
      <c r="AI536" s="436">
        <f>IF(NFI_Expiration=1,IF($A536&lt;VLOOKUP(R$5,NFI,5,0),1,0)*Table_NFI[[#This Row],[Winter Clothes Adult]],Table_NFI[Winter Clothes Adult])</f>
        <v>0</v>
      </c>
      <c r="AJ536" s="436">
        <f>IF(NFI_Expiration=1,IF($A536&lt;VLOOKUP(S$5,NFI,5,0),1,0)*Table_NFI[[#This Row],[Winter Clothes Children]],Table_NFI[Winter Clothes Children])</f>
        <v>0</v>
      </c>
      <c r="AK536" s="436">
        <f>IF(NFI_Expiration=1,IF($A536&lt;VLOOKUP(T$5,NFI,5,0),1,0)*Table_NFI[[#This Row],[Winter Items Other]],Table_NFI[Winter Items Other])</f>
        <v>0</v>
      </c>
      <c r="AL536" s="436">
        <f>IF(NFI_Expiration=1,IF($A536&lt;VLOOKUP(M$5,NFI,5,0),1,0)*Table_NFI[[#This Row],[Winter Blanket]],Table_NFI[[#This Row],[Winter Blanket]])</f>
        <v>0</v>
      </c>
      <c r="AM536" s="436">
        <f>IF(Table_NFI[[#This Row],[Winter Clothes Adult]]+Table_NFI[[#This Row],[Winter Clothes Children]]+Table_NFI[[#This Row],[Winter Items Other]]+Table_NFI[[#This Row],[Winter Blanket]]&gt;0,1,0)</f>
        <v>0</v>
      </c>
      <c r="AN536" s="439">
        <f>IF(NFI_Expiration=1,IF($A536&lt;VLOOKUP(V$5,NFI,5,0),1,0)*Table_NFI[[#This Row],[Jerry Can]],Table_NFI[Jerry Can])</f>
        <v>0</v>
      </c>
      <c r="AO536" s="771" t="str">
        <f>IFERROR(VLOOKUP(Table_NFI[[#This Row],[Camp Name]],CL,2,0),"")</f>
        <v>MMR001CMP195</v>
      </c>
      <c r="AP536" s="772">
        <f ca="1">IF(Table_NFI[[#This Row],[Pcode]]="","",IF(OFFSET(CampList[Opening Date],MATCH(Table_NFI[[#This Row],[Pcode]],CampList[CP_Pcode],0)-1,0,1,1)&gt;=NFI_Monitor_Date,1,0))</f>
        <v>0</v>
      </c>
      <c r="AQ536" s="771" t="str">
        <f>IFERROR(VLOOKUP(Table_NFI[[#This Row],[Camp Name]],CL,3,0),"")</f>
        <v>Open</v>
      </c>
      <c r="AR536" s="436" t="str">
        <f ca="1">IF(Table_NFI[[#This Row],[Pcode]]="","",OFFSET(CampList[Priority],MATCH(Table_NFI[[#This Row],[Pcode]],CampList[CP_Pcode],0)-1,0,1,1))</f>
        <v>P1</v>
      </c>
      <c r="AS536" s="438">
        <f>IFERROR(Table_NFI[[#This Row],[Kitchen Set]]/VLOOKUP(Table_NFI[[#This Row],[Camp Name]],CL,4,0),"")</f>
        <v>0</v>
      </c>
      <c r="AT536" s="769" t="s">
        <v>1099</v>
      </c>
      <c r="AU536" s="773"/>
    </row>
    <row r="537" spans="1:47" s="774" customFormat="1" x14ac:dyDescent="0.25">
      <c r="A537" s="451">
        <f t="shared" si="8"/>
        <v>31.8</v>
      </c>
      <c r="B537" s="768">
        <v>41416</v>
      </c>
      <c r="C537" s="769" t="s">
        <v>454</v>
      </c>
      <c r="D537" s="769" t="s">
        <v>454</v>
      </c>
      <c r="E537" s="769" t="s">
        <v>380</v>
      </c>
      <c r="F537" s="435" t="s">
        <v>529</v>
      </c>
      <c r="G537" s="435" t="s">
        <v>54</v>
      </c>
      <c r="H537" s="436"/>
      <c r="I537" s="436"/>
      <c r="J537" s="436">
        <v>48</v>
      </c>
      <c r="K537" s="436">
        <v>74</v>
      </c>
      <c r="L537" s="437">
        <v>31</v>
      </c>
      <c r="M537" s="437">
        <v>74</v>
      </c>
      <c r="N537" s="437">
        <v>31</v>
      </c>
      <c r="O537" s="437">
        <v>31</v>
      </c>
      <c r="P537" s="439">
        <v>31</v>
      </c>
      <c r="Q537" s="439">
        <v>31</v>
      </c>
      <c r="R537" s="436"/>
      <c r="S537" s="436"/>
      <c r="T537" s="436"/>
      <c r="U537" s="436"/>
      <c r="V537" s="436"/>
      <c r="W537" s="436"/>
      <c r="X537" s="436"/>
      <c r="Y537" s="436">
        <f>IF(NFI_Expiration=1,IF($A537&lt;VLOOKUP(H$5,NFI,5,0),1,0)*Table_NFI[[#This Row],[Hygiene Kit]],Table_NFI[Hygiene Kit])</f>
        <v>0</v>
      </c>
      <c r="Z537" s="436">
        <f>IF(NFI_Expiration=1,IF($A537&lt;VLOOKUP(I$5,NFI,5,0),1,0)*Table_NFI[[#This Row],[NFI Core Kit]],Table_NFI[NFI Core Kit])</f>
        <v>0</v>
      </c>
      <c r="AA537" s="436">
        <f>IF(NFI_Expiration=1,IF($A537&lt;VLOOKUP(J$5,NFI,5,0),1,0)*Table_NFI[[#This Row],[Sanitary Kit]],Table_NFI[Sanitary Kit])</f>
        <v>0</v>
      </c>
      <c r="AB537" s="436">
        <f>IF(NFI_Expiration=1,IF($A537&lt;VLOOKUP(K$5,NFI,5,0),1,0)*Table_NFI[[#This Row],[Mosquito net]],Table_NFI[Mosquito net])</f>
        <v>0</v>
      </c>
      <c r="AC537" s="436">
        <f>IF(NFI_Expiration=1,IF($A537&lt;VLOOKUP(L$5,NFI,5,0),1,0)*Table_NFI[[#This Row],[Tarpaulin]],Table_NFI[[#This Row],[Tarpaulin]])</f>
        <v>0</v>
      </c>
      <c r="AD537" s="436">
        <f>IF(NFI_Expiration=1,IF($A537&lt;VLOOKUP(M$5,NFI,5,0),1,0)*Table_NFI[[#This Row],[Blanket]],Table_NFI[[#This Row],[Blanket]])</f>
        <v>0</v>
      </c>
      <c r="AE537" s="436">
        <f>IF(NFI_Expiration=1,IF($A537&lt;VLOOKUP(N$5,NFI,5,0),1,0)*Table_NFI[[#This Row],[Kitchen Set]],Table_NFI[Kitchen Set])</f>
        <v>0</v>
      </c>
      <c r="AF537" s="436">
        <f>IF(NFI_Expiration=1,IF($A537&lt;VLOOKUP(O$5,NFI,5,0),1,0)*Table_NFI[[#This Row],[Clothes Kit]],Table_NFI[Clothes Kit])</f>
        <v>0</v>
      </c>
      <c r="AG537" s="436">
        <f>IF(NFI_Expiration=1,IF($A537&lt;VLOOKUP(P$5,NFI,5,0),1,0)*Table_NFI[[#This Row],[Plastic Bucket]],Table_NFI[Plastic Bucket])</f>
        <v>0</v>
      </c>
      <c r="AH537" s="436">
        <f>IF(NFI_Expiration=1,IF($A537&lt;VLOOKUP(Q$5,NFI,5,0),1,0)*Table_NFI[[#This Row],[Plastic Mat]],Table_NFI[Plastic Mat])*IF(Table_NFI[[#This Row],[Distribution Date]]&gt;"2014-04-01",1,2.5)</f>
        <v>0</v>
      </c>
      <c r="AI537" s="436">
        <f>IF(NFI_Expiration=1,IF($A537&lt;VLOOKUP(R$5,NFI,5,0),1,0)*Table_NFI[[#This Row],[Winter Clothes Adult]],Table_NFI[Winter Clothes Adult])</f>
        <v>0</v>
      </c>
      <c r="AJ537" s="436">
        <f>IF(NFI_Expiration=1,IF($A537&lt;VLOOKUP(S$5,NFI,5,0),1,0)*Table_NFI[[#This Row],[Winter Clothes Children]],Table_NFI[Winter Clothes Children])</f>
        <v>0</v>
      </c>
      <c r="AK537" s="436">
        <f>IF(NFI_Expiration=1,IF($A537&lt;VLOOKUP(T$5,NFI,5,0),1,0)*Table_NFI[[#This Row],[Winter Items Other]],Table_NFI[Winter Items Other])</f>
        <v>0</v>
      </c>
      <c r="AL537" s="436">
        <f>IF(NFI_Expiration=1,IF($A537&lt;VLOOKUP(M$5,NFI,5,0),1,0)*Table_NFI[[#This Row],[Winter Blanket]],Table_NFI[[#This Row],[Winter Blanket]])</f>
        <v>0</v>
      </c>
      <c r="AM537" s="436">
        <f>IF(Table_NFI[[#This Row],[Winter Clothes Adult]]+Table_NFI[[#This Row],[Winter Clothes Children]]+Table_NFI[[#This Row],[Winter Items Other]]+Table_NFI[[#This Row],[Winter Blanket]]&gt;0,1,0)</f>
        <v>0</v>
      </c>
      <c r="AN537" s="439">
        <f>IF(NFI_Expiration=1,IF($A537&lt;VLOOKUP(V$5,NFI,5,0),1,0)*Table_NFI[[#This Row],[Jerry Can]],Table_NFI[Jerry Can])</f>
        <v>0</v>
      </c>
      <c r="AO537" s="771" t="str">
        <f>IFERROR(VLOOKUP(Table_NFI[[#This Row],[Camp Name]],CL,2,0),"")</f>
        <v>MMR001CMP094</v>
      </c>
      <c r="AP537" s="772">
        <f ca="1">IF(Table_NFI[[#This Row],[Pcode]]="","",IF(OFFSET(CampList[Opening Date],MATCH(Table_NFI[[#This Row],[Pcode]],CampList[CP_Pcode],0)-1,0,1,1)&gt;=NFI_Monitor_Date,1,0))</f>
        <v>0</v>
      </c>
      <c r="AQ537" s="781" t="str">
        <f>IFERROR(VLOOKUP(Table_NFI[[#This Row],[Camp Name]],CL,3,0),"")</f>
        <v>Closed</v>
      </c>
      <c r="AR537" s="439" t="str">
        <f ca="1">IF(Table_NFI[[#This Row],[Pcode]]="","",OFFSET(CampList[Priority],MATCH(Table_NFI[[#This Row],[Pcode]],CampList[CP_Pcode],0)-1,0,1,1))</f>
        <v/>
      </c>
      <c r="AS537" s="438" t="str">
        <f>IFERROR(Table_NFI[[#This Row],[Kitchen Set]]/VLOOKUP(Table_NFI[[#This Row],[Camp Name]],CL,4,0),"")</f>
        <v/>
      </c>
      <c r="AT537" s="769" t="s">
        <v>1099</v>
      </c>
      <c r="AU537" s="773"/>
    </row>
    <row r="538" spans="1:47" s="774" customFormat="1" x14ac:dyDescent="0.25">
      <c r="A538" s="451">
        <f t="shared" si="8"/>
        <v>31.8</v>
      </c>
      <c r="B538" s="768">
        <v>41416</v>
      </c>
      <c r="C538" s="769" t="s">
        <v>454</v>
      </c>
      <c r="D538" s="770" t="s">
        <v>454</v>
      </c>
      <c r="E538" s="769" t="s">
        <v>380</v>
      </c>
      <c r="F538" s="435" t="s">
        <v>529</v>
      </c>
      <c r="G538" s="435" t="s">
        <v>613</v>
      </c>
      <c r="H538" s="436"/>
      <c r="I538" s="436"/>
      <c r="J538" s="436">
        <v>34</v>
      </c>
      <c r="K538" s="436">
        <v>61</v>
      </c>
      <c r="L538" s="437">
        <v>30</v>
      </c>
      <c r="M538" s="437">
        <v>61</v>
      </c>
      <c r="N538" s="437">
        <v>30</v>
      </c>
      <c r="O538" s="437">
        <v>30</v>
      </c>
      <c r="P538" s="437">
        <v>30</v>
      </c>
      <c r="Q538" s="437">
        <v>30</v>
      </c>
      <c r="R538" s="436"/>
      <c r="S538" s="436"/>
      <c r="T538" s="436"/>
      <c r="U538" s="436"/>
      <c r="V538" s="436"/>
      <c r="W538" s="436"/>
      <c r="X538" s="436"/>
      <c r="Y538" s="436">
        <f>IF(NFI_Expiration=1,IF($A538&lt;VLOOKUP(H$5,NFI,5,0),1,0)*Table_NFI[[#This Row],[Hygiene Kit]],Table_NFI[Hygiene Kit])</f>
        <v>0</v>
      </c>
      <c r="Z538" s="436">
        <f>IF(NFI_Expiration=1,IF($A538&lt;VLOOKUP(I$5,NFI,5,0),1,0)*Table_NFI[[#This Row],[NFI Core Kit]],Table_NFI[NFI Core Kit])</f>
        <v>0</v>
      </c>
      <c r="AA538" s="436">
        <f>IF(NFI_Expiration=1,IF($A538&lt;VLOOKUP(J$5,NFI,5,0),1,0)*Table_NFI[[#This Row],[Sanitary Kit]],Table_NFI[Sanitary Kit])</f>
        <v>0</v>
      </c>
      <c r="AB538" s="436">
        <f>IF(NFI_Expiration=1,IF($A538&lt;VLOOKUP(K$5,NFI,5,0),1,0)*Table_NFI[[#This Row],[Mosquito net]],Table_NFI[Mosquito net])</f>
        <v>0</v>
      </c>
      <c r="AC538" s="436">
        <f>IF(NFI_Expiration=1,IF($A538&lt;VLOOKUP(L$5,NFI,5,0),1,0)*Table_NFI[[#This Row],[Tarpaulin]],Table_NFI[[#This Row],[Tarpaulin]])</f>
        <v>0</v>
      </c>
      <c r="AD538" s="436">
        <f>IF(NFI_Expiration=1,IF($A538&lt;VLOOKUP(M$5,NFI,5,0),1,0)*Table_NFI[[#This Row],[Blanket]],Table_NFI[[#This Row],[Blanket]])</f>
        <v>0</v>
      </c>
      <c r="AE538" s="436">
        <f>IF(NFI_Expiration=1,IF($A538&lt;VLOOKUP(N$5,NFI,5,0),1,0)*Table_NFI[[#This Row],[Kitchen Set]],Table_NFI[Kitchen Set])</f>
        <v>0</v>
      </c>
      <c r="AF538" s="436">
        <f>IF(NFI_Expiration=1,IF($A538&lt;VLOOKUP(O$5,NFI,5,0),1,0)*Table_NFI[[#This Row],[Clothes Kit]],Table_NFI[Clothes Kit])</f>
        <v>0</v>
      </c>
      <c r="AG538" s="436">
        <f>IF(NFI_Expiration=1,IF($A538&lt;VLOOKUP(P$5,NFI,5,0),1,0)*Table_NFI[[#This Row],[Plastic Bucket]],Table_NFI[Plastic Bucket])</f>
        <v>0</v>
      </c>
      <c r="AH538" s="436">
        <f>IF(NFI_Expiration=1,IF($A538&lt;VLOOKUP(Q$5,NFI,5,0),1,0)*Table_NFI[[#This Row],[Plastic Mat]],Table_NFI[Plastic Mat])*IF(Table_NFI[[#This Row],[Distribution Date]]&gt;"2014-04-01",1,2.5)</f>
        <v>0</v>
      </c>
      <c r="AI538" s="436">
        <f>IF(NFI_Expiration=1,IF($A538&lt;VLOOKUP(R$5,NFI,5,0),1,0)*Table_NFI[[#This Row],[Winter Clothes Adult]],Table_NFI[Winter Clothes Adult])</f>
        <v>0</v>
      </c>
      <c r="AJ538" s="436">
        <f>IF(NFI_Expiration=1,IF($A538&lt;VLOOKUP(S$5,NFI,5,0),1,0)*Table_NFI[[#This Row],[Winter Clothes Children]],Table_NFI[Winter Clothes Children])</f>
        <v>0</v>
      </c>
      <c r="AK538" s="436">
        <f>IF(NFI_Expiration=1,IF($A538&lt;VLOOKUP(T$5,NFI,5,0),1,0)*Table_NFI[[#This Row],[Winter Items Other]],Table_NFI[Winter Items Other])</f>
        <v>0</v>
      </c>
      <c r="AL538" s="436">
        <f>IF(NFI_Expiration=1,IF($A538&lt;VLOOKUP(M$5,NFI,5,0),1,0)*Table_NFI[[#This Row],[Winter Blanket]],Table_NFI[[#This Row],[Winter Blanket]])</f>
        <v>0</v>
      </c>
      <c r="AM538" s="436">
        <f>IF(Table_NFI[[#This Row],[Winter Clothes Adult]]+Table_NFI[[#This Row],[Winter Clothes Children]]+Table_NFI[[#This Row],[Winter Items Other]]+Table_NFI[[#This Row],[Winter Blanket]]&gt;0,1,0)</f>
        <v>0</v>
      </c>
      <c r="AN538" s="439">
        <f>IF(NFI_Expiration=1,IF($A538&lt;VLOOKUP(V$5,NFI,5,0),1,0)*Table_NFI[[#This Row],[Jerry Can]],Table_NFI[Jerry Can])</f>
        <v>0</v>
      </c>
      <c r="AO538" s="771" t="str">
        <f>IFERROR(VLOOKUP(Table_NFI[[#This Row],[Camp Name]],CL,2,0),"")</f>
        <v>MMR001CMP192</v>
      </c>
      <c r="AP538" s="772">
        <f ca="1">IF(Table_NFI[[#This Row],[Pcode]]="","",IF(OFFSET(CampList[Opening Date],MATCH(Table_NFI[[#This Row],[Pcode]],CampList[CP_Pcode],0)-1,0,1,1)&gt;=NFI_Monitor_Date,1,0))</f>
        <v>0</v>
      </c>
      <c r="AQ538" s="781" t="str">
        <f>IFERROR(VLOOKUP(Table_NFI[[#This Row],[Camp Name]],CL,3,0),"")</f>
        <v>Open</v>
      </c>
      <c r="AR538" s="439" t="str">
        <f ca="1">IF(Table_NFI[[#This Row],[Pcode]]="","",OFFSET(CampList[Priority],MATCH(Table_NFI[[#This Row],[Pcode]],CampList[CP_Pcode],0)-1,0,1,1))</f>
        <v>P4</v>
      </c>
      <c r="AS538" s="438">
        <f>IFERROR(Table_NFI[[#This Row],[Kitchen Set]]/VLOOKUP(Table_NFI[[#This Row],[Camp Name]],CL,4,0),"")</f>
        <v>1.7647058823529411</v>
      </c>
      <c r="AT538" s="769" t="s">
        <v>1099</v>
      </c>
      <c r="AU538" s="773"/>
    </row>
    <row r="539" spans="1:47" s="774" customFormat="1" x14ac:dyDescent="0.25">
      <c r="A539" s="451">
        <f t="shared" si="8"/>
        <v>31.8</v>
      </c>
      <c r="B539" s="768">
        <v>41416</v>
      </c>
      <c r="C539" s="769" t="s">
        <v>454</v>
      </c>
      <c r="D539" s="769" t="s">
        <v>454</v>
      </c>
      <c r="E539" s="769" t="s">
        <v>380</v>
      </c>
      <c r="F539" s="769" t="s">
        <v>529</v>
      </c>
      <c r="G539" s="435" t="s">
        <v>110</v>
      </c>
      <c r="H539" s="436"/>
      <c r="I539" s="436"/>
      <c r="J539" s="436">
        <v>273</v>
      </c>
      <c r="K539" s="436">
        <v>339</v>
      </c>
      <c r="L539" s="437">
        <v>151</v>
      </c>
      <c r="M539" s="437">
        <v>339</v>
      </c>
      <c r="N539" s="437">
        <v>151</v>
      </c>
      <c r="O539" s="437">
        <v>151</v>
      </c>
      <c r="P539" s="439">
        <v>151</v>
      </c>
      <c r="Q539" s="439">
        <v>151</v>
      </c>
      <c r="R539" s="436"/>
      <c r="S539" s="436"/>
      <c r="T539" s="436"/>
      <c r="U539" s="436"/>
      <c r="V539" s="436"/>
      <c r="W539" s="436"/>
      <c r="X539" s="436"/>
      <c r="Y539" s="436">
        <f>IF(NFI_Expiration=1,IF($A539&lt;VLOOKUP(H$5,NFI,5,0),1,0)*Table_NFI[[#This Row],[Hygiene Kit]],Table_NFI[Hygiene Kit])</f>
        <v>0</v>
      </c>
      <c r="Z539" s="436">
        <f>IF(NFI_Expiration=1,IF($A539&lt;VLOOKUP(I$5,NFI,5,0),1,0)*Table_NFI[[#This Row],[NFI Core Kit]],Table_NFI[NFI Core Kit])</f>
        <v>0</v>
      </c>
      <c r="AA539" s="436">
        <f>IF(NFI_Expiration=1,IF($A539&lt;VLOOKUP(J$5,NFI,5,0),1,0)*Table_NFI[[#This Row],[Sanitary Kit]],Table_NFI[Sanitary Kit])</f>
        <v>0</v>
      </c>
      <c r="AB539" s="436">
        <f>IF(NFI_Expiration=1,IF($A539&lt;VLOOKUP(K$5,NFI,5,0),1,0)*Table_NFI[[#This Row],[Mosquito net]],Table_NFI[Mosquito net])</f>
        <v>0</v>
      </c>
      <c r="AC539" s="436">
        <f>IF(NFI_Expiration=1,IF($A539&lt;VLOOKUP(L$5,NFI,5,0),1,0)*Table_NFI[[#This Row],[Tarpaulin]],Table_NFI[[#This Row],[Tarpaulin]])</f>
        <v>0</v>
      </c>
      <c r="AD539" s="436">
        <f>IF(NFI_Expiration=1,IF($A539&lt;VLOOKUP(M$5,NFI,5,0),1,0)*Table_NFI[[#This Row],[Blanket]],Table_NFI[[#This Row],[Blanket]])</f>
        <v>0</v>
      </c>
      <c r="AE539" s="436">
        <f>IF(NFI_Expiration=1,IF($A539&lt;VLOOKUP(N$5,NFI,5,0),1,0)*Table_NFI[[#This Row],[Kitchen Set]],Table_NFI[Kitchen Set])</f>
        <v>0</v>
      </c>
      <c r="AF539" s="436">
        <f>IF(NFI_Expiration=1,IF($A539&lt;VLOOKUP(O$5,NFI,5,0),1,0)*Table_NFI[[#This Row],[Clothes Kit]],Table_NFI[Clothes Kit])</f>
        <v>0</v>
      </c>
      <c r="AG539" s="436">
        <f>IF(NFI_Expiration=1,IF($A539&lt;VLOOKUP(P$5,NFI,5,0),1,0)*Table_NFI[[#This Row],[Plastic Bucket]],Table_NFI[Plastic Bucket])</f>
        <v>0</v>
      </c>
      <c r="AH539" s="436">
        <f>IF(NFI_Expiration=1,IF($A539&lt;VLOOKUP(Q$5,NFI,5,0),1,0)*Table_NFI[[#This Row],[Plastic Mat]],Table_NFI[Plastic Mat])*IF(Table_NFI[[#This Row],[Distribution Date]]&gt;"2014-04-01",1,2.5)</f>
        <v>0</v>
      </c>
      <c r="AI539" s="436">
        <f>IF(NFI_Expiration=1,IF($A539&lt;VLOOKUP(R$5,NFI,5,0),1,0)*Table_NFI[[#This Row],[Winter Clothes Adult]],Table_NFI[Winter Clothes Adult])</f>
        <v>0</v>
      </c>
      <c r="AJ539" s="436">
        <f>IF(NFI_Expiration=1,IF($A539&lt;VLOOKUP(S$5,NFI,5,0),1,0)*Table_NFI[[#This Row],[Winter Clothes Children]],Table_NFI[Winter Clothes Children])</f>
        <v>0</v>
      </c>
      <c r="AK539" s="436">
        <f>IF(NFI_Expiration=1,IF($A539&lt;VLOOKUP(T$5,NFI,5,0),1,0)*Table_NFI[[#This Row],[Winter Items Other]],Table_NFI[Winter Items Other])</f>
        <v>0</v>
      </c>
      <c r="AL539" s="436">
        <f>IF(NFI_Expiration=1,IF($A539&lt;VLOOKUP(M$5,NFI,5,0),1,0)*Table_NFI[[#This Row],[Winter Blanket]],Table_NFI[[#This Row],[Winter Blanket]])</f>
        <v>0</v>
      </c>
      <c r="AM539" s="436">
        <f>IF(Table_NFI[[#This Row],[Winter Clothes Adult]]+Table_NFI[[#This Row],[Winter Clothes Children]]+Table_NFI[[#This Row],[Winter Items Other]]+Table_NFI[[#This Row],[Winter Blanket]]&gt;0,1,0)</f>
        <v>0</v>
      </c>
      <c r="AN539" s="439">
        <f>IF(NFI_Expiration=1,IF($A539&lt;VLOOKUP(V$5,NFI,5,0),1,0)*Table_NFI[[#This Row],[Jerry Can]],Table_NFI[Jerry Can])</f>
        <v>0</v>
      </c>
      <c r="AO539" s="771" t="str">
        <f>IFERROR(VLOOKUP(Table_NFI[[#This Row],[Camp Name]],CL,2,0),"")</f>
        <v>MMR001CMP082</v>
      </c>
      <c r="AP539" s="772">
        <f ca="1">IF(Table_NFI[[#This Row],[Pcode]]="","",IF(OFFSET(CampList[Opening Date],MATCH(Table_NFI[[#This Row],[Pcode]],CampList[CP_Pcode],0)-1,0,1,1)&gt;=NFI_Monitor_Date,1,0))</f>
        <v>0</v>
      </c>
      <c r="AQ539" s="781" t="str">
        <f>IFERROR(VLOOKUP(Table_NFI[[#This Row],[Camp Name]],CL,3,0),"")</f>
        <v>Closed</v>
      </c>
      <c r="AR539" s="439" t="str">
        <f ca="1">IF(Table_NFI[[#This Row],[Pcode]]="","",OFFSET(CampList[Priority],MATCH(Table_NFI[[#This Row],[Pcode]],CampList[CP_Pcode],0)-1,0,1,1))</f>
        <v/>
      </c>
      <c r="AS539" s="438" t="str">
        <f>IFERROR(Table_NFI[[#This Row],[Kitchen Set]]/VLOOKUP(Table_NFI[[#This Row],[Camp Name]],CL,4,0),"")</f>
        <v/>
      </c>
      <c r="AT539" s="769" t="s">
        <v>1099</v>
      </c>
      <c r="AU539" s="773"/>
    </row>
    <row r="540" spans="1:47" s="774" customFormat="1" x14ac:dyDescent="0.25">
      <c r="A540" s="451">
        <f t="shared" si="8"/>
        <v>31.8</v>
      </c>
      <c r="B540" s="768">
        <v>41416</v>
      </c>
      <c r="C540" s="769" t="s">
        <v>454</v>
      </c>
      <c r="D540" s="769" t="s">
        <v>454</v>
      </c>
      <c r="E540" s="769" t="s">
        <v>380</v>
      </c>
      <c r="F540" s="435" t="s">
        <v>310</v>
      </c>
      <c r="G540" s="435" t="s">
        <v>318</v>
      </c>
      <c r="H540" s="436"/>
      <c r="I540" s="436"/>
      <c r="J540" s="436">
        <v>18</v>
      </c>
      <c r="K540" s="436">
        <v>20</v>
      </c>
      <c r="L540" s="437">
        <v>14</v>
      </c>
      <c r="M540" s="437">
        <v>20</v>
      </c>
      <c r="N540" s="437">
        <v>10</v>
      </c>
      <c r="O540" s="437">
        <v>10</v>
      </c>
      <c r="P540" s="439">
        <v>10</v>
      </c>
      <c r="Q540" s="439">
        <v>10</v>
      </c>
      <c r="R540" s="436"/>
      <c r="S540" s="436"/>
      <c r="T540" s="436"/>
      <c r="U540" s="436"/>
      <c r="V540" s="436"/>
      <c r="W540" s="436"/>
      <c r="X540" s="436"/>
      <c r="Y540" s="436">
        <f>IF(NFI_Expiration=1,IF($A540&lt;VLOOKUP(H$5,NFI,5,0),1,0)*Table_NFI[[#This Row],[Hygiene Kit]],Table_NFI[Hygiene Kit])</f>
        <v>0</v>
      </c>
      <c r="Z540" s="436">
        <f>IF(NFI_Expiration=1,IF($A540&lt;VLOOKUP(I$5,NFI,5,0),1,0)*Table_NFI[[#This Row],[NFI Core Kit]],Table_NFI[NFI Core Kit])</f>
        <v>0</v>
      </c>
      <c r="AA540" s="436">
        <f>IF(NFI_Expiration=1,IF($A540&lt;VLOOKUP(J$5,NFI,5,0),1,0)*Table_NFI[[#This Row],[Sanitary Kit]],Table_NFI[Sanitary Kit])</f>
        <v>0</v>
      </c>
      <c r="AB540" s="436">
        <f>IF(NFI_Expiration=1,IF($A540&lt;VLOOKUP(K$5,NFI,5,0),1,0)*Table_NFI[[#This Row],[Mosquito net]],Table_NFI[Mosquito net])</f>
        <v>0</v>
      </c>
      <c r="AC540" s="436">
        <f>IF(NFI_Expiration=1,IF($A540&lt;VLOOKUP(L$5,NFI,5,0),1,0)*Table_NFI[[#This Row],[Tarpaulin]],Table_NFI[[#This Row],[Tarpaulin]])</f>
        <v>0</v>
      </c>
      <c r="AD540" s="436">
        <f>IF(NFI_Expiration=1,IF($A540&lt;VLOOKUP(M$5,NFI,5,0),1,0)*Table_NFI[[#This Row],[Blanket]],Table_NFI[[#This Row],[Blanket]])</f>
        <v>0</v>
      </c>
      <c r="AE540" s="436">
        <f>IF(NFI_Expiration=1,IF($A540&lt;VLOOKUP(N$5,NFI,5,0),1,0)*Table_NFI[[#This Row],[Kitchen Set]],Table_NFI[Kitchen Set])</f>
        <v>0</v>
      </c>
      <c r="AF540" s="436">
        <f>IF(NFI_Expiration=1,IF($A540&lt;VLOOKUP(O$5,NFI,5,0),1,0)*Table_NFI[[#This Row],[Clothes Kit]],Table_NFI[Clothes Kit])</f>
        <v>0</v>
      </c>
      <c r="AG540" s="436">
        <f>IF(NFI_Expiration=1,IF($A540&lt;VLOOKUP(P$5,NFI,5,0),1,0)*Table_NFI[[#This Row],[Plastic Bucket]],Table_NFI[Plastic Bucket])</f>
        <v>0</v>
      </c>
      <c r="AH540" s="436">
        <f>IF(NFI_Expiration=1,IF($A540&lt;VLOOKUP(Q$5,NFI,5,0),1,0)*Table_NFI[[#This Row],[Plastic Mat]],Table_NFI[Plastic Mat])*IF(Table_NFI[[#This Row],[Distribution Date]]&gt;"2014-04-01",1,2.5)</f>
        <v>0</v>
      </c>
      <c r="AI540" s="436">
        <f>IF(NFI_Expiration=1,IF($A540&lt;VLOOKUP(R$5,NFI,5,0),1,0)*Table_NFI[[#This Row],[Winter Clothes Adult]],Table_NFI[Winter Clothes Adult])</f>
        <v>0</v>
      </c>
      <c r="AJ540" s="436">
        <f>IF(NFI_Expiration=1,IF($A540&lt;VLOOKUP(S$5,NFI,5,0),1,0)*Table_NFI[[#This Row],[Winter Clothes Children]],Table_NFI[Winter Clothes Children])</f>
        <v>0</v>
      </c>
      <c r="AK540" s="436">
        <f>IF(NFI_Expiration=1,IF($A540&lt;VLOOKUP(T$5,NFI,5,0),1,0)*Table_NFI[[#This Row],[Winter Items Other]],Table_NFI[Winter Items Other])</f>
        <v>0</v>
      </c>
      <c r="AL540" s="436">
        <f>IF(NFI_Expiration=1,IF($A540&lt;VLOOKUP(M$5,NFI,5,0),1,0)*Table_NFI[[#This Row],[Winter Blanket]],Table_NFI[[#This Row],[Winter Blanket]])</f>
        <v>0</v>
      </c>
      <c r="AM540" s="436">
        <f>IF(Table_NFI[[#This Row],[Winter Clothes Adult]]+Table_NFI[[#This Row],[Winter Clothes Children]]+Table_NFI[[#This Row],[Winter Items Other]]+Table_NFI[[#This Row],[Winter Blanket]]&gt;0,1,0)</f>
        <v>0</v>
      </c>
      <c r="AN540" s="439">
        <f>IF(NFI_Expiration=1,IF($A540&lt;VLOOKUP(V$5,NFI,5,0),1,0)*Table_NFI[[#This Row],[Jerry Can]],Table_NFI[Jerry Can])</f>
        <v>0</v>
      </c>
      <c r="AO540" s="771" t="str">
        <f>IFERROR(VLOOKUP(Table_NFI[[#This Row],[Camp Name]],CL,2,0),"")</f>
        <v>MMR001CMP032</v>
      </c>
      <c r="AP540" s="772">
        <f ca="1">IF(Table_NFI[[#This Row],[Pcode]]="","",IF(OFFSET(CampList[Opening Date],MATCH(Table_NFI[[#This Row],[Pcode]],CampList[CP_Pcode],0)-1,0,1,1)&gt;=NFI_Monitor_Date,1,0))</f>
        <v>0</v>
      </c>
      <c r="AQ540" s="781" t="str">
        <f>IFERROR(VLOOKUP(Table_NFI[[#This Row],[Camp Name]],CL,3,0),"")</f>
        <v>Open</v>
      </c>
      <c r="AR540" s="439" t="str">
        <f ca="1">IF(Table_NFI[[#This Row],[Pcode]]="","",OFFSET(CampList[Priority],MATCH(Table_NFI[[#This Row],[Pcode]],CampList[CP_Pcode],0)-1,0,1,1))</f>
        <v>P4</v>
      </c>
      <c r="AS540" s="438">
        <f>IFERROR(Table_NFI[[#This Row],[Kitchen Set]]/VLOOKUP(Table_NFI[[#This Row],[Camp Name]],CL,4,0),"")</f>
        <v>0.10638297872340426</v>
      </c>
      <c r="AT540" s="769" t="s">
        <v>1099</v>
      </c>
      <c r="AU540" s="773"/>
    </row>
    <row r="541" spans="1:47" s="774" customFormat="1" x14ac:dyDescent="0.25">
      <c r="A541" s="451">
        <f t="shared" si="8"/>
        <v>31.8</v>
      </c>
      <c r="B541" s="768">
        <v>41416</v>
      </c>
      <c r="C541" s="769" t="s">
        <v>454</v>
      </c>
      <c r="D541" s="769" t="s">
        <v>454</v>
      </c>
      <c r="E541" s="769" t="s">
        <v>380</v>
      </c>
      <c r="F541" s="435" t="s">
        <v>529</v>
      </c>
      <c r="G541" s="435" t="s">
        <v>140</v>
      </c>
      <c r="H541" s="436"/>
      <c r="I541" s="436"/>
      <c r="J541" s="436">
        <v>42</v>
      </c>
      <c r="K541" s="436">
        <v>66</v>
      </c>
      <c r="L541" s="437">
        <v>28</v>
      </c>
      <c r="M541" s="437">
        <v>66</v>
      </c>
      <c r="N541" s="437">
        <v>28</v>
      </c>
      <c r="O541" s="437">
        <v>28</v>
      </c>
      <c r="P541" s="439">
        <v>28</v>
      </c>
      <c r="Q541" s="439">
        <v>28</v>
      </c>
      <c r="R541" s="436"/>
      <c r="S541" s="436"/>
      <c r="T541" s="436"/>
      <c r="U541" s="436"/>
      <c r="V541" s="436"/>
      <c r="W541" s="436"/>
      <c r="X541" s="436"/>
      <c r="Y541" s="436">
        <f>IF(NFI_Expiration=1,IF($A541&lt;VLOOKUP(H$5,NFI,5,0),1,0)*Table_NFI[[#This Row],[Hygiene Kit]],Table_NFI[Hygiene Kit])</f>
        <v>0</v>
      </c>
      <c r="Z541" s="436">
        <f>IF(NFI_Expiration=1,IF($A541&lt;VLOOKUP(I$5,NFI,5,0),1,0)*Table_NFI[[#This Row],[NFI Core Kit]],Table_NFI[NFI Core Kit])</f>
        <v>0</v>
      </c>
      <c r="AA541" s="436">
        <f>IF(NFI_Expiration=1,IF($A541&lt;VLOOKUP(J$5,NFI,5,0),1,0)*Table_NFI[[#This Row],[Sanitary Kit]],Table_NFI[Sanitary Kit])</f>
        <v>0</v>
      </c>
      <c r="AB541" s="436">
        <f>IF(NFI_Expiration=1,IF($A541&lt;VLOOKUP(K$5,NFI,5,0),1,0)*Table_NFI[[#This Row],[Mosquito net]],Table_NFI[Mosquito net])</f>
        <v>0</v>
      </c>
      <c r="AC541" s="436">
        <f>IF(NFI_Expiration=1,IF($A541&lt;VLOOKUP(L$5,NFI,5,0),1,0)*Table_NFI[[#This Row],[Tarpaulin]],Table_NFI[[#This Row],[Tarpaulin]])</f>
        <v>0</v>
      </c>
      <c r="AD541" s="436">
        <f>IF(NFI_Expiration=1,IF($A541&lt;VLOOKUP(M$5,NFI,5,0),1,0)*Table_NFI[[#This Row],[Blanket]],Table_NFI[[#This Row],[Blanket]])</f>
        <v>0</v>
      </c>
      <c r="AE541" s="436">
        <f>IF(NFI_Expiration=1,IF($A541&lt;VLOOKUP(N$5,NFI,5,0),1,0)*Table_NFI[[#This Row],[Kitchen Set]],Table_NFI[Kitchen Set])</f>
        <v>0</v>
      </c>
      <c r="AF541" s="436">
        <f>IF(NFI_Expiration=1,IF($A541&lt;VLOOKUP(O$5,NFI,5,0),1,0)*Table_NFI[[#This Row],[Clothes Kit]],Table_NFI[Clothes Kit])</f>
        <v>0</v>
      </c>
      <c r="AG541" s="436">
        <f>IF(NFI_Expiration=1,IF($A541&lt;VLOOKUP(P$5,NFI,5,0),1,0)*Table_NFI[[#This Row],[Plastic Bucket]],Table_NFI[Plastic Bucket])</f>
        <v>0</v>
      </c>
      <c r="AH541" s="436">
        <f>IF(NFI_Expiration=1,IF($A541&lt;VLOOKUP(Q$5,NFI,5,0),1,0)*Table_NFI[[#This Row],[Plastic Mat]],Table_NFI[Plastic Mat])*IF(Table_NFI[[#This Row],[Distribution Date]]&gt;"2014-04-01",1,2.5)</f>
        <v>0</v>
      </c>
      <c r="AI541" s="436">
        <f>IF(NFI_Expiration=1,IF($A541&lt;VLOOKUP(R$5,NFI,5,0),1,0)*Table_NFI[[#This Row],[Winter Clothes Adult]],Table_NFI[Winter Clothes Adult])</f>
        <v>0</v>
      </c>
      <c r="AJ541" s="436">
        <f>IF(NFI_Expiration=1,IF($A541&lt;VLOOKUP(S$5,NFI,5,0),1,0)*Table_NFI[[#This Row],[Winter Clothes Children]],Table_NFI[Winter Clothes Children])</f>
        <v>0</v>
      </c>
      <c r="AK541" s="436">
        <f>IF(NFI_Expiration=1,IF($A541&lt;VLOOKUP(T$5,NFI,5,0),1,0)*Table_NFI[[#This Row],[Winter Items Other]],Table_NFI[Winter Items Other])</f>
        <v>0</v>
      </c>
      <c r="AL541" s="436">
        <f>IF(NFI_Expiration=1,IF($A541&lt;VLOOKUP(M$5,NFI,5,0),1,0)*Table_NFI[[#This Row],[Winter Blanket]],Table_NFI[[#This Row],[Winter Blanket]])</f>
        <v>0</v>
      </c>
      <c r="AM541" s="436">
        <f>IF(Table_NFI[[#This Row],[Winter Clothes Adult]]+Table_NFI[[#This Row],[Winter Clothes Children]]+Table_NFI[[#This Row],[Winter Items Other]]+Table_NFI[[#This Row],[Winter Blanket]]&gt;0,1,0)</f>
        <v>0</v>
      </c>
      <c r="AN541" s="439">
        <f>IF(NFI_Expiration=1,IF($A541&lt;VLOOKUP(V$5,NFI,5,0),1,0)*Table_NFI[[#This Row],[Jerry Can]],Table_NFI[Jerry Can])</f>
        <v>0</v>
      </c>
      <c r="AO541" s="771" t="str">
        <f>IFERROR(VLOOKUP(Table_NFI[[#This Row],[Camp Name]],CL,2,0),"")</f>
        <v>MMR001CMP105</v>
      </c>
      <c r="AP541" s="772">
        <f ca="1">IF(Table_NFI[[#This Row],[Pcode]]="","",IF(OFFSET(CampList[Opening Date],MATCH(Table_NFI[[#This Row],[Pcode]],CampList[CP_Pcode],0)-1,0,1,1)&gt;=NFI_Monitor_Date,1,0))</f>
        <v>0</v>
      </c>
      <c r="AQ541" s="781" t="str">
        <f>IFERROR(VLOOKUP(Table_NFI[[#This Row],[Camp Name]],CL,3,0),"")</f>
        <v>Open</v>
      </c>
      <c r="AR541" s="439" t="str">
        <f ca="1">IF(Table_NFI[[#This Row],[Pcode]]="","",OFFSET(CampList[Priority],MATCH(Table_NFI[[#This Row],[Pcode]],CampList[CP_Pcode],0)-1,0,1,1))</f>
        <v>P4</v>
      </c>
      <c r="AS541" s="438">
        <f>IFERROR(Table_NFI[[#This Row],[Kitchen Set]]/VLOOKUP(Table_NFI[[#This Row],[Camp Name]],CL,4,0),"")</f>
        <v>1.4</v>
      </c>
      <c r="AT541" s="769" t="s">
        <v>1099</v>
      </c>
      <c r="AU541" s="773"/>
    </row>
    <row r="542" spans="1:47" s="774" customFormat="1" x14ac:dyDescent="0.25">
      <c r="A542" s="451">
        <f t="shared" si="8"/>
        <v>32</v>
      </c>
      <c r="B542" s="768">
        <v>41410</v>
      </c>
      <c r="C542" s="769" t="s">
        <v>908</v>
      </c>
      <c r="D542" s="769" t="s">
        <v>508</v>
      </c>
      <c r="E542" s="769" t="s">
        <v>380</v>
      </c>
      <c r="F542" s="769" t="s">
        <v>529</v>
      </c>
      <c r="G542" s="435" t="s">
        <v>916</v>
      </c>
      <c r="H542" s="436">
        <v>394</v>
      </c>
      <c r="I542" s="436"/>
      <c r="J542" s="436"/>
      <c r="K542" s="436"/>
      <c r="L542" s="437"/>
      <c r="M542" s="437"/>
      <c r="N542" s="437"/>
      <c r="O542" s="437"/>
      <c r="P542" s="439"/>
      <c r="Q542" s="439"/>
      <c r="R542" s="436"/>
      <c r="S542" s="436"/>
      <c r="T542" s="436"/>
      <c r="U542" s="436"/>
      <c r="V542" s="436"/>
      <c r="W542" s="436"/>
      <c r="X542" s="436"/>
      <c r="Y542" s="436">
        <f>IF(NFI_Expiration=1,IF($A542&lt;VLOOKUP(H$5,NFI,5,0),1,0)*Table_NFI[[#This Row],[Hygiene Kit]],Table_NFI[Hygiene Kit])</f>
        <v>0</v>
      </c>
      <c r="Z542" s="436">
        <f>IF(NFI_Expiration=1,IF($A542&lt;VLOOKUP(I$5,NFI,5,0),1,0)*Table_NFI[[#This Row],[NFI Core Kit]],Table_NFI[NFI Core Kit])</f>
        <v>0</v>
      </c>
      <c r="AA542" s="436">
        <f>IF(NFI_Expiration=1,IF($A542&lt;VLOOKUP(J$5,NFI,5,0),1,0)*Table_NFI[[#This Row],[Sanitary Kit]],Table_NFI[Sanitary Kit])</f>
        <v>0</v>
      </c>
      <c r="AB542" s="436">
        <f>IF(NFI_Expiration=1,IF($A542&lt;VLOOKUP(K$5,NFI,5,0),1,0)*Table_NFI[[#This Row],[Mosquito net]],Table_NFI[Mosquito net])</f>
        <v>0</v>
      </c>
      <c r="AC542" s="436">
        <f>IF(NFI_Expiration=1,IF($A542&lt;VLOOKUP(L$5,NFI,5,0),1,0)*Table_NFI[[#This Row],[Tarpaulin]],Table_NFI[[#This Row],[Tarpaulin]])</f>
        <v>0</v>
      </c>
      <c r="AD542" s="436">
        <f>IF(NFI_Expiration=1,IF($A542&lt;VLOOKUP(M$5,NFI,5,0),1,0)*Table_NFI[[#This Row],[Blanket]],Table_NFI[[#This Row],[Blanket]])</f>
        <v>0</v>
      </c>
      <c r="AE542" s="436">
        <f>IF(NFI_Expiration=1,IF($A542&lt;VLOOKUP(N$5,NFI,5,0),1,0)*Table_NFI[[#This Row],[Kitchen Set]],Table_NFI[Kitchen Set])</f>
        <v>0</v>
      </c>
      <c r="AF542" s="436">
        <f>IF(NFI_Expiration=1,IF($A542&lt;VLOOKUP(O$5,NFI,5,0),1,0)*Table_NFI[[#This Row],[Clothes Kit]],Table_NFI[Clothes Kit])</f>
        <v>0</v>
      </c>
      <c r="AG542" s="436">
        <f>IF(NFI_Expiration=1,IF($A542&lt;VLOOKUP(P$5,NFI,5,0),1,0)*Table_NFI[[#This Row],[Plastic Bucket]],Table_NFI[Plastic Bucket])</f>
        <v>0</v>
      </c>
      <c r="AH542" s="436">
        <f>IF(NFI_Expiration=1,IF($A542&lt;VLOOKUP(Q$5,NFI,5,0),1,0)*Table_NFI[[#This Row],[Plastic Mat]],Table_NFI[Plastic Mat])*IF(Table_NFI[[#This Row],[Distribution Date]]&gt;"2014-04-01",1,2.5)</f>
        <v>0</v>
      </c>
      <c r="AI542" s="436">
        <f>IF(NFI_Expiration=1,IF($A542&lt;VLOOKUP(R$5,NFI,5,0),1,0)*Table_NFI[[#This Row],[Winter Clothes Adult]],Table_NFI[Winter Clothes Adult])</f>
        <v>0</v>
      </c>
      <c r="AJ542" s="436">
        <f>IF(NFI_Expiration=1,IF($A542&lt;VLOOKUP(S$5,NFI,5,0),1,0)*Table_NFI[[#This Row],[Winter Clothes Children]],Table_NFI[Winter Clothes Children])</f>
        <v>0</v>
      </c>
      <c r="AK542" s="436">
        <f>IF(NFI_Expiration=1,IF($A542&lt;VLOOKUP(T$5,NFI,5,0),1,0)*Table_NFI[[#This Row],[Winter Items Other]],Table_NFI[Winter Items Other])</f>
        <v>0</v>
      </c>
      <c r="AL542" s="436">
        <f>IF(NFI_Expiration=1,IF($A542&lt;VLOOKUP(M$5,NFI,5,0),1,0)*Table_NFI[[#This Row],[Winter Blanket]],Table_NFI[[#This Row],[Winter Blanket]])</f>
        <v>0</v>
      </c>
      <c r="AM542" s="436">
        <f>IF(Table_NFI[[#This Row],[Winter Clothes Adult]]+Table_NFI[[#This Row],[Winter Clothes Children]]+Table_NFI[[#This Row],[Winter Items Other]]+Table_NFI[[#This Row],[Winter Blanket]]&gt;0,1,0)</f>
        <v>0</v>
      </c>
      <c r="AN542" s="439">
        <f>IF(NFI_Expiration=1,IF($A542&lt;VLOOKUP(V$5,NFI,5,0),1,0)*Table_NFI[[#This Row],[Jerry Can]],Table_NFI[Jerry Can])</f>
        <v>0</v>
      </c>
      <c r="AO542" s="771" t="str">
        <f>IFERROR(VLOOKUP(Table_NFI[[#This Row],[Camp Name]],CL,2,0),"")</f>
        <v/>
      </c>
      <c r="AP542" s="772" t="str">
        <f ca="1">IF(Table_NFI[[#This Row],[Pcode]]="","",IF(OFFSET(CampList[Opening Date],MATCH(Table_NFI[[#This Row],[Pcode]],CampList[CP_Pcode],0)-1,0,1,1)&gt;=NFI_Monitor_Date,1,0))</f>
        <v/>
      </c>
      <c r="AQ542" s="771" t="str">
        <f>IFERROR(VLOOKUP(Table_NFI[[#This Row],[Camp Name]],CL,3,0),"")</f>
        <v/>
      </c>
      <c r="AR542" s="436" t="str">
        <f ca="1">IF(Table_NFI[[#This Row],[Pcode]]="","",OFFSET(CampList[Priority],MATCH(Table_NFI[[#This Row],[Pcode]],CampList[CP_Pcode],0)-1,0,1,1))</f>
        <v/>
      </c>
      <c r="AS542" s="438" t="str">
        <f>IFERROR(Table_NFI[[#This Row],[Kitchen Set]]/VLOOKUP(Table_NFI[[#This Row],[Camp Name]],CL,4,0),"")</f>
        <v/>
      </c>
      <c r="AT542" s="769" t="s">
        <v>1099</v>
      </c>
      <c r="AU542" s="773"/>
    </row>
    <row r="543" spans="1:47" s="774" customFormat="1" x14ac:dyDescent="0.25">
      <c r="A543" s="451">
        <f t="shared" si="8"/>
        <v>32</v>
      </c>
      <c r="B543" s="768">
        <v>41410</v>
      </c>
      <c r="C543" s="769" t="s">
        <v>908</v>
      </c>
      <c r="D543" s="769" t="s">
        <v>508</v>
      </c>
      <c r="E543" s="769" t="s">
        <v>380</v>
      </c>
      <c r="F543" s="435" t="s">
        <v>529</v>
      </c>
      <c r="G543" s="435" t="s">
        <v>108</v>
      </c>
      <c r="H543" s="436">
        <v>423</v>
      </c>
      <c r="I543" s="436"/>
      <c r="J543" s="436"/>
      <c r="K543" s="436"/>
      <c r="L543" s="437"/>
      <c r="M543" s="437"/>
      <c r="N543" s="437"/>
      <c r="O543" s="437"/>
      <c r="P543" s="439"/>
      <c r="Q543" s="439"/>
      <c r="R543" s="436"/>
      <c r="S543" s="436"/>
      <c r="T543" s="436"/>
      <c r="U543" s="436"/>
      <c r="V543" s="436"/>
      <c r="W543" s="436"/>
      <c r="X543" s="436"/>
      <c r="Y543" s="436">
        <f>IF(NFI_Expiration=1,IF($A543&lt;VLOOKUP(H$5,NFI,5,0),1,0)*Table_NFI[[#This Row],[Hygiene Kit]],Table_NFI[Hygiene Kit])</f>
        <v>0</v>
      </c>
      <c r="Z543" s="436">
        <f>IF(NFI_Expiration=1,IF($A543&lt;VLOOKUP(I$5,NFI,5,0),1,0)*Table_NFI[[#This Row],[NFI Core Kit]],Table_NFI[NFI Core Kit])</f>
        <v>0</v>
      </c>
      <c r="AA543" s="436">
        <f>IF(NFI_Expiration=1,IF($A543&lt;VLOOKUP(J$5,NFI,5,0),1,0)*Table_NFI[[#This Row],[Sanitary Kit]],Table_NFI[Sanitary Kit])</f>
        <v>0</v>
      </c>
      <c r="AB543" s="436">
        <f>IF(NFI_Expiration=1,IF($A543&lt;VLOOKUP(K$5,NFI,5,0),1,0)*Table_NFI[[#This Row],[Mosquito net]],Table_NFI[Mosquito net])</f>
        <v>0</v>
      </c>
      <c r="AC543" s="436">
        <f>IF(NFI_Expiration=1,IF($A543&lt;VLOOKUP(L$5,NFI,5,0),1,0)*Table_NFI[[#This Row],[Tarpaulin]],Table_NFI[[#This Row],[Tarpaulin]])</f>
        <v>0</v>
      </c>
      <c r="AD543" s="436">
        <f>IF(NFI_Expiration=1,IF($A543&lt;VLOOKUP(M$5,NFI,5,0),1,0)*Table_NFI[[#This Row],[Blanket]],Table_NFI[[#This Row],[Blanket]])</f>
        <v>0</v>
      </c>
      <c r="AE543" s="436">
        <f>IF(NFI_Expiration=1,IF($A543&lt;VLOOKUP(N$5,NFI,5,0),1,0)*Table_NFI[[#This Row],[Kitchen Set]],Table_NFI[Kitchen Set])</f>
        <v>0</v>
      </c>
      <c r="AF543" s="436">
        <f>IF(NFI_Expiration=1,IF($A543&lt;VLOOKUP(O$5,NFI,5,0),1,0)*Table_NFI[[#This Row],[Clothes Kit]],Table_NFI[Clothes Kit])</f>
        <v>0</v>
      </c>
      <c r="AG543" s="436">
        <f>IF(NFI_Expiration=1,IF($A543&lt;VLOOKUP(P$5,NFI,5,0),1,0)*Table_NFI[[#This Row],[Plastic Bucket]],Table_NFI[Plastic Bucket])</f>
        <v>0</v>
      </c>
      <c r="AH543" s="436">
        <f>IF(NFI_Expiration=1,IF($A543&lt;VLOOKUP(Q$5,NFI,5,0),1,0)*Table_NFI[[#This Row],[Plastic Mat]],Table_NFI[Plastic Mat])*IF(Table_NFI[[#This Row],[Distribution Date]]&gt;"2014-04-01",1,2.5)</f>
        <v>0</v>
      </c>
      <c r="AI543" s="436">
        <f>IF(NFI_Expiration=1,IF($A543&lt;VLOOKUP(R$5,NFI,5,0),1,0)*Table_NFI[[#This Row],[Winter Clothes Adult]],Table_NFI[Winter Clothes Adult])</f>
        <v>0</v>
      </c>
      <c r="AJ543" s="436">
        <f>IF(NFI_Expiration=1,IF($A543&lt;VLOOKUP(S$5,NFI,5,0),1,0)*Table_NFI[[#This Row],[Winter Clothes Children]],Table_NFI[Winter Clothes Children])</f>
        <v>0</v>
      </c>
      <c r="AK543" s="436">
        <f>IF(NFI_Expiration=1,IF($A543&lt;VLOOKUP(T$5,NFI,5,0),1,0)*Table_NFI[[#This Row],[Winter Items Other]],Table_NFI[Winter Items Other])</f>
        <v>0</v>
      </c>
      <c r="AL543" s="436">
        <f>IF(NFI_Expiration=1,IF($A543&lt;VLOOKUP(M$5,NFI,5,0),1,0)*Table_NFI[[#This Row],[Winter Blanket]],Table_NFI[[#This Row],[Winter Blanket]])</f>
        <v>0</v>
      </c>
      <c r="AM543" s="436">
        <f>IF(Table_NFI[[#This Row],[Winter Clothes Adult]]+Table_NFI[[#This Row],[Winter Clothes Children]]+Table_NFI[[#This Row],[Winter Items Other]]+Table_NFI[[#This Row],[Winter Blanket]]&gt;0,1,0)</f>
        <v>0</v>
      </c>
      <c r="AN543" s="439">
        <f>IF(NFI_Expiration=1,IF($A543&lt;VLOOKUP(V$5,NFI,5,0),1,0)*Table_NFI[[#This Row],[Jerry Can]],Table_NFI[Jerry Can])</f>
        <v>0</v>
      </c>
      <c r="AO543" s="771" t="str">
        <f>IFERROR(VLOOKUP(Table_NFI[[#This Row],[Camp Name]],CL,2,0),"")</f>
        <v>MMR001CMP103</v>
      </c>
      <c r="AP543" s="772">
        <f ca="1">IF(Table_NFI[[#This Row],[Pcode]]="","",IF(OFFSET(CampList[Opening Date],MATCH(Table_NFI[[#This Row],[Pcode]],CampList[CP_Pcode],0)-1,0,1,1)&gt;=NFI_Monitor_Date,1,0))</f>
        <v>0</v>
      </c>
      <c r="AQ543" s="771" t="str">
        <f>IFERROR(VLOOKUP(Table_NFI[[#This Row],[Camp Name]],CL,3,0),"")</f>
        <v>Open</v>
      </c>
      <c r="AR543" s="436" t="str">
        <f ca="1">IF(Table_NFI[[#This Row],[Pcode]]="","",OFFSET(CampList[Priority],MATCH(Table_NFI[[#This Row],[Pcode]],CampList[CP_Pcode],0)-1,0,1,1))</f>
        <v>P4</v>
      </c>
      <c r="AS543" s="438">
        <f>IFERROR(Table_NFI[[#This Row],[Kitchen Set]]/VLOOKUP(Table_NFI[[#This Row],[Camp Name]],CL,4,0),"")</f>
        <v>0</v>
      </c>
      <c r="AT543" s="769" t="s">
        <v>1099</v>
      </c>
      <c r="AU543" s="773"/>
    </row>
    <row r="544" spans="1:47" s="774" customFormat="1" x14ac:dyDescent="0.25">
      <c r="A544" s="451">
        <f t="shared" si="8"/>
        <v>32</v>
      </c>
      <c r="B544" s="768">
        <v>41410</v>
      </c>
      <c r="C544" s="769" t="s">
        <v>908</v>
      </c>
      <c r="D544" s="770" t="s">
        <v>508</v>
      </c>
      <c r="E544" s="769" t="s">
        <v>380</v>
      </c>
      <c r="F544" s="435" t="s">
        <v>529</v>
      </c>
      <c r="G544" s="435" t="s">
        <v>64</v>
      </c>
      <c r="H544" s="436">
        <v>103</v>
      </c>
      <c r="I544" s="436"/>
      <c r="J544" s="436"/>
      <c r="K544" s="436"/>
      <c r="L544" s="437"/>
      <c r="M544" s="437"/>
      <c r="N544" s="437"/>
      <c r="O544" s="437"/>
      <c r="P544" s="437"/>
      <c r="Q544" s="437"/>
      <c r="R544" s="436"/>
      <c r="S544" s="436"/>
      <c r="T544" s="436"/>
      <c r="U544" s="436"/>
      <c r="V544" s="436"/>
      <c r="W544" s="436"/>
      <c r="X544" s="436"/>
      <c r="Y544" s="436">
        <f>IF(NFI_Expiration=1,IF($A544&lt;VLOOKUP(H$5,NFI,5,0),1,0)*Table_NFI[[#This Row],[Hygiene Kit]],Table_NFI[Hygiene Kit])</f>
        <v>0</v>
      </c>
      <c r="Z544" s="436">
        <f>IF(NFI_Expiration=1,IF($A544&lt;VLOOKUP(I$5,NFI,5,0),1,0)*Table_NFI[[#This Row],[NFI Core Kit]],Table_NFI[NFI Core Kit])</f>
        <v>0</v>
      </c>
      <c r="AA544" s="436">
        <f>IF(NFI_Expiration=1,IF($A544&lt;VLOOKUP(J$5,NFI,5,0),1,0)*Table_NFI[[#This Row],[Sanitary Kit]],Table_NFI[Sanitary Kit])</f>
        <v>0</v>
      </c>
      <c r="AB544" s="436">
        <f>IF(NFI_Expiration=1,IF($A544&lt;VLOOKUP(K$5,NFI,5,0),1,0)*Table_NFI[[#This Row],[Mosquito net]],Table_NFI[Mosquito net])</f>
        <v>0</v>
      </c>
      <c r="AC544" s="436">
        <f>IF(NFI_Expiration=1,IF($A544&lt;VLOOKUP(L$5,NFI,5,0),1,0)*Table_NFI[[#This Row],[Tarpaulin]],Table_NFI[[#This Row],[Tarpaulin]])</f>
        <v>0</v>
      </c>
      <c r="AD544" s="436">
        <f>IF(NFI_Expiration=1,IF($A544&lt;VLOOKUP(M$5,NFI,5,0),1,0)*Table_NFI[[#This Row],[Blanket]],Table_NFI[[#This Row],[Blanket]])</f>
        <v>0</v>
      </c>
      <c r="AE544" s="436">
        <f>IF(NFI_Expiration=1,IF($A544&lt;VLOOKUP(N$5,NFI,5,0),1,0)*Table_NFI[[#This Row],[Kitchen Set]],Table_NFI[Kitchen Set])</f>
        <v>0</v>
      </c>
      <c r="AF544" s="436">
        <f>IF(NFI_Expiration=1,IF($A544&lt;VLOOKUP(O$5,NFI,5,0),1,0)*Table_NFI[[#This Row],[Clothes Kit]],Table_NFI[Clothes Kit])</f>
        <v>0</v>
      </c>
      <c r="AG544" s="436">
        <f>IF(NFI_Expiration=1,IF($A544&lt;VLOOKUP(P$5,NFI,5,0),1,0)*Table_NFI[[#This Row],[Plastic Bucket]],Table_NFI[Plastic Bucket])</f>
        <v>0</v>
      </c>
      <c r="AH544" s="436">
        <f>IF(NFI_Expiration=1,IF($A544&lt;VLOOKUP(Q$5,NFI,5,0),1,0)*Table_NFI[[#This Row],[Plastic Mat]],Table_NFI[Plastic Mat])*IF(Table_NFI[[#This Row],[Distribution Date]]&gt;"2014-04-01",1,2.5)</f>
        <v>0</v>
      </c>
      <c r="AI544" s="436">
        <f>IF(NFI_Expiration=1,IF($A544&lt;VLOOKUP(R$5,NFI,5,0),1,0)*Table_NFI[[#This Row],[Winter Clothes Adult]],Table_NFI[Winter Clothes Adult])</f>
        <v>0</v>
      </c>
      <c r="AJ544" s="436">
        <f>IF(NFI_Expiration=1,IF($A544&lt;VLOOKUP(S$5,NFI,5,0),1,0)*Table_NFI[[#This Row],[Winter Clothes Children]],Table_NFI[Winter Clothes Children])</f>
        <v>0</v>
      </c>
      <c r="AK544" s="436">
        <f>IF(NFI_Expiration=1,IF($A544&lt;VLOOKUP(T$5,NFI,5,0),1,0)*Table_NFI[[#This Row],[Winter Items Other]],Table_NFI[Winter Items Other])</f>
        <v>0</v>
      </c>
      <c r="AL544" s="436">
        <f>IF(NFI_Expiration=1,IF($A544&lt;VLOOKUP(M$5,NFI,5,0),1,0)*Table_NFI[[#This Row],[Winter Blanket]],Table_NFI[[#This Row],[Winter Blanket]])</f>
        <v>0</v>
      </c>
      <c r="AM544" s="436">
        <f>IF(Table_NFI[[#This Row],[Winter Clothes Adult]]+Table_NFI[[#This Row],[Winter Clothes Children]]+Table_NFI[[#This Row],[Winter Items Other]]+Table_NFI[[#This Row],[Winter Blanket]]&gt;0,1,0)</f>
        <v>0</v>
      </c>
      <c r="AN544" s="439">
        <f>IF(NFI_Expiration=1,IF($A544&lt;VLOOKUP(V$5,NFI,5,0),1,0)*Table_NFI[[#This Row],[Jerry Can]],Table_NFI[Jerry Can])</f>
        <v>0</v>
      </c>
      <c r="AO544" s="771" t="str">
        <f>IFERROR(VLOOKUP(Table_NFI[[#This Row],[Camp Name]],CL,2,0),"")</f>
        <v>MMR001CMP185</v>
      </c>
      <c r="AP544" s="772">
        <f ca="1">IF(Table_NFI[[#This Row],[Pcode]]="","",IF(OFFSET(CampList[Opening Date],MATCH(Table_NFI[[#This Row],[Pcode]],CampList[CP_Pcode],0)-1,0,1,1)&gt;=NFI_Monitor_Date,1,0))</f>
        <v>0</v>
      </c>
      <c r="AQ544" s="771" t="str">
        <f>IFERROR(VLOOKUP(Table_NFI[[#This Row],[Camp Name]],CL,3,0),"")</f>
        <v>Closed</v>
      </c>
      <c r="AR544" s="436" t="str">
        <f ca="1">IF(Table_NFI[[#This Row],[Pcode]]="","",OFFSET(CampList[Priority],MATCH(Table_NFI[[#This Row],[Pcode]],CampList[CP_Pcode],0)-1,0,1,1))</f>
        <v/>
      </c>
      <c r="AS544" s="438" t="str">
        <f>IFERROR(Table_NFI[[#This Row],[Kitchen Set]]/VLOOKUP(Table_NFI[[#This Row],[Camp Name]],CL,4,0),"")</f>
        <v/>
      </c>
      <c r="AT544" s="769" t="s">
        <v>1099</v>
      </c>
      <c r="AU544" s="773"/>
    </row>
    <row r="545" spans="1:47" s="774" customFormat="1" x14ac:dyDescent="0.25">
      <c r="A545" s="451">
        <f t="shared" si="8"/>
        <v>32.06666666666667</v>
      </c>
      <c r="B545" s="768">
        <v>41408</v>
      </c>
      <c r="C545" s="769" t="s">
        <v>908</v>
      </c>
      <c r="D545" s="769" t="s">
        <v>508</v>
      </c>
      <c r="E545" s="769" t="s">
        <v>380</v>
      </c>
      <c r="F545" s="769" t="s">
        <v>310</v>
      </c>
      <c r="G545" s="435" t="s">
        <v>334</v>
      </c>
      <c r="H545" s="436">
        <v>604</v>
      </c>
      <c r="I545" s="436"/>
      <c r="J545" s="436"/>
      <c r="K545" s="436"/>
      <c r="L545" s="437"/>
      <c r="M545" s="437"/>
      <c r="N545" s="437"/>
      <c r="O545" s="437"/>
      <c r="P545" s="437"/>
      <c r="Q545" s="437"/>
      <c r="R545" s="436"/>
      <c r="S545" s="436"/>
      <c r="T545" s="436"/>
      <c r="U545" s="436"/>
      <c r="V545" s="436"/>
      <c r="W545" s="436"/>
      <c r="X545" s="436"/>
      <c r="Y545" s="436">
        <f>IF(NFI_Expiration=1,IF($A545&lt;VLOOKUP(H$5,NFI,5,0),1,0)*Table_NFI[[#This Row],[Hygiene Kit]],Table_NFI[Hygiene Kit])</f>
        <v>0</v>
      </c>
      <c r="Z545" s="436">
        <f>IF(NFI_Expiration=1,IF($A545&lt;VLOOKUP(I$5,NFI,5,0),1,0)*Table_NFI[[#This Row],[NFI Core Kit]],Table_NFI[NFI Core Kit])</f>
        <v>0</v>
      </c>
      <c r="AA545" s="436">
        <f>IF(NFI_Expiration=1,IF($A545&lt;VLOOKUP(J$5,NFI,5,0),1,0)*Table_NFI[[#This Row],[Sanitary Kit]],Table_NFI[Sanitary Kit])</f>
        <v>0</v>
      </c>
      <c r="AB545" s="436">
        <f>IF(NFI_Expiration=1,IF($A545&lt;VLOOKUP(K$5,NFI,5,0),1,0)*Table_NFI[[#This Row],[Mosquito net]],Table_NFI[Mosquito net])</f>
        <v>0</v>
      </c>
      <c r="AC545" s="436">
        <f>IF(NFI_Expiration=1,IF($A545&lt;VLOOKUP(L$5,NFI,5,0),1,0)*Table_NFI[[#This Row],[Tarpaulin]],Table_NFI[[#This Row],[Tarpaulin]])</f>
        <v>0</v>
      </c>
      <c r="AD545" s="436">
        <f>IF(NFI_Expiration=1,IF($A545&lt;VLOOKUP(M$5,NFI,5,0),1,0)*Table_NFI[[#This Row],[Blanket]],Table_NFI[[#This Row],[Blanket]])</f>
        <v>0</v>
      </c>
      <c r="AE545" s="436">
        <f>IF(NFI_Expiration=1,IF($A545&lt;VLOOKUP(N$5,NFI,5,0),1,0)*Table_NFI[[#This Row],[Kitchen Set]],Table_NFI[Kitchen Set])</f>
        <v>0</v>
      </c>
      <c r="AF545" s="436">
        <f>IF(NFI_Expiration=1,IF($A545&lt;VLOOKUP(O$5,NFI,5,0),1,0)*Table_NFI[[#This Row],[Clothes Kit]],Table_NFI[Clothes Kit])</f>
        <v>0</v>
      </c>
      <c r="AG545" s="436">
        <f>IF(NFI_Expiration=1,IF($A545&lt;VLOOKUP(P$5,NFI,5,0),1,0)*Table_NFI[[#This Row],[Plastic Bucket]],Table_NFI[Plastic Bucket])</f>
        <v>0</v>
      </c>
      <c r="AH545" s="436">
        <f>IF(NFI_Expiration=1,IF($A545&lt;VLOOKUP(Q$5,NFI,5,0),1,0)*Table_NFI[[#This Row],[Plastic Mat]],Table_NFI[Plastic Mat])*IF(Table_NFI[[#This Row],[Distribution Date]]&gt;"2014-04-01",1,2.5)</f>
        <v>0</v>
      </c>
      <c r="AI545" s="436">
        <f>IF(NFI_Expiration=1,IF($A545&lt;VLOOKUP(R$5,NFI,5,0),1,0)*Table_NFI[[#This Row],[Winter Clothes Adult]],Table_NFI[Winter Clothes Adult])</f>
        <v>0</v>
      </c>
      <c r="AJ545" s="436">
        <f>IF(NFI_Expiration=1,IF($A545&lt;VLOOKUP(S$5,NFI,5,0),1,0)*Table_NFI[[#This Row],[Winter Clothes Children]],Table_NFI[Winter Clothes Children])</f>
        <v>0</v>
      </c>
      <c r="AK545" s="436">
        <f>IF(NFI_Expiration=1,IF($A545&lt;VLOOKUP(T$5,NFI,5,0),1,0)*Table_NFI[[#This Row],[Winter Items Other]],Table_NFI[Winter Items Other])</f>
        <v>0</v>
      </c>
      <c r="AL545" s="436">
        <f>IF(NFI_Expiration=1,IF($A545&lt;VLOOKUP(M$5,NFI,5,0),1,0)*Table_NFI[[#This Row],[Winter Blanket]],Table_NFI[[#This Row],[Winter Blanket]])</f>
        <v>0</v>
      </c>
      <c r="AM545" s="436">
        <f>IF(Table_NFI[[#This Row],[Winter Clothes Adult]]+Table_NFI[[#This Row],[Winter Clothes Children]]+Table_NFI[[#This Row],[Winter Items Other]]+Table_NFI[[#This Row],[Winter Blanket]]&gt;0,1,0)</f>
        <v>0</v>
      </c>
      <c r="AN545" s="439">
        <f>IF(NFI_Expiration=1,IF($A545&lt;VLOOKUP(V$5,NFI,5,0),1,0)*Table_NFI[[#This Row],[Jerry Can]],Table_NFI[Jerry Can])</f>
        <v>0</v>
      </c>
      <c r="AO545" s="771" t="str">
        <f>IFERROR(VLOOKUP(Table_NFI[[#This Row],[Camp Name]],CL,2,0),"")</f>
        <v>MMR001CMP113</v>
      </c>
      <c r="AP545" s="772">
        <f ca="1">IF(Table_NFI[[#This Row],[Pcode]]="","",IF(OFFSET(CampList[Opening Date],MATCH(Table_NFI[[#This Row],[Pcode]],CampList[CP_Pcode],0)-1,0,1,1)&gt;=NFI_Monitor_Date,1,0))</f>
        <v>0</v>
      </c>
      <c r="AQ545" s="771" t="str">
        <f>IFERROR(VLOOKUP(Table_NFI[[#This Row],[Camp Name]],CL,3,0),"")</f>
        <v>Open</v>
      </c>
      <c r="AR545" s="436" t="str">
        <f ca="1">IF(Table_NFI[[#This Row],[Pcode]]="","",OFFSET(CampList[Priority],MATCH(Table_NFI[[#This Row],[Pcode]],CampList[CP_Pcode],0)-1,0,1,1))</f>
        <v>P1</v>
      </c>
      <c r="AS545" s="438">
        <f>IFERROR(Table_NFI[[#This Row],[Kitchen Set]]/VLOOKUP(Table_NFI[[#This Row],[Camp Name]],CL,4,0),"")</f>
        <v>0</v>
      </c>
      <c r="AT545" s="769" t="s">
        <v>1099</v>
      </c>
      <c r="AU545" s="773"/>
    </row>
    <row r="546" spans="1:47" s="774" customFormat="1" x14ac:dyDescent="0.25">
      <c r="A546" s="451">
        <f t="shared" si="8"/>
        <v>32.166666666666664</v>
      </c>
      <c r="B546" s="768">
        <v>41405</v>
      </c>
      <c r="C546" s="769" t="s">
        <v>908</v>
      </c>
      <c r="D546" s="770" t="s">
        <v>508</v>
      </c>
      <c r="E546" s="769" t="s">
        <v>380</v>
      </c>
      <c r="F546" s="435" t="s">
        <v>310</v>
      </c>
      <c r="G546" s="435" t="s">
        <v>355</v>
      </c>
      <c r="H546" s="436">
        <v>490</v>
      </c>
      <c r="I546" s="436"/>
      <c r="J546" s="436"/>
      <c r="K546" s="436"/>
      <c r="L546" s="437"/>
      <c r="M546" s="437"/>
      <c r="N546" s="437"/>
      <c r="O546" s="437"/>
      <c r="P546" s="437"/>
      <c r="Q546" s="437"/>
      <c r="R546" s="436"/>
      <c r="S546" s="436"/>
      <c r="T546" s="436"/>
      <c r="U546" s="436"/>
      <c r="V546" s="436"/>
      <c r="W546" s="436"/>
      <c r="X546" s="436"/>
      <c r="Y546" s="436">
        <f>IF(NFI_Expiration=1,IF($A546&lt;VLOOKUP(H$5,NFI,5,0),1,0)*Table_NFI[[#This Row],[Hygiene Kit]],Table_NFI[Hygiene Kit])</f>
        <v>0</v>
      </c>
      <c r="Z546" s="436">
        <f>IF(NFI_Expiration=1,IF($A546&lt;VLOOKUP(I$5,NFI,5,0),1,0)*Table_NFI[[#This Row],[NFI Core Kit]],Table_NFI[NFI Core Kit])</f>
        <v>0</v>
      </c>
      <c r="AA546" s="436">
        <f>IF(NFI_Expiration=1,IF($A546&lt;VLOOKUP(J$5,NFI,5,0),1,0)*Table_NFI[[#This Row],[Sanitary Kit]],Table_NFI[Sanitary Kit])</f>
        <v>0</v>
      </c>
      <c r="AB546" s="436">
        <f>IF(NFI_Expiration=1,IF($A546&lt;VLOOKUP(K$5,NFI,5,0),1,0)*Table_NFI[[#This Row],[Mosquito net]],Table_NFI[Mosquito net])</f>
        <v>0</v>
      </c>
      <c r="AC546" s="436">
        <f>IF(NFI_Expiration=1,IF($A546&lt;VLOOKUP(L$5,NFI,5,0),1,0)*Table_NFI[[#This Row],[Tarpaulin]],Table_NFI[[#This Row],[Tarpaulin]])</f>
        <v>0</v>
      </c>
      <c r="AD546" s="436">
        <f>IF(NFI_Expiration=1,IF($A546&lt;VLOOKUP(M$5,NFI,5,0),1,0)*Table_NFI[[#This Row],[Blanket]],Table_NFI[[#This Row],[Blanket]])</f>
        <v>0</v>
      </c>
      <c r="AE546" s="436">
        <f>IF(NFI_Expiration=1,IF($A546&lt;VLOOKUP(N$5,NFI,5,0),1,0)*Table_NFI[[#This Row],[Kitchen Set]],Table_NFI[Kitchen Set])</f>
        <v>0</v>
      </c>
      <c r="AF546" s="436">
        <f>IF(NFI_Expiration=1,IF($A546&lt;VLOOKUP(O$5,NFI,5,0),1,0)*Table_NFI[[#This Row],[Clothes Kit]],Table_NFI[Clothes Kit])</f>
        <v>0</v>
      </c>
      <c r="AG546" s="436">
        <f>IF(NFI_Expiration=1,IF($A546&lt;VLOOKUP(P$5,NFI,5,0),1,0)*Table_NFI[[#This Row],[Plastic Bucket]],Table_NFI[Plastic Bucket])</f>
        <v>0</v>
      </c>
      <c r="AH546" s="436">
        <f>IF(NFI_Expiration=1,IF($A546&lt;VLOOKUP(Q$5,NFI,5,0),1,0)*Table_NFI[[#This Row],[Plastic Mat]],Table_NFI[Plastic Mat])*IF(Table_NFI[[#This Row],[Distribution Date]]&gt;"2014-04-01",1,2.5)</f>
        <v>0</v>
      </c>
      <c r="AI546" s="436">
        <f>IF(NFI_Expiration=1,IF($A546&lt;VLOOKUP(R$5,NFI,5,0),1,0)*Table_NFI[[#This Row],[Winter Clothes Adult]],Table_NFI[Winter Clothes Adult])</f>
        <v>0</v>
      </c>
      <c r="AJ546" s="436">
        <f>IF(NFI_Expiration=1,IF($A546&lt;VLOOKUP(S$5,NFI,5,0),1,0)*Table_NFI[[#This Row],[Winter Clothes Children]],Table_NFI[Winter Clothes Children])</f>
        <v>0</v>
      </c>
      <c r="AK546" s="436">
        <f>IF(NFI_Expiration=1,IF($A546&lt;VLOOKUP(T$5,NFI,5,0),1,0)*Table_NFI[[#This Row],[Winter Items Other]],Table_NFI[Winter Items Other])</f>
        <v>0</v>
      </c>
      <c r="AL546" s="436">
        <f>IF(NFI_Expiration=1,IF($A546&lt;VLOOKUP(M$5,NFI,5,0),1,0)*Table_NFI[[#This Row],[Winter Blanket]],Table_NFI[[#This Row],[Winter Blanket]])</f>
        <v>0</v>
      </c>
      <c r="AM546" s="436">
        <f>IF(Table_NFI[[#This Row],[Winter Clothes Adult]]+Table_NFI[[#This Row],[Winter Clothes Children]]+Table_NFI[[#This Row],[Winter Items Other]]+Table_NFI[[#This Row],[Winter Blanket]]&gt;0,1,0)</f>
        <v>0</v>
      </c>
      <c r="AN546" s="439">
        <f>IF(NFI_Expiration=1,IF($A546&lt;VLOOKUP(V$5,NFI,5,0),1,0)*Table_NFI[[#This Row],[Jerry Can]],Table_NFI[Jerry Can])</f>
        <v>0</v>
      </c>
      <c r="AO546" s="771" t="str">
        <f>IFERROR(VLOOKUP(Table_NFI[[#This Row],[Camp Name]],CL,2,0),"")</f>
        <v>MMR001CMP160</v>
      </c>
      <c r="AP546" s="772">
        <f ca="1">IF(Table_NFI[[#This Row],[Pcode]]="","",IF(OFFSET(CampList[Opening Date],MATCH(Table_NFI[[#This Row],[Pcode]],CampList[CP_Pcode],0)-1,0,1,1)&gt;=NFI_Monitor_Date,1,0))</f>
        <v>0</v>
      </c>
      <c r="AQ546" s="771" t="str">
        <f>IFERROR(VLOOKUP(Table_NFI[[#This Row],[Camp Name]],CL,3,0),"")</f>
        <v>Open</v>
      </c>
      <c r="AR546" s="436" t="str">
        <f ca="1">IF(Table_NFI[[#This Row],[Pcode]]="","",OFFSET(CampList[Priority],MATCH(Table_NFI[[#This Row],[Pcode]],CampList[CP_Pcode],0)-1,0,1,1))</f>
        <v>P1</v>
      </c>
      <c r="AS546" s="438">
        <f>IFERROR(Table_NFI[[#This Row],[Kitchen Set]]/VLOOKUP(Table_NFI[[#This Row],[Camp Name]],CL,4,0),"")</f>
        <v>0</v>
      </c>
      <c r="AT546" s="769" t="s">
        <v>1099</v>
      </c>
      <c r="AU546" s="773"/>
    </row>
    <row r="547" spans="1:47" s="774" customFormat="1" x14ac:dyDescent="0.25">
      <c r="A547" s="451">
        <f t="shared" si="8"/>
        <v>32.233333333333334</v>
      </c>
      <c r="B547" s="768">
        <v>41403</v>
      </c>
      <c r="C547" s="769" t="s">
        <v>908</v>
      </c>
      <c r="D547" s="770" t="s">
        <v>508</v>
      </c>
      <c r="E547" s="769" t="s">
        <v>380</v>
      </c>
      <c r="F547" s="435" t="s">
        <v>237</v>
      </c>
      <c r="G547" s="435" t="s">
        <v>255</v>
      </c>
      <c r="H547" s="436">
        <v>460</v>
      </c>
      <c r="I547" s="436"/>
      <c r="J547" s="436"/>
      <c r="K547" s="436"/>
      <c r="L547" s="437"/>
      <c r="M547" s="437"/>
      <c r="N547" s="437"/>
      <c r="O547" s="437"/>
      <c r="P547" s="437"/>
      <c r="Q547" s="437"/>
      <c r="R547" s="436"/>
      <c r="S547" s="436"/>
      <c r="T547" s="436"/>
      <c r="U547" s="436"/>
      <c r="V547" s="436"/>
      <c r="W547" s="436"/>
      <c r="X547" s="436"/>
      <c r="Y547" s="436">
        <f>IF(NFI_Expiration=1,IF($A547&lt;VLOOKUP(H$5,NFI,5,0),1,0)*Table_NFI[[#This Row],[Hygiene Kit]],Table_NFI[Hygiene Kit])</f>
        <v>0</v>
      </c>
      <c r="Z547" s="436">
        <f>IF(NFI_Expiration=1,IF($A547&lt;VLOOKUP(I$5,NFI,5,0),1,0)*Table_NFI[[#This Row],[NFI Core Kit]],Table_NFI[NFI Core Kit])</f>
        <v>0</v>
      </c>
      <c r="AA547" s="436">
        <f>IF(NFI_Expiration=1,IF($A547&lt;VLOOKUP(J$5,NFI,5,0),1,0)*Table_NFI[[#This Row],[Sanitary Kit]],Table_NFI[Sanitary Kit])</f>
        <v>0</v>
      </c>
      <c r="AB547" s="436">
        <f>IF(NFI_Expiration=1,IF($A547&lt;VLOOKUP(K$5,NFI,5,0),1,0)*Table_NFI[[#This Row],[Mosquito net]],Table_NFI[Mosquito net])</f>
        <v>0</v>
      </c>
      <c r="AC547" s="436">
        <f>IF(NFI_Expiration=1,IF($A547&lt;VLOOKUP(L$5,NFI,5,0),1,0)*Table_NFI[[#This Row],[Tarpaulin]],Table_NFI[[#This Row],[Tarpaulin]])</f>
        <v>0</v>
      </c>
      <c r="AD547" s="436">
        <f>IF(NFI_Expiration=1,IF($A547&lt;VLOOKUP(M$5,NFI,5,0),1,0)*Table_NFI[[#This Row],[Blanket]],Table_NFI[[#This Row],[Blanket]])</f>
        <v>0</v>
      </c>
      <c r="AE547" s="436">
        <f>IF(NFI_Expiration=1,IF($A547&lt;VLOOKUP(N$5,NFI,5,0),1,0)*Table_NFI[[#This Row],[Kitchen Set]],Table_NFI[Kitchen Set])</f>
        <v>0</v>
      </c>
      <c r="AF547" s="436">
        <f>IF(NFI_Expiration=1,IF($A547&lt;VLOOKUP(O$5,NFI,5,0),1,0)*Table_NFI[[#This Row],[Clothes Kit]],Table_NFI[Clothes Kit])</f>
        <v>0</v>
      </c>
      <c r="AG547" s="436">
        <f>IF(NFI_Expiration=1,IF($A547&lt;VLOOKUP(P$5,NFI,5,0),1,0)*Table_NFI[[#This Row],[Plastic Bucket]],Table_NFI[Plastic Bucket])</f>
        <v>0</v>
      </c>
      <c r="AH547" s="436">
        <f>IF(NFI_Expiration=1,IF($A547&lt;VLOOKUP(Q$5,NFI,5,0),1,0)*Table_NFI[[#This Row],[Plastic Mat]],Table_NFI[Plastic Mat])*IF(Table_NFI[[#This Row],[Distribution Date]]&gt;"2014-04-01",1,2.5)</f>
        <v>0</v>
      </c>
      <c r="AI547" s="436">
        <f>IF(NFI_Expiration=1,IF($A547&lt;VLOOKUP(R$5,NFI,5,0),1,0)*Table_NFI[[#This Row],[Winter Clothes Adult]],Table_NFI[Winter Clothes Adult])</f>
        <v>0</v>
      </c>
      <c r="AJ547" s="436">
        <f>IF(NFI_Expiration=1,IF($A547&lt;VLOOKUP(S$5,NFI,5,0),1,0)*Table_NFI[[#This Row],[Winter Clothes Children]],Table_NFI[Winter Clothes Children])</f>
        <v>0</v>
      </c>
      <c r="AK547" s="436">
        <f>IF(NFI_Expiration=1,IF($A547&lt;VLOOKUP(T$5,NFI,5,0),1,0)*Table_NFI[[#This Row],[Winter Items Other]],Table_NFI[Winter Items Other])</f>
        <v>0</v>
      </c>
      <c r="AL547" s="436">
        <f>IF(NFI_Expiration=1,IF($A547&lt;VLOOKUP(M$5,NFI,5,0),1,0)*Table_NFI[[#This Row],[Winter Blanket]],Table_NFI[[#This Row],[Winter Blanket]])</f>
        <v>0</v>
      </c>
      <c r="AM547" s="436">
        <f>IF(Table_NFI[[#This Row],[Winter Clothes Adult]]+Table_NFI[[#This Row],[Winter Clothes Children]]+Table_NFI[[#This Row],[Winter Items Other]]+Table_NFI[[#This Row],[Winter Blanket]]&gt;0,1,0)</f>
        <v>0</v>
      </c>
      <c r="AN547" s="439">
        <f>IF(NFI_Expiration=1,IF($A547&lt;VLOOKUP(V$5,NFI,5,0),1,0)*Table_NFI[[#This Row],[Jerry Can]],Table_NFI[Jerry Can])</f>
        <v>0</v>
      </c>
      <c r="AO547" s="771" t="str">
        <f>IFERROR(VLOOKUP(Table_NFI[[#This Row],[Camp Name]],CL,2,0),"")</f>
        <v>MMR001CMP019</v>
      </c>
      <c r="AP547" s="772">
        <f ca="1">IF(Table_NFI[[#This Row],[Pcode]]="","",IF(OFFSET(CampList[Opening Date],MATCH(Table_NFI[[#This Row],[Pcode]],CampList[CP_Pcode],0)-1,0,1,1)&gt;=NFI_Monitor_Date,1,0))</f>
        <v>0</v>
      </c>
      <c r="AQ547" s="771" t="str">
        <f>IFERROR(VLOOKUP(Table_NFI[[#This Row],[Camp Name]],CL,3,0),"")</f>
        <v>Open</v>
      </c>
      <c r="AR547" s="436" t="str">
        <f ca="1">IF(Table_NFI[[#This Row],[Pcode]]="","",OFFSET(CampList[Priority],MATCH(Table_NFI[[#This Row],[Pcode]],CampList[CP_Pcode],0)-1,0,1,1))</f>
        <v>P4</v>
      </c>
      <c r="AS547" s="438">
        <f>IFERROR(Table_NFI[[#This Row],[Kitchen Set]]/VLOOKUP(Table_NFI[[#This Row],[Camp Name]],CL,4,0),"")</f>
        <v>0</v>
      </c>
      <c r="AT547" s="769" t="s">
        <v>1099</v>
      </c>
      <c r="AU547" s="773"/>
    </row>
    <row r="548" spans="1:47" s="774" customFormat="1" x14ac:dyDescent="0.25">
      <c r="A548" s="451">
        <f t="shared" si="8"/>
        <v>32.233333333333334</v>
      </c>
      <c r="B548" s="768">
        <v>41403</v>
      </c>
      <c r="C548" s="769" t="s">
        <v>908</v>
      </c>
      <c r="D548" s="769" t="s">
        <v>508</v>
      </c>
      <c r="E548" s="769" t="s">
        <v>380</v>
      </c>
      <c r="F548" s="435" t="s">
        <v>237</v>
      </c>
      <c r="G548" s="435" t="s">
        <v>271</v>
      </c>
      <c r="H548" s="436">
        <v>324</v>
      </c>
      <c r="I548" s="436"/>
      <c r="J548" s="436"/>
      <c r="K548" s="436"/>
      <c r="L548" s="437"/>
      <c r="M548" s="437"/>
      <c r="N548" s="437"/>
      <c r="O548" s="437"/>
      <c r="P548" s="439"/>
      <c r="Q548" s="439"/>
      <c r="R548" s="436"/>
      <c r="S548" s="436"/>
      <c r="T548" s="436"/>
      <c r="U548" s="436"/>
      <c r="V548" s="436"/>
      <c r="W548" s="436"/>
      <c r="X548" s="436"/>
      <c r="Y548" s="436">
        <f>IF(NFI_Expiration=1,IF($A548&lt;VLOOKUP(H$5,NFI,5,0),1,0)*Table_NFI[[#This Row],[Hygiene Kit]],Table_NFI[Hygiene Kit])</f>
        <v>0</v>
      </c>
      <c r="Z548" s="436">
        <f>IF(NFI_Expiration=1,IF($A548&lt;VLOOKUP(I$5,NFI,5,0),1,0)*Table_NFI[[#This Row],[NFI Core Kit]],Table_NFI[NFI Core Kit])</f>
        <v>0</v>
      </c>
      <c r="AA548" s="436">
        <f>IF(NFI_Expiration=1,IF($A548&lt;VLOOKUP(J$5,NFI,5,0),1,0)*Table_NFI[[#This Row],[Sanitary Kit]],Table_NFI[Sanitary Kit])</f>
        <v>0</v>
      </c>
      <c r="AB548" s="436">
        <f>IF(NFI_Expiration=1,IF($A548&lt;VLOOKUP(K$5,NFI,5,0),1,0)*Table_NFI[[#This Row],[Mosquito net]],Table_NFI[Mosquito net])</f>
        <v>0</v>
      </c>
      <c r="AC548" s="436">
        <f>IF(NFI_Expiration=1,IF($A548&lt;VLOOKUP(L$5,NFI,5,0),1,0)*Table_NFI[[#This Row],[Tarpaulin]],Table_NFI[[#This Row],[Tarpaulin]])</f>
        <v>0</v>
      </c>
      <c r="AD548" s="436">
        <f>IF(NFI_Expiration=1,IF($A548&lt;VLOOKUP(M$5,NFI,5,0),1,0)*Table_NFI[[#This Row],[Blanket]],Table_NFI[[#This Row],[Blanket]])</f>
        <v>0</v>
      </c>
      <c r="AE548" s="436">
        <f>IF(NFI_Expiration=1,IF($A548&lt;VLOOKUP(N$5,NFI,5,0),1,0)*Table_NFI[[#This Row],[Kitchen Set]],Table_NFI[Kitchen Set])</f>
        <v>0</v>
      </c>
      <c r="AF548" s="436">
        <f>IF(NFI_Expiration=1,IF($A548&lt;VLOOKUP(O$5,NFI,5,0),1,0)*Table_NFI[[#This Row],[Clothes Kit]],Table_NFI[Clothes Kit])</f>
        <v>0</v>
      </c>
      <c r="AG548" s="436">
        <f>IF(NFI_Expiration=1,IF($A548&lt;VLOOKUP(P$5,NFI,5,0),1,0)*Table_NFI[[#This Row],[Plastic Bucket]],Table_NFI[Plastic Bucket])</f>
        <v>0</v>
      </c>
      <c r="AH548" s="436">
        <f>IF(NFI_Expiration=1,IF($A548&lt;VLOOKUP(Q$5,NFI,5,0),1,0)*Table_NFI[[#This Row],[Plastic Mat]],Table_NFI[Plastic Mat])*IF(Table_NFI[[#This Row],[Distribution Date]]&gt;"2014-04-01",1,2.5)</f>
        <v>0</v>
      </c>
      <c r="AI548" s="436">
        <f>IF(NFI_Expiration=1,IF($A548&lt;VLOOKUP(R$5,NFI,5,0),1,0)*Table_NFI[[#This Row],[Winter Clothes Adult]],Table_NFI[Winter Clothes Adult])</f>
        <v>0</v>
      </c>
      <c r="AJ548" s="436">
        <f>IF(NFI_Expiration=1,IF($A548&lt;VLOOKUP(S$5,NFI,5,0),1,0)*Table_NFI[[#This Row],[Winter Clothes Children]],Table_NFI[Winter Clothes Children])</f>
        <v>0</v>
      </c>
      <c r="AK548" s="436">
        <f>IF(NFI_Expiration=1,IF($A548&lt;VLOOKUP(T$5,NFI,5,0),1,0)*Table_NFI[[#This Row],[Winter Items Other]],Table_NFI[Winter Items Other])</f>
        <v>0</v>
      </c>
      <c r="AL548" s="436">
        <f>IF(NFI_Expiration=1,IF($A548&lt;VLOOKUP(M$5,NFI,5,0),1,0)*Table_NFI[[#This Row],[Winter Blanket]],Table_NFI[[#This Row],[Winter Blanket]])</f>
        <v>0</v>
      </c>
      <c r="AM548" s="436">
        <f>IF(Table_NFI[[#This Row],[Winter Clothes Adult]]+Table_NFI[[#This Row],[Winter Clothes Children]]+Table_NFI[[#This Row],[Winter Items Other]]+Table_NFI[[#This Row],[Winter Blanket]]&gt;0,1,0)</f>
        <v>0</v>
      </c>
      <c r="AN548" s="439">
        <f>IF(NFI_Expiration=1,IF($A548&lt;VLOOKUP(V$5,NFI,5,0),1,0)*Table_NFI[[#This Row],[Jerry Can]],Table_NFI[Jerry Can])</f>
        <v>0</v>
      </c>
      <c r="AO548" s="771" t="str">
        <f>IFERROR(VLOOKUP(Table_NFI[[#This Row],[Camp Name]],CL,2,0),"")</f>
        <v>MMR001CMP024</v>
      </c>
      <c r="AP548" s="772">
        <f ca="1">IF(Table_NFI[[#This Row],[Pcode]]="","",IF(OFFSET(CampList[Opening Date],MATCH(Table_NFI[[#This Row],[Pcode]],CampList[CP_Pcode],0)-1,0,1,1)&gt;=NFI_Monitor_Date,1,0))</f>
        <v>0</v>
      </c>
      <c r="AQ548" s="771" t="str">
        <f>IFERROR(VLOOKUP(Table_NFI[[#This Row],[Camp Name]],CL,3,0),"")</f>
        <v>Open</v>
      </c>
      <c r="AR548" s="436" t="str">
        <f ca="1">IF(Table_NFI[[#This Row],[Pcode]]="","",OFFSET(CampList[Priority],MATCH(Table_NFI[[#This Row],[Pcode]],CampList[CP_Pcode],0)-1,0,1,1))</f>
        <v>P4</v>
      </c>
      <c r="AS548" s="438">
        <f>IFERROR(Table_NFI[[#This Row],[Kitchen Set]]/VLOOKUP(Table_NFI[[#This Row],[Camp Name]],CL,4,0),"")</f>
        <v>0</v>
      </c>
      <c r="AT548" s="769" t="s">
        <v>1099</v>
      </c>
      <c r="AU548" s="773"/>
    </row>
    <row r="549" spans="1:47" s="774" customFormat="1" x14ac:dyDescent="0.25">
      <c r="A549" s="451">
        <f t="shared" si="8"/>
        <v>32.266666666666666</v>
      </c>
      <c r="B549" s="768">
        <v>41402</v>
      </c>
      <c r="C549" s="769" t="s">
        <v>908</v>
      </c>
      <c r="D549" s="770" t="s">
        <v>508</v>
      </c>
      <c r="E549" s="769" t="s">
        <v>380</v>
      </c>
      <c r="F549" s="435" t="s">
        <v>310</v>
      </c>
      <c r="G549" s="435" t="s">
        <v>330</v>
      </c>
      <c r="H549" s="436">
        <v>1062</v>
      </c>
      <c r="I549" s="436"/>
      <c r="J549" s="436"/>
      <c r="K549" s="436"/>
      <c r="L549" s="437"/>
      <c r="M549" s="437"/>
      <c r="N549" s="437"/>
      <c r="O549" s="437"/>
      <c r="P549" s="437"/>
      <c r="Q549" s="437"/>
      <c r="R549" s="436"/>
      <c r="S549" s="436"/>
      <c r="T549" s="436"/>
      <c r="U549" s="436"/>
      <c r="V549" s="436"/>
      <c r="W549" s="436"/>
      <c r="X549" s="436"/>
      <c r="Y549" s="436">
        <f>IF(NFI_Expiration=1,IF($A549&lt;VLOOKUP(H$5,NFI,5,0),1,0)*Table_NFI[[#This Row],[Hygiene Kit]],Table_NFI[Hygiene Kit])</f>
        <v>0</v>
      </c>
      <c r="Z549" s="436">
        <f>IF(NFI_Expiration=1,IF($A549&lt;VLOOKUP(I$5,NFI,5,0),1,0)*Table_NFI[[#This Row],[NFI Core Kit]],Table_NFI[NFI Core Kit])</f>
        <v>0</v>
      </c>
      <c r="AA549" s="436">
        <f>IF(NFI_Expiration=1,IF($A549&lt;VLOOKUP(J$5,NFI,5,0),1,0)*Table_NFI[[#This Row],[Sanitary Kit]],Table_NFI[Sanitary Kit])</f>
        <v>0</v>
      </c>
      <c r="AB549" s="436">
        <f>IF(NFI_Expiration=1,IF($A549&lt;VLOOKUP(K$5,NFI,5,0),1,0)*Table_NFI[[#This Row],[Mosquito net]],Table_NFI[Mosquito net])</f>
        <v>0</v>
      </c>
      <c r="AC549" s="436">
        <f>IF(NFI_Expiration=1,IF($A549&lt;VLOOKUP(L$5,NFI,5,0),1,0)*Table_NFI[[#This Row],[Tarpaulin]],Table_NFI[[#This Row],[Tarpaulin]])</f>
        <v>0</v>
      </c>
      <c r="AD549" s="436">
        <f>IF(NFI_Expiration=1,IF($A549&lt;VLOOKUP(M$5,NFI,5,0),1,0)*Table_NFI[[#This Row],[Blanket]],Table_NFI[[#This Row],[Blanket]])</f>
        <v>0</v>
      </c>
      <c r="AE549" s="436">
        <f>IF(NFI_Expiration=1,IF($A549&lt;VLOOKUP(N$5,NFI,5,0),1,0)*Table_NFI[[#This Row],[Kitchen Set]],Table_NFI[Kitchen Set])</f>
        <v>0</v>
      </c>
      <c r="AF549" s="436">
        <f>IF(NFI_Expiration=1,IF($A549&lt;VLOOKUP(O$5,NFI,5,0),1,0)*Table_NFI[[#This Row],[Clothes Kit]],Table_NFI[Clothes Kit])</f>
        <v>0</v>
      </c>
      <c r="AG549" s="436">
        <f>IF(NFI_Expiration=1,IF($A549&lt;VLOOKUP(P$5,NFI,5,0),1,0)*Table_NFI[[#This Row],[Plastic Bucket]],Table_NFI[Plastic Bucket])</f>
        <v>0</v>
      </c>
      <c r="AH549" s="436">
        <f>IF(NFI_Expiration=1,IF($A549&lt;VLOOKUP(Q$5,NFI,5,0),1,0)*Table_NFI[[#This Row],[Plastic Mat]],Table_NFI[Plastic Mat])*IF(Table_NFI[[#This Row],[Distribution Date]]&gt;"2014-04-01",1,2.5)</f>
        <v>0</v>
      </c>
      <c r="AI549" s="436">
        <f>IF(NFI_Expiration=1,IF($A549&lt;VLOOKUP(R$5,NFI,5,0),1,0)*Table_NFI[[#This Row],[Winter Clothes Adult]],Table_NFI[Winter Clothes Adult])</f>
        <v>0</v>
      </c>
      <c r="AJ549" s="436">
        <f>IF(NFI_Expiration=1,IF($A549&lt;VLOOKUP(S$5,NFI,5,0),1,0)*Table_NFI[[#This Row],[Winter Clothes Children]],Table_NFI[Winter Clothes Children])</f>
        <v>0</v>
      </c>
      <c r="AK549" s="436">
        <f>IF(NFI_Expiration=1,IF($A549&lt;VLOOKUP(T$5,NFI,5,0),1,0)*Table_NFI[[#This Row],[Winter Items Other]],Table_NFI[Winter Items Other])</f>
        <v>0</v>
      </c>
      <c r="AL549" s="436">
        <f>IF(NFI_Expiration=1,IF($A549&lt;VLOOKUP(M$5,NFI,5,0),1,0)*Table_NFI[[#This Row],[Winter Blanket]],Table_NFI[[#This Row],[Winter Blanket]])</f>
        <v>0</v>
      </c>
      <c r="AM549" s="436">
        <f>IF(Table_NFI[[#This Row],[Winter Clothes Adult]]+Table_NFI[[#This Row],[Winter Clothes Children]]+Table_NFI[[#This Row],[Winter Items Other]]+Table_NFI[[#This Row],[Winter Blanket]]&gt;0,1,0)</f>
        <v>0</v>
      </c>
      <c r="AN549" s="439">
        <f>IF(NFI_Expiration=1,IF($A549&lt;VLOOKUP(V$5,NFI,5,0),1,0)*Table_NFI[[#This Row],[Jerry Can]],Table_NFI[Jerry Can])</f>
        <v>0</v>
      </c>
      <c r="AO549" s="771" t="str">
        <f>IFERROR(VLOOKUP(Table_NFI[[#This Row],[Camp Name]],CL,2,0),"")</f>
        <v>MMR001CMP029</v>
      </c>
      <c r="AP549" s="772">
        <f ca="1">IF(Table_NFI[[#This Row],[Pcode]]="","",IF(OFFSET(CampList[Opening Date],MATCH(Table_NFI[[#This Row],[Pcode]],CampList[CP_Pcode],0)-1,0,1,1)&gt;=NFI_Monitor_Date,1,0))</f>
        <v>0</v>
      </c>
      <c r="AQ549" s="771" t="str">
        <f>IFERROR(VLOOKUP(Table_NFI[[#This Row],[Camp Name]],CL,3,0),"")</f>
        <v>Open</v>
      </c>
      <c r="AR549" s="436" t="str">
        <f ca="1">IF(Table_NFI[[#This Row],[Pcode]]="","",OFFSET(CampList[Priority],MATCH(Table_NFI[[#This Row],[Pcode]],CampList[CP_Pcode],0)-1,0,1,1))</f>
        <v>P4</v>
      </c>
      <c r="AS549" s="438">
        <f>IFERROR(Table_NFI[[#This Row],[Kitchen Set]]/VLOOKUP(Table_NFI[[#This Row],[Camp Name]],CL,4,0),"")</f>
        <v>0</v>
      </c>
      <c r="AT549" s="769" t="s">
        <v>1099</v>
      </c>
      <c r="AU549" s="773"/>
    </row>
    <row r="550" spans="1:47" s="774" customFormat="1" x14ac:dyDescent="0.25">
      <c r="A550" s="451">
        <f t="shared" si="8"/>
        <v>32.299999999999997</v>
      </c>
      <c r="B550" s="768">
        <v>41401</v>
      </c>
      <c r="C550" s="769" t="s">
        <v>908</v>
      </c>
      <c r="D550" s="770" t="s">
        <v>508</v>
      </c>
      <c r="E550" s="769" t="s">
        <v>380</v>
      </c>
      <c r="F550" s="435" t="s">
        <v>237</v>
      </c>
      <c r="G550" s="435" t="s">
        <v>273</v>
      </c>
      <c r="H550" s="436">
        <v>149</v>
      </c>
      <c r="I550" s="436"/>
      <c r="J550" s="436"/>
      <c r="K550" s="436"/>
      <c r="L550" s="437"/>
      <c r="M550" s="437"/>
      <c r="N550" s="437"/>
      <c r="O550" s="437"/>
      <c r="P550" s="437"/>
      <c r="Q550" s="437"/>
      <c r="R550" s="436"/>
      <c r="S550" s="436"/>
      <c r="T550" s="436"/>
      <c r="U550" s="436"/>
      <c r="V550" s="436"/>
      <c r="W550" s="436"/>
      <c r="X550" s="436"/>
      <c r="Y550" s="436">
        <f>IF(NFI_Expiration=1,IF($A550&lt;VLOOKUP(H$5,NFI,5,0),1,0)*Table_NFI[[#This Row],[Hygiene Kit]],Table_NFI[Hygiene Kit])</f>
        <v>0</v>
      </c>
      <c r="Z550" s="436">
        <f>IF(NFI_Expiration=1,IF($A550&lt;VLOOKUP(I$5,NFI,5,0),1,0)*Table_NFI[[#This Row],[NFI Core Kit]],Table_NFI[NFI Core Kit])</f>
        <v>0</v>
      </c>
      <c r="AA550" s="436">
        <f>IF(NFI_Expiration=1,IF($A550&lt;VLOOKUP(J$5,NFI,5,0),1,0)*Table_NFI[[#This Row],[Sanitary Kit]],Table_NFI[Sanitary Kit])</f>
        <v>0</v>
      </c>
      <c r="AB550" s="436">
        <f>IF(NFI_Expiration=1,IF($A550&lt;VLOOKUP(K$5,NFI,5,0),1,0)*Table_NFI[[#This Row],[Mosquito net]],Table_NFI[Mosquito net])</f>
        <v>0</v>
      </c>
      <c r="AC550" s="436">
        <f>IF(NFI_Expiration=1,IF($A550&lt;VLOOKUP(L$5,NFI,5,0),1,0)*Table_NFI[[#This Row],[Tarpaulin]],Table_NFI[[#This Row],[Tarpaulin]])</f>
        <v>0</v>
      </c>
      <c r="AD550" s="436">
        <f>IF(NFI_Expiration=1,IF($A550&lt;VLOOKUP(M$5,NFI,5,0),1,0)*Table_NFI[[#This Row],[Blanket]],Table_NFI[[#This Row],[Blanket]])</f>
        <v>0</v>
      </c>
      <c r="AE550" s="436">
        <f>IF(NFI_Expiration=1,IF($A550&lt;VLOOKUP(N$5,NFI,5,0),1,0)*Table_NFI[[#This Row],[Kitchen Set]],Table_NFI[Kitchen Set])</f>
        <v>0</v>
      </c>
      <c r="AF550" s="436">
        <f>IF(NFI_Expiration=1,IF($A550&lt;VLOOKUP(O$5,NFI,5,0),1,0)*Table_NFI[[#This Row],[Clothes Kit]],Table_NFI[Clothes Kit])</f>
        <v>0</v>
      </c>
      <c r="AG550" s="436">
        <f>IF(NFI_Expiration=1,IF($A550&lt;VLOOKUP(P$5,NFI,5,0),1,0)*Table_NFI[[#This Row],[Plastic Bucket]],Table_NFI[Plastic Bucket])</f>
        <v>0</v>
      </c>
      <c r="AH550" s="436">
        <f>IF(NFI_Expiration=1,IF($A550&lt;VLOOKUP(Q$5,NFI,5,0),1,0)*Table_NFI[[#This Row],[Plastic Mat]],Table_NFI[Plastic Mat])*IF(Table_NFI[[#This Row],[Distribution Date]]&gt;"2014-04-01",1,2.5)</f>
        <v>0</v>
      </c>
      <c r="AI550" s="436">
        <f>IF(NFI_Expiration=1,IF($A550&lt;VLOOKUP(R$5,NFI,5,0),1,0)*Table_NFI[[#This Row],[Winter Clothes Adult]],Table_NFI[Winter Clothes Adult])</f>
        <v>0</v>
      </c>
      <c r="AJ550" s="436">
        <f>IF(NFI_Expiration=1,IF($A550&lt;VLOOKUP(S$5,NFI,5,0),1,0)*Table_NFI[[#This Row],[Winter Clothes Children]],Table_NFI[Winter Clothes Children])</f>
        <v>0</v>
      </c>
      <c r="AK550" s="436">
        <f>IF(NFI_Expiration=1,IF($A550&lt;VLOOKUP(T$5,NFI,5,0),1,0)*Table_NFI[[#This Row],[Winter Items Other]],Table_NFI[Winter Items Other])</f>
        <v>0</v>
      </c>
      <c r="AL550" s="436">
        <f>IF(NFI_Expiration=1,IF($A550&lt;VLOOKUP(M$5,NFI,5,0),1,0)*Table_NFI[[#This Row],[Winter Blanket]],Table_NFI[[#This Row],[Winter Blanket]])</f>
        <v>0</v>
      </c>
      <c r="AM550" s="436">
        <f>IF(Table_NFI[[#This Row],[Winter Clothes Adult]]+Table_NFI[[#This Row],[Winter Clothes Children]]+Table_NFI[[#This Row],[Winter Items Other]]+Table_NFI[[#This Row],[Winter Blanket]]&gt;0,1,0)</f>
        <v>0</v>
      </c>
      <c r="AN550" s="439">
        <f>IF(NFI_Expiration=1,IF($A550&lt;VLOOKUP(V$5,NFI,5,0),1,0)*Table_NFI[[#This Row],[Jerry Can]],Table_NFI[Jerry Can])</f>
        <v>0</v>
      </c>
      <c r="AO550" s="771" t="str">
        <f>IFERROR(VLOOKUP(Table_NFI[[#This Row],[Camp Name]],CL,2,0),"")</f>
        <v>MMR001CMP162</v>
      </c>
      <c r="AP550" s="772">
        <f ca="1">IF(Table_NFI[[#This Row],[Pcode]]="","",IF(OFFSET(CampList[Opening Date],MATCH(Table_NFI[[#This Row],[Pcode]],CampList[CP_Pcode],0)-1,0,1,1)&gt;=NFI_Monitor_Date,1,0))</f>
        <v>0</v>
      </c>
      <c r="AQ550" s="771" t="str">
        <f>IFERROR(VLOOKUP(Table_NFI[[#This Row],[Camp Name]],CL,3,0),"")</f>
        <v>Open</v>
      </c>
      <c r="AR550" s="436" t="str">
        <f ca="1">IF(Table_NFI[[#This Row],[Pcode]]="","",OFFSET(CampList[Priority],MATCH(Table_NFI[[#This Row],[Pcode]],CampList[CP_Pcode],0)-1,0,1,1))</f>
        <v>P4</v>
      </c>
      <c r="AS550" s="438">
        <f>IFERROR(Table_NFI[[#This Row],[Kitchen Set]]/VLOOKUP(Table_NFI[[#This Row],[Camp Name]],CL,4,0),"")</f>
        <v>0</v>
      </c>
      <c r="AT550" s="769" t="s">
        <v>1099</v>
      </c>
      <c r="AU550" s="773"/>
    </row>
    <row r="551" spans="1:47" s="774" customFormat="1" x14ac:dyDescent="0.25">
      <c r="A551" s="451">
        <f t="shared" si="8"/>
        <v>33.43333333333333</v>
      </c>
      <c r="B551" s="768">
        <v>41367</v>
      </c>
      <c r="C551" s="769" t="s">
        <v>454</v>
      </c>
      <c r="D551" s="769" t="s">
        <v>454</v>
      </c>
      <c r="E551" s="769" t="s">
        <v>380</v>
      </c>
      <c r="F551" s="435" t="s">
        <v>310</v>
      </c>
      <c r="G551" s="435" t="s">
        <v>328</v>
      </c>
      <c r="H551" s="436"/>
      <c r="I551" s="436"/>
      <c r="J551" s="436">
        <v>15</v>
      </c>
      <c r="K551" s="436">
        <v>22</v>
      </c>
      <c r="L551" s="437">
        <v>11</v>
      </c>
      <c r="M551" s="437">
        <v>22</v>
      </c>
      <c r="N551" s="437">
        <v>11</v>
      </c>
      <c r="O551" s="437">
        <v>11</v>
      </c>
      <c r="P551" s="439">
        <v>11</v>
      </c>
      <c r="Q551" s="439">
        <v>11</v>
      </c>
      <c r="R551" s="436"/>
      <c r="S551" s="436"/>
      <c r="T551" s="436"/>
      <c r="U551" s="436"/>
      <c r="V551" s="436"/>
      <c r="W551" s="436"/>
      <c r="X551" s="436"/>
      <c r="Y551" s="436">
        <f>IF(NFI_Expiration=1,IF($A551&lt;VLOOKUP(H$5,NFI,5,0),1,0)*Table_NFI[[#This Row],[Hygiene Kit]],Table_NFI[Hygiene Kit])</f>
        <v>0</v>
      </c>
      <c r="Z551" s="436">
        <f>IF(NFI_Expiration=1,IF($A551&lt;VLOOKUP(I$5,NFI,5,0),1,0)*Table_NFI[[#This Row],[NFI Core Kit]],Table_NFI[NFI Core Kit])</f>
        <v>0</v>
      </c>
      <c r="AA551" s="436">
        <f>IF(NFI_Expiration=1,IF($A551&lt;VLOOKUP(J$5,NFI,5,0),1,0)*Table_NFI[[#This Row],[Sanitary Kit]],Table_NFI[Sanitary Kit])</f>
        <v>0</v>
      </c>
      <c r="AB551" s="436">
        <f>IF(NFI_Expiration=1,IF($A551&lt;VLOOKUP(K$5,NFI,5,0),1,0)*Table_NFI[[#This Row],[Mosquito net]],Table_NFI[Mosquito net])</f>
        <v>0</v>
      </c>
      <c r="AC551" s="436">
        <f>IF(NFI_Expiration=1,IF($A551&lt;VLOOKUP(L$5,NFI,5,0),1,0)*Table_NFI[[#This Row],[Tarpaulin]],Table_NFI[[#This Row],[Tarpaulin]])</f>
        <v>0</v>
      </c>
      <c r="AD551" s="436">
        <f>IF(NFI_Expiration=1,IF($A551&lt;VLOOKUP(M$5,NFI,5,0),1,0)*Table_NFI[[#This Row],[Blanket]],Table_NFI[[#This Row],[Blanket]])</f>
        <v>0</v>
      </c>
      <c r="AE551" s="436">
        <f>IF(NFI_Expiration=1,IF($A551&lt;VLOOKUP(N$5,NFI,5,0),1,0)*Table_NFI[[#This Row],[Kitchen Set]],Table_NFI[Kitchen Set])</f>
        <v>0</v>
      </c>
      <c r="AF551" s="436">
        <f>IF(NFI_Expiration=1,IF($A551&lt;VLOOKUP(O$5,NFI,5,0),1,0)*Table_NFI[[#This Row],[Clothes Kit]],Table_NFI[Clothes Kit])</f>
        <v>0</v>
      </c>
      <c r="AG551" s="436">
        <f>IF(NFI_Expiration=1,IF($A551&lt;VLOOKUP(P$5,NFI,5,0),1,0)*Table_NFI[[#This Row],[Plastic Bucket]],Table_NFI[Plastic Bucket])</f>
        <v>0</v>
      </c>
      <c r="AH551" s="436">
        <f>IF(NFI_Expiration=1,IF($A551&lt;VLOOKUP(Q$5,NFI,5,0),1,0)*Table_NFI[[#This Row],[Plastic Mat]],Table_NFI[Plastic Mat])*IF(Table_NFI[[#This Row],[Distribution Date]]&gt;"2014-04-01",1,2.5)</f>
        <v>0</v>
      </c>
      <c r="AI551" s="436">
        <f>IF(NFI_Expiration=1,IF($A551&lt;VLOOKUP(R$5,NFI,5,0),1,0)*Table_NFI[[#This Row],[Winter Clothes Adult]],Table_NFI[Winter Clothes Adult])</f>
        <v>0</v>
      </c>
      <c r="AJ551" s="436">
        <f>IF(NFI_Expiration=1,IF($A551&lt;VLOOKUP(S$5,NFI,5,0),1,0)*Table_NFI[[#This Row],[Winter Clothes Children]],Table_NFI[Winter Clothes Children])</f>
        <v>0</v>
      </c>
      <c r="AK551" s="436">
        <f>IF(NFI_Expiration=1,IF($A551&lt;VLOOKUP(T$5,NFI,5,0),1,0)*Table_NFI[[#This Row],[Winter Items Other]],Table_NFI[Winter Items Other])</f>
        <v>0</v>
      </c>
      <c r="AL551" s="436">
        <f>IF(NFI_Expiration=1,IF($A551&lt;VLOOKUP(M$5,NFI,5,0),1,0)*Table_NFI[[#This Row],[Winter Blanket]],Table_NFI[[#This Row],[Winter Blanket]])</f>
        <v>0</v>
      </c>
      <c r="AM551" s="436">
        <f>IF(Table_NFI[[#This Row],[Winter Clothes Adult]]+Table_NFI[[#This Row],[Winter Clothes Children]]+Table_NFI[[#This Row],[Winter Items Other]]+Table_NFI[[#This Row],[Winter Blanket]]&gt;0,1,0)</f>
        <v>0</v>
      </c>
      <c r="AN551" s="439">
        <f>IF(NFI_Expiration=1,IF($A551&lt;VLOOKUP(V$5,NFI,5,0),1,0)*Table_NFI[[#This Row],[Jerry Can]],Table_NFI[Jerry Can])</f>
        <v>0</v>
      </c>
      <c r="AO551" s="771" t="str">
        <f>IFERROR(VLOOKUP(Table_NFI[[#This Row],[Camp Name]],CL,2,0),"")</f>
        <v>MMR001CMP031</v>
      </c>
      <c r="AP551" s="772">
        <f ca="1">IF(Table_NFI[[#This Row],[Pcode]]="","",IF(OFFSET(CampList[Opening Date],MATCH(Table_NFI[[#This Row],[Pcode]],CampList[CP_Pcode],0)-1,0,1,1)&gt;=NFI_Monitor_Date,1,0))</f>
        <v>0</v>
      </c>
      <c r="AQ551" s="781" t="str">
        <f>IFERROR(VLOOKUP(Table_NFI[[#This Row],[Camp Name]],CL,3,0),"")</f>
        <v>Open</v>
      </c>
      <c r="AR551" s="439" t="str">
        <f ca="1">IF(Table_NFI[[#This Row],[Pcode]]="","",OFFSET(CampList[Priority],MATCH(Table_NFI[[#This Row],[Pcode]],CampList[CP_Pcode],0)-1,0,1,1))</f>
        <v>P4</v>
      </c>
      <c r="AS551" s="438">
        <f>IFERROR(Table_NFI[[#This Row],[Kitchen Set]]/VLOOKUP(Table_NFI[[#This Row],[Camp Name]],CL,4,0),"")</f>
        <v>8.1481481481481488E-2</v>
      </c>
      <c r="AT551" s="769" t="s">
        <v>1099</v>
      </c>
      <c r="AU551" s="773"/>
    </row>
    <row r="552" spans="1:47" s="774" customFormat="1" x14ac:dyDescent="0.25">
      <c r="A552" s="451">
        <f t="shared" si="8"/>
        <v>33.43333333333333</v>
      </c>
      <c r="B552" s="768">
        <v>41367</v>
      </c>
      <c r="C552" s="769" t="s">
        <v>454</v>
      </c>
      <c r="D552" s="770" t="s">
        <v>454</v>
      </c>
      <c r="E552" s="769" t="s">
        <v>380</v>
      </c>
      <c r="F552" s="435" t="s">
        <v>310</v>
      </c>
      <c r="G552" s="435" t="s">
        <v>316</v>
      </c>
      <c r="H552" s="436"/>
      <c r="I552" s="436"/>
      <c r="J552" s="436">
        <v>4</v>
      </c>
      <c r="K552" s="436">
        <v>7</v>
      </c>
      <c r="L552" s="437">
        <v>3</v>
      </c>
      <c r="M552" s="437">
        <v>7</v>
      </c>
      <c r="N552" s="437">
        <v>3</v>
      </c>
      <c r="O552" s="437">
        <v>3</v>
      </c>
      <c r="P552" s="437">
        <v>3</v>
      </c>
      <c r="Q552" s="437">
        <v>3</v>
      </c>
      <c r="R552" s="436"/>
      <c r="S552" s="436"/>
      <c r="T552" s="436"/>
      <c r="U552" s="436"/>
      <c r="V552" s="436"/>
      <c r="W552" s="436"/>
      <c r="X552" s="436"/>
      <c r="Y552" s="436">
        <f>IF(NFI_Expiration=1,IF($A552&lt;VLOOKUP(H$5,NFI,5,0),1,0)*Table_NFI[[#This Row],[Hygiene Kit]],Table_NFI[Hygiene Kit])</f>
        <v>0</v>
      </c>
      <c r="Z552" s="436">
        <f>IF(NFI_Expiration=1,IF($A552&lt;VLOOKUP(I$5,NFI,5,0),1,0)*Table_NFI[[#This Row],[NFI Core Kit]],Table_NFI[NFI Core Kit])</f>
        <v>0</v>
      </c>
      <c r="AA552" s="436">
        <f>IF(NFI_Expiration=1,IF($A552&lt;VLOOKUP(J$5,NFI,5,0),1,0)*Table_NFI[[#This Row],[Sanitary Kit]],Table_NFI[Sanitary Kit])</f>
        <v>0</v>
      </c>
      <c r="AB552" s="436">
        <f>IF(NFI_Expiration=1,IF($A552&lt;VLOOKUP(K$5,NFI,5,0),1,0)*Table_NFI[[#This Row],[Mosquito net]],Table_NFI[Mosquito net])</f>
        <v>0</v>
      </c>
      <c r="AC552" s="436">
        <f>IF(NFI_Expiration=1,IF($A552&lt;VLOOKUP(L$5,NFI,5,0),1,0)*Table_NFI[[#This Row],[Tarpaulin]],Table_NFI[[#This Row],[Tarpaulin]])</f>
        <v>0</v>
      </c>
      <c r="AD552" s="436">
        <f>IF(NFI_Expiration=1,IF($A552&lt;VLOOKUP(M$5,NFI,5,0),1,0)*Table_NFI[[#This Row],[Blanket]],Table_NFI[[#This Row],[Blanket]])</f>
        <v>0</v>
      </c>
      <c r="AE552" s="436">
        <f>IF(NFI_Expiration=1,IF($A552&lt;VLOOKUP(N$5,NFI,5,0),1,0)*Table_NFI[[#This Row],[Kitchen Set]],Table_NFI[Kitchen Set])</f>
        <v>0</v>
      </c>
      <c r="AF552" s="436">
        <f>IF(NFI_Expiration=1,IF($A552&lt;VLOOKUP(O$5,NFI,5,0),1,0)*Table_NFI[[#This Row],[Clothes Kit]],Table_NFI[Clothes Kit])</f>
        <v>0</v>
      </c>
      <c r="AG552" s="436">
        <f>IF(NFI_Expiration=1,IF($A552&lt;VLOOKUP(P$5,NFI,5,0),1,0)*Table_NFI[[#This Row],[Plastic Bucket]],Table_NFI[Plastic Bucket])</f>
        <v>0</v>
      </c>
      <c r="AH552" s="436">
        <f>IF(NFI_Expiration=1,IF($A552&lt;VLOOKUP(Q$5,NFI,5,0),1,0)*Table_NFI[[#This Row],[Plastic Mat]],Table_NFI[Plastic Mat])*IF(Table_NFI[[#This Row],[Distribution Date]]&gt;"2014-04-01",1,2.5)</f>
        <v>0</v>
      </c>
      <c r="AI552" s="436">
        <f>IF(NFI_Expiration=1,IF($A552&lt;VLOOKUP(R$5,NFI,5,0),1,0)*Table_NFI[[#This Row],[Winter Clothes Adult]],Table_NFI[Winter Clothes Adult])</f>
        <v>0</v>
      </c>
      <c r="AJ552" s="436">
        <f>IF(NFI_Expiration=1,IF($A552&lt;VLOOKUP(S$5,NFI,5,0),1,0)*Table_NFI[[#This Row],[Winter Clothes Children]],Table_NFI[Winter Clothes Children])</f>
        <v>0</v>
      </c>
      <c r="AK552" s="436">
        <f>IF(NFI_Expiration=1,IF($A552&lt;VLOOKUP(T$5,NFI,5,0),1,0)*Table_NFI[[#This Row],[Winter Items Other]],Table_NFI[Winter Items Other])</f>
        <v>0</v>
      </c>
      <c r="AL552" s="436">
        <f>IF(NFI_Expiration=1,IF($A552&lt;VLOOKUP(M$5,NFI,5,0),1,0)*Table_NFI[[#This Row],[Winter Blanket]],Table_NFI[[#This Row],[Winter Blanket]])</f>
        <v>0</v>
      </c>
      <c r="AM552" s="436">
        <f>IF(Table_NFI[[#This Row],[Winter Clothes Adult]]+Table_NFI[[#This Row],[Winter Clothes Children]]+Table_NFI[[#This Row],[Winter Items Other]]+Table_NFI[[#This Row],[Winter Blanket]]&gt;0,1,0)</f>
        <v>0</v>
      </c>
      <c r="AN552" s="439">
        <f>IF(NFI_Expiration=1,IF($A552&lt;VLOOKUP(V$5,NFI,5,0),1,0)*Table_NFI[[#This Row],[Jerry Can]],Table_NFI[Jerry Can])</f>
        <v>0</v>
      </c>
      <c r="AO552" s="771" t="str">
        <f>IFERROR(VLOOKUP(Table_NFI[[#This Row],[Camp Name]],CL,2,0),"")</f>
        <v>MMR001CMP038</v>
      </c>
      <c r="AP552" s="772">
        <f ca="1">IF(Table_NFI[[#This Row],[Pcode]]="","",IF(OFFSET(CampList[Opening Date],MATCH(Table_NFI[[#This Row],[Pcode]],CampList[CP_Pcode],0)-1,0,1,1)&gt;=NFI_Monitor_Date,1,0))</f>
        <v>0</v>
      </c>
      <c r="AQ552" s="781" t="str">
        <f>IFERROR(VLOOKUP(Table_NFI[[#This Row],[Camp Name]],CL,3,0),"")</f>
        <v>Open</v>
      </c>
      <c r="AR552" s="439" t="str">
        <f ca="1">IF(Table_NFI[[#This Row],[Pcode]]="","",OFFSET(CampList[Priority],MATCH(Table_NFI[[#This Row],[Pcode]],CampList[CP_Pcode],0)-1,0,1,1))</f>
        <v>P4</v>
      </c>
      <c r="AS552" s="438">
        <f>IFERROR(Table_NFI[[#This Row],[Kitchen Set]]/VLOOKUP(Table_NFI[[#This Row],[Camp Name]],CL,4,0),"")</f>
        <v>3.3333333333333333E-2</v>
      </c>
      <c r="AT552" s="769" t="s">
        <v>1099</v>
      </c>
      <c r="AU552" s="773"/>
    </row>
    <row r="553" spans="1:47" s="774" customFormat="1" x14ac:dyDescent="0.25">
      <c r="A553" s="451">
        <f t="shared" si="8"/>
        <v>33.6</v>
      </c>
      <c r="B553" s="768">
        <v>41362</v>
      </c>
      <c r="C553" s="769" t="s">
        <v>907</v>
      </c>
      <c r="D553" s="769" t="s">
        <v>907</v>
      </c>
      <c r="E553" s="769" t="s">
        <v>380</v>
      </c>
      <c r="F553" s="769" t="s">
        <v>813</v>
      </c>
      <c r="G553" s="435" t="s">
        <v>813</v>
      </c>
      <c r="H553" s="436"/>
      <c r="I553" s="436"/>
      <c r="J553" s="436">
        <v>6</v>
      </c>
      <c r="K553" s="436"/>
      <c r="L553" s="437"/>
      <c r="M553" s="437"/>
      <c r="N553" s="437">
        <v>6</v>
      </c>
      <c r="O553" s="437"/>
      <c r="P553" s="437">
        <v>0</v>
      </c>
      <c r="Q553" s="437">
        <v>0</v>
      </c>
      <c r="R553" s="436"/>
      <c r="S553" s="436"/>
      <c r="T553" s="436"/>
      <c r="U553" s="436"/>
      <c r="V553" s="436"/>
      <c r="W553" s="436"/>
      <c r="X553" s="436"/>
      <c r="Y553" s="436">
        <f>IF(NFI_Expiration=1,IF($A553&lt;VLOOKUP(H$5,NFI,5,0),1,0)*Table_NFI[[#This Row],[Hygiene Kit]],Table_NFI[Hygiene Kit])</f>
        <v>0</v>
      </c>
      <c r="Z553" s="436">
        <f>IF(NFI_Expiration=1,IF($A553&lt;VLOOKUP(I$5,NFI,5,0),1,0)*Table_NFI[[#This Row],[NFI Core Kit]],Table_NFI[NFI Core Kit])</f>
        <v>0</v>
      </c>
      <c r="AA553" s="436">
        <f>IF(NFI_Expiration=1,IF($A553&lt;VLOOKUP(J$5,NFI,5,0),1,0)*Table_NFI[[#This Row],[Sanitary Kit]],Table_NFI[Sanitary Kit])</f>
        <v>0</v>
      </c>
      <c r="AB553" s="436">
        <f>IF(NFI_Expiration=1,IF($A553&lt;VLOOKUP(K$5,NFI,5,0),1,0)*Table_NFI[[#This Row],[Mosquito net]],Table_NFI[Mosquito net])</f>
        <v>0</v>
      </c>
      <c r="AC553" s="436">
        <f>IF(NFI_Expiration=1,IF($A553&lt;VLOOKUP(L$5,NFI,5,0),1,0)*Table_NFI[[#This Row],[Tarpaulin]],Table_NFI[[#This Row],[Tarpaulin]])</f>
        <v>0</v>
      </c>
      <c r="AD553" s="436">
        <f>IF(NFI_Expiration=1,IF($A553&lt;VLOOKUP(M$5,NFI,5,0),1,0)*Table_NFI[[#This Row],[Blanket]],Table_NFI[[#This Row],[Blanket]])</f>
        <v>0</v>
      </c>
      <c r="AE553" s="436">
        <f>IF(NFI_Expiration=1,IF($A553&lt;VLOOKUP(N$5,NFI,5,0),1,0)*Table_NFI[[#This Row],[Kitchen Set]],Table_NFI[Kitchen Set])</f>
        <v>0</v>
      </c>
      <c r="AF553" s="436">
        <f>IF(NFI_Expiration=1,IF($A553&lt;VLOOKUP(O$5,NFI,5,0),1,0)*Table_NFI[[#This Row],[Clothes Kit]],Table_NFI[Clothes Kit])</f>
        <v>0</v>
      </c>
      <c r="AG553" s="436">
        <f>IF(NFI_Expiration=1,IF($A553&lt;VLOOKUP(P$5,NFI,5,0),1,0)*Table_NFI[[#This Row],[Plastic Bucket]],Table_NFI[Plastic Bucket])</f>
        <v>0</v>
      </c>
      <c r="AH553" s="436">
        <f>IF(NFI_Expiration=1,IF($A553&lt;VLOOKUP(Q$5,NFI,5,0),1,0)*Table_NFI[[#This Row],[Plastic Mat]],Table_NFI[Plastic Mat])*IF(Table_NFI[[#This Row],[Distribution Date]]&gt;"2014-04-01",1,2.5)</f>
        <v>0</v>
      </c>
      <c r="AI553" s="436">
        <f>IF(NFI_Expiration=1,IF($A553&lt;VLOOKUP(R$5,NFI,5,0),1,0)*Table_NFI[[#This Row],[Winter Clothes Adult]],Table_NFI[Winter Clothes Adult])</f>
        <v>0</v>
      </c>
      <c r="AJ553" s="436">
        <f>IF(NFI_Expiration=1,IF($A553&lt;VLOOKUP(S$5,NFI,5,0),1,0)*Table_NFI[[#This Row],[Winter Clothes Children]],Table_NFI[Winter Clothes Children])</f>
        <v>0</v>
      </c>
      <c r="AK553" s="436">
        <f>IF(NFI_Expiration=1,IF($A553&lt;VLOOKUP(T$5,NFI,5,0),1,0)*Table_NFI[[#This Row],[Winter Items Other]],Table_NFI[Winter Items Other])</f>
        <v>0</v>
      </c>
      <c r="AL553" s="436">
        <f>IF(NFI_Expiration=1,IF($A553&lt;VLOOKUP(M$5,NFI,5,0),1,0)*Table_NFI[[#This Row],[Winter Blanket]],Table_NFI[[#This Row],[Winter Blanket]])</f>
        <v>0</v>
      </c>
      <c r="AM553" s="436">
        <f>IF(Table_NFI[[#This Row],[Winter Clothes Adult]]+Table_NFI[[#This Row],[Winter Clothes Children]]+Table_NFI[[#This Row],[Winter Items Other]]+Table_NFI[[#This Row],[Winter Blanket]]&gt;0,1,0)</f>
        <v>0</v>
      </c>
      <c r="AN553" s="439">
        <f>IF(NFI_Expiration=1,IF($A553&lt;VLOOKUP(V$5,NFI,5,0),1,0)*Table_NFI[[#This Row],[Jerry Can]],Table_NFI[Jerry Can])</f>
        <v>0</v>
      </c>
      <c r="AO553" s="771" t="str">
        <f>IFERROR(VLOOKUP(Table_NFI[[#This Row],[Camp Name]],CL,2,0),"")</f>
        <v>MMR001CMP206</v>
      </c>
      <c r="AP553" s="772">
        <f ca="1">IF(Table_NFI[[#This Row],[Pcode]]="","",IF(OFFSET(CampList[Opening Date],MATCH(Table_NFI[[#This Row],[Pcode]],CampList[CP_Pcode],0)-1,0,1,1)&gt;=NFI_Monitor_Date,1,0))</f>
        <v>0</v>
      </c>
      <c r="AQ553" s="771" t="str">
        <f>IFERROR(VLOOKUP(Table_NFI[[#This Row],[Camp Name]],CL,3,0),"")</f>
        <v>Open</v>
      </c>
      <c r="AR553" s="436" t="str">
        <f ca="1">IF(Table_NFI[[#This Row],[Pcode]]="","",OFFSET(CampList[Priority],MATCH(Table_NFI[[#This Row],[Pcode]],CampList[CP_Pcode],0)-1,0,1,1))</f>
        <v>P4</v>
      </c>
      <c r="AS553" s="438">
        <f>IFERROR(Table_NFI[[#This Row],[Kitchen Set]]/VLOOKUP(Table_NFI[[#This Row],[Camp Name]],CL,4,0),"")</f>
        <v>1.2</v>
      </c>
      <c r="AT553" s="769" t="s">
        <v>1099</v>
      </c>
      <c r="AU553" s="773"/>
    </row>
    <row r="554" spans="1:47" s="136" customFormat="1" x14ac:dyDescent="0.25">
      <c r="A554" s="451">
        <f t="shared" si="8"/>
        <v>33.866666666666667</v>
      </c>
      <c r="B554" s="768">
        <v>41354</v>
      </c>
      <c r="C554" s="769" t="s">
        <v>454</v>
      </c>
      <c r="D554" s="770" t="s">
        <v>454</v>
      </c>
      <c r="E554" s="769" t="s">
        <v>380</v>
      </c>
      <c r="F554" s="435" t="s">
        <v>529</v>
      </c>
      <c r="G554" s="435" t="s">
        <v>90</v>
      </c>
      <c r="H554" s="436"/>
      <c r="I554" s="436"/>
      <c r="J554" s="436">
        <v>34</v>
      </c>
      <c r="K554" s="436">
        <v>40</v>
      </c>
      <c r="L554" s="437">
        <v>40</v>
      </c>
      <c r="M554" s="437">
        <v>75</v>
      </c>
      <c r="N554" s="437">
        <v>40</v>
      </c>
      <c r="O554" s="437">
        <v>75</v>
      </c>
      <c r="P554" s="437">
        <v>75</v>
      </c>
      <c r="Q554" s="437">
        <v>75</v>
      </c>
      <c r="R554" s="436"/>
      <c r="S554" s="436"/>
      <c r="T554" s="436"/>
      <c r="U554" s="436"/>
      <c r="V554" s="436"/>
      <c r="W554" s="436"/>
      <c r="X554" s="436"/>
      <c r="Y554" s="436">
        <f>IF(NFI_Expiration=1,IF($A554&lt;VLOOKUP(H$5,NFI,5,0),1,0)*Table_NFI[[#This Row],[Hygiene Kit]],Table_NFI[Hygiene Kit])</f>
        <v>0</v>
      </c>
      <c r="Z554" s="436">
        <f>IF(NFI_Expiration=1,IF($A554&lt;VLOOKUP(I$5,NFI,5,0),1,0)*Table_NFI[[#This Row],[NFI Core Kit]],Table_NFI[NFI Core Kit])</f>
        <v>0</v>
      </c>
      <c r="AA554" s="436">
        <f>IF(NFI_Expiration=1,IF($A554&lt;VLOOKUP(J$5,NFI,5,0),1,0)*Table_NFI[[#This Row],[Sanitary Kit]],Table_NFI[Sanitary Kit])</f>
        <v>0</v>
      </c>
      <c r="AB554" s="436">
        <f>IF(NFI_Expiration=1,IF($A554&lt;VLOOKUP(K$5,NFI,5,0),1,0)*Table_NFI[[#This Row],[Mosquito net]],Table_NFI[Mosquito net])</f>
        <v>0</v>
      </c>
      <c r="AC554" s="436">
        <f>IF(NFI_Expiration=1,IF($A554&lt;VLOOKUP(L$5,NFI,5,0),1,0)*Table_NFI[[#This Row],[Tarpaulin]],Table_NFI[[#This Row],[Tarpaulin]])</f>
        <v>0</v>
      </c>
      <c r="AD554" s="436">
        <f>IF(NFI_Expiration=1,IF($A554&lt;VLOOKUP(M$5,NFI,5,0),1,0)*Table_NFI[[#This Row],[Blanket]],Table_NFI[[#This Row],[Blanket]])</f>
        <v>0</v>
      </c>
      <c r="AE554" s="436">
        <f>IF(NFI_Expiration=1,IF($A554&lt;VLOOKUP(N$5,NFI,5,0),1,0)*Table_NFI[[#This Row],[Kitchen Set]],Table_NFI[Kitchen Set])</f>
        <v>0</v>
      </c>
      <c r="AF554" s="436">
        <f>IF(NFI_Expiration=1,IF($A554&lt;VLOOKUP(O$5,NFI,5,0),1,0)*Table_NFI[[#This Row],[Clothes Kit]],Table_NFI[Clothes Kit])</f>
        <v>0</v>
      </c>
      <c r="AG554" s="436">
        <f>IF(NFI_Expiration=1,IF($A554&lt;VLOOKUP(P$5,NFI,5,0),1,0)*Table_NFI[[#This Row],[Plastic Bucket]],Table_NFI[Plastic Bucket])</f>
        <v>0</v>
      </c>
      <c r="AH554" s="436">
        <f>IF(NFI_Expiration=1,IF($A554&lt;VLOOKUP(Q$5,NFI,5,0),1,0)*Table_NFI[[#This Row],[Plastic Mat]],Table_NFI[Plastic Mat])*IF(Table_NFI[[#This Row],[Distribution Date]]&gt;"2014-04-01",1,2.5)</f>
        <v>0</v>
      </c>
      <c r="AI554" s="436">
        <f>IF(NFI_Expiration=1,IF($A554&lt;VLOOKUP(R$5,NFI,5,0),1,0)*Table_NFI[[#This Row],[Winter Clothes Adult]],Table_NFI[Winter Clothes Adult])</f>
        <v>0</v>
      </c>
      <c r="AJ554" s="436">
        <f>IF(NFI_Expiration=1,IF($A554&lt;VLOOKUP(S$5,NFI,5,0),1,0)*Table_NFI[[#This Row],[Winter Clothes Children]],Table_NFI[Winter Clothes Children])</f>
        <v>0</v>
      </c>
      <c r="AK554" s="436">
        <f>IF(NFI_Expiration=1,IF($A554&lt;VLOOKUP(T$5,NFI,5,0),1,0)*Table_NFI[[#This Row],[Winter Items Other]],Table_NFI[Winter Items Other])</f>
        <v>0</v>
      </c>
      <c r="AL554" s="436">
        <f>IF(NFI_Expiration=1,IF($A554&lt;VLOOKUP(M$5,NFI,5,0),1,0)*Table_NFI[[#This Row],[Winter Blanket]],Table_NFI[[#This Row],[Winter Blanket]])</f>
        <v>0</v>
      </c>
      <c r="AM554" s="436">
        <f>IF(Table_NFI[[#This Row],[Winter Clothes Adult]]+Table_NFI[[#This Row],[Winter Clothes Children]]+Table_NFI[[#This Row],[Winter Items Other]]+Table_NFI[[#This Row],[Winter Blanket]]&gt;0,1,0)</f>
        <v>0</v>
      </c>
      <c r="AN554" s="439">
        <f>IF(NFI_Expiration=1,IF($A554&lt;VLOOKUP(V$5,NFI,5,0),1,0)*Table_NFI[[#This Row],[Jerry Can]],Table_NFI[Jerry Can])</f>
        <v>0</v>
      </c>
      <c r="AO554" s="771" t="str">
        <f>IFERROR(VLOOKUP(Table_NFI[[#This Row],[Camp Name]],CL,2,0),"")</f>
        <v>MMR001CMP181</v>
      </c>
      <c r="AP554" s="772">
        <f ca="1">IF(Table_NFI[[#This Row],[Pcode]]="","",IF(OFFSET(CampList[Opening Date],MATCH(Table_NFI[[#This Row],[Pcode]],CampList[CP_Pcode],0)-1,0,1,1)&gt;=NFI_Monitor_Date,1,0))</f>
        <v>0</v>
      </c>
      <c r="AQ554" s="781" t="str">
        <f>IFERROR(VLOOKUP(Table_NFI[[#This Row],[Camp Name]],CL,3,0),"")</f>
        <v>Open</v>
      </c>
      <c r="AR554" s="439" t="str">
        <f ca="1">IF(Table_NFI[[#This Row],[Pcode]]="","",OFFSET(CampList[Priority],MATCH(Table_NFI[[#This Row],[Pcode]],CampList[CP_Pcode],0)-1,0,1,1))</f>
        <v>P4</v>
      </c>
      <c r="AS554" s="438">
        <f>IFERROR(Table_NFI[[#This Row],[Kitchen Set]]/VLOOKUP(Table_NFI[[#This Row],[Camp Name]],CL,4,0),"")</f>
        <v>1.6</v>
      </c>
      <c r="AT554" s="769" t="s">
        <v>1099</v>
      </c>
      <c r="AU554" s="773"/>
    </row>
    <row r="555" spans="1:47" s="136" customFormat="1" x14ac:dyDescent="0.25">
      <c r="A555" s="451">
        <f t="shared" si="8"/>
        <v>33.866666666666667</v>
      </c>
      <c r="B555" s="768">
        <v>41354</v>
      </c>
      <c r="C555" s="769" t="s">
        <v>454</v>
      </c>
      <c r="D555" s="770" t="s">
        <v>454</v>
      </c>
      <c r="E555" s="769" t="s">
        <v>380</v>
      </c>
      <c r="F555" s="435" t="s">
        <v>529</v>
      </c>
      <c r="G555" s="435" t="s">
        <v>118</v>
      </c>
      <c r="H555" s="436"/>
      <c r="I555" s="436"/>
      <c r="J555" s="436">
        <v>15</v>
      </c>
      <c r="K555" s="436">
        <v>8</v>
      </c>
      <c r="L555" s="437">
        <v>8</v>
      </c>
      <c r="M555" s="437">
        <v>17</v>
      </c>
      <c r="N555" s="437">
        <v>8</v>
      </c>
      <c r="O555" s="437">
        <v>17</v>
      </c>
      <c r="P555" s="437">
        <v>17</v>
      </c>
      <c r="Q555" s="437">
        <v>17</v>
      </c>
      <c r="R555" s="436"/>
      <c r="S555" s="436"/>
      <c r="T555" s="436"/>
      <c r="U555" s="436"/>
      <c r="V555" s="436"/>
      <c r="W555" s="436"/>
      <c r="X555" s="436"/>
      <c r="Y555" s="436">
        <f>IF(NFI_Expiration=1,IF($A555&lt;VLOOKUP(H$5,NFI,5,0),1,0)*Table_NFI[[#This Row],[Hygiene Kit]],Table_NFI[Hygiene Kit])</f>
        <v>0</v>
      </c>
      <c r="Z555" s="436">
        <f>IF(NFI_Expiration=1,IF($A555&lt;VLOOKUP(I$5,NFI,5,0),1,0)*Table_NFI[[#This Row],[NFI Core Kit]],Table_NFI[NFI Core Kit])</f>
        <v>0</v>
      </c>
      <c r="AA555" s="436">
        <f>IF(NFI_Expiration=1,IF($A555&lt;VLOOKUP(J$5,NFI,5,0),1,0)*Table_NFI[[#This Row],[Sanitary Kit]],Table_NFI[Sanitary Kit])</f>
        <v>0</v>
      </c>
      <c r="AB555" s="436">
        <f>IF(NFI_Expiration=1,IF($A555&lt;VLOOKUP(K$5,NFI,5,0),1,0)*Table_NFI[[#This Row],[Mosquito net]],Table_NFI[Mosquito net])</f>
        <v>0</v>
      </c>
      <c r="AC555" s="436">
        <f>IF(NFI_Expiration=1,IF($A555&lt;VLOOKUP(L$5,NFI,5,0),1,0)*Table_NFI[[#This Row],[Tarpaulin]],Table_NFI[[#This Row],[Tarpaulin]])</f>
        <v>0</v>
      </c>
      <c r="AD555" s="436">
        <f>IF(NFI_Expiration=1,IF($A555&lt;VLOOKUP(M$5,NFI,5,0),1,0)*Table_NFI[[#This Row],[Blanket]],Table_NFI[[#This Row],[Blanket]])</f>
        <v>0</v>
      </c>
      <c r="AE555" s="436">
        <f>IF(NFI_Expiration=1,IF($A555&lt;VLOOKUP(N$5,NFI,5,0),1,0)*Table_NFI[[#This Row],[Kitchen Set]],Table_NFI[Kitchen Set])</f>
        <v>0</v>
      </c>
      <c r="AF555" s="436">
        <f>IF(NFI_Expiration=1,IF($A555&lt;VLOOKUP(O$5,NFI,5,0),1,0)*Table_NFI[[#This Row],[Clothes Kit]],Table_NFI[Clothes Kit])</f>
        <v>0</v>
      </c>
      <c r="AG555" s="436">
        <f>IF(NFI_Expiration=1,IF($A555&lt;VLOOKUP(P$5,NFI,5,0),1,0)*Table_NFI[[#This Row],[Plastic Bucket]],Table_NFI[Plastic Bucket])</f>
        <v>0</v>
      </c>
      <c r="AH555" s="436">
        <f>IF(NFI_Expiration=1,IF($A555&lt;VLOOKUP(Q$5,NFI,5,0),1,0)*Table_NFI[[#This Row],[Plastic Mat]],Table_NFI[Plastic Mat])*IF(Table_NFI[[#This Row],[Distribution Date]]&gt;"2014-04-01",1,2.5)</f>
        <v>0</v>
      </c>
      <c r="AI555" s="436">
        <f>IF(NFI_Expiration=1,IF($A555&lt;VLOOKUP(R$5,NFI,5,0),1,0)*Table_NFI[[#This Row],[Winter Clothes Adult]],Table_NFI[Winter Clothes Adult])</f>
        <v>0</v>
      </c>
      <c r="AJ555" s="436">
        <f>IF(NFI_Expiration=1,IF($A555&lt;VLOOKUP(S$5,NFI,5,0),1,0)*Table_NFI[[#This Row],[Winter Clothes Children]],Table_NFI[Winter Clothes Children])</f>
        <v>0</v>
      </c>
      <c r="AK555" s="436">
        <f>IF(NFI_Expiration=1,IF($A555&lt;VLOOKUP(T$5,NFI,5,0),1,0)*Table_NFI[[#This Row],[Winter Items Other]],Table_NFI[Winter Items Other])</f>
        <v>0</v>
      </c>
      <c r="AL555" s="436">
        <f>IF(NFI_Expiration=1,IF($A555&lt;VLOOKUP(M$5,NFI,5,0),1,0)*Table_NFI[[#This Row],[Winter Blanket]],Table_NFI[[#This Row],[Winter Blanket]])</f>
        <v>0</v>
      </c>
      <c r="AM555" s="436">
        <f>IF(Table_NFI[[#This Row],[Winter Clothes Adult]]+Table_NFI[[#This Row],[Winter Clothes Children]]+Table_NFI[[#This Row],[Winter Items Other]]+Table_NFI[[#This Row],[Winter Blanket]]&gt;0,1,0)</f>
        <v>0</v>
      </c>
      <c r="AN555" s="439">
        <f>IF(NFI_Expiration=1,IF($A555&lt;VLOOKUP(V$5,NFI,5,0),1,0)*Table_NFI[[#This Row],[Jerry Can]],Table_NFI[Jerry Can])</f>
        <v>0</v>
      </c>
      <c r="AO555" s="771" t="str">
        <f>IFERROR(VLOOKUP(Table_NFI[[#This Row],[Camp Name]],CL,2,0),"")</f>
        <v>MMR001CMP182</v>
      </c>
      <c r="AP555" s="772">
        <f ca="1">IF(Table_NFI[[#This Row],[Pcode]]="","",IF(OFFSET(CampList[Opening Date],MATCH(Table_NFI[[#This Row],[Pcode]],CampList[CP_Pcode],0)-1,0,1,1)&gt;=NFI_Monitor_Date,1,0))</f>
        <v>0</v>
      </c>
      <c r="AQ555" s="781" t="str">
        <f>IFERROR(VLOOKUP(Table_NFI[[#This Row],[Camp Name]],CL,3,0),"")</f>
        <v>Open</v>
      </c>
      <c r="AR555" s="439" t="str">
        <f ca="1">IF(Table_NFI[[#This Row],[Pcode]]="","",OFFSET(CampList[Priority],MATCH(Table_NFI[[#This Row],[Pcode]],CampList[CP_Pcode],0)-1,0,1,1))</f>
        <v>P4</v>
      </c>
      <c r="AS555" s="438">
        <f>IFERROR(Table_NFI[[#This Row],[Kitchen Set]]/VLOOKUP(Table_NFI[[#This Row],[Camp Name]],CL,4,0),"")</f>
        <v>0.8</v>
      </c>
      <c r="AT555" s="769" t="s">
        <v>1099</v>
      </c>
      <c r="AU555" s="773"/>
    </row>
    <row r="556" spans="1:47" x14ac:dyDescent="0.25">
      <c r="A556" s="451">
        <f t="shared" si="8"/>
        <v>33.9</v>
      </c>
      <c r="B556" s="768">
        <v>41353</v>
      </c>
      <c r="C556" s="769" t="s">
        <v>454</v>
      </c>
      <c r="D556" s="769" t="s">
        <v>454</v>
      </c>
      <c r="E556" s="769" t="s">
        <v>380</v>
      </c>
      <c r="F556" s="769" t="s">
        <v>529</v>
      </c>
      <c r="G556" s="435" t="s">
        <v>43</v>
      </c>
      <c r="H556" s="436"/>
      <c r="I556" s="436"/>
      <c r="J556" s="436">
        <v>24</v>
      </c>
      <c r="K556" s="436">
        <v>17</v>
      </c>
      <c r="L556" s="437">
        <v>17</v>
      </c>
      <c r="M556" s="437">
        <v>41</v>
      </c>
      <c r="N556" s="437">
        <v>17</v>
      </c>
      <c r="O556" s="437">
        <v>41</v>
      </c>
      <c r="P556" s="437">
        <v>41</v>
      </c>
      <c r="Q556" s="437">
        <v>41</v>
      </c>
      <c r="R556" s="436"/>
      <c r="S556" s="436"/>
      <c r="T556" s="436"/>
      <c r="U556" s="436"/>
      <c r="V556" s="436"/>
      <c r="W556" s="436"/>
      <c r="X556" s="436"/>
      <c r="Y556" s="436">
        <f>IF(NFI_Expiration=1,IF($A556&lt;VLOOKUP(H$5,NFI,5,0),1,0)*Table_NFI[[#This Row],[Hygiene Kit]],Table_NFI[Hygiene Kit])</f>
        <v>0</v>
      </c>
      <c r="Z556" s="436">
        <f>IF(NFI_Expiration=1,IF($A556&lt;VLOOKUP(I$5,NFI,5,0),1,0)*Table_NFI[[#This Row],[NFI Core Kit]],Table_NFI[NFI Core Kit])</f>
        <v>0</v>
      </c>
      <c r="AA556" s="436">
        <f>IF(NFI_Expiration=1,IF($A556&lt;VLOOKUP(J$5,NFI,5,0),1,0)*Table_NFI[[#This Row],[Sanitary Kit]],Table_NFI[Sanitary Kit])</f>
        <v>0</v>
      </c>
      <c r="AB556" s="436">
        <f>IF(NFI_Expiration=1,IF($A556&lt;VLOOKUP(K$5,NFI,5,0),1,0)*Table_NFI[[#This Row],[Mosquito net]],Table_NFI[Mosquito net])</f>
        <v>0</v>
      </c>
      <c r="AC556" s="436">
        <f>IF(NFI_Expiration=1,IF($A556&lt;VLOOKUP(L$5,NFI,5,0),1,0)*Table_NFI[[#This Row],[Tarpaulin]],Table_NFI[[#This Row],[Tarpaulin]])</f>
        <v>0</v>
      </c>
      <c r="AD556" s="436">
        <f>IF(NFI_Expiration=1,IF($A556&lt;VLOOKUP(M$5,NFI,5,0),1,0)*Table_NFI[[#This Row],[Blanket]],Table_NFI[[#This Row],[Blanket]])</f>
        <v>0</v>
      </c>
      <c r="AE556" s="436">
        <f>IF(NFI_Expiration=1,IF($A556&lt;VLOOKUP(N$5,NFI,5,0),1,0)*Table_NFI[[#This Row],[Kitchen Set]],Table_NFI[Kitchen Set])</f>
        <v>0</v>
      </c>
      <c r="AF556" s="436">
        <f>IF(NFI_Expiration=1,IF($A556&lt;VLOOKUP(O$5,NFI,5,0),1,0)*Table_NFI[[#This Row],[Clothes Kit]],Table_NFI[Clothes Kit])</f>
        <v>0</v>
      </c>
      <c r="AG556" s="436">
        <f>IF(NFI_Expiration=1,IF($A556&lt;VLOOKUP(P$5,NFI,5,0),1,0)*Table_NFI[[#This Row],[Plastic Bucket]],Table_NFI[Plastic Bucket])</f>
        <v>0</v>
      </c>
      <c r="AH556" s="436">
        <f>IF(NFI_Expiration=1,IF($A556&lt;VLOOKUP(Q$5,NFI,5,0),1,0)*Table_NFI[[#This Row],[Plastic Mat]],Table_NFI[Plastic Mat])*IF(Table_NFI[[#This Row],[Distribution Date]]&gt;"2014-04-01",1,2.5)</f>
        <v>0</v>
      </c>
      <c r="AI556" s="436">
        <f>IF(NFI_Expiration=1,IF($A556&lt;VLOOKUP(R$5,NFI,5,0),1,0)*Table_NFI[[#This Row],[Winter Clothes Adult]],Table_NFI[Winter Clothes Adult])</f>
        <v>0</v>
      </c>
      <c r="AJ556" s="436">
        <f>IF(NFI_Expiration=1,IF($A556&lt;VLOOKUP(S$5,NFI,5,0),1,0)*Table_NFI[[#This Row],[Winter Clothes Children]],Table_NFI[Winter Clothes Children])</f>
        <v>0</v>
      </c>
      <c r="AK556" s="436">
        <f>IF(NFI_Expiration=1,IF($A556&lt;VLOOKUP(T$5,NFI,5,0),1,0)*Table_NFI[[#This Row],[Winter Items Other]],Table_NFI[Winter Items Other])</f>
        <v>0</v>
      </c>
      <c r="AL556" s="436">
        <f>IF(NFI_Expiration=1,IF($A556&lt;VLOOKUP(M$5,NFI,5,0),1,0)*Table_NFI[[#This Row],[Winter Blanket]],Table_NFI[[#This Row],[Winter Blanket]])</f>
        <v>0</v>
      </c>
      <c r="AM556" s="436">
        <f>IF(Table_NFI[[#This Row],[Winter Clothes Adult]]+Table_NFI[[#This Row],[Winter Clothes Children]]+Table_NFI[[#This Row],[Winter Items Other]]+Table_NFI[[#This Row],[Winter Blanket]]&gt;0,1,0)</f>
        <v>0</v>
      </c>
      <c r="AN556" s="439">
        <f>IF(NFI_Expiration=1,IF($A556&lt;VLOOKUP(V$5,NFI,5,0),1,0)*Table_NFI[[#This Row],[Jerry Can]],Table_NFI[Jerry Can])</f>
        <v>0</v>
      </c>
      <c r="AO556" s="771" t="str">
        <f>IFERROR(VLOOKUP(Table_NFI[[#This Row],[Camp Name]],CL,2,0),"")</f>
        <v>MMR001CMP190</v>
      </c>
      <c r="AP556" s="772">
        <f ca="1">IF(Table_NFI[[#This Row],[Pcode]]="","",IF(OFFSET(CampList[Opening Date],MATCH(Table_NFI[[#This Row],[Pcode]],CampList[CP_Pcode],0)-1,0,1,1)&gt;=NFI_Monitor_Date,1,0))</f>
        <v>0</v>
      </c>
      <c r="AQ556" s="781" t="str">
        <f>IFERROR(VLOOKUP(Table_NFI[[#This Row],[Camp Name]],CL,3,0),"")</f>
        <v>Open</v>
      </c>
      <c r="AR556" s="439" t="str">
        <f ca="1">IF(Table_NFI[[#This Row],[Pcode]]="","",OFFSET(CampList[Priority],MATCH(Table_NFI[[#This Row],[Pcode]],CampList[CP_Pcode],0)-1,0,1,1))</f>
        <v>P4</v>
      </c>
      <c r="AS556" s="438">
        <f>IFERROR(Table_NFI[[#This Row],[Kitchen Set]]/VLOOKUP(Table_NFI[[#This Row],[Camp Name]],CL,4,0),"")</f>
        <v>1.2142857142857142</v>
      </c>
      <c r="AT556" s="769" t="s">
        <v>1099</v>
      </c>
      <c r="AU556" s="773"/>
    </row>
    <row r="557" spans="1:47" x14ac:dyDescent="0.25">
      <c r="A557" s="451">
        <f t="shared" si="8"/>
        <v>33.9</v>
      </c>
      <c r="B557" s="768">
        <v>41353</v>
      </c>
      <c r="C557" s="769" t="s">
        <v>454</v>
      </c>
      <c r="D557" s="769" t="s">
        <v>454</v>
      </c>
      <c r="E557" s="769" t="s">
        <v>380</v>
      </c>
      <c r="F557" s="435" t="s">
        <v>529</v>
      </c>
      <c r="G557" s="435" t="s">
        <v>39</v>
      </c>
      <c r="H557" s="436"/>
      <c r="I557" s="436"/>
      <c r="J557" s="436">
        <v>38</v>
      </c>
      <c r="K557" s="436">
        <v>11</v>
      </c>
      <c r="L557" s="437">
        <v>11</v>
      </c>
      <c r="M557" s="437">
        <v>87</v>
      </c>
      <c r="N557" s="437">
        <v>11</v>
      </c>
      <c r="O557" s="437">
        <v>26</v>
      </c>
      <c r="P557" s="439">
        <v>26</v>
      </c>
      <c r="Q557" s="439">
        <v>26</v>
      </c>
      <c r="R557" s="436"/>
      <c r="S557" s="436"/>
      <c r="T557" s="436"/>
      <c r="U557" s="436"/>
      <c r="V557" s="436"/>
      <c r="W557" s="436"/>
      <c r="X557" s="436"/>
      <c r="Y557" s="436">
        <f>IF(NFI_Expiration=1,IF($A557&lt;VLOOKUP(H$5,NFI,5,0),1,0)*Table_NFI[[#This Row],[Hygiene Kit]],Table_NFI[Hygiene Kit])</f>
        <v>0</v>
      </c>
      <c r="Z557" s="436">
        <f>IF(NFI_Expiration=1,IF($A557&lt;VLOOKUP(I$5,NFI,5,0),1,0)*Table_NFI[[#This Row],[NFI Core Kit]],Table_NFI[NFI Core Kit])</f>
        <v>0</v>
      </c>
      <c r="AA557" s="436">
        <f>IF(NFI_Expiration=1,IF($A557&lt;VLOOKUP(J$5,NFI,5,0),1,0)*Table_NFI[[#This Row],[Sanitary Kit]],Table_NFI[Sanitary Kit])</f>
        <v>0</v>
      </c>
      <c r="AB557" s="436">
        <f>IF(NFI_Expiration=1,IF($A557&lt;VLOOKUP(K$5,NFI,5,0),1,0)*Table_NFI[[#This Row],[Mosquito net]],Table_NFI[Mosquito net])</f>
        <v>0</v>
      </c>
      <c r="AC557" s="436">
        <f>IF(NFI_Expiration=1,IF($A557&lt;VLOOKUP(L$5,NFI,5,0),1,0)*Table_NFI[[#This Row],[Tarpaulin]],Table_NFI[[#This Row],[Tarpaulin]])</f>
        <v>0</v>
      </c>
      <c r="AD557" s="436">
        <f>IF(NFI_Expiration=1,IF($A557&lt;VLOOKUP(M$5,NFI,5,0),1,0)*Table_NFI[[#This Row],[Blanket]],Table_NFI[[#This Row],[Blanket]])</f>
        <v>0</v>
      </c>
      <c r="AE557" s="436">
        <f>IF(NFI_Expiration=1,IF($A557&lt;VLOOKUP(N$5,NFI,5,0),1,0)*Table_NFI[[#This Row],[Kitchen Set]],Table_NFI[Kitchen Set])</f>
        <v>0</v>
      </c>
      <c r="AF557" s="436">
        <f>IF(NFI_Expiration=1,IF($A557&lt;VLOOKUP(O$5,NFI,5,0),1,0)*Table_NFI[[#This Row],[Clothes Kit]],Table_NFI[Clothes Kit])</f>
        <v>0</v>
      </c>
      <c r="AG557" s="436">
        <f>IF(NFI_Expiration=1,IF($A557&lt;VLOOKUP(P$5,NFI,5,0),1,0)*Table_NFI[[#This Row],[Plastic Bucket]],Table_NFI[Plastic Bucket])</f>
        <v>0</v>
      </c>
      <c r="AH557" s="436">
        <f>IF(NFI_Expiration=1,IF($A557&lt;VLOOKUP(Q$5,NFI,5,0),1,0)*Table_NFI[[#This Row],[Plastic Mat]],Table_NFI[Plastic Mat])*IF(Table_NFI[[#This Row],[Distribution Date]]&gt;"2014-04-01",1,2.5)</f>
        <v>0</v>
      </c>
      <c r="AI557" s="436">
        <f>IF(NFI_Expiration=1,IF($A557&lt;VLOOKUP(R$5,NFI,5,0),1,0)*Table_NFI[[#This Row],[Winter Clothes Adult]],Table_NFI[Winter Clothes Adult])</f>
        <v>0</v>
      </c>
      <c r="AJ557" s="436">
        <f>IF(NFI_Expiration=1,IF($A557&lt;VLOOKUP(S$5,NFI,5,0),1,0)*Table_NFI[[#This Row],[Winter Clothes Children]],Table_NFI[Winter Clothes Children])</f>
        <v>0</v>
      </c>
      <c r="AK557" s="436">
        <f>IF(NFI_Expiration=1,IF($A557&lt;VLOOKUP(T$5,NFI,5,0),1,0)*Table_NFI[[#This Row],[Winter Items Other]],Table_NFI[Winter Items Other])</f>
        <v>0</v>
      </c>
      <c r="AL557" s="436">
        <f>IF(NFI_Expiration=1,IF($A557&lt;VLOOKUP(M$5,NFI,5,0),1,0)*Table_NFI[[#This Row],[Winter Blanket]],Table_NFI[[#This Row],[Winter Blanket]])</f>
        <v>0</v>
      </c>
      <c r="AM557" s="436">
        <f>IF(Table_NFI[[#This Row],[Winter Clothes Adult]]+Table_NFI[[#This Row],[Winter Clothes Children]]+Table_NFI[[#This Row],[Winter Items Other]]+Table_NFI[[#This Row],[Winter Blanket]]&gt;0,1,0)</f>
        <v>0</v>
      </c>
      <c r="AN557" s="439">
        <f>IF(NFI_Expiration=1,IF($A557&lt;VLOOKUP(V$5,NFI,5,0),1,0)*Table_NFI[[#This Row],[Jerry Can]],Table_NFI[Jerry Can])</f>
        <v>0</v>
      </c>
      <c r="AO557" s="771" t="str">
        <f>IFERROR(VLOOKUP(Table_NFI[[#This Row],[Camp Name]],CL,2,0),"")</f>
        <v>MMR001CMP173</v>
      </c>
      <c r="AP557" s="772">
        <f ca="1">IF(Table_NFI[[#This Row],[Pcode]]="","",IF(OFFSET(CampList[Opening Date],MATCH(Table_NFI[[#This Row],[Pcode]],CampList[CP_Pcode],0)-1,0,1,1)&gt;=NFI_Monitor_Date,1,0))</f>
        <v>0</v>
      </c>
      <c r="AQ557" s="781" t="str">
        <f>IFERROR(VLOOKUP(Table_NFI[[#This Row],[Camp Name]],CL,3,0),"")</f>
        <v>Closed</v>
      </c>
      <c r="AR557" s="439" t="str">
        <f ca="1">IF(Table_NFI[[#This Row],[Pcode]]="","",OFFSET(CampList[Priority],MATCH(Table_NFI[[#This Row],[Pcode]],CampList[CP_Pcode],0)-1,0,1,1))</f>
        <v/>
      </c>
      <c r="AS557" s="438" t="str">
        <f>IFERROR(Table_NFI[[#This Row],[Kitchen Set]]/VLOOKUP(Table_NFI[[#This Row],[Camp Name]],CL,4,0),"")</f>
        <v/>
      </c>
      <c r="AT557" s="769" t="s">
        <v>1099</v>
      </c>
      <c r="AU557" s="773"/>
    </row>
    <row r="558" spans="1:47" x14ac:dyDescent="0.25">
      <c r="A558" s="451">
        <f t="shared" si="8"/>
        <v>33.9</v>
      </c>
      <c r="B558" s="768">
        <v>41353</v>
      </c>
      <c r="C558" s="769" t="s">
        <v>454</v>
      </c>
      <c r="D558" s="770" t="s">
        <v>454</v>
      </c>
      <c r="E558" s="769" t="s">
        <v>380</v>
      </c>
      <c r="F558" s="435" t="s">
        <v>529</v>
      </c>
      <c r="G558" s="435" t="s">
        <v>72</v>
      </c>
      <c r="H558" s="436"/>
      <c r="I558" s="436"/>
      <c r="J558" s="436">
        <v>3</v>
      </c>
      <c r="K558" s="436">
        <v>8</v>
      </c>
      <c r="L558" s="437">
        <v>8</v>
      </c>
      <c r="M558" s="437">
        <v>15</v>
      </c>
      <c r="N558" s="437">
        <v>8</v>
      </c>
      <c r="O558" s="437">
        <v>15</v>
      </c>
      <c r="P558" s="437">
        <v>15</v>
      </c>
      <c r="Q558" s="437">
        <v>15</v>
      </c>
      <c r="R558" s="436"/>
      <c r="S558" s="436"/>
      <c r="T558" s="436"/>
      <c r="U558" s="436"/>
      <c r="V558" s="436"/>
      <c r="W558" s="436"/>
      <c r="X558" s="436"/>
      <c r="Y558" s="436">
        <f>IF(NFI_Expiration=1,IF($A558&lt;VLOOKUP(H$5,NFI,5,0),1,0)*Table_NFI[[#This Row],[Hygiene Kit]],Table_NFI[Hygiene Kit])</f>
        <v>0</v>
      </c>
      <c r="Z558" s="436">
        <f>IF(NFI_Expiration=1,IF($A558&lt;VLOOKUP(I$5,NFI,5,0),1,0)*Table_NFI[[#This Row],[NFI Core Kit]],Table_NFI[NFI Core Kit])</f>
        <v>0</v>
      </c>
      <c r="AA558" s="436">
        <f>IF(NFI_Expiration=1,IF($A558&lt;VLOOKUP(J$5,NFI,5,0),1,0)*Table_NFI[[#This Row],[Sanitary Kit]],Table_NFI[Sanitary Kit])</f>
        <v>0</v>
      </c>
      <c r="AB558" s="436">
        <f>IF(NFI_Expiration=1,IF($A558&lt;VLOOKUP(K$5,NFI,5,0),1,0)*Table_NFI[[#This Row],[Mosquito net]],Table_NFI[Mosquito net])</f>
        <v>0</v>
      </c>
      <c r="AC558" s="436">
        <f>IF(NFI_Expiration=1,IF($A558&lt;VLOOKUP(L$5,NFI,5,0),1,0)*Table_NFI[[#This Row],[Tarpaulin]],Table_NFI[[#This Row],[Tarpaulin]])</f>
        <v>0</v>
      </c>
      <c r="AD558" s="436">
        <f>IF(NFI_Expiration=1,IF($A558&lt;VLOOKUP(M$5,NFI,5,0),1,0)*Table_NFI[[#This Row],[Blanket]],Table_NFI[[#This Row],[Blanket]])</f>
        <v>0</v>
      </c>
      <c r="AE558" s="436">
        <f>IF(NFI_Expiration=1,IF($A558&lt;VLOOKUP(N$5,NFI,5,0),1,0)*Table_NFI[[#This Row],[Kitchen Set]],Table_NFI[Kitchen Set])</f>
        <v>0</v>
      </c>
      <c r="AF558" s="436">
        <f>IF(NFI_Expiration=1,IF($A558&lt;VLOOKUP(O$5,NFI,5,0),1,0)*Table_NFI[[#This Row],[Clothes Kit]],Table_NFI[Clothes Kit])</f>
        <v>0</v>
      </c>
      <c r="AG558" s="436">
        <f>IF(NFI_Expiration=1,IF($A558&lt;VLOOKUP(P$5,NFI,5,0),1,0)*Table_NFI[[#This Row],[Plastic Bucket]],Table_NFI[Plastic Bucket])</f>
        <v>0</v>
      </c>
      <c r="AH558" s="436">
        <f>IF(NFI_Expiration=1,IF($A558&lt;VLOOKUP(Q$5,NFI,5,0),1,0)*Table_NFI[[#This Row],[Plastic Mat]],Table_NFI[Plastic Mat])*IF(Table_NFI[[#This Row],[Distribution Date]]&gt;"2014-04-01",1,2.5)</f>
        <v>0</v>
      </c>
      <c r="AI558" s="436">
        <f>IF(NFI_Expiration=1,IF($A558&lt;VLOOKUP(R$5,NFI,5,0),1,0)*Table_NFI[[#This Row],[Winter Clothes Adult]],Table_NFI[Winter Clothes Adult])</f>
        <v>0</v>
      </c>
      <c r="AJ558" s="436">
        <f>IF(NFI_Expiration=1,IF($A558&lt;VLOOKUP(S$5,NFI,5,0),1,0)*Table_NFI[[#This Row],[Winter Clothes Children]],Table_NFI[Winter Clothes Children])</f>
        <v>0</v>
      </c>
      <c r="AK558" s="436">
        <f>IF(NFI_Expiration=1,IF($A558&lt;VLOOKUP(T$5,NFI,5,0),1,0)*Table_NFI[[#This Row],[Winter Items Other]],Table_NFI[Winter Items Other])</f>
        <v>0</v>
      </c>
      <c r="AL558" s="436">
        <f>IF(NFI_Expiration=1,IF($A558&lt;VLOOKUP(M$5,NFI,5,0),1,0)*Table_NFI[[#This Row],[Winter Blanket]],Table_NFI[[#This Row],[Winter Blanket]])</f>
        <v>0</v>
      </c>
      <c r="AM558" s="436">
        <f>IF(Table_NFI[[#This Row],[Winter Clothes Adult]]+Table_NFI[[#This Row],[Winter Clothes Children]]+Table_NFI[[#This Row],[Winter Items Other]]+Table_NFI[[#This Row],[Winter Blanket]]&gt;0,1,0)</f>
        <v>0</v>
      </c>
      <c r="AN558" s="439">
        <f>IF(NFI_Expiration=1,IF($A558&lt;VLOOKUP(V$5,NFI,5,0),1,0)*Table_NFI[[#This Row],[Jerry Can]],Table_NFI[Jerry Can])</f>
        <v>0</v>
      </c>
      <c r="AO558" s="771" t="str">
        <f>IFERROR(VLOOKUP(Table_NFI[[#This Row],[Camp Name]],CL,2,0),"")</f>
        <v>MMR001CMP109</v>
      </c>
      <c r="AP558" s="772">
        <f ca="1">IF(Table_NFI[[#This Row],[Pcode]]="","",IF(OFFSET(CampList[Opening Date],MATCH(Table_NFI[[#This Row],[Pcode]],CampList[CP_Pcode],0)-1,0,1,1)&gt;=NFI_Monitor_Date,1,0))</f>
        <v>0</v>
      </c>
      <c r="AQ558" s="781" t="str">
        <f>IFERROR(VLOOKUP(Table_NFI[[#This Row],[Camp Name]],CL,3,0),"")</f>
        <v>Open</v>
      </c>
      <c r="AR558" s="439" t="str">
        <f ca="1">IF(Table_NFI[[#This Row],[Pcode]]="","",OFFSET(CampList[Priority],MATCH(Table_NFI[[#This Row],[Pcode]],CampList[CP_Pcode],0)-1,0,1,1))</f>
        <v>P4</v>
      </c>
      <c r="AS558" s="438">
        <f>IFERROR(Table_NFI[[#This Row],[Kitchen Set]]/VLOOKUP(Table_NFI[[#This Row],[Camp Name]],CL,4,0),"")</f>
        <v>1.3333333333333333</v>
      </c>
      <c r="AT558" s="769" t="s">
        <v>1099</v>
      </c>
      <c r="AU558" s="773"/>
    </row>
    <row r="559" spans="1:47" x14ac:dyDescent="0.25">
      <c r="A559" s="451">
        <f t="shared" si="8"/>
        <v>33.9</v>
      </c>
      <c r="B559" s="768">
        <v>41353</v>
      </c>
      <c r="C559" s="769" t="s">
        <v>454</v>
      </c>
      <c r="D559" s="770" t="s">
        <v>454</v>
      </c>
      <c r="E559" s="769" t="s">
        <v>380</v>
      </c>
      <c r="F559" s="435" t="s">
        <v>529</v>
      </c>
      <c r="G559" s="435" t="s">
        <v>70</v>
      </c>
      <c r="H559" s="436"/>
      <c r="I559" s="436"/>
      <c r="J559" s="436">
        <v>9</v>
      </c>
      <c r="K559" s="436">
        <v>6</v>
      </c>
      <c r="L559" s="437">
        <v>6</v>
      </c>
      <c r="M559" s="437">
        <v>15</v>
      </c>
      <c r="N559" s="437">
        <v>6</v>
      </c>
      <c r="O559" s="437">
        <v>15</v>
      </c>
      <c r="P559" s="437">
        <v>15</v>
      </c>
      <c r="Q559" s="437">
        <v>15</v>
      </c>
      <c r="R559" s="436"/>
      <c r="S559" s="436"/>
      <c r="T559" s="436"/>
      <c r="U559" s="436"/>
      <c r="V559" s="436"/>
      <c r="W559" s="436"/>
      <c r="X559" s="436"/>
      <c r="Y559" s="436">
        <f>IF(NFI_Expiration=1,IF($A559&lt;VLOOKUP(H$5,NFI,5,0),1,0)*Table_NFI[[#This Row],[Hygiene Kit]],Table_NFI[Hygiene Kit])</f>
        <v>0</v>
      </c>
      <c r="Z559" s="436">
        <f>IF(NFI_Expiration=1,IF($A559&lt;VLOOKUP(I$5,NFI,5,0),1,0)*Table_NFI[[#This Row],[NFI Core Kit]],Table_NFI[NFI Core Kit])</f>
        <v>0</v>
      </c>
      <c r="AA559" s="436">
        <f>IF(NFI_Expiration=1,IF($A559&lt;VLOOKUP(J$5,NFI,5,0),1,0)*Table_NFI[[#This Row],[Sanitary Kit]],Table_NFI[Sanitary Kit])</f>
        <v>0</v>
      </c>
      <c r="AB559" s="436">
        <f>IF(NFI_Expiration=1,IF($A559&lt;VLOOKUP(K$5,NFI,5,0),1,0)*Table_NFI[[#This Row],[Mosquito net]],Table_NFI[Mosquito net])</f>
        <v>0</v>
      </c>
      <c r="AC559" s="436">
        <f>IF(NFI_Expiration=1,IF($A559&lt;VLOOKUP(L$5,NFI,5,0),1,0)*Table_NFI[[#This Row],[Tarpaulin]],Table_NFI[[#This Row],[Tarpaulin]])</f>
        <v>0</v>
      </c>
      <c r="AD559" s="436">
        <f>IF(NFI_Expiration=1,IF($A559&lt;VLOOKUP(M$5,NFI,5,0),1,0)*Table_NFI[[#This Row],[Blanket]],Table_NFI[[#This Row],[Blanket]])</f>
        <v>0</v>
      </c>
      <c r="AE559" s="436">
        <f>IF(NFI_Expiration=1,IF($A559&lt;VLOOKUP(N$5,NFI,5,0),1,0)*Table_NFI[[#This Row],[Kitchen Set]],Table_NFI[Kitchen Set])</f>
        <v>0</v>
      </c>
      <c r="AF559" s="436">
        <f>IF(NFI_Expiration=1,IF($A559&lt;VLOOKUP(O$5,NFI,5,0),1,0)*Table_NFI[[#This Row],[Clothes Kit]],Table_NFI[Clothes Kit])</f>
        <v>0</v>
      </c>
      <c r="AG559" s="436">
        <f>IF(NFI_Expiration=1,IF($A559&lt;VLOOKUP(P$5,NFI,5,0),1,0)*Table_NFI[[#This Row],[Plastic Bucket]],Table_NFI[Plastic Bucket])</f>
        <v>0</v>
      </c>
      <c r="AH559" s="436">
        <f>IF(NFI_Expiration=1,IF($A559&lt;VLOOKUP(Q$5,NFI,5,0),1,0)*Table_NFI[[#This Row],[Plastic Mat]],Table_NFI[Plastic Mat])*IF(Table_NFI[[#This Row],[Distribution Date]]&gt;"2014-04-01",1,2.5)</f>
        <v>0</v>
      </c>
      <c r="AI559" s="436">
        <f>IF(NFI_Expiration=1,IF($A559&lt;VLOOKUP(R$5,NFI,5,0),1,0)*Table_NFI[[#This Row],[Winter Clothes Adult]],Table_NFI[Winter Clothes Adult])</f>
        <v>0</v>
      </c>
      <c r="AJ559" s="436">
        <f>IF(NFI_Expiration=1,IF($A559&lt;VLOOKUP(S$5,NFI,5,0),1,0)*Table_NFI[[#This Row],[Winter Clothes Children]],Table_NFI[Winter Clothes Children])</f>
        <v>0</v>
      </c>
      <c r="AK559" s="436">
        <f>IF(NFI_Expiration=1,IF($A559&lt;VLOOKUP(T$5,NFI,5,0),1,0)*Table_NFI[[#This Row],[Winter Items Other]],Table_NFI[Winter Items Other])</f>
        <v>0</v>
      </c>
      <c r="AL559" s="436">
        <f>IF(NFI_Expiration=1,IF($A559&lt;VLOOKUP(M$5,NFI,5,0),1,0)*Table_NFI[[#This Row],[Winter Blanket]],Table_NFI[[#This Row],[Winter Blanket]])</f>
        <v>0</v>
      </c>
      <c r="AM559" s="436">
        <f>IF(Table_NFI[[#This Row],[Winter Clothes Adult]]+Table_NFI[[#This Row],[Winter Clothes Children]]+Table_NFI[[#This Row],[Winter Items Other]]+Table_NFI[[#This Row],[Winter Blanket]]&gt;0,1,0)</f>
        <v>0</v>
      </c>
      <c r="AN559" s="439">
        <f>IF(NFI_Expiration=1,IF($A559&lt;VLOOKUP(V$5,NFI,5,0),1,0)*Table_NFI[[#This Row],[Jerry Can]],Table_NFI[Jerry Can])</f>
        <v>0</v>
      </c>
      <c r="AO559" s="771" t="str">
        <f>IFERROR(VLOOKUP(Table_NFI[[#This Row],[Camp Name]],CL,2,0),"")</f>
        <v>MMR001CMP086</v>
      </c>
      <c r="AP559" s="772">
        <f ca="1">IF(Table_NFI[[#This Row],[Pcode]]="","",IF(OFFSET(CampList[Opening Date],MATCH(Table_NFI[[#This Row],[Pcode]],CampList[CP_Pcode],0)-1,0,1,1)&gt;=NFI_Monitor_Date,1,0))</f>
        <v>0</v>
      </c>
      <c r="AQ559" s="781" t="str">
        <f>IFERROR(VLOOKUP(Table_NFI[[#This Row],[Camp Name]],CL,3,0),"")</f>
        <v>Closed</v>
      </c>
      <c r="AR559" s="439" t="str">
        <f ca="1">IF(Table_NFI[[#This Row],[Pcode]]="","",OFFSET(CampList[Priority],MATCH(Table_NFI[[#This Row],[Pcode]],CampList[CP_Pcode],0)-1,0,1,1))</f>
        <v/>
      </c>
      <c r="AS559" s="438" t="str">
        <f>IFERROR(Table_NFI[[#This Row],[Kitchen Set]]/VLOOKUP(Table_NFI[[#This Row],[Camp Name]],CL,4,0),"")</f>
        <v/>
      </c>
      <c r="AT559" s="769" t="s">
        <v>1099</v>
      </c>
      <c r="AU559" s="773"/>
    </row>
    <row r="560" spans="1:47" x14ac:dyDescent="0.25">
      <c r="A560" s="451">
        <f t="shared" si="8"/>
        <v>33.9</v>
      </c>
      <c r="B560" s="768">
        <v>41353</v>
      </c>
      <c r="C560" s="769" t="s">
        <v>454</v>
      </c>
      <c r="D560" s="770" t="s">
        <v>454</v>
      </c>
      <c r="E560" s="769" t="s">
        <v>380</v>
      </c>
      <c r="F560" s="435" t="s">
        <v>529</v>
      </c>
      <c r="G560" s="435" t="s">
        <v>92</v>
      </c>
      <c r="H560" s="436"/>
      <c r="I560" s="436"/>
      <c r="J560" s="436">
        <v>32</v>
      </c>
      <c r="K560" s="436">
        <v>27</v>
      </c>
      <c r="L560" s="437">
        <v>27</v>
      </c>
      <c r="M560" s="437">
        <v>66</v>
      </c>
      <c r="N560" s="437">
        <v>27</v>
      </c>
      <c r="O560" s="437">
        <v>66</v>
      </c>
      <c r="P560" s="437">
        <v>66</v>
      </c>
      <c r="Q560" s="437">
        <v>66</v>
      </c>
      <c r="R560" s="436"/>
      <c r="S560" s="436"/>
      <c r="T560" s="436"/>
      <c r="U560" s="436"/>
      <c r="V560" s="436"/>
      <c r="W560" s="436"/>
      <c r="X560" s="436"/>
      <c r="Y560" s="436">
        <f>IF(NFI_Expiration=1,IF($A560&lt;VLOOKUP(H$5,NFI,5,0),1,0)*Table_NFI[[#This Row],[Hygiene Kit]],Table_NFI[Hygiene Kit])</f>
        <v>0</v>
      </c>
      <c r="Z560" s="436">
        <f>IF(NFI_Expiration=1,IF($A560&lt;VLOOKUP(I$5,NFI,5,0),1,0)*Table_NFI[[#This Row],[NFI Core Kit]],Table_NFI[NFI Core Kit])</f>
        <v>0</v>
      </c>
      <c r="AA560" s="436">
        <f>IF(NFI_Expiration=1,IF($A560&lt;VLOOKUP(J$5,NFI,5,0),1,0)*Table_NFI[[#This Row],[Sanitary Kit]],Table_NFI[Sanitary Kit])</f>
        <v>0</v>
      </c>
      <c r="AB560" s="436">
        <f>IF(NFI_Expiration=1,IF($A560&lt;VLOOKUP(K$5,NFI,5,0),1,0)*Table_NFI[[#This Row],[Mosquito net]],Table_NFI[Mosquito net])</f>
        <v>0</v>
      </c>
      <c r="AC560" s="436">
        <f>IF(NFI_Expiration=1,IF($A560&lt;VLOOKUP(L$5,NFI,5,0),1,0)*Table_NFI[[#This Row],[Tarpaulin]],Table_NFI[[#This Row],[Tarpaulin]])</f>
        <v>0</v>
      </c>
      <c r="AD560" s="436">
        <f>IF(NFI_Expiration=1,IF($A560&lt;VLOOKUP(M$5,NFI,5,0),1,0)*Table_NFI[[#This Row],[Blanket]],Table_NFI[[#This Row],[Blanket]])</f>
        <v>0</v>
      </c>
      <c r="AE560" s="436">
        <f>IF(NFI_Expiration=1,IF($A560&lt;VLOOKUP(N$5,NFI,5,0),1,0)*Table_NFI[[#This Row],[Kitchen Set]],Table_NFI[Kitchen Set])</f>
        <v>0</v>
      </c>
      <c r="AF560" s="436">
        <f>IF(NFI_Expiration=1,IF($A560&lt;VLOOKUP(O$5,NFI,5,0),1,0)*Table_NFI[[#This Row],[Clothes Kit]],Table_NFI[Clothes Kit])</f>
        <v>0</v>
      </c>
      <c r="AG560" s="436">
        <f>IF(NFI_Expiration=1,IF($A560&lt;VLOOKUP(P$5,NFI,5,0),1,0)*Table_NFI[[#This Row],[Plastic Bucket]],Table_NFI[Plastic Bucket])</f>
        <v>0</v>
      </c>
      <c r="AH560" s="436">
        <f>IF(NFI_Expiration=1,IF($A560&lt;VLOOKUP(Q$5,NFI,5,0),1,0)*Table_NFI[[#This Row],[Plastic Mat]],Table_NFI[Plastic Mat])*IF(Table_NFI[[#This Row],[Distribution Date]]&gt;"2014-04-01",1,2.5)</f>
        <v>0</v>
      </c>
      <c r="AI560" s="436">
        <f>IF(NFI_Expiration=1,IF($A560&lt;VLOOKUP(R$5,NFI,5,0),1,0)*Table_NFI[[#This Row],[Winter Clothes Adult]],Table_NFI[Winter Clothes Adult])</f>
        <v>0</v>
      </c>
      <c r="AJ560" s="436">
        <f>IF(NFI_Expiration=1,IF($A560&lt;VLOOKUP(S$5,NFI,5,0),1,0)*Table_NFI[[#This Row],[Winter Clothes Children]],Table_NFI[Winter Clothes Children])</f>
        <v>0</v>
      </c>
      <c r="AK560" s="436">
        <f>IF(NFI_Expiration=1,IF($A560&lt;VLOOKUP(T$5,NFI,5,0),1,0)*Table_NFI[[#This Row],[Winter Items Other]],Table_NFI[Winter Items Other])</f>
        <v>0</v>
      </c>
      <c r="AL560" s="436">
        <f>IF(NFI_Expiration=1,IF($A560&lt;VLOOKUP(M$5,NFI,5,0),1,0)*Table_NFI[[#This Row],[Winter Blanket]],Table_NFI[[#This Row],[Winter Blanket]])</f>
        <v>0</v>
      </c>
      <c r="AM560" s="436">
        <f>IF(Table_NFI[[#This Row],[Winter Clothes Adult]]+Table_NFI[[#This Row],[Winter Clothes Children]]+Table_NFI[[#This Row],[Winter Items Other]]+Table_NFI[[#This Row],[Winter Blanket]]&gt;0,1,0)</f>
        <v>0</v>
      </c>
      <c r="AN560" s="439">
        <f>IF(NFI_Expiration=1,IF($A560&lt;VLOOKUP(V$5,NFI,5,0),1,0)*Table_NFI[[#This Row],[Jerry Can]],Table_NFI[Jerry Can])</f>
        <v>0</v>
      </c>
      <c r="AO560" s="771" t="str">
        <f>IFERROR(VLOOKUP(Table_NFI[[#This Row],[Camp Name]],CL,2,0),"")</f>
        <v>MMR001CMP167</v>
      </c>
      <c r="AP560" s="772">
        <f ca="1">IF(Table_NFI[[#This Row],[Pcode]]="","",IF(OFFSET(CampList[Opening Date],MATCH(Table_NFI[[#This Row],[Pcode]],CampList[CP_Pcode],0)-1,0,1,1)&gt;=NFI_Monitor_Date,1,0))</f>
        <v>0</v>
      </c>
      <c r="AQ560" s="781" t="str">
        <f>IFERROR(VLOOKUP(Table_NFI[[#This Row],[Camp Name]],CL,3,0),"")</f>
        <v>Open</v>
      </c>
      <c r="AR560" s="439" t="str">
        <f ca="1">IF(Table_NFI[[#This Row],[Pcode]]="","",OFFSET(CampList[Priority],MATCH(Table_NFI[[#This Row],[Pcode]],CampList[CP_Pcode],0)-1,0,1,1))</f>
        <v>P4</v>
      </c>
      <c r="AS560" s="438">
        <f>IFERROR(Table_NFI[[#This Row],[Kitchen Set]]/VLOOKUP(Table_NFI[[#This Row],[Camp Name]],CL,4,0),"")</f>
        <v>1.8</v>
      </c>
      <c r="AT560" s="769" t="s">
        <v>1099</v>
      </c>
      <c r="AU560" s="773"/>
    </row>
    <row r="561" spans="1:47" x14ac:dyDescent="0.25">
      <c r="A561" s="451">
        <f t="shared" si="8"/>
        <v>33.9</v>
      </c>
      <c r="B561" s="768">
        <v>41353</v>
      </c>
      <c r="C561" s="769" t="s">
        <v>454</v>
      </c>
      <c r="D561" s="769" t="s">
        <v>454</v>
      </c>
      <c r="E561" s="769" t="s">
        <v>380</v>
      </c>
      <c r="F561" s="769" t="s">
        <v>529</v>
      </c>
      <c r="G561" s="435" t="s">
        <v>84</v>
      </c>
      <c r="H561" s="436"/>
      <c r="I561" s="436"/>
      <c r="J561" s="436">
        <v>18</v>
      </c>
      <c r="K561" s="436">
        <v>17</v>
      </c>
      <c r="L561" s="437">
        <v>17</v>
      </c>
      <c r="M561" s="437">
        <v>42</v>
      </c>
      <c r="N561" s="437">
        <v>17</v>
      </c>
      <c r="O561" s="437">
        <v>42</v>
      </c>
      <c r="P561" s="437">
        <v>42</v>
      </c>
      <c r="Q561" s="437">
        <v>42</v>
      </c>
      <c r="R561" s="436"/>
      <c r="S561" s="436"/>
      <c r="T561" s="436"/>
      <c r="U561" s="436"/>
      <c r="V561" s="436"/>
      <c r="W561" s="436"/>
      <c r="X561" s="436"/>
      <c r="Y561" s="436">
        <f>IF(NFI_Expiration=1,IF($A561&lt;VLOOKUP(H$5,NFI,5,0),1,0)*Table_NFI[[#This Row],[Hygiene Kit]],Table_NFI[Hygiene Kit])</f>
        <v>0</v>
      </c>
      <c r="Z561" s="436">
        <f>IF(NFI_Expiration=1,IF($A561&lt;VLOOKUP(I$5,NFI,5,0),1,0)*Table_NFI[[#This Row],[NFI Core Kit]],Table_NFI[NFI Core Kit])</f>
        <v>0</v>
      </c>
      <c r="AA561" s="436">
        <f>IF(NFI_Expiration=1,IF($A561&lt;VLOOKUP(J$5,NFI,5,0),1,0)*Table_NFI[[#This Row],[Sanitary Kit]],Table_NFI[Sanitary Kit])</f>
        <v>0</v>
      </c>
      <c r="AB561" s="436">
        <f>IF(NFI_Expiration=1,IF($A561&lt;VLOOKUP(K$5,NFI,5,0),1,0)*Table_NFI[[#This Row],[Mosquito net]],Table_NFI[Mosquito net])</f>
        <v>0</v>
      </c>
      <c r="AC561" s="436">
        <f>IF(NFI_Expiration=1,IF($A561&lt;VLOOKUP(L$5,NFI,5,0),1,0)*Table_NFI[[#This Row],[Tarpaulin]],Table_NFI[[#This Row],[Tarpaulin]])</f>
        <v>0</v>
      </c>
      <c r="AD561" s="436">
        <f>IF(NFI_Expiration=1,IF($A561&lt;VLOOKUP(M$5,NFI,5,0),1,0)*Table_NFI[[#This Row],[Blanket]],Table_NFI[[#This Row],[Blanket]])</f>
        <v>0</v>
      </c>
      <c r="AE561" s="436">
        <f>IF(NFI_Expiration=1,IF($A561&lt;VLOOKUP(N$5,NFI,5,0),1,0)*Table_NFI[[#This Row],[Kitchen Set]],Table_NFI[Kitchen Set])</f>
        <v>0</v>
      </c>
      <c r="AF561" s="436">
        <f>IF(NFI_Expiration=1,IF($A561&lt;VLOOKUP(O$5,NFI,5,0),1,0)*Table_NFI[[#This Row],[Clothes Kit]],Table_NFI[Clothes Kit])</f>
        <v>0</v>
      </c>
      <c r="AG561" s="436">
        <f>IF(NFI_Expiration=1,IF($A561&lt;VLOOKUP(P$5,NFI,5,0),1,0)*Table_NFI[[#This Row],[Plastic Bucket]],Table_NFI[Plastic Bucket])</f>
        <v>0</v>
      </c>
      <c r="AH561" s="436">
        <f>IF(NFI_Expiration=1,IF($A561&lt;VLOOKUP(Q$5,NFI,5,0),1,0)*Table_NFI[[#This Row],[Plastic Mat]],Table_NFI[Plastic Mat])*IF(Table_NFI[[#This Row],[Distribution Date]]&gt;"2014-04-01",1,2.5)</f>
        <v>0</v>
      </c>
      <c r="AI561" s="436">
        <f>IF(NFI_Expiration=1,IF($A561&lt;VLOOKUP(R$5,NFI,5,0),1,0)*Table_NFI[[#This Row],[Winter Clothes Adult]],Table_NFI[Winter Clothes Adult])</f>
        <v>0</v>
      </c>
      <c r="AJ561" s="436">
        <f>IF(NFI_Expiration=1,IF($A561&lt;VLOOKUP(S$5,NFI,5,0),1,0)*Table_NFI[[#This Row],[Winter Clothes Children]],Table_NFI[Winter Clothes Children])</f>
        <v>0</v>
      </c>
      <c r="AK561" s="436">
        <f>IF(NFI_Expiration=1,IF($A561&lt;VLOOKUP(T$5,NFI,5,0),1,0)*Table_NFI[[#This Row],[Winter Items Other]],Table_NFI[Winter Items Other])</f>
        <v>0</v>
      </c>
      <c r="AL561" s="436">
        <f>IF(NFI_Expiration=1,IF($A561&lt;VLOOKUP(M$5,NFI,5,0),1,0)*Table_NFI[[#This Row],[Winter Blanket]],Table_NFI[[#This Row],[Winter Blanket]])</f>
        <v>0</v>
      </c>
      <c r="AM561" s="436">
        <f>IF(Table_NFI[[#This Row],[Winter Clothes Adult]]+Table_NFI[[#This Row],[Winter Clothes Children]]+Table_NFI[[#This Row],[Winter Items Other]]+Table_NFI[[#This Row],[Winter Blanket]]&gt;0,1,0)</f>
        <v>0</v>
      </c>
      <c r="AN561" s="439">
        <f>IF(NFI_Expiration=1,IF($A561&lt;VLOOKUP(V$5,NFI,5,0),1,0)*Table_NFI[[#This Row],[Jerry Can]],Table_NFI[Jerry Can])</f>
        <v>0</v>
      </c>
      <c r="AO561" s="771" t="str">
        <f>IFERROR(VLOOKUP(Table_NFI[[#This Row],[Camp Name]],CL,2,0),"")</f>
        <v>MMR001CMP085</v>
      </c>
      <c r="AP561" s="772">
        <f ca="1">IF(Table_NFI[[#This Row],[Pcode]]="","",IF(OFFSET(CampList[Opening Date],MATCH(Table_NFI[[#This Row],[Pcode]],CampList[CP_Pcode],0)-1,0,1,1)&gt;=NFI_Monitor_Date,1,0))</f>
        <v>0</v>
      </c>
      <c r="AQ561" s="781" t="str">
        <f>IFERROR(VLOOKUP(Table_NFI[[#This Row],[Camp Name]],CL,3,0),"")</f>
        <v>Closed</v>
      </c>
      <c r="AR561" s="439" t="str">
        <f ca="1">IF(Table_NFI[[#This Row],[Pcode]]="","",OFFSET(CampList[Priority],MATCH(Table_NFI[[#This Row],[Pcode]],CampList[CP_Pcode],0)-1,0,1,1))</f>
        <v/>
      </c>
      <c r="AS561" s="438" t="str">
        <f>IFERROR(Table_NFI[[#This Row],[Kitchen Set]]/VLOOKUP(Table_NFI[[#This Row],[Camp Name]],CL,4,0),"")</f>
        <v/>
      </c>
      <c r="AT561" s="769" t="s">
        <v>1099</v>
      </c>
      <c r="AU561" s="773"/>
    </row>
    <row r="562" spans="1:47" x14ac:dyDescent="0.25">
      <c r="A562" s="451">
        <f t="shared" si="8"/>
        <v>33.9</v>
      </c>
      <c r="B562" s="768">
        <v>41353</v>
      </c>
      <c r="C562" s="769" t="s">
        <v>454</v>
      </c>
      <c r="D562" s="770" t="s">
        <v>454</v>
      </c>
      <c r="E562" s="769" t="s">
        <v>380</v>
      </c>
      <c r="F562" s="435" t="s">
        <v>529</v>
      </c>
      <c r="G562" s="435" t="s">
        <v>100</v>
      </c>
      <c r="H562" s="436"/>
      <c r="I562" s="436"/>
      <c r="J562" s="436">
        <v>17</v>
      </c>
      <c r="K562" s="436">
        <v>17</v>
      </c>
      <c r="L562" s="437">
        <v>17</v>
      </c>
      <c r="M562" s="437">
        <v>41</v>
      </c>
      <c r="N562" s="437">
        <v>17</v>
      </c>
      <c r="O562" s="437">
        <v>41</v>
      </c>
      <c r="P562" s="437">
        <v>41</v>
      </c>
      <c r="Q562" s="437">
        <v>41</v>
      </c>
      <c r="R562" s="436"/>
      <c r="S562" s="436"/>
      <c r="T562" s="436"/>
      <c r="U562" s="436"/>
      <c r="V562" s="436"/>
      <c r="W562" s="436"/>
      <c r="X562" s="436"/>
      <c r="Y562" s="436">
        <f>IF(NFI_Expiration=1,IF($A562&lt;VLOOKUP(H$5,NFI,5,0),1,0)*Table_NFI[[#This Row],[Hygiene Kit]],Table_NFI[Hygiene Kit])</f>
        <v>0</v>
      </c>
      <c r="Z562" s="436">
        <f>IF(NFI_Expiration=1,IF($A562&lt;VLOOKUP(I$5,NFI,5,0),1,0)*Table_NFI[[#This Row],[NFI Core Kit]],Table_NFI[NFI Core Kit])</f>
        <v>0</v>
      </c>
      <c r="AA562" s="436">
        <f>IF(NFI_Expiration=1,IF($A562&lt;VLOOKUP(J$5,NFI,5,0),1,0)*Table_NFI[[#This Row],[Sanitary Kit]],Table_NFI[Sanitary Kit])</f>
        <v>0</v>
      </c>
      <c r="AB562" s="436">
        <f>IF(NFI_Expiration=1,IF($A562&lt;VLOOKUP(K$5,NFI,5,0),1,0)*Table_NFI[[#This Row],[Mosquito net]],Table_NFI[Mosquito net])</f>
        <v>0</v>
      </c>
      <c r="AC562" s="436">
        <f>IF(NFI_Expiration=1,IF($A562&lt;VLOOKUP(L$5,NFI,5,0),1,0)*Table_NFI[[#This Row],[Tarpaulin]],Table_NFI[[#This Row],[Tarpaulin]])</f>
        <v>0</v>
      </c>
      <c r="AD562" s="436">
        <f>IF(NFI_Expiration=1,IF($A562&lt;VLOOKUP(M$5,NFI,5,0),1,0)*Table_NFI[[#This Row],[Blanket]],Table_NFI[[#This Row],[Blanket]])</f>
        <v>0</v>
      </c>
      <c r="AE562" s="436">
        <f>IF(NFI_Expiration=1,IF($A562&lt;VLOOKUP(N$5,NFI,5,0),1,0)*Table_NFI[[#This Row],[Kitchen Set]],Table_NFI[Kitchen Set])</f>
        <v>0</v>
      </c>
      <c r="AF562" s="436">
        <f>IF(NFI_Expiration=1,IF($A562&lt;VLOOKUP(O$5,NFI,5,0),1,0)*Table_NFI[[#This Row],[Clothes Kit]],Table_NFI[Clothes Kit])</f>
        <v>0</v>
      </c>
      <c r="AG562" s="436">
        <f>IF(NFI_Expiration=1,IF($A562&lt;VLOOKUP(P$5,NFI,5,0),1,0)*Table_NFI[[#This Row],[Plastic Bucket]],Table_NFI[Plastic Bucket])</f>
        <v>0</v>
      </c>
      <c r="AH562" s="436">
        <f>IF(NFI_Expiration=1,IF($A562&lt;VLOOKUP(Q$5,NFI,5,0),1,0)*Table_NFI[[#This Row],[Plastic Mat]],Table_NFI[Plastic Mat])*IF(Table_NFI[[#This Row],[Distribution Date]]&gt;"2014-04-01",1,2.5)</f>
        <v>0</v>
      </c>
      <c r="AI562" s="436">
        <f>IF(NFI_Expiration=1,IF($A562&lt;VLOOKUP(R$5,NFI,5,0),1,0)*Table_NFI[[#This Row],[Winter Clothes Adult]],Table_NFI[Winter Clothes Adult])</f>
        <v>0</v>
      </c>
      <c r="AJ562" s="436">
        <f>IF(NFI_Expiration=1,IF($A562&lt;VLOOKUP(S$5,NFI,5,0),1,0)*Table_NFI[[#This Row],[Winter Clothes Children]],Table_NFI[Winter Clothes Children])</f>
        <v>0</v>
      </c>
      <c r="AK562" s="436">
        <f>IF(NFI_Expiration=1,IF($A562&lt;VLOOKUP(T$5,NFI,5,0),1,0)*Table_NFI[[#This Row],[Winter Items Other]],Table_NFI[Winter Items Other])</f>
        <v>0</v>
      </c>
      <c r="AL562" s="436">
        <f>IF(NFI_Expiration=1,IF($A562&lt;VLOOKUP(M$5,NFI,5,0),1,0)*Table_NFI[[#This Row],[Winter Blanket]],Table_NFI[[#This Row],[Winter Blanket]])</f>
        <v>0</v>
      </c>
      <c r="AM562" s="436">
        <f>IF(Table_NFI[[#This Row],[Winter Clothes Adult]]+Table_NFI[[#This Row],[Winter Clothes Children]]+Table_NFI[[#This Row],[Winter Items Other]]+Table_NFI[[#This Row],[Winter Blanket]]&gt;0,1,0)</f>
        <v>0</v>
      </c>
      <c r="AN562" s="439">
        <f>IF(NFI_Expiration=1,IF($A562&lt;VLOOKUP(V$5,NFI,5,0),1,0)*Table_NFI[[#This Row],[Jerry Can]],Table_NFI[Jerry Can])</f>
        <v>0</v>
      </c>
      <c r="AO562" s="771" t="str">
        <f>IFERROR(VLOOKUP(Table_NFI[[#This Row],[Camp Name]],CL,2,0),"")</f>
        <v>MMR001CMP091</v>
      </c>
      <c r="AP562" s="772">
        <f ca="1">IF(Table_NFI[[#This Row],[Pcode]]="","",IF(OFFSET(CampList[Opening Date],MATCH(Table_NFI[[#This Row],[Pcode]],CampList[CP_Pcode],0)-1,0,1,1)&gt;=NFI_Monitor_Date,1,0))</f>
        <v>0</v>
      </c>
      <c r="AQ562" s="781" t="str">
        <f>IFERROR(VLOOKUP(Table_NFI[[#This Row],[Camp Name]],CL,3,0),"")</f>
        <v>Open</v>
      </c>
      <c r="AR562" s="439" t="str">
        <f ca="1">IF(Table_NFI[[#This Row],[Pcode]]="","",OFFSET(CampList[Priority],MATCH(Table_NFI[[#This Row],[Pcode]],CampList[CP_Pcode],0)-1,0,1,1))</f>
        <v>P4</v>
      </c>
      <c r="AS562" s="438">
        <f>IFERROR(Table_NFI[[#This Row],[Kitchen Set]]/VLOOKUP(Table_NFI[[#This Row],[Camp Name]],CL,4,0),"")</f>
        <v>3.4</v>
      </c>
      <c r="AT562" s="769" t="s">
        <v>1099</v>
      </c>
      <c r="AU562" s="773"/>
    </row>
    <row r="563" spans="1:47" x14ac:dyDescent="0.25">
      <c r="A563" s="451">
        <f t="shared" si="8"/>
        <v>33.9</v>
      </c>
      <c r="B563" s="768">
        <v>41353</v>
      </c>
      <c r="C563" s="769" t="s">
        <v>454</v>
      </c>
      <c r="D563" s="770" t="s">
        <v>454</v>
      </c>
      <c r="E563" s="769" t="s">
        <v>380</v>
      </c>
      <c r="F563" s="435" t="s">
        <v>529</v>
      </c>
      <c r="G563" s="435" t="s">
        <v>142</v>
      </c>
      <c r="H563" s="436"/>
      <c r="I563" s="436"/>
      <c r="J563" s="436">
        <v>48</v>
      </c>
      <c r="K563" s="436">
        <v>48</v>
      </c>
      <c r="L563" s="437">
        <v>48</v>
      </c>
      <c r="M563" s="437">
        <v>98</v>
      </c>
      <c r="N563" s="437">
        <v>48</v>
      </c>
      <c r="O563" s="437">
        <v>98</v>
      </c>
      <c r="P563" s="437">
        <v>98</v>
      </c>
      <c r="Q563" s="437">
        <v>98</v>
      </c>
      <c r="R563" s="436"/>
      <c r="S563" s="436"/>
      <c r="T563" s="436"/>
      <c r="U563" s="436"/>
      <c r="V563" s="436"/>
      <c r="W563" s="436"/>
      <c r="X563" s="436"/>
      <c r="Y563" s="436">
        <f>IF(NFI_Expiration=1,IF($A563&lt;VLOOKUP(H$5,NFI,5,0),1,0)*Table_NFI[[#This Row],[Hygiene Kit]],Table_NFI[Hygiene Kit])</f>
        <v>0</v>
      </c>
      <c r="Z563" s="436">
        <f>IF(NFI_Expiration=1,IF($A563&lt;VLOOKUP(I$5,NFI,5,0),1,0)*Table_NFI[[#This Row],[NFI Core Kit]],Table_NFI[NFI Core Kit])</f>
        <v>0</v>
      </c>
      <c r="AA563" s="436">
        <f>IF(NFI_Expiration=1,IF($A563&lt;VLOOKUP(J$5,NFI,5,0),1,0)*Table_NFI[[#This Row],[Sanitary Kit]],Table_NFI[Sanitary Kit])</f>
        <v>0</v>
      </c>
      <c r="AB563" s="436">
        <f>IF(NFI_Expiration=1,IF($A563&lt;VLOOKUP(K$5,NFI,5,0),1,0)*Table_NFI[[#This Row],[Mosquito net]],Table_NFI[Mosquito net])</f>
        <v>0</v>
      </c>
      <c r="AC563" s="436">
        <f>IF(NFI_Expiration=1,IF($A563&lt;VLOOKUP(L$5,NFI,5,0),1,0)*Table_NFI[[#This Row],[Tarpaulin]],Table_NFI[[#This Row],[Tarpaulin]])</f>
        <v>0</v>
      </c>
      <c r="AD563" s="436">
        <f>IF(NFI_Expiration=1,IF($A563&lt;VLOOKUP(M$5,NFI,5,0),1,0)*Table_NFI[[#This Row],[Blanket]],Table_NFI[[#This Row],[Blanket]])</f>
        <v>0</v>
      </c>
      <c r="AE563" s="436">
        <f>IF(NFI_Expiration=1,IF($A563&lt;VLOOKUP(N$5,NFI,5,0),1,0)*Table_NFI[[#This Row],[Kitchen Set]],Table_NFI[Kitchen Set])</f>
        <v>0</v>
      </c>
      <c r="AF563" s="436">
        <f>IF(NFI_Expiration=1,IF($A563&lt;VLOOKUP(O$5,NFI,5,0),1,0)*Table_NFI[[#This Row],[Clothes Kit]],Table_NFI[Clothes Kit])</f>
        <v>0</v>
      </c>
      <c r="AG563" s="436">
        <f>IF(NFI_Expiration=1,IF($A563&lt;VLOOKUP(P$5,NFI,5,0),1,0)*Table_NFI[[#This Row],[Plastic Bucket]],Table_NFI[Plastic Bucket])</f>
        <v>0</v>
      </c>
      <c r="AH563" s="436">
        <f>IF(NFI_Expiration=1,IF($A563&lt;VLOOKUP(Q$5,NFI,5,0),1,0)*Table_NFI[[#This Row],[Plastic Mat]],Table_NFI[Plastic Mat])*IF(Table_NFI[[#This Row],[Distribution Date]]&gt;"2014-04-01",1,2.5)</f>
        <v>0</v>
      </c>
      <c r="AI563" s="436">
        <f>IF(NFI_Expiration=1,IF($A563&lt;VLOOKUP(R$5,NFI,5,0),1,0)*Table_NFI[[#This Row],[Winter Clothes Adult]],Table_NFI[Winter Clothes Adult])</f>
        <v>0</v>
      </c>
      <c r="AJ563" s="436">
        <f>IF(NFI_Expiration=1,IF($A563&lt;VLOOKUP(S$5,NFI,5,0),1,0)*Table_NFI[[#This Row],[Winter Clothes Children]],Table_NFI[Winter Clothes Children])</f>
        <v>0</v>
      </c>
      <c r="AK563" s="436">
        <f>IF(NFI_Expiration=1,IF($A563&lt;VLOOKUP(T$5,NFI,5,0),1,0)*Table_NFI[[#This Row],[Winter Items Other]],Table_NFI[Winter Items Other])</f>
        <v>0</v>
      </c>
      <c r="AL563" s="436">
        <f>IF(NFI_Expiration=1,IF($A563&lt;VLOOKUP(M$5,NFI,5,0),1,0)*Table_NFI[[#This Row],[Winter Blanket]],Table_NFI[[#This Row],[Winter Blanket]])</f>
        <v>0</v>
      </c>
      <c r="AM563" s="436">
        <f>IF(Table_NFI[[#This Row],[Winter Clothes Adult]]+Table_NFI[[#This Row],[Winter Clothes Children]]+Table_NFI[[#This Row],[Winter Items Other]]+Table_NFI[[#This Row],[Winter Blanket]]&gt;0,1,0)</f>
        <v>0</v>
      </c>
      <c r="AN563" s="439">
        <f>IF(NFI_Expiration=1,IF($A563&lt;VLOOKUP(V$5,NFI,5,0),1,0)*Table_NFI[[#This Row],[Jerry Can]],Table_NFI[Jerry Can])</f>
        <v>0</v>
      </c>
      <c r="AO563" s="771" t="str">
        <f>IFERROR(VLOOKUP(Table_NFI[[#This Row],[Camp Name]],CL,2,0),"")</f>
        <v>MMR001CMP177</v>
      </c>
      <c r="AP563" s="772">
        <f ca="1">IF(Table_NFI[[#This Row],[Pcode]]="","",IF(OFFSET(CampList[Opening Date],MATCH(Table_NFI[[#This Row],[Pcode]],CampList[CP_Pcode],0)-1,0,1,1)&gt;=NFI_Monitor_Date,1,0))</f>
        <v>0</v>
      </c>
      <c r="AQ563" s="781" t="str">
        <f>IFERROR(VLOOKUP(Table_NFI[[#This Row],[Camp Name]],CL,3,0),"")</f>
        <v>Closed</v>
      </c>
      <c r="AR563" s="439" t="str">
        <f ca="1">IF(Table_NFI[[#This Row],[Pcode]]="","",OFFSET(CampList[Priority],MATCH(Table_NFI[[#This Row],[Pcode]],CampList[CP_Pcode],0)-1,0,1,1))</f>
        <v/>
      </c>
      <c r="AS563" s="438" t="str">
        <f>IFERROR(Table_NFI[[#This Row],[Kitchen Set]]/VLOOKUP(Table_NFI[[#This Row],[Camp Name]],CL,4,0),"")</f>
        <v/>
      </c>
      <c r="AT563" s="769" t="s">
        <v>1099</v>
      </c>
      <c r="AU563" s="773"/>
    </row>
    <row r="564" spans="1:47" x14ac:dyDescent="0.25">
      <c r="A564" s="451">
        <f t="shared" si="8"/>
        <v>33.9</v>
      </c>
      <c r="B564" s="768">
        <v>41353</v>
      </c>
      <c r="C564" s="769" t="s">
        <v>454</v>
      </c>
      <c r="D564" s="770" t="s">
        <v>454</v>
      </c>
      <c r="E564" s="769" t="s">
        <v>380</v>
      </c>
      <c r="F564" s="435" t="s">
        <v>529</v>
      </c>
      <c r="G564" s="435" t="s">
        <v>126</v>
      </c>
      <c r="H564" s="436"/>
      <c r="I564" s="436"/>
      <c r="J564" s="436">
        <v>124</v>
      </c>
      <c r="K564" s="436">
        <v>117</v>
      </c>
      <c r="L564" s="437">
        <v>121</v>
      </c>
      <c r="M564" s="437">
        <v>227</v>
      </c>
      <c r="N564" s="437">
        <v>122</v>
      </c>
      <c r="O564" s="437">
        <v>263</v>
      </c>
      <c r="P564" s="437">
        <v>263</v>
      </c>
      <c r="Q564" s="437">
        <v>263</v>
      </c>
      <c r="R564" s="436"/>
      <c r="S564" s="436"/>
      <c r="T564" s="436"/>
      <c r="U564" s="436"/>
      <c r="V564" s="436"/>
      <c r="W564" s="436"/>
      <c r="X564" s="436"/>
      <c r="Y564" s="436">
        <f>IF(NFI_Expiration=1,IF($A564&lt;VLOOKUP(H$5,NFI,5,0),1,0)*Table_NFI[[#This Row],[Hygiene Kit]],Table_NFI[Hygiene Kit])</f>
        <v>0</v>
      </c>
      <c r="Z564" s="436">
        <f>IF(NFI_Expiration=1,IF($A564&lt;VLOOKUP(I$5,NFI,5,0),1,0)*Table_NFI[[#This Row],[NFI Core Kit]],Table_NFI[NFI Core Kit])</f>
        <v>0</v>
      </c>
      <c r="AA564" s="436">
        <f>IF(NFI_Expiration=1,IF($A564&lt;VLOOKUP(J$5,NFI,5,0),1,0)*Table_NFI[[#This Row],[Sanitary Kit]],Table_NFI[Sanitary Kit])</f>
        <v>0</v>
      </c>
      <c r="AB564" s="436">
        <f>IF(NFI_Expiration=1,IF($A564&lt;VLOOKUP(K$5,NFI,5,0),1,0)*Table_NFI[[#This Row],[Mosquito net]],Table_NFI[Mosquito net])</f>
        <v>0</v>
      </c>
      <c r="AC564" s="436">
        <f>IF(NFI_Expiration=1,IF($A564&lt;VLOOKUP(L$5,NFI,5,0),1,0)*Table_NFI[[#This Row],[Tarpaulin]],Table_NFI[[#This Row],[Tarpaulin]])</f>
        <v>0</v>
      </c>
      <c r="AD564" s="436">
        <f>IF(NFI_Expiration=1,IF($A564&lt;VLOOKUP(M$5,NFI,5,0),1,0)*Table_NFI[[#This Row],[Blanket]],Table_NFI[[#This Row],[Blanket]])</f>
        <v>0</v>
      </c>
      <c r="AE564" s="436">
        <f>IF(NFI_Expiration=1,IF($A564&lt;VLOOKUP(N$5,NFI,5,0),1,0)*Table_NFI[[#This Row],[Kitchen Set]],Table_NFI[Kitchen Set])</f>
        <v>0</v>
      </c>
      <c r="AF564" s="436">
        <f>IF(NFI_Expiration=1,IF($A564&lt;VLOOKUP(O$5,NFI,5,0),1,0)*Table_NFI[[#This Row],[Clothes Kit]],Table_NFI[Clothes Kit])</f>
        <v>0</v>
      </c>
      <c r="AG564" s="436">
        <f>IF(NFI_Expiration=1,IF($A564&lt;VLOOKUP(P$5,NFI,5,0),1,0)*Table_NFI[[#This Row],[Plastic Bucket]],Table_NFI[Plastic Bucket])</f>
        <v>0</v>
      </c>
      <c r="AH564" s="436">
        <f>IF(NFI_Expiration=1,IF($A564&lt;VLOOKUP(Q$5,NFI,5,0),1,0)*Table_NFI[[#This Row],[Plastic Mat]],Table_NFI[Plastic Mat])*IF(Table_NFI[[#This Row],[Distribution Date]]&gt;"2014-04-01",1,2.5)</f>
        <v>0</v>
      </c>
      <c r="AI564" s="436">
        <f>IF(NFI_Expiration=1,IF($A564&lt;VLOOKUP(R$5,NFI,5,0),1,0)*Table_NFI[[#This Row],[Winter Clothes Adult]],Table_NFI[Winter Clothes Adult])</f>
        <v>0</v>
      </c>
      <c r="AJ564" s="436">
        <f>IF(NFI_Expiration=1,IF($A564&lt;VLOOKUP(S$5,NFI,5,0),1,0)*Table_NFI[[#This Row],[Winter Clothes Children]],Table_NFI[Winter Clothes Children])</f>
        <v>0</v>
      </c>
      <c r="AK564" s="436">
        <f>IF(NFI_Expiration=1,IF($A564&lt;VLOOKUP(T$5,NFI,5,0),1,0)*Table_NFI[[#This Row],[Winter Items Other]],Table_NFI[Winter Items Other])</f>
        <v>0</v>
      </c>
      <c r="AL564" s="436">
        <f>IF(NFI_Expiration=1,IF($A564&lt;VLOOKUP(M$5,NFI,5,0),1,0)*Table_NFI[[#This Row],[Winter Blanket]],Table_NFI[[#This Row],[Winter Blanket]])</f>
        <v>0</v>
      </c>
      <c r="AM564" s="436">
        <f>IF(Table_NFI[[#This Row],[Winter Clothes Adult]]+Table_NFI[[#This Row],[Winter Clothes Children]]+Table_NFI[[#This Row],[Winter Items Other]]+Table_NFI[[#This Row],[Winter Blanket]]&gt;0,1,0)</f>
        <v>0</v>
      </c>
      <c r="AN564" s="439">
        <f>IF(NFI_Expiration=1,IF($A564&lt;VLOOKUP(V$5,NFI,5,0),1,0)*Table_NFI[[#This Row],[Jerry Can]],Table_NFI[Jerry Can])</f>
        <v>0</v>
      </c>
      <c r="AO564" s="771" t="str">
        <f>IFERROR(VLOOKUP(Table_NFI[[#This Row],[Camp Name]],CL,2,0),"")</f>
        <v>MMR001CMP184</v>
      </c>
      <c r="AP564" s="772">
        <f ca="1">IF(Table_NFI[[#This Row],[Pcode]]="","",IF(OFFSET(CampList[Opening Date],MATCH(Table_NFI[[#This Row],[Pcode]],CampList[CP_Pcode],0)-1,0,1,1)&gt;=NFI_Monitor_Date,1,0))</f>
        <v>0</v>
      </c>
      <c r="AQ564" s="781" t="str">
        <f>IFERROR(VLOOKUP(Table_NFI[[#This Row],[Camp Name]],CL,3,0),"")</f>
        <v>Open</v>
      </c>
      <c r="AR564" s="439" t="str">
        <f ca="1">IF(Table_NFI[[#This Row],[Pcode]]="","",OFFSET(CampList[Priority],MATCH(Table_NFI[[#This Row],[Pcode]],CampList[CP_Pcode],0)-1,0,1,1))</f>
        <v>P4</v>
      </c>
      <c r="AS564" s="438">
        <f>IFERROR(Table_NFI[[#This Row],[Kitchen Set]]/VLOOKUP(Table_NFI[[#This Row],[Camp Name]],CL,4,0),"")</f>
        <v>2.975609756097561</v>
      </c>
      <c r="AT564" s="769" t="s">
        <v>1099</v>
      </c>
      <c r="AU564" s="773"/>
    </row>
    <row r="565" spans="1:47" x14ac:dyDescent="0.25">
      <c r="A565" s="451">
        <f t="shared" si="8"/>
        <v>33.9</v>
      </c>
      <c r="B565" s="768">
        <v>41353</v>
      </c>
      <c r="C565" s="769" t="s">
        <v>454</v>
      </c>
      <c r="D565" s="770" t="s">
        <v>454</v>
      </c>
      <c r="E565" s="769" t="s">
        <v>380</v>
      </c>
      <c r="F565" s="435" t="s">
        <v>529</v>
      </c>
      <c r="G565" s="435" t="s">
        <v>74</v>
      </c>
      <c r="H565" s="436"/>
      <c r="I565" s="436"/>
      <c r="J565" s="436">
        <v>34</v>
      </c>
      <c r="K565" s="436">
        <v>26</v>
      </c>
      <c r="L565" s="437">
        <v>26</v>
      </c>
      <c r="M565" s="437">
        <v>60</v>
      </c>
      <c r="N565" s="437">
        <v>26</v>
      </c>
      <c r="O565" s="437">
        <v>60</v>
      </c>
      <c r="P565" s="437">
        <v>60</v>
      </c>
      <c r="Q565" s="437">
        <v>60</v>
      </c>
      <c r="R565" s="436"/>
      <c r="S565" s="436"/>
      <c r="T565" s="436"/>
      <c r="U565" s="436"/>
      <c r="V565" s="436"/>
      <c r="W565" s="436"/>
      <c r="X565" s="436"/>
      <c r="Y565" s="436">
        <f>IF(NFI_Expiration=1,IF($A565&lt;VLOOKUP(H$5,NFI,5,0),1,0)*Table_NFI[[#This Row],[Hygiene Kit]],Table_NFI[Hygiene Kit])</f>
        <v>0</v>
      </c>
      <c r="Z565" s="436">
        <f>IF(NFI_Expiration=1,IF($A565&lt;VLOOKUP(I$5,NFI,5,0),1,0)*Table_NFI[[#This Row],[NFI Core Kit]],Table_NFI[NFI Core Kit])</f>
        <v>0</v>
      </c>
      <c r="AA565" s="436">
        <f>IF(NFI_Expiration=1,IF($A565&lt;VLOOKUP(J$5,NFI,5,0),1,0)*Table_NFI[[#This Row],[Sanitary Kit]],Table_NFI[Sanitary Kit])</f>
        <v>0</v>
      </c>
      <c r="AB565" s="436">
        <f>IF(NFI_Expiration=1,IF($A565&lt;VLOOKUP(K$5,NFI,5,0),1,0)*Table_NFI[[#This Row],[Mosquito net]],Table_NFI[Mosquito net])</f>
        <v>0</v>
      </c>
      <c r="AC565" s="436">
        <f>IF(NFI_Expiration=1,IF($A565&lt;VLOOKUP(L$5,NFI,5,0),1,0)*Table_NFI[[#This Row],[Tarpaulin]],Table_NFI[[#This Row],[Tarpaulin]])</f>
        <v>0</v>
      </c>
      <c r="AD565" s="436">
        <f>IF(NFI_Expiration=1,IF($A565&lt;VLOOKUP(M$5,NFI,5,0),1,0)*Table_NFI[[#This Row],[Blanket]],Table_NFI[[#This Row],[Blanket]])</f>
        <v>0</v>
      </c>
      <c r="AE565" s="436">
        <f>IF(NFI_Expiration=1,IF($A565&lt;VLOOKUP(N$5,NFI,5,0),1,0)*Table_NFI[[#This Row],[Kitchen Set]],Table_NFI[Kitchen Set])</f>
        <v>0</v>
      </c>
      <c r="AF565" s="436">
        <f>IF(NFI_Expiration=1,IF($A565&lt;VLOOKUP(O$5,NFI,5,0),1,0)*Table_NFI[[#This Row],[Clothes Kit]],Table_NFI[Clothes Kit])</f>
        <v>0</v>
      </c>
      <c r="AG565" s="436">
        <f>IF(NFI_Expiration=1,IF($A565&lt;VLOOKUP(P$5,NFI,5,0),1,0)*Table_NFI[[#This Row],[Plastic Bucket]],Table_NFI[Plastic Bucket])</f>
        <v>0</v>
      </c>
      <c r="AH565" s="436">
        <f>IF(NFI_Expiration=1,IF($A565&lt;VLOOKUP(Q$5,NFI,5,0),1,0)*Table_NFI[[#This Row],[Plastic Mat]],Table_NFI[Plastic Mat])*IF(Table_NFI[[#This Row],[Distribution Date]]&gt;"2014-04-01",1,2.5)</f>
        <v>0</v>
      </c>
      <c r="AI565" s="436">
        <f>IF(NFI_Expiration=1,IF($A565&lt;VLOOKUP(R$5,NFI,5,0),1,0)*Table_NFI[[#This Row],[Winter Clothes Adult]],Table_NFI[Winter Clothes Adult])</f>
        <v>0</v>
      </c>
      <c r="AJ565" s="436">
        <f>IF(NFI_Expiration=1,IF($A565&lt;VLOOKUP(S$5,NFI,5,0),1,0)*Table_NFI[[#This Row],[Winter Clothes Children]],Table_NFI[Winter Clothes Children])</f>
        <v>0</v>
      </c>
      <c r="AK565" s="436">
        <f>IF(NFI_Expiration=1,IF($A565&lt;VLOOKUP(T$5,NFI,5,0),1,0)*Table_NFI[[#This Row],[Winter Items Other]],Table_NFI[Winter Items Other])</f>
        <v>0</v>
      </c>
      <c r="AL565" s="436">
        <f>IF(NFI_Expiration=1,IF($A565&lt;VLOOKUP(M$5,NFI,5,0),1,0)*Table_NFI[[#This Row],[Winter Blanket]],Table_NFI[[#This Row],[Winter Blanket]])</f>
        <v>0</v>
      </c>
      <c r="AM565" s="436">
        <f>IF(Table_NFI[[#This Row],[Winter Clothes Adult]]+Table_NFI[[#This Row],[Winter Clothes Children]]+Table_NFI[[#This Row],[Winter Items Other]]+Table_NFI[[#This Row],[Winter Blanket]]&gt;0,1,0)</f>
        <v>0</v>
      </c>
      <c r="AN565" s="439">
        <f>IF(NFI_Expiration=1,IF($A565&lt;VLOOKUP(V$5,NFI,5,0),1,0)*Table_NFI[[#This Row],[Jerry Can]],Table_NFI[Jerry Can])</f>
        <v>0</v>
      </c>
      <c r="AO565" s="771" t="str">
        <f>IFERROR(VLOOKUP(Table_NFI[[#This Row],[Camp Name]],CL,2,0),"")</f>
        <v>MMR001CMP175</v>
      </c>
      <c r="AP565" s="772">
        <f ca="1">IF(Table_NFI[[#This Row],[Pcode]]="","",IF(OFFSET(CampList[Opening Date],MATCH(Table_NFI[[#This Row],[Pcode]],CampList[CP_Pcode],0)-1,0,1,1)&gt;=NFI_Monitor_Date,1,0))</f>
        <v>0</v>
      </c>
      <c r="AQ565" s="781" t="str">
        <f>IFERROR(VLOOKUP(Table_NFI[[#This Row],[Camp Name]],CL,3,0),"")</f>
        <v>Closed</v>
      </c>
      <c r="AR565" s="439" t="str">
        <f ca="1">IF(Table_NFI[[#This Row],[Pcode]]="","",OFFSET(CampList[Priority],MATCH(Table_NFI[[#This Row],[Pcode]],CampList[CP_Pcode],0)-1,0,1,1))</f>
        <v/>
      </c>
      <c r="AS565" s="438" t="str">
        <f>IFERROR(Table_NFI[[#This Row],[Kitchen Set]]/VLOOKUP(Table_NFI[[#This Row],[Camp Name]],CL,4,0),"")</f>
        <v/>
      </c>
      <c r="AT565" s="769" t="s">
        <v>1099</v>
      </c>
      <c r="AU565" s="773"/>
    </row>
    <row r="566" spans="1:47" x14ac:dyDescent="0.25">
      <c r="A566" s="451">
        <f t="shared" si="8"/>
        <v>33.9</v>
      </c>
      <c r="B566" s="768">
        <v>41353</v>
      </c>
      <c r="C566" s="769" t="s">
        <v>454</v>
      </c>
      <c r="D566" s="769" t="s">
        <v>454</v>
      </c>
      <c r="E566" s="769" t="s">
        <v>380</v>
      </c>
      <c r="F566" s="435" t="s">
        <v>529</v>
      </c>
      <c r="G566" s="435" t="s">
        <v>516</v>
      </c>
      <c r="H566" s="436"/>
      <c r="I566" s="436"/>
      <c r="J566" s="436">
        <v>6</v>
      </c>
      <c r="K566" s="436">
        <v>0</v>
      </c>
      <c r="L566" s="437">
        <v>0</v>
      </c>
      <c r="M566" s="437">
        <v>11</v>
      </c>
      <c r="N566" s="437">
        <v>0</v>
      </c>
      <c r="O566" s="437">
        <v>0</v>
      </c>
      <c r="P566" s="439"/>
      <c r="Q566" s="439"/>
      <c r="R566" s="436"/>
      <c r="S566" s="436"/>
      <c r="T566" s="436"/>
      <c r="U566" s="436"/>
      <c r="V566" s="436"/>
      <c r="W566" s="436"/>
      <c r="X566" s="436"/>
      <c r="Y566" s="436">
        <f>IF(NFI_Expiration=1,IF($A566&lt;VLOOKUP(H$5,NFI,5,0),1,0)*Table_NFI[[#This Row],[Hygiene Kit]],Table_NFI[Hygiene Kit])</f>
        <v>0</v>
      </c>
      <c r="Z566" s="436">
        <f>IF(NFI_Expiration=1,IF($A566&lt;VLOOKUP(I$5,NFI,5,0),1,0)*Table_NFI[[#This Row],[NFI Core Kit]],Table_NFI[NFI Core Kit])</f>
        <v>0</v>
      </c>
      <c r="AA566" s="436">
        <f>IF(NFI_Expiration=1,IF($A566&lt;VLOOKUP(J$5,NFI,5,0),1,0)*Table_NFI[[#This Row],[Sanitary Kit]],Table_NFI[Sanitary Kit])</f>
        <v>0</v>
      </c>
      <c r="AB566" s="436">
        <f>IF(NFI_Expiration=1,IF($A566&lt;VLOOKUP(K$5,NFI,5,0),1,0)*Table_NFI[[#This Row],[Mosquito net]],Table_NFI[Mosquito net])</f>
        <v>0</v>
      </c>
      <c r="AC566" s="436">
        <f>IF(NFI_Expiration=1,IF($A566&lt;VLOOKUP(L$5,NFI,5,0),1,0)*Table_NFI[[#This Row],[Tarpaulin]],Table_NFI[[#This Row],[Tarpaulin]])</f>
        <v>0</v>
      </c>
      <c r="AD566" s="436">
        <f>IF(NFI_Expiration=1,IF($A566&lt;VLOOKUP(M$5,NFI,5,0),1,0)*Table_NFI[[#This Row],[Blanket]],Table_NFI[[#This Row],[Blanket]])</f>
        <v>0</v>
      </c>
      <c r="AE566" s="436">
        <f>IF(NFI_Expiration=1,IF($A566&lt;VLOOKUP(N$5,NFI,5,0),1,0)*Table_NFI[[#This Row],[Kitchen Set]],Table_NFI[Kitchen Set])</f>
        <v>0</v>
      </c>
      <c r="AF566" s="436">
        <f>IF(NFI_Expiration=1,IF($A566&lt;VLOOKUP(O$5,NFI,5,0),1,0)*Table_NFI[[#This Row],[Clothes Kit]],Table_NFI[Clothes Kit])</f>
        <v>0</v>
      </c>
      <c r="AG566" s="436">
        <f>IF(NFI_Expiration=1,IF($A566&lt;VLOOKUP(P$5,NFI,5,0),1,0)*Table_NFI[[#This Row],[Plastic Bucket]],Table_NFI[Plastic Bucket])</f>
        <v>0</v>
      </c>
      <c r="AH566" s="436">
        <f>IF(NFI_Expiration=1,IF($A566&lt;VLOOKUP(Q$5,NFI,5,0),1,0)*Table_NFI[[#This Row],[Plastic Mat]],Table_NFI[Plastic Mat])*IF(Table_NFI[[#This Row],[Distribution Date]]&gt;"2014-04-01",1,2.5)</f>
        <v>0</v>
      </c>
      <c r="AI566" s="436">
        <f>IF(NFI_Expiration=1,IF($A566&lt;VLOOKUP(R$5,NFI,5,0),1,0)*Table_NFI[[#This Row],[Winter Clothes Adult]],Table_NFI[Winter Clothes Adult])</f>
        <v>0</v>
      </c>
      <c r="AJ566" s="436">
        <f>IF(NFI_Expiration=1,IF($A566&lt;VLOOKUP(S$5,NFI,5,0),1,0)*Table_NFI[[#This Row],[Winter Clothes Children]],Table_NFI[Winter Clothes Children])</f>
        <v>0</v>
      </c>
      <c r="AK566" s="436">
        <f>IF(NFI_Expiration=1,IF($A566&lt;VLOOKUP(T$5,NFI,5,0),1,0)*Table_NFI[[#This Row],[Winter Items Other]],Table_NFI[Winter Items Other])</f>
        <v>0</v>
      </c>
      <c r="AL566" s="436">
        <f>IF(NFI_Expiration=1,IF($A566&lt;VLOOKUP(M$5,NFI,5,0),1,0)*Table_NFI[[#This Row],[Winter Blanket]],Table_NFI[[#This Row],[Winter Blanket]])</f>
        <v>0</v>
      </c>
      <c r="AM566" s="436">
        <f>IF(Table_NFI[[#This Row],[Winter Clothes Adult]]+Table_NFI[[#This Row],[Winter Clothes Children]]+Table_NFI[[#This Row],[Winter Items Other]]+Table_NFI[[#This Row],[Winter Blanket]]&gt;0,1,0)</f>
        <v>0</v>
      </c>
      <c r="AN566" s="439">
        <f>IF(NFI_Expiration=1,IF($A566&lt;VLOOKUP(V$5,NFI,5,0),1,0)*Table_NFI[[#This Row],[Jerry Can]],Table_NFI[Jerry Can])</f>
        <v>0</v>
      </c>
      <c r="AO566" s="771" t="str">
        <f>IFERROR(VLOOKUP(Table_NFI[[#This Row],[Camp Name]],CL,2,0),"")</f>
        <v>MMR001CMP201</v>
      </c>
      <c r="AP566" s="772">
        <f ca="1">IF(Table_NFI[[#This Row],[Pcode]]="","",IF(OFFSET(CampList[Opening Date],MATCH(Table_NFI[[#This Row],[Pcode]],CampList[CP_Pcode],0)-1,0,1,1)&gt;=NFI_Monitor_Date,1,0))</f>
        <v>0</v>
      </c>
      <c r="AQ566" s="781" t="str">
        <f>IFERROR(VLOOKUP(Table_NFI[[#This Row],[Camp Name]],CL,3,0),"")</f>
        <v>Closed</v>
      </c>
      <c r="AR566" s="439" t="str">
        <f ca="1">IF(Table_NFI[[#This Row],[Pcode]]="","",OFFSET(CampList[Priority],MATCH(Table_NFI[[#This Row],[Pcode]],CampList[CP_Pcode],0)-1,0,1,1))</f>
        <v/>
      </c>
      <c r="AS566" s="438" t="str">
        <f>IFERROR(Table_NFI[[#This Row],[Kitchen Set]]/VLOOKUP(Table_NFI[[#This Row],[Camp Name]],CL,4,0),"")</f>
        <v/>
      </c>
      <c r="AT566" s="769" t="s">
        <v>1099</v>
      </c>
      <c r="AU566" s="773"/>
    </row>
    <row r="567" spans="1:47" x14ac:dyDescent="0.25">
      <c r="A567" s="451">
        <f t="shared" si="8"/>
        <v>34.366666666666667</v>
      </c>
      <c r="B567" s="768">
        <v>41339</v>
      </c>
      <c r="C567" s="769" t="s">
        <v>454</v>
      </c>
      <c r="D567" s="769" t="s">
        <v>454</v>
      </c>
      <c r="E567" s="769" t="s">
        <v>380</v>
      </c>
      <c r="F567" s="769" t="s">
        <v>310</v>
      </c>
      <c r="G567" s="435" t="s">
        <v>324</v>
      </c>
      <c r="H567" s="436"/>
      <c r="I567" s="436"/>
      <c r="J567" s="436">
        <v>34</v>
      </c>
      <c r="K567" s="436">
        <v>73</v>
      </c>
      <c r="L567" s="437">
        <v>38</v>
      </c>
      <c r="M567" s="437">
        <v>73</v>
      </c>
      <c r="N567" s="437">
        <v>38</v>
      </c>
      <c r="O567" s="437">
        <v>33</v>
      </c>
      <c r="P567" s="437">
        <v>33</v>
      </c>
      <c r="Q567" s="437">
        <v>33</v>
      </c>
      <c r="R567" s="436"/>
      <c r="S567" s="436"/>
      <c r="T567" s="436"/>
      <c r="U567" s="436"/>
      <c r="V567" s="436"/>
      <c r="W567" s="436"/>
      <c r="X567" s="436"/>
      <c r="Y567" s="436">
        <f>IF(NFI_Expiration=1,IF($A567&lt;VLOOKUP(H$5,NFI,5,0),1,0)*Table_NFI[[#This Row],[Hygiene Kit]],Table_NFI[Hygiene Kit])</f>
        <v>0</v>
      </c>
      <c r="Z567" s="436">
        <f>IF(NFI_Expiration=1,IF($A567&lt;VLOOKUP(I$5,NFI,5,0),1,0)*Table_NFI[[#This Row],[NFI Core Kit]],Table_NFI[NFI Core Kit])</f>
        <v>0</v>
      </c>
      <c r="AA567" s="436">
        <f>IF(NFI_Expiration=1,IF($A567&lt;VLOOKUP(J$5,NFI,5,0),1,0)*Table_NFI[[#This Row],[Sanitary Kit]],Table_NFI[Sanitary Kit])</f>
        <v>0</v>
      </c>
      <c r="AB567" s="436">
        <f>IF(NFI_Expiration=1,IF($A567&lt;VLOOKUP(K$5,NFI,5,0),1,0)*Table_NFI[[#This Row],[Mosquito net]],Table_NFI[Mosquito net])</f>
        <v>0</v>
      </c>
      <c r="AC567" s="436">
        <f>IF(NFI_Expiration=1,IF($A567&lt;VLOOKUP(L$5,NFI,5,0),1,0)*Table_NFI[[#This Row],[Tarpaulin]],Table_NFI[[#This Row],[Tarpaulin]])</f>
        <v>0</v>
      </c>
      <c r="AD567" s="436">
        <f>IF(NFI_Expiration=1,IF($A567&lt;VLOOKUP(M$5,NFI,5,0),1,0)*Table_NFI[[#This Row],[Blanket]],Table_NFI[[#This Row],[Blanket]])</f>
        <v>0</v>
      </c>
      <c r="AE567" s="436">
        <f>IF(NFI_Expiration=1,IF($A567&lt;VLOOKUP(N$5,NFI,5,0),1,0)*Table_NFI[[#This Row],[Kitchen Set]],Table_NFI[Kitchen Set])</f>
        <v>0</v>
      </c>
      <c r="AF567" s="436">
        <f>IF(NFI_Expiration=1,IF($A567&lt;VLOOKUP(O$5,NFI,5,0),1,0)*Table_NFI[[#This Row],[Clothes Kit]],Table_NFI[Clothes Kit])</f>
        <v>0</v>
      </c>
      <c r="AG567" s="436">
        <f>IF(NFI_Expiration=1,IF($A567&lt;VLOOKUP(P$5,NFI,5,0),1,0)*Table_NFI[[#This Row],[Plastic Bucket]],Table_NFI[Plastic Bucket])</f>
        <v>0</v>
      </c>
      <c r="AH567" s="436">
        <f>IF(NFI_Expiration=1,IF($A567&lt;VLOOKUP(Q$5,NFI,5,0),1,0)*Table_NFI[[#This Row],[Plastic Mat]],Table_NFI[Plastic Mat])*IF(Table_NFI[[#This Row],[Distribution Date]]&gt;"2014-04-01",1,2.5)</f>
        <v>0</v>
      </c>
      <c r="AI567" s="436">
        <f>IF(NFI_Expiration=1,IF($A567&lt;VLOOKUP(R$5,NFI,5,0),1,0)*Table_NFI[[#This Row],[Winter Clothes Adult]],Table_NFI[Winter Clothes Adult])</f>
        <v>0</v>
      </c>
      <c r="AJ567" s="436">
        <f>IF(NFI_Expiration=1,IF($A567&lt;VLOOKUP(S$5,NFI,5,0),1,0)*Table_NFI[[#This Row],[Winter Clothes Children]],Table_NFI[Winter Clothes Children])</f>
        <v>0</v>
      </c>
      <c r="AK567" s="436">
        <f>IF(NFI_Expiration=1,IF($A567&lt;VLOOKUP(T$5,NFI,5,0),1,0)*Table_NFI[[#This Row],[Winter Items Other]],Table_NFI[Winter Items Other])</f>
        <v>0</v>
      </c>
      <c r="AL567" s="436">
        <f>IF(NFI_Expiration=1,IF($A567&lt;VLOOKUP(M$5,NFI,5,0),1,0)*Table_NFI[[#This Row],[Winter Blanket]],Table_NFI[[#This Row],[Winter Blanket]])</f>
        <v>0</v>
      </c>
      <c r="AM567" s="436">
        <f>IF(Table_NFI[[#This Row],[Winter Clothes Adult]]+Table_NFI[[#This Row],[Winter Clothes Children]]+Table_NFI[[#This Row],[Winter Items Other]]+Table_NFI[[#This Row],[Winter Blanket]]&gt;0,1,0)</f>
        <v>0</v>
      </c>
      <c r="AN567" s="439">
        <f>IF(NFI_Expiration=1,IF($A567&lt;VLOOKUP(V$5,NFI,5,0),1,0)*Table_NFI[[#This Row],[Jerry Can]],Table_NFI[Jerry Can])</f>
        <v>0</v>
      </c>
      <c r="AO567" s="771" t="str">
        <f>IFERROR(VLOOKUP(Table_NFI[[#This Row],[Camp Name]],CL,2,0),"")</f>
        <v>MMR001CMP040</v>
      </c>
      <c r="AP567" s="772">
        <f ca="1">IF(Table_NFI[[#This Row],[Pcode]]="","",IF(OFFSET(CampList[Opening Date],MATCH(Table_NFI[[#This Row],[Pcode]],CampList[CP_Pcode],0)-1,0,1,1)&gt;=NFI_Monitor_Date,1,0))</f>
        <v>0</v>
      </c>
      <c r="AQ567" s="781" t="str">
        <f>IFERROR(VLOOKUP(Table_NFI[[#This Row],[Camp Name]],CL,3,0),"")</f>
        <v>Open</v>
      </c>
      <c r="AR567" s="439" t="str">
        <f ca="1">IF(Table_NFI[[#This Row],[Pcode]]="","",OFFSET(CampList[Priority],MATCH(Table_NFI[[#This Row],[Pcode]],CampList[CP_Pcode],0)-1,0,1,1))</f>
        <v>P4</v>
      </c>
      <c r="AS567" s="438">
        <f>IFERROR(Table_NFI[[#This Row],[Kitchen Set]]/VLOOKUP(Table_NFI[[#This Row],[Camp Name]],CL,4,0),"")</f>
        <v>8.8785046728971959E-2</v>
      </c>
      <c r="AT567" s="769" t="s">
        <v>1099</v>
      </c>
      <c r="AU567" s="773"/>
    </row>
    <row r="568" spans="1:47" x14ac:dyDescent="0.25">
      <c r="A568" s="451">
        <f t="shared" si="8"/>
        <v>34.366666666666667</v>
      </c>
      <c r="B568" s="768">
        <v>41339</v>
      </c>
      <c r="C568" s="769" t="s">
        <v>454</v>
      </c>
      <c r="D568" s="770" t="s">
        <v>454</v>
      </c>
      <c r="E568" s="769" t="s">
        <v>380</v>
      </c>
      <c r="F568" s="435" t="s">
        <v>310</v>
      </c>
      <c r="G568" s="435" t="s">
        <v>318</v>
      </c>
      <c r="H568" s="436"/>
      <c r="I568" s="436"/>
      <c r="J568" s="436">
        <v>6</v>
      </c>
      <c r="K568" s="436">
        <v>11</v>
      </c>
      <c r="L568" s="437">
        <v>5</v>
      </c>
      <c r="M568" s="437">
        <v>11</v>
      </c>
      <c r="N568" s="437">
        <v>5</v>
      </c>
      <c r="O568" s="437">
        <v>5</v>
      </c>
      <c r="P568" s="437">
        <v>5</v>
      </c>
      <c r="Q568" s="437">
        <v>5</v>
      </c>
      <c r="R568" s="436"/>
      <c r="S568" s="436"/>
      <c r="T568" s="436"/>
      <c r="U568" s="436"/>
      <c r="V568" s="436"/>
      <c r="W568" s="436"/>
      <c r="X568" s="436"/>
      <c r="Y568" s="436">
        <f>IF(NFI_Expiration=1,IF($A568&lt;VLOOKUP(H$5,NFI,5,0),1,0)*Table_NFI[[#This Row],[Hygiene Kit]],Table_NFI[Hygiene Kit])</f>
        <v>0</v>
      </c>
      <c r="Z568" s="436">
        <f>IF(NFI_Expiration=1,IF($A568&lt;VLOOKUP(I$5,NFI,5,0),1,0)*Table_NFI[[#This Row],[NFI Core Kit]],Table_NFI[NFI Core Kit])</f>
        <v>0</v>
      </c>
      <c r="AA568" s="436">
        <f>IF(NFI_Expiration=1,IF($A568&lt;VLOOKUP(J$5,NFI,5,0),1,0)*Table_NFI[[#This Row],[Sanitary Kit]],Table_NFI[Sanitary Kit])</f>
        <v>0</v>
      </c>
      <c r="AB568" s="436">
        <f>IF(NFI_Expiration=1,IF($A568&lt;VLOOKUP(K$5,NFI,5,0),1,0)*Table_NFI[[#This Row],[Mosquito net]],Table_NFI[Mosquito net])</f>
        <v>0</v>
      </c>
      <c r="AC568" s="436">
        <f>IF(NFI_Expiration=1,IF($A568&lt;VLOOKUP(L$5,NFI,5,0),1,0)*Table_NFI[[#This Row],[Tarpaulin]],Table_NFI[[#This Row],[Tarpaulin]])</f>
        <v>0</v>
      </c>
      <c r="AD568" s="436">
        <f>IF(NFI_Expiration=1,IF($A568&lt;VLOOKUP(M$5,NFI,5,0),1,0)*Table_NFI[[#This Row],[Blanket]],Table_NFI[[#This Row],[Blanket]])</f>
        <v>0</v>
      </c>
      <c r="AE568" s="436">
        <f>IF(NFI_Expiration=1,IF($A568&lt;VLOOKUP(N$5,NFI,5,0),1,0)*Table_NFI[[#This Row],[Kitchen Set]],Table_NFI[Kitchen Set])</f>
        <v>0</v>
      </c>
      <c r="AF568" s="436">
        <f>IF(NFI_Expiration=1,IF($A568&lt;VLOOKUP(O$5,NFI,5,0),1,0)*Table_NFI[[#This Row],[Clothes Kit]],Table_NFI[Clothes Kit])</f>
        <v>0</v>
      </c>
      <c r="AG568" s="436">
        <f>IF(NFI_Expiration=1,IF($A568&lt;VLOOKUP(P$5,NFI,5,0),1,0)*Table_NFI[[#This Row],[Plastic Bucket]],Table_NFI[Plastic Bucket])</f>
        <v>0</v>
      </c>
      <c r="AH568" s="436">
        <f>IF(NFI_Expiration=1,IF($A568&lt;VLOOKUP(Q$5,NFI,5,0),1,0)*Table_NFI[[#This Row],[Plastic Mat]],Table_NFI[Plastic Mat])*IF(Table_NFI[[#This Row],[Distribution Date]]&gt;"2014-04-01",1,2.5)</f>
        <v>0</v>
      </c>
      <c r="AI568" s="436">
        <f>IF(NFI_Expiration=1,IF($A568&lt;VLOOKUP(R$5,NFI,5,0),1,0)*Table_NFI[[#This Row],[Winter Clothes Adult]],Table_NFI[Winter Clothes Adult])</f>
        <v>0</v>
      </c>
      <c r="AJ568" s="436">
        <f>IF(NFI_Expiration=1,IF($A568&lt;VLOOKUP(S$5,NFI,5,0),1,0)*Table_NFI[[#This Row],[Winter Clothes Children]],Table_NFI[Winter Clothes Children])</f>
        <v>0</v>
      </c>
      <c r="AK568" s="436">
        <f>IF(NFI_Expiration=1,IF($A568&lt;VLOOKUP(T$5,NFI,5,0),1,0)*Table_NFI[[#This Row],[Winter Items Other]],Table_NFI[Winter Items Other])</f>
        <v>0</v>
      </c>
      <c r="AL568" s="436">
        <f>IF(NFI_Expiration=1,IF($A568&lt;VLOOKUP(M$5,NFI,5,0),1,0)*Table_NFI[[#This Row],[Winter Blanket]],Table_NFI[[#This Row],[Winter Blanket]])</f>
        <v>0</v>
      </c>
      <c r="AM568" s="436">
        <f>IF(Table_NFI[[#This Row],[Winter Clothes Adult]]+Table_NFI[[#This Row],[Winter Clothes Children]]+Table_NFI[[#This Row],[Winter Items Other]]+Table_NFI[[#This Row],[Winter Blanket]]&gt;0,1,0)</f>
        <v>0</v>
      </c>
      <c r="AN568" s="439">
        <f>IF(NFI_Expiration=1,IF($A568&lt;VLOOKUP(V$5,NFI,5,0),1,0)*Table_NFI[[#This Row],[Jerry Can]],Table_NFI[Jerry Can])</f>
        <v>0</v>
      </c>
      <c r="AO568" s="771" t="str">
        <f>IFERROR(VLOOKUP(Table_NFI[[#This Row],[Camp Name]],CL,2,0),"")</f>
        <v>MMR001CMP032</v>
      </c>
      <c r="AP568" s="772">
        <f ca="1">IF(Table_NFI[[#This Row],[Pcode]]="","",IF(OFFSET(CampList[Opening Date],MATCH(Table_NFI[[#This Row],[Pcode]],CampList[CP_Pcode],0)-1,0,1,1)&gt;=NFI_Monitor_Date,1,0))</f>
        <v>0</v>
      </c>
      <c r="AQ568" s="781" t="str">
        <f>IFERROR(VLOOKUP(Table_NFI[[#This Row],[Camp Name]],CL,3,0),"")</f>
        <v>Open</v>
      </c>
      <c r="AR568" s="439" t="str">
        <f ca="1">IF(Table_NFI[[#This Row],[Pcode]]="","",OFFSET(CampList[Priority],MATCH(Table_NFI[[#This Row],[Pcode]],CampList[CP_Pcode],0)-1,0,1,1))</f>
        <v>P4</v>
      </c>
      <c r="AS568" s="438">
        <f>IFERROR(Table_NFI[[#This Row],[Kitchen Set]]/VLOOKUP(Table_NFI[[#This Row],[Camp Name]],CL,4,0),"")</f>
        <v>5.3191489361702128E-2</v>
      </c>
      <c r="AT568" s="769" t="s">
        <v>1099</v>
      </c>
      <c r="AU568" s="773"/>
    </row>
    <row r="569" spans="1:47" x14ac:dyDescent="0.25">
      <c r="A569" s="451">
        <f t="shared" si="8"/>
        <v>34.466666666666669</v>
      </c>
      <c r="B569" s="768">
        <v>41336</v>
      </c>
      <c r="C569" s="769" t="s">
        <v>912</v>
      </c>
      <c r="D569" s="770" t="s">
        <v>912</v>
      </c>
      <c r="E569" s="769" t="s">
        <v>380</v>
      </c>
      <c r="F569" s="435" t="s">
        <v>185</v>
      </c>
      <c r="G569" s="435" t="s">
        <v>225</v>
      </c>
      <c r="H569" s="436">
        <v>33</v>
      </c>
      <c r="I569" s="436"/>
      <c r="J569" s="436"/>
      <c r="K569" s="436"/>
      <c r="L569" s="437"/>
      <c r="M569" s="437"/>
      <c r="N569" s="437"/>
      <c r="O569" s="437"/>
      <c r="P569" s="437">
        <v>0</v>
      </c>
      <c r="Q569" s="437">
        <v>0</v>
      </c>
      <c r="R569" s="436"/>
      <c r="S569" s="436"/>
      <c r="T569" s="436"/>
      <c r="U569" s="436"/>
      <c r="V569" s="436"/>
      <c r="W569" s="436"/>
      <c r="X569" s="436"/>
      <c r="Y569" s="436">
        <f>IF(NFI_Expiration=1,IF($A569&lt;VLOOKUP(H$5,NFI,5,0),1,0)*Table_NFI[[#This Row],[Hygiene Kit]],Table_NFI[Hygiene Kit])</f>
        <v>0</v>
      </c>
      <c r="Z569" s="436">
        <f>IF(NFI_Expiration=1,IF($A569&lt;VLOOKUP(I$5,NFI,5,0),1,0)*Table_NFI[[#This Row],[NFI Core Kit]],Table_NFI[NFI Core Kit])</f>
        <v>0</v>
      </c>
      <c r="AA569" s="436">
        <f>IF(NFI_Expiration=1,IF($A569&lt;VLOOKUP(J$5,NFI,5,0),1,0)*Table_NFI[[#This Row],[Sanitary Kit]],Table_NFI[Sanitary Kit])</f>
        <v>0</v>
      </c>
      <c r="AB569" s="436">
        <f>IF(NFI_Expiration=1,IF($A569&lt;VLOOKUP(K$5,NFI,5,0),1,0)*Table_NFI[[#This Row],[Mosquito net]],Table_NFI[Mosquito net])</f>
        <v>0</v>
      </c>
      <c r="AC569" s="436">
        <f>IF(NFI_Expiration=1,IF($A569&lt;VLOOKUP(L$5,NFI,5,0),1,0)*Table_NFI[[#This Row],[Tarpaulin]],Table_NFI[[#This Row],[Tarpaulin]])</f>
        <v>0</v>
      </c>
      <c r="AD569" s="436">
        <f>IF(NFI_Expiration=1,IF($A569&lt;VLOOKUP(M$5,NFI,5,0),1,0)*Table_NFI[[#This Row],[Blanket]],Table_NFI[[#This Row],[Blanket]])</f>
        <v>0</v>
      </c>
      <c r="AE569" s="436">
        <f>IF(NFI_Expiration=1,IF($A569&lt;VLOOKUP(N$5,NFI,5,0),1,0)*Table_NFI[[#This Row],[Kitchen Set]],Table_NFI[Kitchen Set])</f>
        <v>0</v>
      </c>
      <c r="AF569" s="436">
        <f>IF(NFI_Expiration=1,IF($A569&lt;VLOOKUP(O$5,NFI,5,0),1,0)*Table_NFI[[#This Row],[Clothes Kit]],Table_NFI[Clothes Kit])</f>
        <v>0</v>
      </c>
      <c r="AG569" s="436">
        <f>IF(NFI_Expiration=1,IF($A569&lt;VLOOKUP(P$5,NFI,5,0),1,0)*Table_NFI[[#This Row],[Plastic Bucket]],Table_NFI[Plastic Bucket])</f>
        <v>0</v>
      </c>
      <c r="AH569" s="436">
        <f>IF(NFI_Expiration=1,IF($A569&lt;VLOOKUP(Q$5,NFI,5,0),1,0)*Table_NFI[[#This Row],[Plastic Mat]],Table_NFI[Plastic Mat])*IF(Table_NFI[[#This Row],[Distribution Date]]&gt;"2014-04-01",1,2.5)</f>
        <v>0</v>
      </c>
      <c r="AI569" s="436">
        <f>IF(NFI_Expiration=1,IF($A569&lt;VLOOKUP(R$5,NFI,5,0),1,0)*Table_NFI[[#This Row],[Winter Clothes Adult]],Table_NFI[Winter Clothes Adult])</f>
        <v>0</v>
      </c>
      <c r="AJ569" s="436">
        <f>IF(NFI_Expiration=1,IF($A569&lt;VLOOKUP(S$5,NFI,5,0),1,0)*Table_NFI[[#This Row],[Winter Clothes Children]],Table_NFI[Winter Clothes Children])</f>
        <v>0</v>
      </c>
      <c r="AK569" s="436">
        <f>IF(NFI_Expiration=1,IF($A569&lt;VLOOKUP(T$5,NFI,5,0),1,0)*Table_NFI[[#This Row],[Winter Items Other]],Table_NFI[Winter Items Other])</f>
        <v>0</v>
      </c>
      <c r="AL569" s="436">
        <f>IF(NFI_Expiration=1,IF($A569&lt;VLOOKUP(M$5,NFI,5,0),1,0)*Table_NFI[[#This Row],[Winter Blanket]],Table_NFI[[#This Row],[Winter Blanket]])</f>
        <v>0</v>
      </c>
      <c r="AM569" s="436">
        <f>IF(Table_NFI[[#This Row],[Winter Clothes Adult]]+Table_NFI[[#This Row],[Winter Clothes Children]]+Table_NFI[[#This Row],[Winter Items Other]]+Table_NFI[[#This Row],[Winter Blanket]]&gt;0,1,0)</f>
        <v>0</v>
      </c>
      <c r="AN569" s="439">
        <f>IF(NFI_Expiration=1,IF($A569&lt;VLOOKUP(V$5,NFI,5,0),1,0)*Table_NFI[[#This Row],[Jerry Can]],Table_NFI[Jerry Can])</f>
        <v>0</v>
      </c>
      <c r="AO569" s="771" t="str">
        <f>IFERROR(VLOOKUP(Table_NFI[[#This Row],[Camp Name]],CL,2,0),"")</f>
        <v>MMR001CMP073</v>
      </c>
      <c r="AP569" s="772">
        <f ca="1">IF(Table_NFI[[#This Row],[Pcode]]="","",IF(OFFSET(CampList[Opening Date],MATCH(Table_NFI[[#This Row],[Pcode]],CampList[CP_Pcode],0)-1,0,1,1)&gt;=NFI_Monitor_Date,1,0))</f>
        <v>0</v>
      </c>
      <c r="AQ569" s="771" t="str">
        <f>IFERROR(VLOOKUP(Table_NFI[[#This Row],[Camp Name]],CL,3,0),"")</f>
        <v>Open</v>
      </c>
      <c r="AR569" s="436" t="str">
        <f ca="1">IF(Table_NFI[[#This Row],[Pcode]]="","",OFFSET(CampList[Priority],MATCH(Table_NFI[[#This Row],[Pcode]],CampList[CP_Pcode],0)-1,0,1,1))</f>
        <v>P3</v>
      </c>
      <c r="AS569" s="438">
        <f>IFERROR(Table_NFI[[#This Row],[Kitchen Set]]/VLOOKUP(Table_NFI[[#This Row],[Camp Name]],CL,4,0),"")</f>
        <v>0</v>
      </c>
      <c r="AT569" s="769" t="s">
        <v>1099</v>
      </c>
      <c r="AU569" s="773"/>
    </row>
    <row r="570" spans="1:47" x14ac:dyDescent="0.25">
      <c r="A570" s="451">
        <f t="shared" si="8"/>
        <v>34.5</v>
      </c>
      <c r="B570" s="768">
        <v>41335</v>
      </c>
      <c r="C570" s="769" t="s">
        <v>912</v>
      </c>
      <c r="D570" s="770" t="s">
        <v>912</v>
      </c>
      <c r="E570" s="769" t="s">
        <v>380</v>
      </c>
      <c r="F570" s="435" t="s">
        <v>185</v>
      </c>
      <c r="G570" s="435" t="s">
        <v>186</v>
      </c>
      <c r="H570" s="436">
        <v>3</v>
      </c>
      <c r="I570" s="436"/>
      <c r="J570" s="436"/>
      <c r="K570" s="436"/>
      <c r="L570" s="437"/>
      <c r="M570" s="437"/>
      <c r="N570" s="437"/>
      <c r="O570" s="437"/>
      <c r="P570" s="437">
        <v>0</v>
      </c>
      <c r="Q570" s="437">
        <v>0</v>
      </c>
      <c r="R570" s="436"/>
      <c r="S570" s="436"/>
      <c r="T570" s="436"/>
      <c r="U570" s="436"/>
      <c r="V570" s="436"/>
      <c r="W570" s="436"/>
      <c r="X570" s="436"/>
      <c r="Y570" s="436">
        <f>IF(NFI_Expiration=1,IF($A570&lt;VLOOKUP(H$5,NFI,5,0),1,0)*Table_NFI[[#This Row],[Hygiene Kit]],Table_NFI[Hygiene Kit])</f>
        <v>0</v>
      </c>
      <c r="Z570" s="436">
        <f>IF(NFI_Expiration=1,IF($A570&lt;VLOOKUP(I$5,NFI,5,0),1,0)*Table_NFI[[#This Row],[NFI Core Kit]],Table_NFI[NFI Core Kit])</f>
        <v>0</v>
      </c>
      <c r="AA570" s="436">
        <f>IF(NFI_Expiration=1,IF($A570&lt;VLOOKUP(J$5,NFI,5,0),1,0)*Table_NFI[[#This Row],[Sanitary Kit]],Table_NFI[Sanitary Kit])</f>
        <v>0</v>
      </c>
      <c r="AB570" s="436">
        <f>IF(NFI_Expiration=1,IF($A570&lt;VLOOKUP(K$5,NFI,5,0),1,0)*Table_NFI[[#This Row],[Mosquito net]],Table_NFI[Mosquito net])</f>
        <v>0</v>
      </c>
      <c r="AC570" s="436">
        <f>IF(NFI_Expiration=1,IF($A570&lt;VLOOKUP(L$5,NFI,5,0),1,0)*Table_NFI[[#This Row],[Tarpaulin]],Table_NFI[[#This Row],[Tarpaulin]])</f>
        <v>0</v>
      </c>
      <c r="AD570" s="436">
        <f>IF(NFI_Expiration=1,IF($A570&lt;VLOOKUP(M$5,NFI,5,0),1,0)*Table_NFI[[#This Row],[Blanket]],Table_NFI[[#This Row],[Blanket]])</f>
        <v>0</v>
      </c>
      <c r="AE570" s="436">
        <f>IF(NFI_Expiration=1,IF($A570&lt;VLOOKUP(N$5,NFI,5,0),1,0)*Table_NFI[[#This Row],[Kitchen Set]],Table_NFI[Kitchen Set])</f>
        <v>0</v>
      </c>
      <c r="AF570" s="436">
        <f>IF(NFI_Expiration=1,IF($A570&lt;VLOOKUP(O$5,NFI,5,0),1,0)*Table_NFI[[#This Row],[Clothes Kit]],Table_NFI[Clothes Kit])</f>
        <v>0</v>
      </c>
      <c r="AG570" s="436">
        <f>IF(NFI_Expiration=1,IF($A570&lt;VLOOKUP(P$5,NFI,5,0),1,0)*Table_NFI[[#This Row],[Plastic Bucket]],Table_NFI[Plastic Bucket])</f>
        <v>0</v>
      </c>
      <c r="AH570" s="436">
        <f>IF(NFI_Expiration=1,IF($A570&lt;VLOOKUP(Q$5,NFI,5,0),1,0)*Table_NFI[[#This Row],[Plastic Mat]],Table_NFI[Plastic Mat])*IF(Table_NFI[[#This Row],[Distribution Date]]&gt;"2014-04-01",1,2.5)</f>
        <v>0</v>
      </c>
      <c r="AI570" s="436">
        <f>IF(NFI_Expiration=1,IF($A570&lt;VLOOKUP(R$5,NFI,5,0),1,0)*Table_NFI[[#This Row],[Winter Clothes Adult]],Table_NFI[Winter Clothes Adult])</f>
        <v>0</v>
      </c>
      <c r="AJ570" s="436">
        <f>IF(NFI_Expiration=1,IF($A570&lt;VLOOKUP(S$5,NFI,5,0),1,0)*Table_NFI[[#This Row],[Winter Clothes Children]],Table_NFI[Winter Clothes Children])</f>
        <v>0</v>
      </c>
      <c r="AK570" s="436">
        <f>IF(NFI_Expiration=1,IF($A570&lt;VLOOKUP(T$5,NFI,5,0),1,0)*Table_NFI[[#This Row],[Winter Items Other]],Table_NFI[Winter Items Other])</f>
        <v>0</v>
      </c>
      <c r="AL570" s="436">
        <f>IF(NFI_Expiration=1,IF($A570&lt;VLOOKUP(M$5,NFI,5,0),1,0)*Table_NFI[[#This Row],[Winter Blanket]],Table_NFI[[#This Row],[Winter Blanket]])</f>
        <v>0</v>
      </c>
      <c r="AM570" s="436">
        <f>IF(Table_NFI[[#This Row],[Winter Clothes Adult]]+Table_NFI[[#This Row],[Winter Clothes Children]]+Table_NFI[[#This Row],[Winter Items Other]]+Table_NFI[[#This Row],[Winter Blanket]]&gt;0,1,0)</f>
        <v>0</v>
      </c>
      <c r="AN570" s="439">
        <f>IF(NFI_Expiration=1,IF($A570&lt;VLOOKUP(V$5,NFI,5,0),1,0)*Table_NFI[[#This Row],[Jerry Can]],Table_NFI[Jerry Can])</f>
        <v>0</v>
      </c>
      <c r="AO570" s="771" t="str">
        <f>IFERROR(VLOOKUP(Table_NFI[[#This Row],[Camp Name]],CL,2,0),"")</f>
        <v>MMR001CMP071</v>
      </c>
      <c r="AP570" s="772">
        <f ca="1">IF(Table_NFI[[#This Row],[Pcode]]="","",IF(OFFSET(CampList[Opening Date],MATCH(Table_NFI[[#This Row],[Pcode]],CampList[CP_Pcode],0)-1,0,1,1)&gt;=NFI_Monitor_Date,1,0))</f>
        <v>0</v>
      </c>
      <c r="AQ570" s="771" t="str">
        <f>IFERROR(VLOOKUP(Table_NFI[[#This Row],[Camp Name]],CL,3,0),"")</f>
        <v>Open</v>
      </c>
      <c r="AR570" s="436" t="str">
        <f ca="1">IF(Table_NFI[[#This Row],[Pcode]]="","",OFFSET(CampList[Priority],MATCH(Table_NFI[[#This Row],[Pcode]],CampList[CP_Pcode],0)-1,0,1,1))</f>
        <v>P3</v>
      </c>
      <c r="AS570" s="438">
        <f>IFERROR(Table_NFI[[#This Row],[Kitchen Set]]/VLOOKUP(Table_NFI[[#This Row],[Camp Name]],CL,4,0),"")</f>
        <v>0</v>
      </c>
      <c r="AT570" s="769" t="s">
        <v>1099</v>
      </c>
      <c r="AU570" s="773"/>
    </row>
    <row r="571" spans="1:47" x14ac:dyDescent="0.25">
      <c r="A571" s="451">
        <f t="shared" si="8"/>
        <v>34.5</v>
      </c>
      <c r="B571" s="768">
        <v>41335</v>
      </c>
      <c r="C571" s="769" t="s">
        <v>912</v>
      </c>
      <c r="D571" s="770" t="s">
        <v>912</v>
      </c>
      <c r="E571" s="769" t="s">
        <v>380</v>
      </c>
      <c r="F571" s="435" t="s">
        <v>185</v>
      </c>
      <c r="G571" s="435" t="s">
        <v>190</v>
      </c>
      <c r="H571" s="436">
        <v>368</v>
      </c>
      <c r="I571" s="436"/>
      <c r="J571" s="436"/>
      <c r="K571" s="436"/>
      <c r="L571" s="437"/>
      <c r="M571" s="437"/>
      <c r="N571" s="437"/>
      <c r="O571" s="437"/>
      <c r="P571" s="437">
        <v>0</v>
      </c>
      <c r="Q571" s="437">
        <v>0</v>
      </c>
      <c r="R571" s="436"/>
      <c r="S571" s="436"/>
      <c r="T571" s="436"/>
      <c r="U571" s="436"/>
      <c r="V571" s="436"/>
      <c r="W571" s="436"/>
      <c r="X571" s="436"/>
      <c r="Y571" s="436">
        <f>IF(NFI_Expiration=1,IF($A571&lt;VLOOKUP(H$5,NFI,5,0),1,0)*Table_NFI[[#This Row],[Hygiene Kit]],Table_NFI[Hygiene Kit])</f>
        <v>0</v>
      </c>
      <c r="Z571" s="436">
        <f>IF(NFI_Expiration=1,IF($A571&lt;VLOOKUP(I$5,NFI,5,0),1,0)*Table_NFI[[#This Row],[NFI Core Kit]],Table_NFI[NFI Core Kit])</f>
        <v>0</v>
      </c>
      <c r="AA571" s="436">
        <f>IF(NFI_Expiration=1,IF($A571&lt;VLOOKUP(J$5,NFI,5,0),1,0)*Table_NFI[[#This Row],[Sanitary Kit]],Table_NFI[Sanitary Kit])</f>
        <v>0</v>
      </c>
      <c r="AB571" s="436">
        <f>IF(NFI_Expiration=1,IF($A571&lt;VLOOKUP(K$5,NFI,5,0),1,0)*Table_NFI[[#This Row],[Mosquito net]],Table_NFI[Mosquito net])</f>
        <v>0</v>
      </c>
      <c r="AC571" s="436">
        <f>IF(NFI_Expiration=1,IF($A571&lt;VLOOKUP(L$5,NFI,5,0),1,0)*Table_NFI[[#This Row],[Tarpaulin]],Table_NFI[[#This Row],[Tarpaulin]])</f>
        <v>0</v>
      </c>
      <c r="AD571" s="436">
        <f>IF(NFI_Expiration=1,IF($A571&lt;VLOOKUP(M$5,NFI,5,0),1,0)*Table_NFI[[#This Row],[Blanket]],Table_NFI[[#This Row],[Blanket]])</f>
        <v>0</v>
      </c>
      <c r="AE571" s="436">
        <f>IF(NFI_Expiration=1,IF($A571&lt;VLOOKUP(N$5,NFI,5,0),1,0)*Table_NFI[[#This Row],[Kitchen Set]],Table_NFI[Kitchen Set])</f>
        <v>0</v>
      </c>
      <c r="AF571" s="436">
        <f>IF(NFI_Expiration=1,IF($A571&lt;VLOOKUP(O$5,NFI,5,0),1,0)*Table_NFI[[#This Row],[Clothes Kit]],Table_NFI[Clothes Kit])</f>
        <v>0</v>
      </c>
      <c r="AG571" s="436">
        <f>IF(NFI_Expiration=1,IF($A571&lt;VLOOKUP(P$5,NFI,5,0),1,0)*Table_NFI[[#This Row],[Plastic Bucket]],Table_NFI[Plastic Bucket])</f>
        <v>0</v>
      </c>
      <c r="AH571" s="436">
        <f>IF(NFI_Expiration=1,IF($A571&lt;VLOOKUP(Q$5,NFI,5,0),1,0)*Table_NFI[[#This Row],[Plastic Mat]],Table_NFI[Plastic Mat])*IF(Table_NFI[[#This Row],[Distribution Date]]&gt;"2014-04-01",1,2.5)</f>
        <v>0</v>
      </c>
      <c r="AI571" s="436">
        <f>IF(NFI_Expiration=1,IF($A571&lt;VLOOKUP(R$5,NFI,5,0),1,0)*Table_NFI[[#This Row],[Winter Clothes Adult]],Table_NFI[Winter Clothes Adult])</f>
        <v>0</v>
      </c>
      <c r="AJ571" s="436">
        <f>IF(NFI_Expiration=1,IF($A571&lt;VLOOKUP(S$5,NFI,5,0),1,0)*Table_NFI[[#This Row],[Winter Clothes Children]],Table_NFI[Winter Clothes Children])</f>
        <v>0</v>
      </c>
      <c r="AK571" s="436">
        <f>IF(NFI_Expiration=1,IF($A571&lt;VLOOKUP(T$5,NFI,5,0),1,0)*Table_NFI[[#This Row],[Winter Items Other]],Table_NFI[Winter Items Other])</f>
        <v>0</v>
      </c>
      <c r="AL571" s="436">
        <f>IF(NFI_Expiration=1,IF($A571&lt;VLOOKUP(M$5,NFI,5,0),1,0)*Table_NFI[[#This Row],[Winter Blanket]],Table_NFI[[#This Row],[Winter Blanket]])</f>
        <v>0</v>
      </c>
      <c r="AM571" s="436">
        <f>IF(Table_NFI[[#This Row],[Winter Clothes Adult]]+Table_NFI[[#This Row],[Winter Clothes Children]]+Table_NFI[[#This Row],[Winter Items Other]]+Table_NFI[[#This Row],[Winter Blanket]]&gt;0,1,0)</f>
        <v>0</v>
      </c>
      <c r="AN571" s="439">
        <f>IF(NFI_Expiration=1,IF($A571&lt;VLOOKUP(V$5,NFI,5,0),1,0)*Table_NFI[[#This Row],[Jerry Can]],Table_NFI[Jerry Can])</f>
        <v>0</v>
      </c>
      <c r="AO571" s="771" t="str">
        <f>IFERROR(VLOOKUP(Table_NFI[[#This Row],[Camp Name]],CL,2,0),"")</f>
        <v>MMR001CMP070</v>
      </c>
      <c r="AP571" s="772">
        <f ca="1">IF(Table_NFI[[#This Row],[Pcode]]="","",IF(OFFSET(CampList[Opening Date],MATCH(Table_NFI[[#This Row],[Pcode]],CampList[CP_Pcode],0)-1,0,1,1)&gt;=NFI_Monitor_Date,1,0))</f>
        <v>0</v>
      </c>
      <c r="AQ571" s="771" t="str">
        <f>IFERROR(VLOOKUP(Table_NFI[[#This Row],[Camp Name]],CL,3,0),"")</f>
        <v>Open</v>
      </c>
      <c r="AR571" s="436" t="str">
        <f ca="1">IF(Table_NFI[[#This Row],[Pcode]]="","",OFFSET(CampList[Priority],MATCH(Table_NFI[[#This Row],[Pcode]],CampList[CP_Pcode],0)-1,0,1,1))</f>
        <v>P3</v>
      </c>
      <c r="AS571" s="438">
        <f>IFERROR(Table_NFI[[#This Row],[Kitchen Set]]/VLOOKUP(Table_NFI[[#This Row],[Camp Name]],CL,4,0),"")</f>
        <v>0</v>
      </c>
      <c r="AT571" s="769" t="s">
        <v>1099</v>
      </c>
      <c r="AU571" s="773"/>
    </row>
    <row r="572" spans="1:47" x14ac:dyDescent="0.25">
      <c r="A572" s="451">
        <f t="shared" si="8"/>
        <v>34.5</v>
      </c>
      <c r="B572" s="768">
        <v>41335</v>
      </c>
      <c r="C572" s="769" t="s">
        <v>912</v>
      </c>
      <c r="D572" s="769" t="s">
        <v>912</v>
      </c>
      <c r="E572" s="769" t="s">
        <v>380</v>
      </c>
      <c r="F572" s="435" t="s">
        <v>151</v>
      </c>
      <c r="G572" s="435" t="s">
        <v>154</v>
      </c>
      <c r="H572" s="436">
        <v>1542</v>
      </c>
      <c r="I572" s="436"/>
      <c r="J572" s="436">
        <v>1800</v>
      </c>
      <c r="K572" s="436"/>
      <c r="L572" s="437"/>
      <c r="M572" s="437"/>
      <c r="N572" s="437"/>
      <c r="O572" s="437"/>
      <c r="P572" s="439">
        <v>0</v>
      </c>
      <c r="Q572" s="439">
        <v>0</v>
      </c>
      <c r="R572" s="436"/>
      <c r="S572" s="436"/>
      <c r="T572" s="436"/>
      <c r="U572" s="436"/>
      <c r="V572" s="436"/>
      <c r="W572" s="436"/>
      <c r="X572" s="436"/>
      <c r="Y572" s="436">
        <f>IF(NFI_Expiration=1,IF($A572&lt;VLOOKUP(H$5,NFI,5,0),1,0)*Table_NFI[[#This Row],[Hygiene Kit]],Table_NFI[Hygiene Kit])</f>
        <v>0</v>
      </c>
      <c r="Z572" s="436">
        <f>IF(NFI_Expiration=1,IF($A572&lt;VLOOKUP(I$5,NFI,5,0),1,0)*Table_NFI[[#This Row],[NFI Core Kit]],Table_NFI[NFI Core Kit])</f>
        <v>0</v>
      </c>
      <c r="AA572" s="436">
        <f>IF(NFI_Expiration=1,IF($A572&lt;VLOOKUP(J$5,NFI,5,0),1,0)*Table_NFI[[#This Row],[Sanitary Kit]],Table_NFI[Sanitary Kit])</f>
        <v>0</v>
      </c>
      <c r="AB572" s="436">
        <f>IF(NFI_Expiration=1,IF($A572&lt;VLOOKUP(K$5,NFI,5,0),1,0)*Table_NFI[[#This Row],[Mosquito net]],Table_NFI[Mosquito net])</f>
        <v>0</v>
      </c>
      <c r="AC572" s="436">
        <f>IF(NFI_Expiration=1,IF($A572&lt;VLOOKUP(L$5,NFI,5,0),1,0)*Table_NFI[[#This Row],[Tarpaulin]],Table_NFI[[#This Row],[Tarpaulin]])</f>
        <v>0</v>
      </c>
      <c r="AD572" s="436">
        <f>IF(NFI_Expiration=1,IF($A572&lt;VLOOKUP(M$5,NFI,5,0),1,0)*Table_NFI[[#This Row],[Blanket]],Table_NFI[[#This Row],[Blanket]])</f>
        <v>0</v>
      </c>
      <c r="AE572" s="436">
        <f>IF(NFI_Expiration=1,IF($A572&lt;VLOOKUP(N$5,NFI,5,0),1,0)*Table_NFI[[#This Row],[Kitchen Set]],Table_NFI[Kitchen Set])</f>
        <v>0</v>
      </c>
      <c r="AF572" s="436">
        <f>IF(NFI_Expiration=1,IF($A572&lt;VLOOKUP(O$5,NFI,5,0),1,0)*Table_NFI[[#This Row],[Clothes Kit]],Table_NFI[Clothes Kit])</f>
        <v>0</v>
      </c>
      <c r="AG572" s="436">
        <f>IF(NFI_Expiration=1,IF($A572&lt;VLOOKUP(P$5,NFI,5,0),1,0)*Table_NFI[[#This Row],[Plastic Bucket]],Table_NFI[Plastic Bucket])</f>
        <v>0</v>
      </c>
      <c r="AH572" s="436">
        <f>IF(NFI_Expiration=1,IF($A572&lt;VLOOKUP(Q$5,NFI,5,0),1,0)*Table_NFI[[#This Row],[Plastic Mat]],Table_NFI[Plastic Mat])*IF(Table_NFI[[#This Row],[Distribution Date]]&gt;"2014-04-01",1,2.5)</f>
        <v>0</v>
      </c>
      <c r="AI572" s="436">
        <f>IF(NFI_Expiration=1,IF($A572&lt;VLOOKUP(R$5,NFI,5,0),1,0)*Table_NFI[[#This Row],[Winter Clothes Adult]],Table_NFI[Winter Clothes Adult])</f>
        <v>0</v>
      </c>
      <c r="AJ572" s="436">
        <f>IF(NFI_Expiration=1,IF($A572&lt;VLOOKUP(S$5,NFI,5,0),1,0)*Table_NFI[[#This Row],[Winter Clothes Children]],Table_NFI[Winter Clothes Children])</f>
        <v>0</v>
      </c>
      <c r="AK572" s="436">
        <f>IF(NFI_Expiration=1,IF($A572&lt;VLOOKUP(T$5,NFI,5,0),1,0)*Table_NFI[[#This Row],[Winter Items Other]],Table_NFI[Winter Items Other])</f>
        <v>0</v>
      </c>
      <c r="AL572" s="436">
        <f>IF(NFI_Expiration=1,IF($A572&lt;VLOOKUP(M$5,NFI,5,0),1,0)*Table_NFI[[#This Row],[Winter Blanket]],Table_NFI[[#This Row],[Winter Blanket]])</f>
        <v>0</v>
      </c>
      <c r="AM572" s="436">
        <f>IF(Table_NFI[[#This Row],[Winter Clothes Adult]]+Table_NFI[[#This Row],[Winter Clothes Children]]+Table_NFI[[#This Row],[Winter Items Other]]+Table_NFI[[#This Row],[Winter Blanket]]&gt;0,1,0)</f>
        <v>0</v>
      </c>
      <c r="AN572" s="439">
        <f>IF(NFI_Expiration=1,IF($A572&lt;VLOOKUP(V$5,NFI,5,0),1,0)*Table_NFI[[#This Row],[Jerry Can]],Table_NFI[Jerry Can])</f>
        <v>0</v>
      </c>
      <c r="AO572" s="771" t="str">
        <f>IFERROR(VLOOKUP(Table_NFI[[#This Row],[Camp Name]],CL,2,0),"")</f>
        <v>MMR001CMP132</v>
      </c>
      <c r="AP572" s="772">
        <f ca="1">IF(Table_NFI[[#This Row],[Pcode]]="","",IF(OFFSET(CampList[Opening Date],MATCH(Table_NFI[[#This Row],[Pcode]],CampList[CP_Pcode],0)-1,0,1,1)&gt;=NFI_Monitor_Date,1,0))</f>
        <v>0</v>
      </c>
      <c r="AQ572" s="771" t="str">
        <f>IFERROR(VLOOKUP(Table_NFI[[#This Row],[Camp Name]],CL,3,0),"")</f>
        <v>Open</v>
      </c>
      <c r="AR572" s="436" t="str">
        <f ca="1">IF(Table_NFI[[#This Row],[Pcode]]="","",OFFSET(CampList[Priority],MATCH(Table_NFI[[#This Row],[Pcode]],CampList[CP_Pcode],0)-1,0,1,1))</f>
        <v>P4</v>
      </c>
      <c r="AS572" s="438">
        <f>IFERROR(Table_NFI[[#This Row],[Kitchen Set]]/VLOOKUP(Table_NFI[[#This Row],[Camp Name]],CL,4,0),"")</f>
        <v>0</v>
      </c>
      <c r="AT572" s="769" t="s">
        <v>1099</v>
      </c>
      <c r="AU572" s="773"/>
    </row>
    <row r="573" spans="1:47" x14ac:dyDescent="0.25">
      <c r="A573" s="451">
        <f t="shared" si="8"/>
        <v>34.6</v>
      </c>
      <c r="B573" s="768">
        <v>41332</v>
      </c>
      <c r="C573" s="769" t="s">
        <v>454</v>
      </c>
      <c r="D573" s="770" t="s">
        <v>454</v>
      </c>
      <c r="E573" s="769" t="s">
        <v>380</v>
      </c>
      <c r="F573" s="435" t="s">
        <v>310</v>
      </c>
      <c r="G573" s="435" t="s">
        <v>328</v>
      </c>
      <c r="H573" s="436"/>
      <c r="I573" s="436"/>
      <c r="J573" s="436">
        <v>23</v>
      </c>
      <c r="K573" s="436">
        <v>40</v>
      </c>
      <c r="L573" s="437">
        <v>18</v>
      </c>
      <c r="M573" s="437">
        <v>40</v>
      </c>
      <c r="N573" s="437">
        <v>18</v>
      </c>
      <c r="O573" s="437">
        <v>18</v>
      </c>
      <c r="P573" s="437">
        <v>18</v>
      </c>
      <c r="Q573" s="437">
        <v>18</v>
      </c>
      <c r="R573" s="436"/>
      <c r="S573" s="436"/>
      <c r="T573" s="436"/>
      <c r="U573" s="436"/>
      <c r="V573" s="436"/>
      <c r="W573" s="436"/>
      <c r="X573" s="436"/>
      <c r="Y573" s="436">
        <f>IF(NFI_Expiration=1,IF($A573&lt;VLOOKUP(H$5,NFI,5,0),1,0)*Table_NFI[[#This Row],[Hygiene Kit]],Table_NFI[Hygiene Kit])</f>
        <v>0</v>
      </c>
      <c r="Z573" s="436">
        <f>IF(NFI_Expiration=1,IF($A573&lt;VLOOKUP(I$5,NFI,5,0),1,0)*Table_NFI[[#This Row],[NFI Core Kit]],Table_NFI[NFI Core Kit])</f>
        <v>0</v>
      </c>
      <c r="AA573" s="436">
        <f>IF(NFI_Expiration=1,IF($A573&lt;VLOOKUP(J$5,NFI,5,0),1,0)*Table_NFI[[#This Row],[Sanitary Kit]],Table_NFI[Sanitary Kit])</f>
        <v>0</v>
      </c>
      <c r="AB573" s="436">
        <f>IF(NFI_Expiration=1,IF($A573&lt;VLOOKUP(K$5,NFI,5,0),1,0)*Table_NFI[[#This Row],[Mosquito net]],Table_NFI[Mosquito net])</f>
        <v>0</v>
      </c>
      <c r="AC573" s="436">
        <f>IF(NFI_Expiration=1,IF($A573&lt;VLOOKUP(L$5,NFI,5,0),1,0)*Table_NFI[[#This Row],[Tarpaulin]],Table_NFI[[#This Row],[Tarpaulin]])</f>
        <v>0</v>
      </c>
      <c r="AD573" s="436">
        <f>IF(NFI_Expiration=1,IF($A573&lt;VLOOKUP(M$5,NFI,5,0),1,0)*Table_NFI[[#This Row],[Blanket]],Table_NFI[[#This Row],[Blanket]])</f>
        <v>0</v>
      </c>
      <c r="AE573" s="436">
        <f>IF(NFI_Expiration=1,IF($A573&lt;VLOOKUP(N$5,NFI,5,0),1,0)*Table_NFI[[#This Row],[Kitchen Set]],Table_NFI[Kitchen Set])</f>
        <v>0</v>
      </c>
      <c r="AF573" s="436">
        <f>IF(NFI_Expiration=1,IF($A573&lt;VLOOKUP(O$5,NFI,5,0),1,0)*Table_NFI[[#This Row],[Clothes Kit]],Table_NFI[Clothes Kit])</f>
        <v>0</v>
      </c>
      <c r="AG573" s="436">
        <f>IF(NFI_Expiration=1,IF($A573&lt;VLOOKUP(P$5,NFI,5,0),1,0)*Table_NFI[[#This Row],[Plastic Bucket]],Table_NFI[Plastic Bucket])</f>
        <v>0</v>
      </c>
      <c r="AH573" s="436">
        <f>IF(NFI_Expiration=1,IF($A573&lt;VLOOKUP(Q$5,NFI,5,0),1,0)*Table_NFI[[#This Row],[Plastic Mat]],Table_NFI[Plastic Mat])*IF(Table_NFI[[#This Row],[Distribution Date]]&gt;"2014-04-01",1,2.5)</f>
        <v>0</v>
      </c>
      <c r="AI573" s="436">
        <f>IF(NFI_Expiration=1,IF($A573&lt;VLOOKUP(R$5,NFI,5,0),1,0)*Table_NFI[[#This Row],[Winter Clothes Adult]],Table_NFI[Winter Clothes Adult])</f>
        <v>0</v>
      </c>
      <c r="AJ573" s="436">
        <f>IF(NFI_Expiration=1,IF($A573&lt;VLOOKUP(S$5,NFI,5,0),1,0)*Table_NFI[[#This Row],[Winter Clothes Children]],Table_NFI[Winter Clothes Children])</f>
        <v>0</v>
      </c>
      <c r="AK573" s="436">
        <f>IF(NFI_Expiration=1,IF($A573&lt;VLOOKUP(T$5,NFI,5,0),1,0)*Table_NFI[[#This Row],[Winter Items Other]],Table_NFI[Winter Items Other])</f>
        <v>0</v>
      </c>
      <c r="AL573" s="436">
        <f>IF(NFI_Expiration=1,IF($A573&lt;VLOOKUP(M$5,NFI,5,0),1,0)*Table_NFI[[#This Row],[Winter Blanket]],Table_NFI[[#This Row],[Winter Blanket]])</f>
        <v>0</v>
      </c>
      <c r="AM573" s="436">
        <f>IF(Table_NFI[[#This Row],[Winter Clothes Adult]]+Table_NFI[[#This Row],[Winter Clothes Children]]+Table_NFI[[#This Row],[Winter Items Other]]+Table_NFI[[#This Row],[Winter Blanket]]&gt;0,1,0)</f>
        <v>0</v>
      </c>
      <c r="AN573" s="439">
        <f>IF(NFI_Expiration=1,IF($A573&lt;VLOOKUP(V$5,NFI,5,0),1,0)*Table_NFI[[#This Row],[Jerry Can]],Table_NFI[Jerry Can])</f>
        <v>0</v>
      </c>
      <c r="AO573" s="771" t="str">
        <f>IFERROR(VLOOKUP(Table_NFI[[#This Row],[Camp Name]],CL,2,0),"")</f>
        <v>MMR001CMP031</v>
      </c>
      <c r="AP573" s="772">
        <f ca="1">IF(Table_NFI[[#This Row],[Pcode]]="","",IF(OFFSET(CampList[Opening Date],MATCH(Table_NFI[[#This Row],[Pcode]],CampList[CP_Pcode],0)-1,0,1,1)&gt;=NFI_Monitor_Date,1,0))</f>
        <v>0</v>
      </c>
      <c r="AQ573" s="781" t="str">
        <f>IFERROR(VLOOKUP(Table_NFI[[#This Row],[Camp Name]],CL,3,0),"")</f>
        <v>Open</v>
      </c>
      <c r="AR573" s="439" t="str">
        <f ca="1">IF(Table_NFI[[#This Row],[Pcode]]="","",OFFSET(CampList[Priority],MATCH(Table_NFI[[#This Row],[Pcode]],CampList[CP_Pcode],0)-1,0,1,1))</f>
        <v>P4</v>
      </c>
      <c r="AS573" s="438">
        <f>IFERROR(Table_NFI[[#This Row],[Kitchen Set]]/VLOOKUP(Table_NFI[[#This Row],[Camp Name]],CL,4,0),"")</f>
        <v>0.13333333333333333</v>
      </c>
      <c r="AT573" s="769" t="s">
        <v>1099</v>
      </c>
      <c r="AU573" s="773"/>
    </row>
    <row r="574" spans="1:47" x14ac:dyDescent="0.25">
      <c r="A574" s="451">
        <f t="shared" si="8"/>
        <v>34.6</v>
      </c>
      <c r="B574" s="768">
        <v>41332</v>
      </c>
      <c r="C574" s="769" t="s">
        <v>912</v>
      </c>
      <c r="D574" s="770" t="s">
        <v>912</v>
      </c>
      <c r="E574" s="769" t="s">
        <v>380</v>
      </c>
      <c r="F574" s="435" t="s">
        <v>151</v>
      </c>
      <c r="G574" s="435" t="s">
        <v>160</v>
      </c>
      <c r="H574" s="436">
        <v>595</v>
      </c>
      <c r="I574" s="436"/>
      <c r="J574" s="436">
        <v>740</v>
      </c>
      <c r="K574" s="436"/>
      <c r="L574" s="437"/>
      <c r="M574" s="437"/>
      <c r="N574" s="437"/>
      <c r="O574" s="437"/>
      <c r="P574" s="437">
        <v>0</v>
      </c>
      <c r="Q574" s="437">
        <v>0</v>
      </c>
      <c r="R574" s="436"/>
      <c r="S574" s="436"/>
      <c r="T574" s="436"/>
      <c r="U574" s="436"/>
      <c r="V574" s="436"/>
      <c r="W574" s="436"/>
      <c r="X574" s="436"/>
      <c r="Y574" s="436">
        <f>IF(NFI_Expiration=1,IF($A574&lt;VLOOKUP(H$5,NFI,5,0),1,0)*Table_NFI[[#This Row],[Hygiene Kit]],Table_NFI[Hygiene Kit])</f>
        <v>0</v>
      </c>
      <c r="Z574" s="436">
        <f>IF(NFI_Expiration=1,IF($A574&lt;VLOOKUP(I$5,NFI,5,0),1,0)*Table_NFI[[#This Row],[NFI Core Kit]],Table_NFI[NFI Core Kit])</f>
        <v>0</v>
      </c>
      <c r="AA574" s="436">
        <f>IF(NFI_Expiration=1,IF($A574&lt;VLOOKUP(J$5,NFI,5,0),1,0)*Table_NFI[[#This Row],[Sanitary Kit]],Table_NFI[Sanitary Kit])</f>
        <v>0</v>
      </c>
      <c r="AB574" s="436">
        <f>IF(NFI_Expiration=1,IF($A574&lt;VLOOKUP(K$5,NFI,5,0),1,0)*Table_NFI[[#This Row],[Mosquito net]],Table_NFI[Mosquito net])</f>
        <v>0</v>
      </c>
      <c r="AC574" s="436">
        <f>IF(NFI_Expiration=1,IF($A574&lt;VLOOKUP(L$5,NFI,5,0),1,0)*Table_NFI[[#This Row],[Tarpaulin]],Table_NFI[[#This Row],[Tarpaulin]])</f>
        <v>0</v>
      </c>
      <c r="AD574" s="436">
        <f>IF(NFI_Expiration=1,IF($A574&lt;VLOOKUP(M$5,NFI,5,0),1,0)*Table_NFI[[#This Row],[Blanket]],Table_NFI[[#This Row],[Blanket]])</f>
        <v>0</v>
      </c>
      <c r="AE574" s="436">
        <f>IF(NFI_Expiration=1,IF($A574&lt;VLOOKUP(N$5,NFI,5,0),1,0)*Table_NFI[[#This Row],[Kitchen Set]],Table_NFI[Kitchen Set])</f>
        <v>0</v>
      </c>
      <c r="AF574" s="436">
        <f>IF(NFI_Expiration=1,IF($A574&lt;VLOOKUP(O$5,NFI,5,0),1,0)*Table_NFI[[#This Row],[Clothes Kit]],Table_NFI[Clothes Kit])</f>
        <v>0</v>
      </c>
      <c r="AG574" s="436">
        <f>IF(NFI_Expiration=1,IF($A574&lt;VLOOKUP(P$5,NFI,5,0),1,0)*Table_NFI[[#This Row],[Plastic Bucket]],Table_NFI[Plastic Bucket])</f>
        <v>0</v>
      </c>
      <c r="AH574" s="436">
        <f>IF(NFI_Expiration=1,IF($A574&lt;VLOOKUP(Q$5,NFI,5,0),1,0)*Table_NFI[[#This Row],[Plastic Mat]],Table_NFI[Plastic Mat])*IF(Table_NFI[[#This Row],[Distribution Date]]&gt;"2014-04-01",1,2.5)</f>
        <v>0</v>
      </c>
      <c r="AI574" s="436">
        <f>IF(NFI_Expiration=1,IF($A574&lt;VLOOKUP(R$5,NFI,5,0),1,0)*Table_NFI[[#This Row],[Winter Clothes Adult]],Table_NFI[Winter Clothes Adult])</f>
        <v>0</v>
      </c>
      <c r="AJ574" s="436">
        <f>IF(NFI_Expiration=1,IF($A574&lt;VLOOKUP(S$5,NFI,5,0),1,0)*Table_NFI[[#This Row],[Winter Clothes Children]],Table_NFI[Winter Clothes Children])</f>
        <v>0</v>
      </c>
      <c r="AK574" s="436">
        <f>IF(NFI_Expiration=1,IF($A574&lt;VLOOKUP(T$5,NFI,5,0),1,0)*Table_NFI[[#This Row],[Winter Items Other]],Table_NFI[Winter Items Other])</f>
        <v>0</v>
      </c>
      <c r="AL574" s="436">
        <f>IF(NFI_Expiration=1,IF($A574&lt;VLOOKUP(M$5,NFI,5,0),1,0)*Table_NFI[[#This Row],[Winter Blanket]],Table_NFI[[#This Row],[Winter Blanket]])</f>
        <v>0</v>
      </c>
      <c r="AM574" s="436">
        <f>IF(Table_NFI[[#This Row],[Winter Clothes Adult]]+Table_NFI[[#This Row],[Winter Clothes Children]]+Table_NFI[[#This Row],[Winter Items Other]]+Table_NFI[[#This Row],[Winter Blanket]]&gt;0,1,0)</f>
        <v>0</v>
      </c>
      <c r="AN574" s="439">
        <f>IF(NFI_Expiration=1,IF($A574&lt;VLOOKUP(V$5,NFI,5,0),1,0)*Table_NFI[[#This Row],[Jerry Can]],Table_NFI[Jerry Can])</f>
        <v>0</v>
      </c>
      <c r="AO574" s="771" t="str">
        <f>IFERROR(VLOOKUP(Table_NFI[[#This Row],[Camp Name]],CL,2,0),"")</f>
        <v>MMR001CMP133</v>
      </c>
      <c r="AP574" s="772">
        <f ca="1">IF(Table_NFI[[#This Row],[Pcode]]="","",IF(OFFSET(CampList[Opening Date],MATCH(Table_NFI[[#This Row],[Pcode]],CampList[CP_Pcode],0)-1,0,1,1)&gt;=NFI_Monitor_Date,1,0))</f>
        <v>0</v>
      </c>
      <c r="AQ574" s="771" t="str">
        <f>IFERROR(VLOOKUP(Table_NFI[[#This Row],[Camp Name]],CL,3,0),"")</f>
        <v>Open</v>
      </c>
      <c r="AR574" s="436" t="str">
        <f ca="1">IF(Table_NFI[[#This Row],[Pcode]]="","",OFFSET(CampList[Priority],MATCH(Table_NFI[[#This Row],[Pcode]],CampList[CP_Pcode],0)-1,0,1,1))</f>
        <v>P4</v>
      </c>
      <c r="AS574" s="438">
        <f>IFERROR(Table_NFI[[#This Row],[Kitchen Set]]/VLOOKUP(Table_NFI[[#This Row],[Camp Name]],CL,4,0),"")</f>
        <v>0</v>
      </c>
      <c r="AT574" s="769" t="s">
        <v>1099</v>
      </c>
      <c r="AU574" s="773"/>
    </row>
    <row r="575" spans="1:47" ht="14.45" customHeight="1" x14ac:dyDescent="0.25">
      <c r="A575" s="451">
        <f t="shared" si="8"/>
        <v>34.633333333333333</v>
      </c>
      <c r="B575" s="768">
        <v>41331</v>
      </c>
      <c r="C575" s="769" t="s">
        <v>907</v>
      </c>
      <c r="D575" s="770" t="s">
        <v>907</v>
      </c>
      <c r="E575" s="769" t="s">
        <v>380</v>
      </c>
      <c r="F575" s="769" t="s">
        <v>310</v>
      </c>
      <c r="G575" s="435" t="s">
        <v>313</v>
      </c>
      <c r="H575" s="436"/>
      <c r="I575" s="436"/>
      <c r="J575" s="436">
        <v>136</v>
      </c>
      <c r="K575" s="436"/>
      <c r="L575" s="437">
        <v>66</v>
      </c>
      <c r="M575" s="437"/>
      <c r="N575" s="437">
        <v>70</v>
      </c>
      <c r="O575" s="437"/>
      <c r="P575" s="437">
        <v>0</v>
      </c>
      <c r="Q575" s="437">
        <v>0</v>
      </c>
      <c r="R575" s="436"/>
      <c r="S575" s="436"/>
      <c r="T575" s="436"/>
      <c r="U575" s="436"/>
      <c r="V575" s="436"/>
      <c r="W575" s="436"/>
      <c r="X575" s="436"/>
      <c r="Y575" s="436">
        <f>IF(NFI_Expiration=1,IF($A575&lt;VLOOKUP(H$5,NFI,5,0),1,0)*Table_NFI[[#This Row],[Hygiene Kit]],Table_NFI[Hygiene Kit])</f>
        <v>0</v>
      </c>
      <c r="Z575" s="436">
        <f>IF(NFI_Expiration=1,IF($A575&lt;VLOOKUP(I$5,NFI,5,0),1,0)*Table_NFI[[#This Row],[NFI Core Kit]],Table_NFI[NFI Core Kit])</f>
        <v>0</v>
      </c>
      <c r="AA575" s="436">
        <f>IF(NFI_Expiration=1,IF($A575&lt;VLOOKUP(J$5,NFI,5,0),1,0)*Table_NFI[[#This Row],[Sanitary Kit]],Table_NFI[Sanitary Kit])</f>
        <v>0</v>
      </c>
      <c r="AB575" s="436">
        <f>IF(NFI_Expiration=1,IF($A575&lt;VLOOKUP(K$5,NFI,5,0),1,0)*Table_NFI[[#This Row],[Mosquito net]],Table_NFI[Mosquito net])</f>
        <v>0</v>
      </c>
      <c r="AC575" s="436">
        <f>IF(NFI_Expiration=1,IF($A575&lt;VLOOKUP(L$5,NFI,5,0),1,0)*Table_NFI[[#This Row],[Tarpaulin]],Table_NFI[[#This Row],[Tarpaulin]])</f>
        <v>0</v>
      </c>
      <c r="AD575" s="436">
        <f>IF(NFI_Expiration=1,IF($A575&lt;VLOOKUP(M$5,NFI,5,0),1,0)*Table_NFI[[#This Row],[Blanket]],Table_NFI[[#This Row],[Blanket]])</f>
        <v>0</v>
      </c>
      <c r="AE575" s="436">
        <f>IF(NFI_Expiration=1,IF($A575&lt;VLOOKUP(N$5,NFI,5,0),1,0)*Table_NFI[[#This Row],[Kitchen Set]],Table_NFI[Kitchen Set])</f>
        <v>0</v>
      </c>
      <c r="AF575" s="436">
        <f>IF(NFI_Expiration=1,IF($A575&lt;VLOOKUP(O$5,NFI,5,0),1,0)*Table_NFI[[#This Row],[Clothes Kit]],Table_NFI[Clothes Kit])</f>
        <v>0</v>
      </c>
      <c r="AG575" s="436">
        <f>IF(NFI_Expiration=1,IF($A575&lt;VLOOKUP(P$5,NFI,5,0),1,0)*Table_NFI[[#This Row],[Plastic Bucket]],Table_NFI[Plastic Bucket])</f>
        <v>0</v>
      </c>
      <c r="AH575" s="436">
        <f>IF(NFI_Expiration=1,IF($A575&lt;VLOOKUP(Q$5,NFI,5,0),1,0)*Table_NFI[[#This Row],[Plastic Mat]],Table_NFI[Plastic Mat])*IF(Table_NFI[[#This Row],[Distribution Date]]&gt;"2014-04-01",1,2.5)</f>
        <v>0</v>
      </c>
      <c r="AI575" s="436">
        <f>IF(NFI_Expiration=1,IF($A575&lt;VLOOKUP(R$5,NFI,5,0),1,0)*Table_NFI[[#This Row],[Winter Clothes Adult]],Table_NFI[Winter Clothes Adult])</f>
        <v>0</v>
      </c>
      <c r="AJ575" s="436">
        <f>IF(NFI_Expiration=1,IF($A575&lt;VLOOKUP(S$5,NFI,5,0),1,0)*Table_NFI[[#This Row],[Winter Clothes Children]],Table_NFI[Winter Clothes Children])</f>
        <v>0</v>
      </c>
      <c r="AK575" s="436">
        <f>IF(NFI_Expiration=1,IF($A575&lt;VLOOKUP(T$5,NFI,5,0),1,0)*Table_NFI[[#This Row],[Winter Items Other]],Table_NFI[Winter Items Other])</f>
        <v>0</v>
      </c>
      <c r="AL575" s="436">
        <f>IF(NFI_Expiration=1,IF($A575&lt;VLOOKUP(M$5,NFI,5,0),1,0)*Table_NFI[[#This Row],[Winter Blanket]],Table_NFI[[#This Row],[Winter Blanket]])</f>
        <v>0</v>
      </c>
      <c r="AM575" s="436">
        <f>IF(Table_NFI[[#This Row],[Winter Clothes Adult]]+Table_NFI[[#This Row],[Winter Clothes Children]]+Table_NFI[[#This Row],[Winter Items Other]]+Table_NFI[[#This Row],[Winter Blanket]]&gt;0,1,0)</f>
        <v>0</v>
      </c>
      <c r="AN575" s="439">
        <f>IF(NFI_Expiration=1,IF($A575&lt;VLOOKUP(V$5,NFI,5,0),1,0)*Table_NFI[[#This Row],[Jerry Can]],Table_NFI[Jerry Can])</f>
        <v>0</v>
      </c>
      <c r="AO575" s="771" t="str">
        <f>IFERROR(VLOOKUP(Table_NFI[[#This Row],[Camp Name]],CL,2,0),"")</f>
        <v>MMR001CMP028</v>
      </c>
      <c r="AP575" s="772">
        <f ca="1">IF(Table_NFI[[#This Row],[Pcode]]="","",IF(OFFSET(CampList[Opening Date],MATCH(Table_NFI[[#This Row],[Pcode]],CampList[CP_Pcode],0)-1,0,1,1)&gt;=NFI_Monitor_Date,1,0))</f>
        <v>0</v>
      </c>
      <c r="AQ575" s="771" t="str">
        <f>IFERROR(VLOOKUP(Table_NFI[[#This Row],[Camp Name]],CL,3,0),"")</f>
        <v>Open</v>
      </c>
      <c r="AR575" s="436" t="str">
        <f ca="1">IF(Table_NFI[[#This Row],[Pcode]]="","",OFFSET(CampList[Priority],MATCH(Table_NFI[[#This Row],[Pcode]],CampList[CP_Pcode],0)-1,0,1,1))</f>
        <v>P4</v>
      </c>
      <c r="AS575" s="438">
        <f>IFERROR(Table_NFI[[#This Row],[Kitchen Set]]/VLOOKUP(Table_NFI[[#This Row],[Camp Name]],CL,4,0),"")</f>
        <v>0.63063063063063063</v>
      </c>
      <c r="AT575" s="769" t="s">
        <v>1099</v>
      </c>
      <c r="AU575" s="773"/>
    </row>
    <row r="576" spans="1:47" ht="14.45" customHeight="1" x14ac:dyDescent="0.25">
      <c r="A576" s="451">
        <f t="shared" si="8"/>
        <v>34.633333333333333</v>
      </c>
      <c r="B576" s="768">
        <v>41331</v>
      </c>
      <c r="C576" s="769" t="s">
        <v>907</v>
      </c>
      <c r="D576" s="769" t="s">
        <v>907</v>
      </c>
      <c r="E576" s="769" t="s">
        <v>380</v>
      </c>
      <c r="F576" s="769" t="s">
        <v>237</v>
      </c>
      <c r="G576" s="435" t="s">
        <v>255</v>
      </c>
      <c r="H576" s="436"/>
      <c r="I576" s="436"/>
      <c r="J576" s="436">
        <v>99</v>
      </c>
      <c r="K576" s="436"/>
      <c r="L576" s="437">
        <v>99</v>
      </c>
      <c r="M576" s="437"/>
      <c r="N576" s="437"/>
      <c r="O576" s="437"/>
      <c r="P576" s="437">
        <v>0</v>
      </c>
      <c r="Q576" s="437">
        <v>0</v>
      </c>
      <c r="R576" s="436"/>
      <c r="S576" s="436"/>
      <c r="T576" s="436"/>
      <c r="U576" s="436"/>
      <c r="V576" s="436"/>
      <c r="W576" s="436"/>
      <c r="X576" s="436"/>
      <c r="Y576" s="436">
        <f>IF(NFI_Expiration=1,IF($A576&lt;VLOOKUP(H$5,NFI,5,0),1,0)*Table_NFI[[#This Row],[Hygiene Kit]],Table_NFI[Hygiene Kit])</f>
        <v>0</v>
      </c>
      <c r="Z576" s="436">
        <f>IF(NFI_Expiration=1,IF($A576&lt;VLOOKUP(I$5,NFI,5,0),1,0)*Table_NFI[[#This Row],[NFI Core Kit]],Table_NFI[NFI Core Kit])</f>
        <v>0</v>
      </c>
      <c r="AA576" s="436">
        <f>IF(NFI_Expiration=1,IF($A576&lt;VLOOKUP(J$5,NFI,5,0),1,0)*Table_NFI[[#This Row],[Sanitary Kit]],Table_NFI[Sanitary Kit])</f>
        <v>0</v>
      </c>
      <c r="AB576" s="436">
        <f>IF(NFI_Expiration=1,IF($A576&lt;VLOOKUP(K$5,NFI,5,0),1,0)*Table_NFI[[#This Row],[Mosquito net]],Table_NFI[Mosquito net])</f>
        <v>0</v>
      </c>
      <c r="AC576" s="436">
        <f>IF(NFI_Expiration=1,IF($A576&lt;VLOOKUP(L$5,NFI,5,0),1,0)*Table_NFI[[#This Row],[Tarpaulin]],Table_NFI[[#This Row],[Tarpaulin]])</f>
        <v>0</v>
      </c>
      <c r="AD576" s="436">
        <f>IF(NFI_Expiration=1,IF($A576&lt;VLOOKUP(M$5,NFI,5,0),1,0)*Table_NFI[[#This Row],[Blanket]],Table_NFI[[#This Row],[Blanket]])</f>
        <v>0</v>
      </c>
      <c r="AE576" s="436">
        <f>IF(NFI_Expiration=1,IF($A576&lt;VLOOKUP(N$5,NFI,5,0),1,0)*Table_NFI[[#This Row],[Kitchen Set]],Table_NFI[Kitchen Set])</f>
        <v>0</v>
      </c>
      <c r="AF576" s="436">
        <f>IF(NFI_Expiration=1,IF($A576&lt;VLOOKUP(O$5,NFI,5,0),1,0)*Table_NFI[[#This Row],[Clothes Kit]],Table_NFI[Clothes Kit])</f>
        <v>0</v>
      </c>
      <c r="AG576" s="436">
        <f>IF(NFI_Expiration=1,IF($A576&lt;VLOOKUP(P$5,NFI,5,0),1,0)*Table_NFI[[#This Row],[Plastic Bucket]],Table_NFI[Plastic Bucket])</f>
        <v>0</v>
      </c>
      <c r="AH576" s="436">
        <f>IF(NFI_Expiration=1,IF($A576&lt;VLOOKUP(Q$5,NFI,5,0),1,0)*Table_NFI[[#This Row],[Plastic Mat]],Table_NFI[Plastic Mat])*IF(Table_NFI[[#This Row],[Distribution Date]]&gt;"2014-04-01",1,2.5)</f>
        <v>0</v>
      </c>
      <c r="AI576" s="436">
        <f>IF(NFI_Expiration=1,IF($A576&lt;VLOOKUP(R$5,NFI,5,0),1,0)*Table_NFI[[#This Row],[Winter Clothes Adult]],Table_NFI[Winter Clothes Adult])</f>
        <v>0</v>
      </c>
      <c r="AJ576" s="436">
        <f>IF(NFI_Expiration=1,IF($A576&lt;VLOOKUP(S$5,NFI,5,0),1,0)*Table_NFI[[#This Row],[Winter Clothes Children]],Table_NFI[Winter Clothes Children])</f>
        <v>0</v>
      </c>
      <c r="AK576" s="436">
        <f>IF(NFI_Expiration=1,IF($A576&lt;VLOOKUP(T$5,NFI,5,0),1,0)*Table_NFI[[#This Row],[Winter Items Other]],Table_NFI[Winter Items Other])</f>
        <v>0</v>
      </c>
      <c r="AL576" s="436">
        <f>IF(NFI_Expiration=1,IF($A576&lt;VLOOKUP(M$5,NFI,5,0),1,0)*Table_NFI[[#This Row],[Winter Blanket]],Table_NFI[[#This Row],[Winter Blanket]])</f>
        <v>0</v>
      </c>
      <c r="AM576" s="436">
        <f>IF(Table_NFI[[#This Row],[Winter Clothes Adult]]+Table_NFI[[#This Row],[Winter Clothes Children]]+Table_NFI[[#This Row],[Winter Items Other]]+Table_NFI[[#This Row],[Winter Blanket]]&gt;0,1,0)</f>
        <v>0</v>
      </c>
      <c r="AN576" s="439">
        <f>IF(NFI_Expiration=1,IF($A576&lt;VLOOKUP(V$5,NFI,5,0),1,0)*Table_NFI[[#This Row],[Jerry Can]],Table_NFI[Jerry Can])</f>
        <v>0</v>
      </c>
      <c r="AO576" s="771" t="str">
        <f>IFERROR(VLOOKUP(Table_NFI[[#This Row],[Camp Name]],CL,2,0),"")</f>
        <v>MMR001CMP019</v>
      </c>
      <c r="AP576" s="772">
        <f ca="1">IF(Table_NFI[[#This Row],[Pcode]]="","",IF(OFFSET(CampList[Opening Date],MATCH(Table_NFI[[#This Row],[Pcode]],CampList[CP_Pcode],0)-1,0,1,1)&gt;=NFI_Monitor_Date,1,0))</f>
        <v>0</v>
      </c>
      <c r="AQ576" s="771" t="str">
        <f>IFERROR(VLOOKUP(Table_NFI[[#This Row],[Camp Name]],CL,3,0),"")</f>
        <v>Open</v>
      </c>
      <c r="AR576" s="436" t="str">
        <f ca="1">IF(Table_NFI[[#This Row],[Pcode]]="","",OFFSET(CampList[Priority],MATCH(Table_NFI[[#This Row],[Pcode]],CampList[CP_Pcode],0)-1,0,1,1))</f>
        <v>P4</v>
      </c>
      <c r="AS576" s="438">
        <f>IFERROR(Table_NFI[[#This Row],[Kitchen Set]]/VLOOKUP(Table_NFI[[#This Row],[Camp Name]],CL,4,0),"")</f>
        <v>0</v>
      </c>
      <c r="AT576" s="769" t="s">
        <v>1099</v>
      </c>
      <c r="AU576" s="773"/>
    </row>
    <row r="577" spans="1:47" x14ac:dyDescent="0.25">
      <c r="A577" s="451">
        <f t="shared" si="8"/>
        <v>34.666666666666664</v>
      </c>
      <c r="B577" s="768">
        <v>41330</v>
      </c>
      <c r="C577" s="769" t="s">
        <v>454</v>
      </c>
      <c r="D577" s="770" t="s">
        <v>911</v>
      </c>
      <c r="E577" s="769" t="s">
        <v>380</v>
      </c>
      <c r="F577" s="435" t="s">
        <v>27</v>
      </c>
      <c r="G577" s="435" t="s">
        <v>28</v>
      </c>
      <c r="H577" s="436"/>
      <c r="I577" s="436"/>
      <c r="J577" s="436">
        <v>11</v>
      </c>
      <c r="K577" s="436">
        <v>17</v>
      </c>
      <c r="L577" s="437">
        <v>7</v>
      </c>
      <c r="M577" s="437">
        <v>17</v>
      </c>
      <c r="N577" s="437">
        <v>7</v>
      </c>
      <c r="O577" s="437">
        <v>7</v>
      </c>
      <c r="P577" s="437">
        <v>7</v>
      </c>
      <c r="Q577" s="437">
        <v>7</v>
      </c>
      <c r="R577" s="436"/>
      <c r="S577" s="436"/>
      <c r="T577" s="436"/>
      <c r="U577" s="436"/>
      <c r="V577" s="436"/>
      <c r="W577" s="436"/>
      <c r="X577" s="436"/>
      <c r="Y577" s="436">
        <f>IF(NFI_Expiration=1,IF($A577&lt;VLOOKUP(H$5,NFI,5,0),1,0)*Table_NFI[[#This Row],[Hygiene Kit]],Table_NFI[Hygiene Kit])</f>
        <v>0</v>
      </c>
      <c r="Z577" s="436">
        <f>IF(NFI_Expiration=1,IF($A577&lt;VLOOKUP(I$5,NFI,5,0),1,0)*Table_NFI[[#This Row],[NFI Core Kit]],Table_NFI[NFI Core Kit])</f>
        <v>0</v>
      </c>
      <c r="AA577" s="436">
        <f>IF(NFI_Expiration=1,IF($A577&lt;VLOOKUP(J$5,NFI,5,0),1,0)*Table_NFI[[#This Row],[Sanitary Kit]],Table_NFI[Sanitary Kit])</f>
        <v>0</v>
      </c>
      <c r="AB577" s="436">
        <f>IF(NFI_Expiration=1,IF($A577&lt;VLOOKUP(K$5,NFI,5,0),1,0)*Table_NFI[[#This Row],[Mosquito net]],Table_NFI[Mosquito net])</f>
        <v>0</v>
      </c>
      <c r="AC577" s="436">
        <f>IF(NFI_Expiration=1,IF($A577&lt;VLOOKUP(L$5,NFI,5,0),1,0)*Table_NFI[[#This Row],[Tarpaulin]],Table_NFI[[#This Row],[Tarpaulin]])</f>
        <v>0</v>
      </c>
      <c r="AD577" s="436">
        <f>IF(NFI_Expiration=1,IF($A577&lt;VLOOKUP(M$5,NFI,5,0),1,0)*Table_NFI[[#This Row],[Blanket]],Table_NFI[[#This Row],[Blanket]])</f>
        <v>0</v>
      </c>
      <c r="AE577" s="436">
        <f>IF(NFI_Expiration=1,IF($A577&lt;VLOOKUP(N$5,NFI,5,0),1,0)*Table_NFI[[#This Row],[Kitchen Set]],Table_NFI[Kitchen Set])</f>
        <v>0</v>
      </c>
      <c r="AF577" s="436">
        <f>IF(NFI_Expiration=1,IF($A577&lt;VLOOKUP(O$5,NFI,5,0),1,0)*Table_NFI[[#This Row],[Clothes Kit]],Table_NFI[Clothes Kit])</f>
        <v>0</v>
      </c>
      <c r="AG577" s="436">
        <f>IF(NFI_Expiration=1,IF($A577&lt;VLOOKUP(P$5,NFI,5,0),1,0)*Table_NFI[[#This Row],[Plastic Bucket]],Table_NFI[Plastic Bucket])</f>
        <v>0</v>
      </c>
      <c r="AH577" s="436">
        <f>IF(NFI_Expiration=1,IF($A577&lt;VLOOKUP(Q$5,NFI,5,0),1,0)*Table_NFI[[#This Row],[Plastic Mat]],Table_NFI[Plastic Mat])*IF(Table_NFI[[#This Row],[Distribution Date]]&gt;"2014-04-01",1,2.5)</f>
        <v>0</v>
      </c>
      <c r="AI577" s="436">
        <f>IF(NFI_Expiration=1,IF($A577&lt;VLOOKUP(R$5,NFI,5,0),1,0)*Table_NFI[[#This Row],[Winter Clothes Adult]],Table_NFI[Winter Clothes Adult])</f>
        <v>0</v>
      </c>
      <c r="AJ577" s="436">
        <f>IF(NFI_Expiration=1,IF($A577&lt;VLOOKUP(S$5,NFI,5,0),1,0)*Table_NFI[[#This Row],[Winter Clothes Children]],Table_NFI[Winter Clothes Children])</f>
        <v>0</v>
      </c>
      <c r="AK577" s="436">
        <f>IF(NFI_Expiration=1,IF($A577&lt;VLOOKUP(T$5,NFI,5,0),1,0)*Table_NFI[[#This Row],[Winter Items Other]],Table_NFI[Winter Items Other])</f>
        <v>0</v>
      </c>
      <c r="AL577" s="436">
        <f>IF(NFI_Expiration=1,IF($A577&lt;VLOOKUP(M$5,NFI,5,0),1,0)*Table_NFI[[#This Row],[Winter Blanket]],Table_NFI[[#This Row],[Winter Blanket]])</f>
        <v>0</v>
      </c>
      <c r="AM577" s="436">
        <f>IF(Table_NFI[[#This Row],[Winter Clothes Adult]]+Table_NFI[[#This Row],[Winter Clothes Children]]+Table_NFI[[#This Row],[Winter Items Other]]+Table_NFI[[#This Row],[Winter Blanket]]&gt;0,1,0)</f>
        <v>0</v>
      </c>
      <c r="AN577" s="439">
        <f>IF(NFI_Expiration=1,IF($A577&lt;VLOOKUP(V$5,NFI,5,0),1,0)*Table_NFI[[#This Row],[Jerry Can]],Table_NFI[Jerry Can])</f>
        <v>0</v>
      </c>
      <c r="AO577" s="771" t="str">
        <f>IFERROR(VLOOKUP(Table_NFI[[#This Row],[Camp Name]],CL,2,0),"")</f>
        <v>MMR001CMP042</v>
      </c>
      <c r="AP577" s="772">
        <f ca="1">IF(Table_NFI[[#This Row],[Pcode]]="","",IF(OFFSET(CampList[Opening Date],MATCH(Table_NFI[[#This Row],[Pcode]],CampList[CP_Pcode],0)-1,0,1,1)&gt;=NFI_Monitor_Date,1,0))</f>
        <v>0</v>
      </c>
      <c r="AQ577" s="781" t="str">
        <f>IFERROR(VLOOKUP(Table_NFI[[#This Row],[Camp Name]],CL,3,0),"")</f>
        <v>Open</v>
      </c>
      <c r="AR577" s="439" t="str">
        <f ca="1">IF(Table_NFI[[#This Row],[Pcode]]="","",OFFSET(CampList[Priority],MATCH(Table_NFI[[#This Row],[Pcode]],CampList[CP_Pcode],0)-1,0,1,1))</f>
        <v>P1</v>
      </c>
      <c r="AS577" s="438">
        <f>IFERROR(Table_NFI[[#This Row],[Kitchen Set]]/VLOOKUP(Table_NFI[[#This Row],[Camp Name]],CL,4,0),"")</f>
        <v>6.4814814814814811E-2</v>
      </c>
      <c r="AT577" s="769" t="s">
        <v>1099</v>
      </c>
      <c r="AU577" s="773"/>
    </row>
    <row r="578" spans="1:47" x14ac:dyDescent="0.25">
      <c r="A578" s="451">
        <f t="shared" si="8"/>
        <v>34.666666666666664</v>
      </c>
      <c r="B578" s="768">
        <v>41330</v>
      </c>
      <c r="C578" s="769" t="s">
        <v>454</v>
      </c>
      <c r="D578" s="770" t="s">
        <v>911</v>
      </c>
      <c r="E578" s="769" t="s">
        <v>380</v>
      </c>
      <c r="F578" s="435" t="s">
        <v>27</v>
      </c>
      <c r="G578" s="435" t="s">
        <v>32</v>
      </c>
      <c r="H578" s="436"/>
      <c r="I578" s="436"/>
      <c r="J578" s="436">
        <v>11</v>
      </c>
      <c r="K578" s="436">
        <v>17</v>
      </c>
      <c r="L578" s="437">
        <v>7</v>
      </c>
      <c r="M578" s="437">
        <v>17</v>
      </c>
      <c r="N578" s="437">
        <v>7</v>
      </c>
      <c r="O578" s="437">
        <v>7</v>
      </c>
      <c r="P578" s="437">
        <v>7</v>
      </c>
      <c r="Q578" s="437">
        <v>7</v>
      </c>
      <c r="R578" s="436"/>
      <c r="S578" s="436"/>
      <c r="T578" s="436"/>
      <c r="U578" s="436"/>
      <c r="V578" s="436"/>
      <c r="W578" s="436"/>
      <c r="X578" s="436"/>
      <c r="Y578" s="436">
        <f>IF(NFI_Expiration=1,IF($A578&lt;VLOOKUP(H$5,NFI,5,0),1,0)*Table_NFI[[#This Row],[Hygiene Kit]],Table_NFI[Hygiene Kit])</f>
        <v>0</v>
      </c>
      <c r="Z578" s="436">
        <f>IF(NFI_Expiration=1,IF($A578&lt;VLOOKUP(I$5,NFI,5,0),1,0)*Table_NFI[[#This Row],[NFI Core Kit]],Table_NFI[NFI Core Kit])</f>
        <v>0</v>
      </c>
      <c r="AA578" s="436">
        <f>IF(NFI_Expiration=1,IF($A578&lt;VLOOKUP(J$5,NFI,5,0),1,0)*Table_NFI[[#This Row],[Sanitary Kit]],Table_NFI[Sanitary Kit])</f>
        <v>0</v>
      </c>
      <c r="AB578" s="436">
        <f>IF(NFI_Expiration=1,IF($A578&lt;VLOOKUP(K$5,NFI,5,0),1,0)*Table_NFI[[#This Row],[Mosquito net]],Table_NFI[Mosquito net])</f>
        <v>0</v>
      </c>
      <c r="AC578" s="436">
        <f>IF(NFI_Expiration=1,IF($A578&lt;VLOOKUP(L$5,NFI,5,0),1,0)*Table_NFI[[#This Row],[Tarpaulin]],Table_NFI[[#This Row],[Tarpaulin]])</f>
        <v>0</v>
      </c>
      <c r="AD578" s="436">
        <f>IF(NFI_Expiration=1,IF($A578&lt;VLOOKUP(M$5,NFI,5,0),1,0)*Table_NFI[[#This Row],[Blanket]],Table_NFI[[#This Row],[Blanket]])</f>
        <v>0</v>
      </c>
      <c r="AE578" s="436">
        <f>IF(NFI_Expiration=1,IF($A578&lt;VLOOKUP(N$5,NFI,5,0),1,0)*Table_NFI[[#This Row],[Kitchen Set]],Table_NFI[Kitchen Set])</f>
        <v>0</v>
      </c>
      <c r="AF578" s="436">
        <f>IF(NFI_Expiration=1,IF($A578&lt;VLOOKUP(O$5,NFI,5,0),1,0)*Table_NFI[[#This Row],[Clothes Kit]],Table_NFI[Clothes Kit])</f>
        <v>0</v>
      </c>
      <c r="AG578" s="436">
        <f>IF(NFI_Expiration=1,IF($A578&lt;VLOOKUP(P$5,NFI,5,0),1,0)*Table_NFI[[#This Row],[Plastic Bucket]],Table_NFI[Plastic Bucket])</f>
        <v>0</v>
      </c>
      <c r="AH578" s="436">
        <f>IF(NFI_Expiration=1,IF($A578&lt;VLOOKUP(Q$5,NFI,5,0),1,0)*Table_NFI[[#This Row],[Plastic Mat]],Table_NFI[Plastic Mat])*IF(Table_NFI[[#This Row],[Distribution Date]]&gt;"2014-04-01",1,2.5)</f>
        <v>0</v>
      </c>
      <c r="AI578" s="436">
        <f>IF(NFI_Expiration=1,IF($A578&lt;VLOOKUP(R$5,NFI,5,0),1,0)*Table_NFI[[#This Row],[Winter Clothes Adult]],Table_NFI[Winter Clothes Adult])</f>
        <v>0</v>
      </c>
      <c r="AJ578" s="436">
        <f>IF(NFI_Expiration=1,IF($A578&lt;VLOOKUP(S$5,NFI,5,0),1,0)*Table_NFI[[#This Row],[Winter Clothes Children]],Table_NFI[Winter Clothes Children])</f>
        <v>0</v>
      </c>
      <c r="AK578" s="436">
        <f>IF(NFI_Expiration=1,IF($A578&lt;VLOOKUP(T$5,NFI,5,0),1,0)*Table_NFI[[#This Row],[Winter Items Other]],Table_NFI[Winter Items Other])</f>
        <v>0</v>
      </c>
      <c r="AL578" s="436">
        <f>IF(NFI_Expiration=1,IF($A578&lt;VLOOKUP(M$5,NFI,5,0),1,0)*Table_NFI[[#This Row],[Winter Blanket]],Table_NFI[[#This Row],[Winter Blanket]])</f>
        <v>0</v>
      </c>
      <c r="AM578" s="436">
        <f>IF(Table_NFI[[#This Row],[Winter Clothes Adult]]+Table_NFI[[#This Row],[Winter Clothes Children]]+Table_NFI[[#This Row],[Winter Items Other]]+Table_NFI[[#This Row],[Winter Blanket]]&gt;0,1,0)</f>
        <v>0</v>
      </c>
      <c r="AN578" s="439">
        <f>IF(NFI_Expiration=1,IF($A578&lt;VLOOKUP(V$5,NFI,5,0),1,0)*Table_NFI[[#This Row],[Jerry Can]],Table_NFI[Jerry Can])</f>
        <v>0</v>
      </c>
      <c r="AO578" s="771" t="str">
        <f>IFERROR(VLOOKUP(Table_NFI[[#This Row],[Camp Name]],CL,2,0),"")</f>
        <v>MMR001CMP046</v>
      </c>
      <c r="AP578" s="772">
        <f ca="1">IF(Table_NFI[[#This Row],[Pcode]]="","",IF(OFFSET(CampList[Opening Date],MATCH(Table_NFI[[#This Row],[Pcode]],CampList[CP_Pcode],0)-1,0,1,1)&gt;=NFI_Monitor_Date,1,0))</f>
        <v>0</v>
      </c>
      <c r="AQ578" s="781" t="str">
        <f>IFERROR(VLOOKUP(Table_NFI[[#This Row],[Camp Name]],CL,3,0),"")</f>
        <v>Closed</v>
      </c>
      <c r="AR578" s="439" t="str">
        <f ca="1">IF(Table_NFI[[#This Row],[Pcode]]="","",OFFSET(CampList[Priority],MATCH(Table_NFI[[#This Row],[Pcode]],CampList[CP_Pcode],0)-1,0,1,1))</f>
        <v>P1</v>
      </c>
      <c r="AS578" s="438" t="str">
        <f>IFERROR(Table_NFI[[#This Row],[Kitchen Set]]/VLOOKUP(Table_NFI[[#This Row],[Camp Name]],CL,4,0),"")</f>
        <v/>
      </c>
      <c r="AT578" s="769" t="s">
        <v>1099</v>
      </c>
      <c r="AU578" s="773"/>
    </row>
    <row r="579" spans="1:47" x14ac:dyDescent="0.25">
      <c r="A579" s="451">
        <f t="shared" si="8"/>
        <v>34.666666666666664</v>
      </c>
      <c r="B579" s="768">
        <v>41330</v>
      </c>
      <c r="C579" s="769" t="s">
        <v>907</v>
      </c>
      <c r="D579" s="770" t="s">
        <v>907</v>
      </c>
      <c r="E579" s="769" t="s">
        <v>380</v>
      </c>
      <c r="F579" s="769" t="s">
        <v>310</v>
      </c>
      <c r="G579" s="435" t="s">
        <v>313</v>
      </c>
      <c r="H579" s="436"/>
      <c r="I579" s="436"/>
      <c r="J579" s="436"/>
      <c r="K579" s="436"/>
      <c r="L579" s="437">
        <v>1</v>
      </c>
      <c r="M579" s="437"/>
      <c r="N579" s="437"/>
      <c r="O579" s="437"/>
      <c r="P579" s="437">
        <v>0</v>
      </c>
      <c r="Q579" s="437">
        <v>0</v>
      </c>
      <c r="R579" s="436"/>
      <c r="S579" s="436"/>
      <c r="T579" s="436"/>
      <c r="U579" s="436"/>
      <c r="V579" s="436"/>
      <c r="W579" s="436"/>
      <c r="X579" s="436"/>
      <c r="Y579" s="436">
        <f>IF(NFI_Expiration=1,IF($A579&lt;VLOOKUP(H$5,NFI,5,0),1,0)*Table_NFI[[#This Row],[Hygiene Kit]],Table_NFI[Hygiene Kit])</f>
        <v>0</v>
      </c>
      <c r="Z579" s="436">
        <f>IF(NFI_Expiration=1,IF($A579&lt;VLOOKUP(I$5,NFI,5,0),1,0)*Table_NFI[[#This Row],[NFI Core Kit]],Table_NFI[NFI Core Kit])</f>
        <v>0</v>
      </c>
      <c r="AA579" s="436">
        <f>IF(NFI_Expiration=1,IF($A579&lt;VLOOKUP(J$5,NFI,5,0),1,0)*Table_NFI[[#This Row],[Sanitary Kit]],Table_NFI[Sanitary Kit])</f>
        <v>0</v>
      </c>
      <c r="AB579" s="436">
        <f>IF(NFI_Expiration=1,IF($A579&lt;VLOOKUP(K$5,NFI,5,0),1,0)*Table_NFI[[#This Row],[Mosquito net]],Table_NFI[Mosquito net])</f>
        <v>0</v>
      </c>
      <c r="AC579" s="436">
        <f>IF(NFI_Expiration=1,IF($A579&lt;VLOOKUP(L$5,NFI,5,0),1,0)*Table_NFI[[#This Row],[Tarpaulin]],Table_NFI[[#This Row],[Tarpaulin]])</f>
        <v>0</v>
      </c>
      <c r="AD579" s="436">
        <f>IF(NFI_Expiration=1,IF($A579&lt;VLOOKUP(M$5,NFI,5,0),1,0)*Table_NFI[[#This Row],[Blanket]],Table_NFI[[#This Row],[Blanket]])</f>
        <v>0</v>
      </c>
      <c r="AE579" s="436">
        <f>IF(NFI_Expiration=1,IF($A579&lt;VLOOKUP(N$5,NFI,5,0),1,0)*Table_NFI[[#This Row],[Kitchen Set]],Table_NFI[Kitchen Set])</f>
        <v>0</v>
      </c>
      <c r="AF579" s="436">
        <f>IF(NFI_Expiration=1,IF($A579&lt;VLOOKUP(O$5,NFI,5,0),1,0)*Table_NFI[[#This Row],[Clothes Kit]],Table_NFI[Clothes Kit])</f>
        <v>0</v>
      </c>
      <c r="AG579" s="436">
        <f>IF(NFI_Expiration=1,IF($A579&lt;VLOOKUP(P$5,NFI,5,0),1,0)*Table_NFI[[#This Row],[Plastic Bucket]],Table_NFI[Plastic Bucket])</f>
        <v>0</v>
      </c>
      <c r="AH579" s="436">
        <f>IF(NFI_Expiration=1,IF($A579&lt;VLOOKUP(Q$5,NFI,5,0),1,0)*Table_NFI[[#This Row],[Plastic Mat]],Table_NFI[Plastic Mat])*IF(Table_NFI[[#This Row],[Distribution Date]]&gt;"2014-04-01",1,2.5)</f>
        <v>0</v>
      </c>
      <c r="AI579" s="436">
        <f>IF(NFI_Expiration=1,IF($A579&lt;VLOOKUP(R$5,NFI,5,0),1,0)*Table_NFI[[#This Row],[Winter Clothes Adult]],Table_NFI[Winter Clothes Adult])</f>
        <v>0</v>
      </c>
      <c r="AJ579" s="436">
        <f>IF(NFI_Expiration=1,IF($A579&lt;VLOOKUP(S$5,NFI,5,0),1,0)*Table_NFI[[#This Row],[Winter Clothes Children]],Table_NFI[Winter Clothes Children])</f>
        <v>0</v>
      </c>
      <c r="AK579" s="436">
        <f>IF(NFI_Expiration=1,IF($A579&lt;VLOOKUP(T$5,NFI,5,0),1,0)*Table_NFI[[#This Row],[Winter Items Other]],Table_NFI[Winter Items Other])</f>
        <v>0</v>
      </c>
      <c r="AL579" s="436">
        <f>IF(NFI_Expiration=1,IF($A579&lt;VLOOKUP(M$5,NFI,5,0),1,0)*Table_NFI[[#This Row],[Winter Blanket]],Table_NFI[[#This Row],[Winter Blanket]])</f>
        <v>0</v>
      </c>
      <c r="AM579" s="436">
        <f>IF(Table_NFI[[#This Row],[Winter Clothes Adult]]+Table_NFI[[#This Row],[Winter Clothes Children]]+Table_NFI[[#This Row],[Winter Items Other]]+Table_NFI[[#This Row],[Winter Blanket]]&gt;0,1,0)</f>
        <v>0</v>
      </c>
      <c r="AN579" s="439">
        <f>IF(NFI_Expiration=1,IF($A579&lt;VLOOKUP(V$5,NFI,5,0),1,0)*Table_NFI[[#This Row],[Jerry Can]],Table_NFI[Jerry Can])</f>
        <v>0</v>
      </c>
      <c r="AO579" s="771" t="str">
        <f>IFERROR(VLOOKUP(Table_NFI[[#This Row],[Camp Name]],CL,2,0),"")</f>
        <v>MMR001CMP028</v>
      </c>
      <c r="AP579" s="772">
        <f ca="1">IF(Table_NFI[[#This Row],[Pcode]]="","",IF(OFFSET(CampList[Opening Date],MATCH(Table_NFI[[#This Row],[Pcode]],CampList[CP_Pcode],0)-1,0,1,1)&gt;=NFI_Monitor_Date,1,0))</f>
        <v>0</v>
      </c>
      <c r="AQ579" s="771" t="str">
        <f>IFERROR(VLOOKUP(Table_NFI[[#This Row],[Camp Name]],CL,3,0),"")</f>
        <v>Open</v>
      </c>
      <c r="AR579" s="436" t="str">
        <f ca="1">IF(Table_NFI[[#This Row],[Pcode]]="","",OFFSET(CampList[Priority],MATCH(Table_NFI[[#This Row],[Pcode]],CampList[CP_Pcode],0)-1,0,1,1))</f>
        <v>P4</v>
      </c>
      <c r="AS579" s="438">
        <f>IFERROR(Table_NFI[[#This Row],[Kitchen Set]]/VLOOKUP(Table_NFI[[#This Row],[Camp Name]],CL,4,0),"")</f>
        <v>0</v>
      </c>
      <c r="AT579" s="769" t="s">
        <v>1099</v>
      </c>
      <c r="AU579" s="773"/>
    </row>
    <row r="580" spans="1:47" x14ac:dyDescent="0.25">
      <c r="A580" s="451">
        <f t="shared" si="8"/>
        <v>34.666666666666664</v>
      </c>
      <c r="B580" s="768">
        <v>41330</v>
      </c>
      <c r="C580" s="769" t="s">
        <v>454</v>
      </c>
      <c r="D580" s="770" t="s">
        <v>911</v>
      </c>
      <c r="E580" s="769" t="s">
        <v>380</v>
      </c>
      <c r="F580" s="435" t="s">
        <v>27</v>
      </c>
      <c r="G580" s="435" t="s">
        <v>364</v>
      </c>
      <c r="H580" s="436"/>
      <c r="I580" s="436"/>
      <c r="J580" s="436">
        <v>11</v>
      </c>
      <c r="K580" s="436">
        <v>17</v>
      </c>
      <c r="L580" s="437">
        <v>7</v>
      </c>
      <c r="M580" s="437">
        <v>17</v>
      </c>
      <c r="N580" s="437">
        <v>7</v>
      </c>
      <c r="O580" s="437">
        <v>7</v>
      </c>
      <c r="P580" s="437">
        <v>7</v>
      </c>
      <c r="Q580" s="437">
        <v>7</v>
      </c>
      <c r="R580" s="436"/>
      <c r="S580" s="436"/>
      <c r="T580" s="436"/>
      <c r="U580" s="436"/>
      <c r="V580" s="436"/>
      <c r="W580" s="436"/>
      <c r="X580" s="436"/>
      <c r="Y580" s="436">
        <f>IF(NFI_Expiration=1,IF($A580&lt;VLOOKUP(H$5,NFI,5,0),1,0)*Table_NFI[[#This Row],[Hygiene Kit]],Table_NFI[Hygiene Kit])</f>
        <v>0</v>
      </c>
      <c r="Z580" s="436">
        <f>IF(NFI_Expiration=1,IF($A580&lt;VLOOKUP(I$5,NFI,5,0),1,0)*Table_NFI[[#This Row],[NFI Core Kit]],Table_NFI[NFI Core Kit])</f>
        <v>0</v>
      </c>
      <c r="AA580" s="436">
        <f>IF(NFI_Expiration=1,IF($A580&lt;VLOOKUP(J$5,NFI,5,0),1,0)*Table_NFI[[#This Row],[Sanitary Kit]],Table_NFI[Sanitary Kit])</f>
        <v>0</v>
      </c>
      <c r="AB580" s="436">
        <f>IF(NFI_Expiration=1,IF($A580&lt;VLOOKUP(K$5,NFI,5,0),1,0)*Table_NFI[[#This Row],[Mosquito net]],Table_NFI[Mosquito net])</f>
        <v>0</v>
      </c>
      <c r="AC580" s="436">
        <f>IF(NFI_Expiration=1,IF($A580&lt;VLOOKUP(L$5,NFI,5,0),1,0)*Table_NFI[[#This Row],[Tarpaulin]],Table_NFI[[#This Row],[Tarpaulin]])</f>
        <v>0</v>
      </c>
      <c r="AD580" s="436">
        <f>IF(NFI_Expiration=1,IF($A580&lt;VLOOKUP(M$5,NFI,5,0),1,0)*Table_NFI[[#This Row],[Blanket]],Table_NFI[[#This Row],[Blanket]])</f>
        <v>0</v>
      </c>
      <c r="AE580" s="436">
        <f>IF(NFI_Expiration=1,IF($A580&lt;VLOOKUP(N$5,NFI,5,0),1,0)*Table_NFI[[#This Row],[Kitchen Set]],Table_NFI[Kitchen Set])</f>
        <v>0</v>
      </c>
      <c r="AF580" s="436">
        <f>IF(NFI_Expiration=1,IF($A580&lt;VLOOKUP(O$5,NFI,5,0),1,0)*Table_NFI[[#This Row],[Clothes Kit]],Table_NFI[Clothes Kit])</f>
        <v>0</v>
      </c>
      <c r="AG580" s="436">
        <f>IF(NFI_Expiration=1,IF($A580&lt;VLOOKUP(P$5,NFI,5,0),1,0)*Table_NFI[[#This Row],[Plastic Bucket]],Table_NFI[Plastic Bucket])</f>
        <v>0</v>
      </c>
      <c r="AH580" s="436">
        <f>IF(NFI_Expiration=1,IF($A580&lt;VLOOKUP(Q$5,NFI,5,0),1,0)*Table_NFI[[#This Row],[Plastic Mat]],Table_NFI[Plastic Mat])*IF(Table_NFI[[#This Row],[Distribution Date]]&gt;"2014-04-01",1,2.5)</f>
        <v>0</v>
      </c>
      <c r="AI580" s="436">
        <f>IF(NFI_Expiration=1,IF($A580&lt;VLOOKUP(R$5,NFI,5,0),1,0)*Table_NFI[[#This Row],[Winter Clothes Adult]],Table_NFI[Winter Clothes Adult])</f>
        <v>0</v>
      </c>
      <c r="AJ580" s="436">
        <f>IF(NFI_Expiration=1,IF($A580&lt;VLOOKUP(S$5,NFI,5,0),1,0)*Table_NFI[[#This Row],[Winter Clothes Children]],Table_NFI[Winter Clothes Children])</f>
        <v>0</v>
      </c>
      <c r="AK580" s="436">
        <f>IF(NFI_Expiration=1,IF($A580&lt;VLOOKUP(T$5,NFI,5,0),1,0)*Table_NFI[[#This Row],[Winter Items Other]],Table_NFI[Winter Items Other])</f>
        <v>0</v>
      </c>
      <c r="AL580" s="436">
        <f>IF(NFI_Expiration=1,IF($A580&lt;VLOOKUP(M$5,NFI,5,0),1,0)*Table_NFI[[#This Row],[Winter Blanket]],Table_NFI[[#This Row],[Winter Blanket]])</f>
        <v>0</v>
      </c>
      <c r="AM580" s="436">
        <f>IF(Table_NFI[[#This Row],[Winter Clothes Adult]]+Table_NFI[[#This Row],[Winter Clothes Children]]+Table_NFI[[#This Row],[Winter Items Other]]+Table_NFI[[#This Row],[Winter Blanket]]&gt;0,1,0)</f>
        <v>0</v>
      </c>
      <c r="AN580" s="439">
        <f>IF(NFI_Expiration=1,IF($A580&lt;VLOOKUP(V$5,NFI,5,0),1,0)*Table_NFI[[#This Row],[Jerry Can]],Table_NFI[Jerry Can])</f>
        <v>0</v>
      </c>
      <c r="AO580" s="771" t="str">
        <f>IFERROR(VLOOKUP(Table_NFI[[#This Row],[Camp Name]],CL,2,0),"")</f>
        <v>MMR001CMP043</v>
      </c>
      <c r="AP580" s="772">
        <f ca="1">IF(Table_NFI[[#This Row],[Pcode]]="","",IF(OFFSET(CampList[Opening Date],MATCH(Table_NFI[[#This Row],[Pcode]],CampList[CP_Pcode],0)-1,0,1,1)&gt;=NFI_Monitor_Date,1,0))</f>
        <v>0</v>
      </c>
      <c r="AQ580" s="781" t="str">
        <f>IFERROR(VLOOKUP(Table_NFI[[#This Row],[Camp Name]],CL,3,0),"")</f>
        <v>Open</v>
      </c>
      <c r="AR580" s="439" t="str">
        <f ca="1">IF(Table_NFI[[#This Row],[Pcode]]="","",OFFSET(CampList[Priority],MATCH(Table_NFI[[#This Row],[Pcode]],CampList[CP_Pcode],0)-1,0,1,1))</f>
        <v>P1</v>
      </c>
      <c r="AS580" s="438">
        <f>IFERROR(Table_NFI[[#This Row],[Kitchen Set]]/VLOOKUP(Table_NFI[[#This Row],[Camp Name]],CL,4,0),"")</f>
        <v>4.5454545454545456E-2</v>
      </c>
      <c r="AT580" s="769" t="s">
        <v>1099</v>
      </c>
      <c r="AU580" s="773"/>
    </row>
    <row r="581" spans="1:47" x14ac:dyDescent="0.25">
      <c r="A581" s="451">
        <f t="shared" si="8"/>
        <v>34.666666666666664</v>
      </c>
      <c r="B581" s="768">
        <v>41330</v>
      </c>
      <c r="C581" s="769" t="s">
        <v>454</v>
      </c>
      <c r="D581" s="770" t="s">
        <v>911</v>
      </c>
      <c r="E581" s="769" t="s">
        <v>380</v>
      </c>
      <c r="F581" s="435" t="s">
        <v>27</v>
      </c>
      <c r="G581" s="435" t="s">
        <v>34</v>
      </c>
      <c r="H581" s="436"/>
      <c r="I581" s="436"/>
      <c r="J581" s="436">
        <v>11</v>
      </c>
      <c r="K581" s="436">
        <v>17</v>
      </c>
      <c r="L581" s="437">
        <v>7</v>
      </c>
      <c r="M581" s="437">
        <v>17</v>
      </c>
      <c r="N581" s="437">
        <v>7</v>
      </c>
      <c r="O581" s="437">
        <v>7</v>
      </c>
      <c r="P581" s="437">
        <v>7</v>
      </c>
      <c r="Q581" s="437">
        <v>7</v>
      </c>
      <c r="R581" s="436"/>
      <c r="S581" s="436"/>
      <c r="T581" s="436"/>
      <c r="U581" s="436"/>
      <c r="V581" s="436"/>
      <c r="W581" s="436"/>
      <c r="X581" s="436"/>
      <c r="Y581" s="436">
        <f>IF(NFI_Expiration=1,IF($A581&lt;VLOOKUP(H$5,NFI,5,0),1,0)*Table_NFI[[#This Row],[Hygiene Kit]],Table_NFI[Hygiene Kit])</f>
        <v>0</v>
      </c>
      <c r="Z581" s="436">
        <f>IF(NFI_Expiration=1,IF($A581&lt;VLOOKUP(I$5,NFI,5,0),1,0)*Table_NFI[[#This Row],[NFI Core Kit]],Table_NFI[NFI Core Kit])</f>
        <v>0</v>
      </c>
      <c r="AA581" s="436">
        <f>IF(NFI_Expiration=1,IF($A581&lt;VLOOKUP(J$5,NFI,5,0),1,0)*Table_NFI[[#This Row],[Sanitary Kit]],Table_NFI[Sanitary Kit])</f>
        <v>0</v>
      </c>
      <c r="AB581" s="436">
        <f>IF(NFI_Expiration=1,IF($A581&lt;VLOOKUP(K$5,NFI,5,0),1,0)*Table_NFI[[#This Row],[Mosquito net]],Table_NFI[Mosquito net])</f>
        <v>0</v>
      </c>
      <c r="AC581" s="436">
        <f>IF(NFI_Expiration=1,IF($A581&lt;VLOOKUP(L$5,NFI,5,0),1,0)*Table_NFI[[#This Row],[Tarpaulin]],Table_NFI[[#This Row],[Tarpaulin]])</f>
        <v>0</v>
      </c>
      <c r="AD581" s="436">
        <f>IF(NFI_Expiration=1,IF($A581&lt;VLOOKUP(M$5,NFI,5,0),1,0)*Table_NFI[[#This Row],[Blanket]],Table_NFI[[#This Row],[Blanket]])</f>
        <v>0</v>
      </c>
      <c r="AE581" s="436">
        <f>IF(NFI_Expiration=1,IF($A581&lt;VLOOKUP(N$5,NFI,5,0),1,0)*Table_NFI[[#This Row],[Kitchen Set]],Table_NFI[Kitchen Set])</f>
        <v>0</v>
      </c>
      <c r="AF581" s="436">
        <f>IF(NFI_Expiration=1,IF($A581&lt;VLOOKUP(O$5,NFI,5,0),1,0)*Table_NFI[[#This Row],[Clothes Kit]],Table_NFI[Clothes Kit])</f>
        <v>0</v>
      </c>
      <c r="AG581" s="436">
        <f>IF(NFI_Expiration=1,IF($A581&lt;VLOOKUP(P$5,NFI,5,0),1,0)*Table_NFI[[#This Row],[Plastic Bucket]],Table_NFI[Plastic Bucket])</f>
        <v>0</v>
      </c>
      <c r="AH581" s="436">
        <f>IF(NFI_Expiration=1,IF($A581&lt;VLOOKUP(Q$5,NFI,5,0),1,0)*Table_NFI[[#This Row],[Plastic Mat]],Table_NFI[Plastic Mat])*IF(Table_NFI[[#This Row],[Distribution Date]]&gt;"2014-04-01",1,2.5)</f>
        <v>0</v>
      </c>
      <c r="AI581" s="436">
        <f>IF(NFI_Expiration=1,IF($A581&lt;VLOOKUP(R$5,NFI,5,0),1,0)*Table_NFI[[#This Row],[Winter Clothes Adult]],Table_NFI[Winter Clothes Adult])</f>
        <v>0</v>
      </c>
      <c r="AJ581" s="436">
        <f>IF(NFI_Expiration=1,IF($A581&lt;VLOOKUP(S$5,NFI,5,0),1,0)*Table_NFI[[#This Row],[Winter Clothes Children]],Table_NFI[Winter Clothes Children])</f>
        <v>0</v>
      </c>
      <c r="AK581" s="436">
        <f>IF(NFI_Expiration=1,IF($A581&lt;VLOOKUP(T$5,NFI,5,0),1,0)*Table_NFI[[#This Row],[Winter Items Other]],Table_NFI[Winter Items Other])</f>
        <v>0</v>
      </c>
      <c r="AL581" s="436">
        <f>IF(NFI_Expiration=1,IF($A581&lt;VLOOKUP(M$5,NFI,5,0),1,0)*Table_NFI[[#This Row],[Winter Blanket]],Table_NFI[[#This Row],[Winter Blanket]])</f>
        <v>0</v>
      </c>
      <c r="AM581" s="436">
        <f>IF(Table_NFI[[#This Row],[Winter Clothes Adult]]+Table_NFI[[#This Row],[Winter Clothes Children]]+Table_NFI[[#This Row],[Winter Items Other]]+Table_NFI[[#This Row],[Winter Blanket]]&gt;0,1,0)</f>
        <v>0</v>
      </c>
      <c r="AN581" s="439">
        <f>IF(NFI_Expiration=1,IF($A581&lt;VLOOKUP(V$5,NFI,5,0),1,0)*Table_NFI[[#This Row],[Jerry Can]],Table_NFI[Jerry Can])</f>
        <v>0</v>
      </c>
      <c r="AO581" s="771" t="str">
        <f>IFERROR(VLOOKUP(Table_NFI[[#This Row],[Camp Name]],CL,2,0),"")</f>
        <v>MMR001CMP045</v>
      </c>
      <c r="AP581" s="772">
        <f ca="1">IF(Table_NFI[[#This Row],[Pcode]]="","",IF(OFFSET(CampList[Opening Date],MATCH(Table_NFI[[#This Row],[Pcode]],CampList[CP_Pcode],0)-1,0,1,1)&gt;=NFI_Monitor_Date,1,0))</f>
        <v>0</v>
      </c>
      <c r="AQ581" s="781" t="str">
        <f>IFERROR(VLOOKUP(Table_NFI[[#This Row],[Camp Name]],CL,3,0),"")</f>
        <v>Open</v>
      </c>
      <c r="AR581" s="439" t="str">
        <f ca="1">IF(Table_NFI[[#This Row],[Pcode]]="","",OFFSET(CampList[Priority],MATCH(Table_NFI[[#This Row],[Pcode]],CampList[CP_Pcode],0)-1,0,1,1))</f>
        <v>P1</v>
      </c>
      <c r="AS581" s="438" t="str">
        <f>IFERROR(Table_NFI[[#This Row],[Kitchen Set]]/VLOOKUP(Table_NFI[[#This Row],[Camp Name]],CL,4,0),"")</f>
        <v/>
      </c>
      <c r="AT581" s="769" t="s">
        <v>1099</v>
      </c>
      <c r="AU581" s="773"/>
    </row>
    <row r="582" spans="1:47" x14ac:dyDescent="0.25">
      <c r="A582" s="451">
        <f t="shared" ref="A582:A645" si="9">IF(ISBLANK(B582),"",(Report_Date-B582)/30)</f>
        <v>34.666666666666664</v>
      </c>
      <c r="B582" s="768">
        <v>41330</v>
      </c>
      <c r="C582" s="769" t="s">
        <v>454</v>
      </c>
      <c r="D582" s="769" t="s">
        <v>911</v>
      </c>
      <c r="E582" s="769" t="s">
        <v>380</v>
      </c>
      <c r="F582" s="435" t="s">
        <v>27</v>
      </c>
      <c r="G582" s="435" t="s">
        <v>365</v>
      </c>
      <c r="H582" s="436"/>
      <c r="I582" s="436"/>
      <c r="J582" s="436">
        <v>12</v>
      </c>
      <c r="K582" s="436">
        <v>17</v>
      </c>
      <c r="L582" s="437">
        <v>7</v>
      </c>
      <c r="M582" s="437">
        <v>17</v>
      </c>
      <c r="N582" s="437">
        <v>7</v>
      </c>
      <c r="O582" s="437">
        <v>7</v>
      </c>
      <c r="P582" s="439">
        <v>7</v>
      </c>
      <c r="Q582" s="439">
        <v>7</v>
      </c>
      <c r="R582" s="436"/>
      <c r="S582" s="436"/>
      <c r="T582" s="436"/>
      <c r="U582" s="436"/>
      <c r="V582" s="436"/>
      <c r="W582" s="436"/>
      <c r="X582" s="436"/>
      <c r="Y582" s="436">
        <f>IF(NFI_Expiration=1,IF($A582&lt;VLOOKUP(H$5,NFI,5,0),1,0)*Table_NFI[[#This Row],[Hygiene Kit]],Table_NFI[Hygiene Kit])</f>
        <v>0</v>
      </c>
      <c r="Z582" s="436">
        <f>IF(NFI_Expiration=1,IF($A582&lt;VLOOKUP(I$5,NFI,5,0),1,0)*Table_NFI[[#This Row],[NFI Core Kit]],Table_NFI[NFI Core Kit])</f>
        <v>0</v>
      </c>
      <c r="AA582" s="436">
        <f>IF(NFI_Expiration=1,IF($A582&lt;VLOOKUP(J$5,NFI,5,0),1,0)*Table_NFI[[#This Row],[Sanitary Kit]],Table_NFI[Sanitary Kit])</f>
        <v>0</v>
      </c>
      <c r="AB582" s="436">
        <f>IF(NFI_Expiration=1,IF($A582&lt;VLOOKUP(K$5,NFI,5,0),1,0)*Table_NFI[[#This Row],[Mosquito net]],Table_NFI[Mosquito net])</f>
        <v>0</v>
      </c>
      <c r="AC582" s="436">
        <f>IF(NFI_Expiration=1,IF($A582&lt;VLOOKUP(L$5,NFI,5,0),1,0)*Table_NFI[[#This Row],[Tarpaulin]],Table_NFI[[#This Row],[Tarpaulin]])</f>
        <v>0</v>
      </c>
      <c r="AD582" s="436">
        <f>IF(NFI_Expiration=1,IF($A582&lt;VLOOKUP(M$5,NFI,5,0),1,0)*Table_NFI[[#This Row],[Blanket]],Table_NFI[[#This Row],[Blanket]])</f>
        <v>0</v>
      </c>
      <c r="AE582" s="436">
        <f>IF(NFI_Expiration=1,IF($A582&lt;VLOOKUP(N$5,NFI,5,0),1,0)*Table_NFI[[#This Row],[Kitchen Set]],Table_NFI[Kitchen Set])</f>
        <v>0</v>
      </c>
      <c r="AF582" s="436">
        <f>IF(NFI_Expiration=1,IF($A582&lt;VLOOKUP(O$5,NFI,5,0),1,0)*Table_NFI[[#This Row],[Clothes Kit]],Table_NFI[Clothes Kit])</f>
        <v>0</v>
      </c>
      <c r="AG582" s="436">
        <f>IF(NFI_Expiration=1,IF($A582&lt;VLOOKUP(P$5,NFI,5,0),1,0)*Table_NFI[[#This Row],[Plastic Bucket]],Table_NFI[Plastic Bucket])</f>
        <v>0</v>
      </c>
      <c r="AH582" s="436">
        <f>IF(NFI_Expiration=1,IF($A582&lt;VLOOKUP(Q$5,NFI,5,0),1,0)*Table_NFI[[#This Row],[Plastic Mat]],Table_NFI[Plastic Mat])*IF(Table_NFI[[#This Row],[Distribution Date]]&gt;"2014-04-01",1,2.5)</f>
        <v>0</v>
      </c>
      <c r="AI582" s="436">
        <f>IF(NFI_Expiration=1,IF($A582&lt;VLOOKUP(R$5,NFI,5,0),1,0)*Table_NFI[[#This Row],[Winter Clothes Adult]],Table_NFI[Winter Clothes Adult])</f>
        <v>0</v>
      </c>
      <c r="AJ582" s="436">
        <f>IF(NFI_Expiration=1,IF($A582&lt;VLOOKUP(S$5,NFI,5,0),1,0)*Table_NFI[[#This Row],[Winter Clothes Children]],Table_NFI[Winter Clothes Children])</f>
        <v>0</v>
      </c>
      <c r="AK582" s="436">
        <f>IF(NFI_Expiration=1,IF($A582&lt;VLOOKUP(T$5,NFI,5,0),1,0)*Table_NFI[[#This Row],[Winter Items Other]],Table_NFI[Winter Items Other])</f>
        <v>0</v>
      </c>
      <c r="AL582" s="436">
        <f>IF(NFI_Expiration=1,IF($A582&lt;VLOOKUP(M$5,NFI,5,0),1,0)*Table_NFI[[#This Row],[Winter Blanket]],Table_NFI[[#This Row],[Winter Blanket]])</f>
        <v>0</v>
      </c>
      <c r="AM582" s="436">
        <f>IF(Table_NFI[[#This Row],[Winter Clothes Adult]]+Table_NFI[[#This Row],[Winter Clothes Children]]+Table_NFI[[#This Row],[Winter Items Other]]+Table_NFI[[#This Row],[Winter Blanket]]&gt;0,1,0)</f>
        <v>0</v>
      </c>
      <c r="AN582" s="439">
        <f>IF(NFI_Expiration=1,IF($A582&lt;VLOOKUP(V$5,NFI,5,0),1,0)*Table_NFI[[#This Row],[Jerry Can]],Table_NFI[Jerry Can])</f>
        <v>0</v>
      </c>
      <c r="AO582" s="771" t="str">
        <f>IFERROR(VLOOKUP(Table_NFI[[#This Row],[Camp Name]],CL,2,0),"")</f>
        <v>MMR001CMP195</v>
      </c>
      <c r="AP582" s="772">
        <f ca="1">IF(Table_NFI[[#This Row],[Pcode]]="","",IF(OFFSET(CampList[Opening Date],MATCH(Table_NFI[[#This Row],[Pcode]],CampList[CP_Pcode],0)-1,0,1,1)&gt;=NFI_Monitor_Date,1,0))</f>
        <v>0</v>
      </c>
      <c r="AQ582" s="781" t="str">
        <f>IFERROR(VLOOKUP(Table_NFI[[#This Row],[Camp Name]],CL,3,0),"")</f>
        <v>Open</v>
      </c>
      <c r="AR582" s="439" t="str">
        <f ca="1">IF(Table_NFI[[#This Row],[Pcode]]="","",OFFSET(CampList[Priority],MATCH(Table_NFI[[#This Row],[Pcode]],CampList[CP_Pcode],0)-1,0,1,1))</f>
        <v>P1</v>
      </c>
      <c r="AS582" s="438">
        <f>IFERROR(Table_NFI[[#This Row],[Kitchen Set]]/VLOOKUP(Table_NFI[[#This Row],[Camp Name]],CL,4,0),"")</f>
        <v>4.8611111111111112E-2</v>
      </c>
      <c r="AT582" s="769" t="s">
        <v>1099</v>
      </c>
      <c r="AU582" s="773"/>
    </row>
    <row r="583" spans="1:47" x14ac:dyDescent="0.25">
      <c r="A583" s="451">
        <f t="shared" si="9"/>
        <v>34.666666666666664</v>
      </c>
      <c r="B583" s="768">
        <v>41330</v>
      </c>
      <c r="C583" s="769" t="s">
        <v>907</v>
      </c>
      <c r="D583" s="770" t="s">
        <v>907</v>
      </c>
      <c r="E583" s="769" t="s">
        <v>380</v>
      </c>
      <c r="F583" s="435" t="s">
        <v>310</v>
      </c>
      <c r="G583" s="435" t="s">
        <v>324</v>
      </c>
      <c r="H583" s="436"/>
      <c r="I583" s="436"/>
      <c r="J583" s="436">
        <v>235</v>
      </c>
      <c r="K583" s="436"/>
      <c r="L583" s="437">
        <v>174</v>
      </c>
      <c r="M583" s="437"/>
      <c r="N583" s="437">
        <v>61</v>
      </c>
      <c r="O583" s="437"/>
      <c r="P583" s="437">
        <v>0</v>
      </c>
      <c r="Q583" s="437">
        <v>0</v>
      </c>
      <c r="R583" s="436"/>
      <c r="S583" s="436"/>
      <c r="T583" s="436"/>
      <c r="U583" s="436"/>
      <c r="V583" s="436"/>
      <c r="W583" s="436"/>
      <c r="X583" s="436"/>
      <c r="Y583" s="436">
        <f>IF(NFI_Expiration=1,IF($A583&lt;VLOOKUP(H$5,NFI,5,0),1,0)*Table_NFI[[#This Row],[Hygiene Kit]],Table_NFI[Hygiene Kit])</f>
        <v>0</v>
      </c>
      <c r="Z583" s="436">
        <f>IF(NFI_Expiration=1,IF($A583&lt;VLOOKUP(I$5,NFI,5,0),1,0)*Table_NFI[[#This Row],[NFI Core Kit]],Table_NFI[NFI Core Kit])</f>
        <v>0</v>
      </c>
      <c r="AA583" s="436">
        <f>IF(NFI_Expiration=1,IF($A583&lt;VLOOKUP(J$5,NFI,5,0),1,0)*Table_NFI[[#This Row],[Sanitary Kit]],Table_NFI[Sanitary Kit])</f>
        <v>0</v>
      </c>
      <c r="AB583" s="436">
        <f>IF(NFI_Expiration=1,IF($A583&lt;VLOOKUP(K$5,NFI,5,0),1,0)*Table_NFI[[#This Row],[Mosquito net]],Table_NFI[Mosquito net])</f>
        <v>0</v>
      </c>
      <c r="AC583" s="436">
        <f>IF(NFI_Expiration=1,IF($A583&lt;VLOOKUP(L$5,NFI,5,0),1,0)*Table_NFI[[#This Row],[Tarpaulin]],Table_NFI[[#This Row],[Tarpaulin]])</f>
        <v>0</v>
      </c>
      <c r="AD583" s="436">
        <f>IF(NFI_Expiration=1,IF($A583&lt;VLOOKUP(M$5,NFI,5,0),1,0)*Table_NFI[[#This Row],[Blanket]],Table_NFI[[#This Row],[Blanket]])</f>
        <v>0</v>
      </c>
      <c r="AE583" s="436">
        <f>IF(NFI_Expiration=1,IF($A583&lt;VLOOKUP(N$5,NFI,5,0),1,0)*Table_NFI[[#This Row],[Kitchen Set]],Table_NFI[Kitchen Set])</f>
        <v>0</v>
      </c>
      <c r="AF583" s="436">
        <f>IF(NFI_Expiration=1,IF($A583&lt;VLOOKUP(O$5,NFI,5,0),1,0)*Table_NFI[[#This Row],[Clothes Kit]],Table_NFI[Clothes Kit])</f>
        <v>0</v>
      </c>
      <c r="AG583" s="436">
        <f>IF(NFI_Expiration=1,IF($A583&lt;VLOOKUP(P$5,NFI,5,0),1,0)*Table_NFI[[#This Row],[Plastic Bucket]],Table_NFI[Plastic Bucket])</f>
        <v>0</v>
      </c>
      <c r="AH583" s="436">
        <f>IF(NFI_Expiration=1,IF($A583&lt;VLOOKUP(Q$5,NFI,5,0),1,0)*Table_NFI[[#This Row],[Plastic Mat]],Table_NFI[Plastic Mat])*IF(Table_NFI[[#This Row],[Distribution Date]]&gt;"2014-04-01",1,2.5)</f>
        <v>0</v>
      </c>
      <c r="AI583" s="436">
        <f>IF(NFI_Expiration=1,IF($A583&lt;VLOOKUP(R$5,NFI,5,0),1,0)*Table_NFI[[#This Row],[Winter Clothes Adult]],Table_NFI[Winter Clothes Adult])</f>
        <v>0</v>
      </c>
      <c r="AJ583" s="436">
        <f>IF(NFI_Expiration=1,IF($A583&lt;VLOOKUP(S$5,NFI,5,0),1,0)*Table_NFI[[#This Row],[Winter Clothes Children]],Table_NFI[Winter Clothes Children])</f>
        <v>0</v>
      </c>
      <c r="AK583" s="436">
        <f>IF(NFI_Expiration=1,IF($A583&lt;VLOOKUP(T$5,NFI,5,0),1,0)*Table_NFI[[#This Row],[Winter Items Other]],Table_NFI[Winter Items Other])</f>
        <v>0</v>
      </c>
      <c r="AL583" s="436">
        <f>IF(NFI_Expiration=1,IF($A583&lt;VLOOKUP(M$5,NFI,5,0),1,0)*Table_NFI[[#This Row],[Winter Blanket]],Table_NFI[[#This Row],[Winter Blanket]])</f>
        <v>0</v>
      </c>
      <c r="AM583" s="436">
        <f>IF(Table_NFI[[#This Row],[Winter Clothes Adult]]+Table_NFI[[#This Row],[Winter Clothes Children]]+Table_NFI[[#This Row],[Winter Items Other]]+Table_NFI[[#This Row],[Winter Blanket]]&gt;0,1,0)</f>
        <v>0</v>
      </c>
      <c r="AN583" s="439">
        <f>IF(NFI_Expiration=1,IF($A583&lt;VLOOKUP(V$5,NFI,5,0),1,0)*Table_NFI[[#This Row],[Jerry Can]],Table_NFI[Jerry Can])</f>
        <v>0</v>
      </c>
      <c r="AO583" s="771" t="str">
        <f>IFERROR(VLOOKUP(Table_NFI[[#This Row],[Camp Name]],CL,2,0),"")</f>
        <v>MMR001CMP040</v>
      </c>
      <c r="AP583" s="772">
        <f ca="1">IF(Table_NFI[[#This Row],[Pcode]]="","",IF(OFFSET(CampList[Opening Date],MATCH(Table_NFI[[#This Row],[Pcode]],CampList[CP_Pcode],0)-1,0,1,1)&gt;=NFI_Monitor_Date,1,0))</f>
        <v>0</v>
      </c>
      <c r="AQ583" s="771" t="str">
        <f>IFERROR(VLOOKUP(Table_NFI[[#This Row],[Camp Name]],CL,3,0),"")</f>
        <v>Open</v>
      </c>
      <c r="AR583" s="436" t="str">
        <f ca="1">IF(Table_NFI[[#This Row],[Pcode]]="","",OFFSET(CampList[Priority],MATCH(Table_NFI[[#This Row],[Pcode]],CampList[CP_Pcode],0)-1,0,1,1))</f>
        <v>P4</v>
      </c>
      <c r="AS583" s="438">
        <f>IFERROR(Table_NFI[[#This Row],[Kitchen Set]]/VLOOKUP(Table_NFI[[#This Row],[Camp Name]],CL,4,0),"")</f>
        <v>0.1425233644859813</v>
      </c>
      <c r="AT583" s="769" t="s">
        <v>1099</v>
      </c>
      <c r="AU583" s="773"/>
    </row>
    <row r="584" spans="1:47" x14ac:dyDescent="0.25">
      <c r="A584" s="451">
        <f t="shared" si="9"/>
        <v>34.666666666666664</v>
      </c>
      <c r="B584" s="768">
        <v>41330</v>
      </c>
      <c r="C584" s="769" t="s">
        <v>454</v>
      </c>
      <c r="D584" s="770" t="s">
        <v>911</v>
      </c>
      <c r="E584" s="769" t="s">
        <v>380</v>
      </c>
      <c r="F584" s="435" t="s">
        <v>27</v>
      </c>
      <c r="G584" s="435" t="s">
        <v>37</v>
      </c>
      <c r="H584" s="436"/>
      <c r="I584" s="436"/>
      <c r="J584" s="436">
        <v>12</v>
      </c>
      <c r="K584" s="436">
        <v>18</v>
      </c>
      <c r="L584" s="437">
        <v>8</v>
      </c>
      <c r="M584" s="437">
        <v>18</v>
      </c>
      <c r="N584" s="437">
        <v>8</v>
      </c>
      <c r="O584" s="437">
        <v>8</v>
      </c>
      <c r="P584" s="437">
        <v>8</v>
      </c>
      <c r="Q584" s="437">
        <v>8</v>
      </c>
      <c r="R584" s="436"/>
      <c r="S584" s="436"/>
      <c r="T584" s="436"/>
      <c r="U584" s="436"/>
      <c r="V584" s="436"/>
      <c r="W584" s="436"/>
      <c r="X584" s="436"/>
      <c r="Y584" s="436">
        <f>IF(NFI_Expiration=1,IF($A584&lt;VLOOKUP(H$5,NFI,5,0),1,0)*Table_NFI[[#This Row],[Hygiene Kit]],Table_NFI[Hygiene Kit])</f>
        <v>0</v>
      </c>
      <c r="Z584" s="436">
        <f>IF(NFI_Expiration=1,IF($A584&lt;VLOOKUP(I$5,NFI,5,0),1,0)*Table_NFI[[#This Row],[NFI Core Kit]],Table_NFI[NFI Core Kit])</f>
        <v>0</v>
      </c>
      <c r="AA584" s="436">
        <f>IF(NFI_Expiration=1,IF($A584&lt;VLOOKUP(J$5,NFI,5,0),1,0)*Table_NFI[[#This Row],[Sanitary Kit]],Table_NFI[Sanitary Kit])</f>
        <v>0</v>
      </c>
      <c r="AB584" s="436">
        <f>IF(NFI_Expiration=1,IF($A584&lt;VLOOKUP(K$5,NFI,5,0),1,0)*Table_NFI[[#This Row],[Mosquito net]],Table_NFI[Mosquito net])</f>
        <v>0</v>
      </c>
      <c r="AC584" s="436">
        <f>IF(NFI_Expiration=1,IF($A584&lt;VLOOKUP(L$5,NFI,5,0),1,0)*Table_NFI[[#This Row],[Tarpaulin]],Table_NFI[[#This Row],[Tarpaulin]])</f>
        <v>0</v>
      </c>
      <c r="AD584" s="436">
        <f>IF(NFI_Expiration=1,IF($A584&lt;VLOOKUP(M$5,NFI,5,0),1,0)*Table_NFI[[#This Row],[Blanket]],Table_NFI[[#This Row],[Blanket]])</f>
        <v>0</v>
      </c>
      <c r="AE584" s="436">
        <f>IF(NFI_Expiration=1,IF($A584&lt;VLOOKUP(N$5,NFI,5,0),1,0)*Table_NFI[[#This Row],[Kitchen Set]],Table_NFI[Kitchen Set])</f>
        <v>0</v>
      </c>
      <c r="AF584" s="436">
        <f>IF(NFI_Expiration=1,IF($A584&lt;VLOOKUP(O$5,NFI,5,0),1,0)*Table_NFI[[#This Row],[Clothes Kit]],Table_NFI[Clothes Kit])</f>
        <v>0</v>
      </c>
      <c r="AG584" s="436">
        <f>IF(NFI_Expiration=1,IF($A584&lt;VLOOKUP(P$5,NFI,5,0),1,0)*Table_NFI[[#This Row],[Plastic Bucket]],Table_NFI[Plastic Bucket])</f>
        <v>0</v>
      </c>
      <c r="AH584" s="436">
        <f>IF(NFI_Expiration=1,IF($A584&lt;VLOOKUP(Q$5,NFI,5,0),1,0)*Table_NFI[[#This Row],[Plastic Mat]],Table_NFI[Plastic Mat])*IF(Table_NFI[[#This Row],[Distribution Date]]&gt;"2014-04-01",1,2.5)</f>
        <v>0</v>
      </c>
      <c r="AI584" s="436">
        <f>IF(NFI_Expiration=1,IF($A584&lt;VLOOKUP(R$5,NFI,5,0),1,0)*Table_NFI[[#This Row],[Winter Clothes Adult]],Table_NFI[Winter Clothes Adult])</f>
        <v>0</v>
      </c>
      <c r="AJ584" s="436">
        <f>IF(NFI_Expiration=1,IF($A584&lt;VLOOKUP(S$5,NFI,5,0),1,0)*Table_NFI[[#This Row],[Winter Clothes Children]],Table_NFI[Winter Clothes Children])</f>
        <v>0</v>
      </c>
      <c r="AK584" s="436">
        <f>IF(NFI_Expiration=1,IF($A584&lt;VLOOKUP(T$5,NFI,5,0),1,0)*Table_NFI[[#This Row],[Winter Items Other]],Table_NFI[Winter Items Other])</f>
        <v>0</v>
      </c>
      <c r="AL584" s="436">
        <f>IF(NFI_Expiration=1,IF($A584&lt;VLOOKUP(M$5,NFI,5,0),1,0)*Table_NFI[[#This Row],[Winter Blanket]],Table_NFI[[#This Row],[Winter Blanket]])</f>
        <v>0</v>
      </c>
      <c r="AM584" s="436">
        <f>IF(Table_NFI[[#This Row],[Winter Clothes Adult]]+Table_NFI[[#This Row],[Winter Clothes Children]]+Table_NFI[[#This Row],[Winter Items Other]]+Table_NFI[[#This Row],[Winter Blanket]]&gt;0,1,0)</f>
        <v>0</v>
      </c>
      <c r="AN584" s="439">
        <f>IF(NFI_Expiration=1,IF($A584&lt;VLOOKUP(V$5,NFI,5,0),1,0)*Table_NFI[[#This Row],[Jerry Can]],Table_NFI[Jerry Can])</f>
        <v>0</v>
      </c>
      <c r="AO584" s="771" t="str">
        <f>IFERROR(VLOOKUP(Table_NFI[[#This Row],[Camp Name]],CL,2,0),"")</f>
        <v>MMR001CMP044</v>
      </c>
      <c r="AP584" s="772">
        <f ca="1">IF(Table_NFI[[#This Row],[Pcode]]="","",IF(OFFSET(CampList[Opening Date],MATCH(Table_NFI[[#This Row],[Pcode]],CampList[CP_Pcode],0)-1,0,1,1)&gt;=NFI_Monitor_Date,1,0))</f>
        <v>0</v>
      </c>
      <c r="AQ584" s="781" t="str">
        <f>IFERROR(VLOOKUP(Table_NFI[[#This Row],[Camp Name]],CL,3,0),"")</f>
        <v>Closed</v>
      </c>
      <c r="AR584" s="439" t="str">
        <f ca="1">IF(Table_NFI[[#This Row],[Pcode]]="","",OFFSET(CampList[Priority],MATCH(Table_NFI[[#This Row],[Pcode]],CampList[CP_Pcode],0)-1,0,1,1))</f>
        <v/>
      </c>
      <c r="AS584" s="438" t="str">
        <f>IFERROR(Table_NFI[[#This Row],[Kitchen Set]]/VLOOKUP(Table_NFI[[#This Row],[Camp Name]],CL,4,0),"")</f>
        <v/>
      </c>
      <c r="AT584" s="769" t="s">
        <v>1099</v>
      </c>
      <c r="AU584" s="773"/>
    </row>
    <row r="585" spans="1:47" x14ac:dyDescent="0.25">
      <c r="A585" s="451">
        <f t="shared" si="9"/>
        <v>34.833333333333336</v>
      </c>
      <c r="B585" s="768">
        <v>41325</v>
      </c>
      <c r="C585" s="769" t="s">
        <v>454</v>
      </c>
      <c r="D585" s="770" t="s">
        <v>454</v>
      </c>
      <c r="E585" s="769" t="s">
        <v>380</v>
      </c>
      <c r="F585" s="435" t="s">
        <v>529</v>
      </c>
      <c r="G585" s="435" t="s">
        <v>43</v>
      </c>
      <c r="H585" s="436"/>
      <c r="I585" s="436"/>
      <c r="J585" s="436"/>
      <c r="K585" s="436">
        <v>59</v>
      </c>
      <c r="L585" s="437">
        <v>28</v>
      </c>
      <c r="M585" s="437">
        <v>0</v>
      </c>
      <c r="N585" s="437">
        <v>28</v>
      </c>
      <c r="O585" s="437">
        <v>28</v>
      </c>
      <c r="P585" s="437">
        <v>28</v>
      </c>
      <c r="Q585" s="437">
        <v>28</v>
      </c>
      <c r="R585" s="436"/>
      <c r="S585" s="436"/>
      <c r="T585" s="436"/>
      <c r="U585" s="436"/>
      <c r="V585" s="436"/>
      <c r="W585" s="436"/>
      <c r="X585" s="436"/>
      <c r="Y585" s="436">
        <f>IF(NFI_Expiration=1,IF($A585&lt;VLOOKUP(H$5,NFI,5,0),1,0)*Table_NFI[[#This Row],[Hygiene Kit]],Table_NFI[Hygiene Kit])</f>
        <v>0</v>
      </c>
      <c r="Z585" s="436">
        <f>IF(NFI_Expiration=1,IF($A585&lt;VLOOKUP(I$5,NFI,5,0),1,0)*Table_NFI[[#This Row],[NFI Core Kit]],Table_NFI[NFI Core Kit])</f>
        <v>0</v>
      </c>
      <c r="AA585" s="436">
        <f>IF(NFI_Expiration=1,IF($A585&lt;VLOOKUP(J$5,NFI,5,0),1,0)*Table_NFI[[#This Row],[Sanitary Kit]],Table_NFI[Sanitary Kit])</f>
        <v>0</v>
      </c>
      <c r="AB585" s="436">
        <f>IF(NFI_Expiration=1,IF($A585&lt;VLOOKUP(K$5,NFI,5,0),1,0)*Table_NFI[[#This Row],[Mosquito net]],Table_NFI[Mosquito net])</f>
        <v>0</v>
      </c>
      <c r="AC585" s="436">
        <f>IF(NFI_Expiration=1,IF($A585&lt;VLOOKUP(L$5,NFI,5,0),1,0)*Table_NFI[[#This Row],[Tarpaulin]],Table_NFI[[#This Row],[Tarpaulin]])</f>
        <v>0</v>
      </c>
      <c r="AD585" s="436">
        <f>IF(NFI_Expiration=1,IF($A585&lt;VLOOKUP(M$5,NFI,5,0),1,0)*Table_NFI[[#This Row],[Blanket]],Table_NFI[[#This Row],[Blanket]])</f>
        <v>0</v>
      </c>
      <c r="AE585" s="436">
        <f>IF(NFI_Expiration=1,IF($A585&lt;VLOOKUP(N$5,NFI,5,0),1,0)*Table_NFI[[#This Row],[Kitchen Set]],Table_NFI[Kitchen Set])</f>
        <v>0</v>
      </c>
      <c r="AF585" s="436">
        <f>IF(NFI_Expiration=1,IF($A585&lt;VLOOKUP(O$5,NFI,5,0),1,0)*Table_NFI[[#This Row],[Clothes Kit]],Table_NFI[Clothes Kit])</f>
        <v>0</v>
      </c>
      <c r="AG585" s="436">
        <f>IF(NFI_Expiration=1,IF($A585&lt;VLOOKUP(P$5,NFI,5,0),1,0)*Table_NFI[[#This Row],[Plastic Bucket]],Table_NFI[Plastic Bucket])</f>
        <v>0</v>
      </c>
      <c r="AH585" s="436">
        <f>IF(NFI_Expiration=1,IF($A585&lt;VLOOKUP(Q$5,NFI,5,0),1,0)*Table_NFI[[#This Row],[Plastic Mat]],Table_NFI[Plastic Mat])*IF(Table_NFI[[#This Row],[Distribution Date]]&gt;"2014-04-01",1,2.5)</f>
        <v>0</v>
      </c>
      <c r="AI585" s="436">
        <f>IF(NFI_Expiration=1,IF($A585&lt;VLOOKUP(R$5,NFI,5,0),1,0)*Table_NFI[[#This Row],[Winter Clothes Adult]],Table_NFI[Winter Clothes Adult])</f>
        <v>0</v>
      </c>
      <c r="AJ585" s="436">
        <f>IF(NFI_Expiration=1,IF($A585&lt;VLOOKUP(S$5,NFI,5,0),1,0)*Table_NFI[[#This Row],[Winter Clothes Children]],Table_NFI[Winter Clothes Children])</f>
        <v>0</v>
      </c>
      <c r="AK585" s="436">
        <f>IF(NFI_Expiration=1,IF($A585&lt;VLOOKUP(T$5,NFI,5,0),1,0)*Table_NFI[[#This Row],[Winter Items Other]],Table_NFI[Winter Items Other])</f>
        <v>0</v>
      </c>
      <c r="AL585" s="436">
        <f>IF(NFI_Expiration=1,IF($A585&lt;VLOOKUP(M$5,NFI,5,0),1,0)*Table_NFI[[#This Row],[Winter Blanket]],Table_NFI[[#This Row],[Winter Blanket]])</f>
        <v>0</v>
      </c>
      <c r="AM585" s="436">
        <f>IF(Table_NFI[[#This Row],[Winter Clothes Adult]]+Table_NFI[[#This Row],[Winter Clothes Children]]+Table_NFI[[#This Row],[Winter Items Other]]+Table_NFI[[#This Row],[Winter Blanket]]&gt;0,1,0)</f>
        <v>0</v>
      </c>
      <c r="AN585" s="439">
        <f>IF(NFI_Expiration=1,IF($A585&lt;VLOOKUP(V$5,NFI,5,0),1,0)*Table_NFI[[#This Row],[Jerry Can]],Table_NFI[Jerry Can])</f>
        <v>0</v>
      </c>
      <c r="AO585" s="771" t="str">
        <f>IFERROR(VLOOKUP(Table_NFI[[#This Row],[Camp Name]],CL,2,0),"")</f>
        <v>MMR001CMP190</v>
      </c>
      <c r="AP585" s="772">
        <f ca="1">IF(Table_NFI[[#This Row],[Pcode]]="","",IF(OFFSET(CampList[Opening Date],MATCH(Table_NFI[[#This Row],[Pcode]],CampList[CP_Pcode],0)-1,0,1,1)&gt;=NFI_Monitor_Date,1,0))</f>
        <v>0</v>
      </c>
      <c r="AQ585" s="781" t="str">
        <f>IFERROR(VLOOKUP(Table_NFI[[#This Row],[Camp Name]],CL,3,0),"")</f>
        <v>Open</v>
      </c>
      <c r="AR585" s="439" t="str">
        <f ca="1">IF(Table_NFI[[#This Row],[Pcode]]="","",OFFSET(CampList[Priority],MATCH(Table_NFI[[#This Row],[Pcode]],CampList[CP_Pcode],0)-1,0,1,1))</f>
        <v>P4</v>
      </c>
      <c r="AS585" s="438">
        <f>IFERROR(Table_NFI[[#This Row],[Kitchen Set]]/VLOOKUP(Table_NFI[[#This Row],[Camp Name]],CL,4,0),"")</f>
        <v>2</v>
      </c>
      <c r="AT585" s="769" t="s">
        <v>1099</v>
      </c>
      <c r="AU585" s="773"/>
    </row>
    <row r="586" spans="1:47" x14ac:dyDescent="0.25">
      <c r="A586" s="451">
        <f t="shared" si="9"/>
        <v>34.833333333333336</v>
      </c>
      <c r="B586" s="768">
        <v>41325</v>
      </c>
      <c r="C586" s="769" t="s">
        <v>454</v>
      </c>
      <c r="D586" s="769" t="s">
        <v>454</v>
      </c>
      <c r="E586" s="769" t="s">
        <v>380</v>
      </c>
      <c r="F586" s="769" t="s">
        <v>529</v>
      </c>
      <c r="G586" s="435" t="s">
        <v>50</v>
      </c>
      <c r="H586" s="436"/>
      <c r="I586" s="436"/>
      <c r="J586" s="436">
        <v>18</v>
      </c>
      <c r="K586" s="436">
        <v>0</v>
      </c>
      <c r="L586" s="437">
        <v>0</v>
      </c>
      <c r="M586" s="437">
        <v>0</v>
      </c>
      <c r="N586" s="437">
        <v>0</v>
      </c>
      <c r="O586" s="437">
        <v>0</v>
      </c>
      <c r="P586" s="439"/>
      <c r="Q586" s="439"/>
      <c r="R586" s="436"/>
      <c r="S586" s="436"/>
      <c r="T586" s="436"/>
      <c r="U586" s="436"/>
      <c r="V586" s="436"/>
      <c r="W586" s="436"/>
      <c r="X586" s="436"/>
      <c r="Y586" s="436">
        <f>IF(NFI_Expiration=1,IF($A586&lt;VLOOKUP(H$5,NFI,5,0),1,0)*Table_NFI[[#This Row],[Hygiene Kit]],Table_NFI[Hygiene Kit])</f>
        <v>0</v>
      </c>
      <c r="Z586" s="436">
        <f>IF(NFI_Expiration=1,IF($A586&lt;VLOOKUP(I$5,NFI,5,0),1,0)*Table_NFI[[#This Row],[NFI Core Kit]],Table_NFI[NFI Core Kit])</f>
        <v>0</v>
      </c>
      <c r="AA586" s="436">
        <f>IF(NFI_Expiration=1,IF($A586&lt;VLOOKUP(J$5,NFI,5,0),1,0)*Table_NFI[[#This Row],[Sanitary Kit]],Table_NFI[Sanitary Kit])</f>
        <v>0</v>
      </c>
      <c r="AB586" s="436">
        <f>IF(NFI_Expiration=1,IF($A586&lt;VLOOKUP(K$5,NFI,5,0),1,0)*Table_NFI[[#This Row],[Mosquito net]],Table_NFI[Mosquito net])</f>
        <v>0</v>
      </c>
      <c r="AC586" s="436">
        <f>IF(NFI_Expiration=1,IF($A586&lt;VLOOKUP(L$5,NFI,5,0),1,0)*Table_NFI[[#This Row],[Tarpaulin]],Table_NFI[[#This Row],[Tarpaulin]])</f>
        <v>0</v>
      </c>
      <c r="AD586" s="436">
        <f>IF(NFI_Expiration=1,IF($A586&lt;VLOOKUP(M$5,NFI,5,0),1,0)*Table_NFI[[#This Row],[Blanket]],Table_NFI[[#This Row],[Blanket]])</f>
        <v>0</v>
      </c>
      <c r="AE586" s="436">
        <f>IF(NFI_Expiration=1,IF($A586&lt;VLOOKUP(N$5,NFI,5,0),1,0)*Table_NFI[[#This Row],[Kitchen Set]],Table_NFI[Kitchen Set])</f>
        <v>0</v>
      </c>
      <c r="AF586" s="436">
        <f>IF(NFI_Expiration=1,IF($A586&lt;VLOOKUP(O$5,NFI,5,0),1,0)*Table_NFI[[#This Row],[Clothes Kit]],Table_NFI[Clothes Kit])</f>
        <v>0</v>
      </c>
      <c r="AG586" s="436">
        <f>IF(NFI_Expiration=1,IF($A586&lt;VLOOKUP(P$5,NFI,5,0),1,0)*Table_NFI[[#This Row],[Plastic Bucket]],Table_NFI[Plastic Bucket])</f>
        <v>0</v>
      </c>
      <c r="AH586" s="436">
        <f>IF(NFI_Expiration=1,IF($A586&lt;VLOOKUP(Q$5,NFI,5,0),1,0)*Table_NFI[[#This Row],[Plastic Mat]],Table_NFI[Plastic Mat])*IF(Table_NFI[[#This Row],[Distribution Date]]&gt;"2014-04-01",1,2.5)</f>
        <v>0</v>
      </c>
      <c r="AI586" s="436">
        <f>IF(NFI_Expiration=1,IF($A586&lt;VLOOKUP(R$5,NFI,5,0),1,0)*Table_NFI[[#This Row],[Winter Clothes Adult]],Table_NFI[Winter Clothes Adult])</f>
        <v>0</v>
      </c>
      <c r="AJ586" s="436">
        <f>IF(NFI_Expiration=1,IF($A586&lt;VLOOKUP(S$5,NFI,5,0),1,0)*Table_NFI[[#This Row],[Winter Clothes Children]],Table_NFI[Winter Clothes Children])</f>
        <v>0</v>
      </c>
      <c r="AK586" s="436">
        <f>IF(NFI_Expiration=1,IF($A586&lt;VLOOKUP(T$5,NFI,5,0),1,0)*Table_NFI[[#This Row],[Winter Items Other]],Table_NFI[Winter Items Other])</f>
        <v>0</v>
      </c>
      <c r="AL586" s="436">
        <f>IF(NFI_Expiration=1,IF($A586&lt;VLOOKUP(M$5,NFI,5,0),1,0)*Table_NFI[[#This Row],[Winter Blanket]],Table_NFI[[#This Row],[Winter Blanket]])</f>
        <v>0</v>
      </c>
      <c r="AM586" s="436">
        <f>IF(Table_NFI[[#This Row],[Winter Clothes Adult]]+Table_NFI[[#This Row],[Winter Clothes Children]]+Table_NFI[[#This Row],[Winter Items Other]]+Table_NFI[[#This Row],[Winter Blanket]]&gt;0,1,0)</f>
        <v>0</v>
      </c>
      <c r="AN586" s="439">
        <f>IF(NFI_Expiration=1,IF($A586&lt;VLOOKUP(V$5,NFI,5,0),1,0)*Table_NFI[[#This Row],[Jerry Can]],Table_NFI[Jerry Can])</f>
        <v>0</v>
      </c>
      <c r="AO586" s="771" t="str">
        <f>IFERROR(VLOOKUP(Table_NFI[[#This Row],[Camp Name]],CL,2,0),"")</f>
        <v>MMR001CMP092</v>
      </c>
      <c r="AP586" s="772">
        <f ca="1">IF(Table_NFI[[#This Row],[Pcode]]="","",IF(OFFSET(CampList[Opening Date],MATCH(Table_NFI[[#This Row],[Pcode]],CampList[CP_Pcode],0)-1,0,1,1)&gt;=NFI_Monitor_Date,1,0))</f>
        <v>0</v>
      </c>
      <c r="AQ586" s="781" t="str">
        <f>IFERROR(VLOOKUP(Table_NFI[[#This Row],[Camp Name]],CL,3,0),"")</f>
        <v>Closed</v>
      </c>
      <c r="AR586" s="439" t="str">
        <f ca="1">IF(Table_NFI[[#This Row],[Pcode]]="","",OFFSET(CampList[Priority],MATCH(Table_NFI[[#This Row],[Pcode]],CampList[CP_Pcode],0)-1,0,1,1))</f>
        <v/>
      </c>
      <c r="AS586" s="438" t="str">
        <f>IFERROR(Table_NFI[[#This Row],[Kitchen Set]]/VLOOKUP(Table_NFI[[#This Row],[Camp Name]],CL,4,0),"")</f>
        <v/>
      </c>
      <c r="AT586" s="769" t="s">
        <v>1099</v>
      </c>
      <c r="AU586" s="773"/>
    </row>
    <row r="587" spans="1:47" x14ac:dyDescent="0.25">
      <c r="A587" s="451">
        <f t="shared" si="9"/>
        <v>34.833333333333336</v>
      </c>
      <c r="B587" s="768">
        <v>41325</v>
      </c>
      <c r="C587" s="769" t="s">
        <v>454</v>
      </c>
      <c r="D587" s="769" t="s">
        <v>454</v>
      </c>
      <c r="E587" s="769" t="s">
        <v>380</v>
      </c>
      <c r="F587" s="435" t="s">
        <v>529</v>
      </c>
      <c r="G587" s="435" t="s">
        <v>70</v>
      </c>
      <c r="H587" s="436"/>
      <c r="I587" s="436"/>
      <c r="J587" s="436">
        <v>13</v>
      </c>
      <c r="K587" s="436">
        <v>28</v>
      </c>
      <c r="L587" s="437">
        <v>15</v>
      </c>
      <c r="M587" s="437">
        <v>28</v>
      </c>
      <c r="N587" s="437">
        <v>15</v>
      </c>
      <c r="O587" s="437">
        <v>15</v>
      </c>
      <c r="P587" s="439">
        <v>15</v>
      </c>
      <c r="Q587" s="439">
        <v>15</v>
      </c>
      <c r="R587" s="436"/>
      <c r="S587" s="436"/>
      <c r="T587" s="436"/>
      <c r="U587" s="436"/>
      <c r="V587" s="436"/>
      <c r="W587" s="436"/>
      <c r="X587" s="436"/>
      <c r="Y587" s="436">
        <f>IF(NFI_Expiration=1,IF($A587&lt;VLOOKUP(H$5,NFI,5,0),1,0)*Table_NFI[[#This Row],[Hygiene Kit]],Table_NFI[Hygiene Kit])</f>
        <v>0</v>
      </c>
      <c r="Z587" s="436">
        <f>IF(NFI_Expiration=1,IF($A587&lt;VLOOKUP(I$5,NFI,5,0),1,0)*Table_NFI[[#This Row],[NFI Core Kit]],Table_NFI[NFI Core Kit])</f>
        <v>0</v>
      </c>
      <c r="AA587" s="436">
        <f>IF(NFI_Expiration=1,IF($A587&lt;VLOOKUP(J$5,NFI,5,0),1,0)*Table_NFI[[#This Row],[Sanitary Kit]],Table_NFI[Sanitary Kit])</f>
        <v>0</v>
      </c>
      <c r="AB587" s="436">
        <f>IF(NFI_Expiration=1,IF($A587&lt;VLOOKUP(K$5,NFI,5,0),1,0)*Table_NFI[[#This Row],[Mosquito net]],Table_NFI[Mosquito net])</f>
        <v>0</v>
      </c>
      <c r="AC587" s="436">
        <f>IF(NFI_Expiration=1,IF($A587&lt;VLOOKUP(L$5,NFI,5,0),1,0)*Table_NFI[[#This Row],[Tarpaulin]],Table_NFI[[#This Row],[Tarpaulin]])</f>
        <v>0</v>
      </c>
      <c r="AD587" s="436">
        <f>IF(NFI_Expiration=1,IF($A587&lt;VLOOKUP(M$5,NFI,5,0),1,0)*Table_NFI[[#This Row],[Blanket]],Table_NFI[[#This Row],[Blanket]])</f>
        <v>0</v>
      </c>
      <c r="AE587" s="436">
        <f>IF(NFI_Expiration=1,IF($A587&lt;VLOOKUP(N$5,NFI,5,0),1,0)*Table_NFI[[#This Row],[Kitchen Set]],Table_NFI[Kitchen Set])</f>
        <v>0</v>
      </c>
      <c r="AF587" s="436">
        <f>IF(NFI_Expiration=1,IF($A587&lt;VLOOKUP(O$5,NFI,5,0),1,0)*Table_NFI[[#This Row],[Clothes Kit]],Table_NFI[Clothes Kit])</f>
        <v>0</v>
      </c>
      <c r="AG587" s="436">
        <f>IF(NFI_Expiration=1,IF($A587&lt;VLOOKUP(P$5,NFI,5,0),1,0)*Table_NFI[[#This Row],[Plastic Bucket]],Table_NFI[Plastic Bucket])</f>
        <v>0</v>
      </c>
      <c r="AH587" s="436">
        <f>IF(NFI_Expiration=1,IF($A587&lt;VLOOKUP(Q$5,NFI,5,0),1,0)*Table_NFI[[#This Row],[Plastic Mat]],Table_NFI[Plastic Mat])*IF(Table_NFI[[#This Row],[Distribution Date]]&gt;"2014-04-01",1,2.5)</f>
        <v>0</v>
      </c>
      <c r="AI587" s="436">
        <f>IF(NFI_Expiration=1,IF($A587&lt;VLOOKUP(R$5,NFI,5,0),1,0)*Table_NFI[[#This Row],[Winter Clothes Adult]],Table_NFI[Winter Clothes Adult])</f>
        <v>0</v>
      </c>
      <c r="AJ587" s="436">
        <f>IF(NFI_Expiration=1,IF($A587&lt;VLOOKUP(S$5,NFI,5,0),1,0)*Table_NFI[[#This Row],[Winter Clothes Children]],Table_NFI[Winter Clothes Children])</f>
        <v>0</v>
      </c>
      <c r="AK587" s="436">
        <f>IF(NFI_Expiration=1,IF($A587&lt;VLOOKUP(T$5,NFI,5,0),1,0)*Table_NFI[[#This Row],[Winter Items Other]],Table_NFI[Winter Items Other])</f>
        <v>0</v>
      </c>
      <c r="AL587" s="436">
        <f>IF(NFI_Expiration=1,IF($A587&lt;VLOOKUP(M$5,NFI,5,0),1,0)*Table_NFI[[#This Row],[Winter Blanket]],Table_NFI[[#This Row],[Winter Blanket]])</f>
        <v>0</v>
      </c>
      <c r="AM587" s="436">
        <f>IF(Table_NFI[[#This Row],[Winter Clothes Adult]]+Table_NFI[[#This Row],[Winter Clothes Children]]+Table_NFI[[#This Row],[Winter Items Other]]+Table_NFI[[#This Row],[Winter Blanket]]&gt;0,1,0)</f>
        <v>0</v>
      </c>
      <c r="AN587" s="439">
        <f>IF(NFI_Expiration=1,IF($A587&lt;VLOOKUP(V$5,NFI,5,0),1,0)*Table_NFI[[#This Row],[Jerry Can]],Table_NFI[Jerry Can])</f>
        <v>0</v>
      </c>
      <c r="AO587" s="771" t="str">
        <f>IFERROR(VLOOKUP(Table_NFI[[#This Row],[Camp Name]],CL,2,0),"")</f>
        <v>MMR001CMP086</v>
      </c>
      <c r="AP587" s="772">
        <f ca="1">IF(Table_NFI[[#This Row],[Pcode]]="","",IF(OFFSET(CampList[Opening Date],MATCH(Table_NFI[[#This Row],[Pcode]],CampList[CP_Pcode],0)-1,0,1,1)&gt;=NFI_Monitor_Date,1,0))</f>
        <v>0</v>
      </c>
      <c r="AQ587" s="781" t="str">
        <f>IFERROR(VLOOKUP(Table_NFI[[#This Row],[Camp Name]],CL,3,0),"")</f>
        <v>Closed</v>
      </c>
      <c r="AR587" s="439" t="str">
        <f ca="1">IF(Table_NFI[[#This Row],[Pcode]]="","",OFFSET(CampList[Priority],MATCH(Table_NFI[[#This Row],[Pcode]],CampList[CP_Pcode],0)-1,0,1,1))</f>
        <v/>
      </c>
      <c r="AS587" s="438" t="str">
        <f>IFERROR(Table_NFI[[#This Row],[Kitchen Set]]/VLOOKUP(Table_NFI[[#This Row],[Camp Name]],CL,4,0),"")</f>
        <v/>
      </c>
      <c r="AT587" s="769" t="s">
        <v>1099</v>
      </c>
      <c r="AU587" s="773"/>
    </row>
    <row r="588" spans="1:47" x14ac:dyDescent="0.25">
      <c r="A588" s="451">
        <f t="shared" si="9"/>
        <v>34.833333333333336</v>
      </c>
      <c r="B588" s="768">
        <v>41325</v>
      </c>
      <c r="C588" s="769" t="s">
        <v>454</v>
      </c>
      <c r="D588" s="769" t="s">
        <v>454</v>
      </c>
      <c r="E588" s="769" t="s">
        <v>380</v>
      </c>
      <c r="F588" s="435" t="s">
        <v>529</v>
      </c>
      <c r="G588" s="435" t="s">
        <v>92</v>
      </c>
      <c r="H588" s="436"/>
      <c r="I588" s="436"/>
      <c r="J588" s="436">
        <v>12</v>
      </c>
      <c r="K588" s="436">
        <v>20</v>
      </c>
      <c r="L588" s="437">
        <v>8</v>
      </c>
      <c r="M588" s="437">
        <v>20</v>
      </c>
      <c r="N588" s="437">
        <v>8</v>
      </c>
      <c r="O588" s="437">
        <v>8</v>
      </c>
      <c r="P588" s="439">
        <v>8</v>
      </c>
      <c r="Q588" s="439">
        <v>8</v>
      </c>
      <c r="R588" s="436"/>
      <c r="S588" s="436"/>
      <c r="T588" s="436"/>
      <c r="U588" s="436"/>
      <c r="V588" s="436"/>
      <c r="W588" s="436"/>
      <c r="X588" s="436"/>
      <c r="Y588" s="436">
        <f>IF(NFI_Expiration=1,IF($A588&lt;VLOOKUP(H$5,NFI,5,0),1,0)*Table_NFI[[#This Row],[Hygiene Kit]],Table_NFI[Hygiene Kit])</f>
        <v>0</v>
      </c>
      <c r="Z588" s="436">
        <f>IF(NFI_Expiration=1,IF($A588&lt;VLOOKUP(I$5,NFI,5,0),1,0)*Table_NFI[[#This Row],[NFI Core Kit]],Table_NFI[NFI Core Kit])</f>
        <v>0</v>
      </c>
      <c r="AA588" s="436">
        <f>IF(NFI_Expiration=1,IF($A588&lt;VLOOKUP(J$5,NFI,5,0),1,0)*Table_NFI[[#This Row],[Sanitary Kit]],Table_NFI[Sanitary Kit])</f>
        <v>0</v>
      </c>
      <c r="AB588" s="436">
        <f>IF(NFI_Expiration=1,IF($A588&lt;VLOOKUP(K$5,NFI,5,0),1,0)*Table_NFI[[#This Row],[Mosquito net]],Table_NFI[Mosquito net])</f>
        <v>0</v>
      </c>
      <c r="AC588" s="436">
        <f>IF(NFI_Expiration=1,IF($A588&lt;VLOOKUP(L$5,NFI,5,0),1,0)*Table_NFI[[#This Row],[Tarpaulin]],Table_NFI[[#This Row],[Tarpaulin]])</f>
        <v>0</v>
      </c>
      <c r="AD588" s="436">
        <f>IF(NFI_Expiration=1,IF($A588&lt;VLOOKUP(M$5,NFI,5,0),1,0)*Table_NFI[[#This Row],[Blanket]],Table_NFI[[#This Row],[Blanket]])</f>
        <v>0</v>
      </c>
      <c r="AE588" s="436">
        <f>IF(NFI_Expiration=1,IF($A588&lt;VLOOKUP(N$5,NFI,5,0),1,0)*Table_NFI[[#This Row],[Kitchen Set]],Table_NFI[Kitchen Set])</f>
        <v>0</v>
      </c>
      <c r="AF588" s="436">
        <f>IF(NFI_Expiration=1,IF($A588&lt;VLOOKUP(O$5,NFI,5,0),1,0)*Table_NFI[[#This Row],[Clothes Kit]],Table_NFI[Clothes Kit])</f>
        <v>0</v>
      </c>
      <c r="AG588" s="436">
        <f>IF(NFI_Expiration=1,IF($A588&lt;VLOOKUP(P$5,NFI,5,0),1,0)*Table_NFI[[#This Row],[Plastic Bucket]],Table_NFI[Plastic Bucket])</f>
        <v>0</v>
      </c>
      <c r="AH588" s="436">
        <f>IF(NFI_Expiration=1,IF($A588&lt;VLOOKUP(Q$5,NFI,5,0),1,0)*Table_NFI[[#This Row],[Plastic Mat]],Table_NFI[Plastic Mat])*IF(Table_NFI[[#This Row],[Distribution Date]]&gt;"2014-04-01",1,2.5)</f>
        <v>0</v>
      </c>
      <c r="AI588" s="436">
        <f>IF(NFI_Expiration=1,IF($A588&lt;VLOOKUP(R$5,NFI,5,0),1,0)*Table_NFI[[#This Row],[Winter Clothes Adult]],Table_NFI[Winter Clothes Adult])</f>
        <v>0</v>
      </c>
      <c r="AJ588" s="436">
        <f>IF(NFI_Expiration=1,IF($A588&lt;VLOOKUP(S$5,NFI,5,0),1,0)*Table_NFI[[#This Row],[Winter Clothes Children]],Table_NFI[Winter Clothes Children])</f>
        <v>0</v>
      </c>
      <c r="AK588" s="436">
        <f>IF(NFI_Expiration=1,IF($A588&lt;VLOOKUP(T$5,NFI,5,0),1,0)*Table_NFI[[#This Row],[Winter Items Other]],Table_NFI[Winter Items Other])</f>
        <v>0</v>
      </c>
      <c r="AL588" s="436">
        <f>IF(NFI_Expiration=1,IF($A588&lt;VLOOKUP(M$5,NFI,5,0),1,0)*Table_NFI[[#This Row],[Winter Blanket]],Table_NFI[[#This Row],[Winter Blanket]])</f>
        <v>0</v>
      </c>
      <c r="AM588" s="436">
        <f>IF(Table_NFI[[#This Row],[Winter Clothes Adult]]+Table_NFI[[#This Row],[Winter Clothes Children]]+Table_NFI[[#This Row],[Winter Items Other]]+Table_NFI[[#This Row],[Winter Blanket]]&gt;0,1,0)</f>
        <v>0</v>
      </c>
      <c r="AN588" s="439">
        <f>IF(NFI_Expiration=1,IF($A588&lt;VLOOKUP(V$5,NFI,5,0),1,0)*Table_NFI[[#This Row],[Jerry Can]],Table_NFI[Jerry Can])</f>
        <v>0</v>
      </c>
      <c r="AO588" s="771" t="str">
        <f>IFERROR(VLOOKUP(Table_NFI[[#This Row],[Camp Name]],CL,2,0),"")</f>
        <v>MMR001CMP167</v>
      </c>
      <c r="AP588" s="772">
        <f ca="1">IF(Table_NFI[[#This Row],[Pcode]]="","",IF(OFFSET(CampList[Opening Date],MATCH(Table_NFI[[#This Row],[Pcode]],CampList[CP_Pcode],0)-1,0,1,1)&gt;=NFI_Monitor_Date,1,0))</f>
        <v>0</v>
      </c>
      <c r="AQ588" s="781" t="str">
        <f>IFERROR(VLOOKUP(Table_NFI[[#This Row],[Camp Name]],CL,3,0),"")</f>
        <v>Open</v>
      </c>
      <c r="AR588" s="439" t="str">
        <f ca="1">IF(Table_NFI[[#This Row],[Pcode]]="","",OFFSET(CampList[Priority],MATCH(Table_NFI[[#This Row],[Pcode]],CampList[CP_Pcode],0)-1,0,1,1))</f>
        <v>P4</v>
      </c>
      <c r="AS588" s="438">
        <f>IFERROR(Table_NFI[[#This Row],[Kitchen Set]]/VLOOKUP(Table_NFI[[#This Row],[Camp Name]],CL,4,0),"")</f>
        <v>0.53333333333333333</v>
      </c>
      <c r="AT588" s="769" t="s">
        <v>1099</v>
      </c>
      <c r="AU588" s="773"/>
    </row>
    <row r="589" spans="1:47" x14ac:dyDescent="0.25">
      <c r="A589" s="451">
        <f t="shared" si="9"/>
        <v>34.833333333333336</v>
      </c>
      <c r="B589" s="768">
        <v>41325</v>
      </c>
      <c r="C589" s="769" t="s">
        <v>454</v>
      </c>
      <c r="D589" s="770" t="s">
        <v>454</v>
      </c>
      <c r="E589" s="769" t="s">
        <v>380</v>
      </c>
      <c r="F589" s="435" t="s">
        <v>529</v>
      </c>
      <c r="G589" s="435" t="s">
        <v>54</v>
      </c>
      <c r="H589" s="436"/>
      <c r="I589" s="436"/>
      <c r="J589" s="436">
        <v>74</v>
      </c>
      <c r="K589" s="436">
        <v>0</v>
      </c>
      <c r="L589" s="437">
        <v>0</v>
      </c>
      <c r="M589" s="437">
        <v>0</v>
      </c>
      <c r="N589" s="437">
        <v>0</v>
      </c>
      <c r="O589" s="437">
        <v>0</v>
      </c>
      <c r="P589" s="437"/>
      <c r="Q589" s="437"/>
      <c r="R589" s="436"/>
      <c r="S589" s="436"/>
      <c r="T589" s="436"/>
      <c r="U589" s="436"/>
      <c r="V589" s="436"/>
      <c r="W589" s="436"/>
      <c r="X589" s="436"/>
      <c r="Y589" s="436">
        <f>IF(NFI_Expiration=1,IF($A589&lt;VLOOKUP(H$5,NFI,5,0),1,0)*Table_NFI[[#This Row],[Hygiene Kit]],Table_NFI[Hygiene Kit])</f>
        <v>0</v>
      </c>
      <c r="Z589" s="436">
        <f>IF(NFI_Expiration=1,IF($A589&lt;VLOOKUP(I$5,NFI,5,0),1,0)*Table_NFI[[#This Row],[NFI Core Kit]],Table_NFI[NFI Core Kit])</f>
        <v>0</v>
      </c>
      <c r="AA589" s="436">
        <f>IF(NFI_Expiration=1,IF($A589&lt;VLOOKUP(J$5,NFI,5,0),1,0)*Table_NFI[[#This Row],[Sanitary Kit]],Table_NFI[Sanitary Kit])</f>
        <v>0</v>
      </c>
      <c r="AB589" s="436">
        <f>IF(NFI_Expiration=1,IF($A589&lt;VLOOKUP(K$5,NFI,5,0),1,0)*Table_NFI[[#This Row],[Mosquito net]],Table_NFI[Mosquito net])</f>
        <v>0</v>
      </c>
      <c r="AC589" s="436">
        <f>IF(NFI_Expiration=1,IF($A589&lt;VLOOKUP(L$5,NFI,5,0),1,0)*Table_NFI[[#This Row],[Tarpaulin]],Table_NFI[[#This Row],[Tarpaulin]])</f>
        <v>0</v>
      </c>
      <c r="AD589" s="436">
        <f>IF(NFI_Expiration=1,IF($A589&lt;VLOOKUP(M$5,NFI,5,0),1,0)*Table_NFI[[#This Row],[Blanket]],Table_NFI[[#This Row],[Blanket]])</f>
        <v>0</v>
      </c>
      <c r="AE589" s="436">
        <f>IF(NFI_Expiration=1,IF($A589&lt;VLOOKUP(N$5,NFI,5,0),1,0)*Table_NFI[[#This Row],[Kitchen Set]],Table_NFI[Kitchen Set])</f>
        <v>0</v>
      </c>
      <c r="AF589" s="436">
        <f>IF(NFI_Expiration=1,IF($A589&lt;VLOOKUP(O$5,NFI,5,0),1,0)*Table_NFI[[#This Row],[Clothes Kit]],Table_NFI[Clothes Kit])</f>
        <v>0</v>
      </c>
      <c r="AG589" s="436">
        <f>IF(NFI_Expiration=1,IF($A589&lt;VLOOKUP(P$5,NFI,5,0),1,0)*Table_NFI[[#This Row],[Plastic Bucket]],Table_NFI[Plastic Bucket])</f>
        <v>0</v>
      </c>
      <c r="AH589" s="436">
        <f>IF(NFI_Expiration=1,IF($A589&lt;VLOOKUP(Q$5,NFI,5,0),1,0)*Table_NFI[[#This Row],[Plastic Mat]],Table_NFI[Plastic Mat])*IF(Table_NFI[[#This Row],[Distribution Date]]&gt;"2014-04-01",1,2.5)</f>
        <v>0</v>
      </c>
      <c r="AI589" s="436">
        <f>IF(NFI_Expiration=1,IF($A589&lt;VLOOKUP(R$5,NFI,5,0),1,0)*Table_NFI[[#This Row],[Winter Clothes Adult]],Table_NFI[Winter Clothes Adult])</f>
        <v>0</v>
      </c>
      <c r="AJ589" s="436">
        <f>IF(NFI_Expiration=1,IF($A589&lt;VLOOKUP(S$5,NFI,5,0),1,0)*Table_NFI[[#This Row],[Winter Clothes Children]],Table_NFI[Winter Clothes Children])</f>
        <v>0</v>
      </c>
      <c r="AK589" s="436">
        <f>IF(NFI_Expiration=1,IF($A589&lt;VLOOKUP(T$5,NFI,5,0),1,0)*Table_NFI[[#This Row],[Winter Items Other]],Table_NFI[Winter Items Other])</f>
        <v>0</v>
      </c>
      <c r="AL589" s="436">
        <f>IF(NFI_Expiration=1,IF($A589&lt;VLOOKUP(M$5,NFI,5,0),1,0)*Table_NFI[[#This Row],[Winter Blanket]],Table_NFI[[#This Row],[Winter Blanket]])</f>
        <v>0</v>
      </c>
      <c r="AM589" s="436">
        <f>IF(Table_NFI[[#This Row],[Winter Clothes Adult]]+Table_NFI[[#This Row],[Winter Clothes Children]]+Table_NFI[[#This Row],[Winter Items Other]]+Table_NFI[[#This Row],[Winter Blanket]]&gt;0,1,0)</f>
        <v>0</v>
      </c>
      <c r="AN589" s="439">
        <f>IF(NFI_Expiration=1,IF($A589&lt;VLOOKUP(V$5,NFI,5,0),1,0)*Table_NFI[[#This Row],[Jerry Can]],Table_NFI[Jerry Can])</f>
        <v>0</v>
      </c>
      <c r="AO589" s="771" t="str">
        <f>IFERROR(VLOOKUP(Table_NFI[[#This Row],[Camp Name]],CL,2,0),"")</f>
        <v>MMR001CMP094</v>
      </c>
      <c r="AP589" s="772">
        <f ca="1">IF(Table_NFI[[#This Row],[Pcode]]="","",IF(OFFSET(CampList[Opening Date],MATCH(Table_NFI[[#This Row],[Pcode]],CampList[CP_Pcode],0)-1,0,1,1)&gt;=NFI_Monitor_Date,1,0))</f>
        <v>0</v>
      </c>
      <c r="AQ589" s="781" t="str">
        <f>IFERROR(VLOOKUP(Table_NFI[[#This Row],[Camp Name]],CL,3,0),"")</f>
        <v>Closed</v>
      </c>
      <c r="AR589" s="439" t="str">
        <f ca="1">IF(Table_NFI[[#This Row],[Pcode]]="","",OFFSET(CampList[Priority],MATCH(Table_NFI[[#This Row],[Pcode]],CampList[CP_Pcode],0)-1,0,1,1))</f>
        <v/>
      </c>
      <c r="AS589" s="438" t="str">
        <f>IFERROR(Table_NFI[[#This Row],[Kitchen Set]]/VLOOKUP(Table_NFI[[#This Row],[Camp Name]],CL,4,0),"")</f>
        <v/>
      </c>
      <c r="AT589" s="769" t="s">
        <v>1099</v>
      </c>
      <c r="AU589" s="773"/>
    </row>
    <row r="590" spans="1:47" x14ac:dyDescent="0.25">
      <c r="A590" s="451">
        <f t="shared" si="9"/>
        <v>34.833333333333336</v>
      </c>
      <c r="B590" s="768">
        <v>41325</v>
      </c>
      <c r="C590" s="769" t="s">
        <v>454</v>
      </c>
      <c r="D590" s="770" t="s">
        <v>454</v>
      </c>
      <c r="E590" s="769" t="s">
        <v>380</v>
      </c>
      <c r="F590" s="435" t="s">
        <v>529</v>
      </c>
      <c r="G590" s="435" t="s">
        <v>66</v>
      </c>
      <c r="H590" s="436"/>
      <c r="I590" s="436"/>
      <c r="J590" s="436">
        <v>16</v>
      </c>
      <c r="K590" s="436">
        <v>26</v>
      </c>
      <c r="L590" s="437">
        <v>13</v>
      </c>
      <c r="M590" s="437">
        <v>26</v>
      </c>
      <c r="N590" s="437">
        <v>13</v>
      </c>
      <c r="O590" s="437">
        <v>13</v>
      </c>
      <c r="P590" s="437">
        <v>13</v>
      </c>
      <c r="Q590" s="437">
        <v>13</v>
      </c>
      <c r="R590" s="436"/>
      <c r="S590" s="436"/>
      <c r="T590" s="436"/>
      <c r="U590" s="436"/>
      <c r="V590" s="436"/>
      <c r="W590" s="436"/>
      <c r="X590" s="436"/>
      <c r="Y590" s="436">
        <f>IF(NFI_Expiration=1,IF($A590&lt;VLOOKUP(H$5,NFI,5,0),1,0)*Table_NFI[[#This Row],[Hygiene Kit]],Table_NFI[Hygiene Kit])</f>
        <v>0</v>
      </c>
      <c r="Z590" s="436">
        <f>IF(NFI_Expiration=1,IF($A590&lt;VLOOKUP(I$5,NFI,5,0),1,0)*Table_NFI[[#This Row],[NFI Core Kit]],Table_NFI[NFI Core Kit])</f>
        <v>0</v>
      </c>
      <c r="AA590" s="436">
        <f>IF(NFI_Expiration=1,IF($A590&lt;VLOOKUP(J$5,NFI,5,0),1,0)*Table_NFI[[#This Row],[Sanitary Kit]],Table_NFI[Sanitary Kit])</f>
        <v>0</v>
      </c>
      <c r="AB590" s="436">
        <f>IF(NFI_Expiration=1,IF($A590&lt;VLOOKUP(K$5,NFI,5,0),1,0)*Table_NFI[[#This Row],[Mosquito net]],Table_NFI[Mosquito net])</f>
        <v>0</v>
      </c>
      <c r="AC590" s="436">
        <f>IF(NFI_Expiration=1,IF($A590&lt;VLOOKUP(L$5,NFI,5,0),1,0)*Table_NFI[[#This Row],[Tarpaulin]],Table_NFI[[#This Row],[Tarpaulin]])</f>
        <v>0</v>
      </c>
      <c r="AD590" s="436">
        <f>IF(NFI_Expiration=1,IF($A590&lt;VLOOKUP(M$5,NFI,5,0),1,0)*Table_NFI[[#This Row],[Blanket]],Table_NFI[[#This Row],[Blanket]])</f>
        <v>0</v>
      </c>
      <c r="AE590" s="436">
        <f>IF(NFI_Expiration=1,IF($A590&lt;VLOOKUP(N$5,NFI,5,0),1,0)*Table_NFI[[#This Row],[Kitchen Set]],Table_NFI[Kitchen Set])</f>
        <v>0</v>
      </c>
      <c r="AF590" s="436">
        <f>IF(NFI_Expiration=1,IF($A590&lt;VLOOKUP(O$5,NFI,5,0),1,0)*Table_NFI[[#This Row],[Clothes Kit]],Table_NFI[Clothes Kit])</f>
        <v>0</v>
      </c>
      <c r="AG590" s="436">
        <f>IF(NFI_Expiration=1,IF($A590&lt;VLOOKUP(P$5,NFI,5,0),1,0)*Table_NFI[[#This Row],[Plastic Bucket]],Table_NFI[Plastic Bucket])</f>
        <v>0</v>
      </c>
      <c r="AH590" s="436">
        <f>IF(NFI_Expiration=1,IF($A590&lt;VLOOKUP(Q$5,NFI,5,0),1,0)*Table_NFI[[#This Row],[Plastic Mat]],Table_NFI[Plastic Mat])*IF(Table_NFI[[#This Row],[Distribution Date]]&gt;"2014-04-01",1,2.5)</f>
        <v>0</v>
      </c>
      <c r="AI590" s="436">
        <f>IF(NFI_Expiration=1,IF($A590&lt;VLOOKUP(R$5,NFI,5,0),1,0)*Table_NFI[[#This Row],[Winter Clothes Adult]],Table_NFI[Winter Clothes Adult])</f>
        <v>0</v>
      </c>
      <c r="AJ590" s="436">
        <f>IF(NFI_Expiration=1,IF($A590&lt;VLOOKUP(S$5,NFI,5,0),1,0)*Table_NFI[[#This Row],[Winter Clothes Children]],Table_NFI[Winter Clothes Children])</f>
        <v>0</v>
      </c>
      <c r="AK590" s="436">
        <f>IF(NFI_Expiration=1,IF($A590&lt;VLOOKUP(T$5,NFI,5,0),1,0)*Table_NFI[[#This Row],[Winter Items Other]],Table_NFI[Winter Items Other])</f>
        <v>0</v>
      </c>
      <c r="AL590" s="436">
        <f>IF(NFI_Expiration=1,IF($A590&lt;VLOOKUP(M$5,NFI,5,0),1,0)*Table_NFI[[#This Row],[Winter Blanket]],Table_NFI[[#This Row],[Winter Blanket]])</f>
        <v>0</v>
      </c>
      <c r="AM590" s="436">
        <f>IF(Table_NFI[[#This Row],[Winter Clothes Adult]]+Table_NFI[[#This Row],[Winter Clothes Children]]+Table_NFI[[#This Row],[Winter Items Other]]+Table_NFI[[#This Row],[Winter Blanket]]&gt;0,1,0)</f>
        <v>0</v>
      </c>
      <c r="AN590" s="439">
        <f>IF(NFI_Expiration=1,IF($A590&lt;VLOOKUP(V$5,NFI,5,0),1,0)*Table_NFI[[#This Row],[Jerry Can]],Table_NFI[Jerry Can])</f>
        <v>0</v>
      </c>
      <c r="AO590" s="771" t="str">
        <f>IFERROR(VLOOKUP(Table_NFI[[#This Row],[Camp Name]],CL,2,0),"")</f>
        <v>MMR001CMP093</v>
      </c>
      <c r="AP590" s="772">
        <f ca="1">IF(Table_NFI[[#This Row],[Pcode]]="","",IF(OFFSET(CampList[Opening Date],MATCH(Table_NFI[[#This Row],[Pcode]],CampList[CP_Pcode],0)-1,0,1,1)&gt;=NFI_Monitor_Date,1,0))</f>
        <v>0</v>
      </c>
      <c r="AQ590" s="781" t="str">
        <f>IFERROR(VLOOKUP(Table_NFI[[#This Row],[Camp Name]],CL,3,0),"")</f>
        <v>Closed</v>
      </c>
      <c r="AR590" s="439" t="str">
        <f ca="1">IF(Table_NFI[[#This Row],[Pcode]]="","",OFFSET(CampList[Priority],MATCH(Table_NFI[[#This Row],[Pcode]],CampList[CP_Pcode],0)-1,0,1,1))</f>
        <v/>
      </c>
      <c r="AS590" s="438" t="str">
        <f>IFERROR(Table_NFI[[#This Row],[Kitchen Set]]/VLOOKUP(Table_NFI[[#This Row],[Camp Name]],CL,4,0),"")</f>
        <v/>
      </c>
      <c r="AT590" s="769" t="s">
        <v>1099</v>
      </c>
      <c r="AU590" s="773"/>
    </row>
    <row r="591" spans="1:47" x14ac:dyDescent="0.25">
      <c r="A591" s="451">
        <f t="shared" si="9"/>
        <v>34.833333333333336</v>
      </c>
      <c r="B591" s="768">
        <v>41325</v>
      </c>
      <c r="C591" s="769" t="s">
        <v>454</v>
      </c>
      <c r="D591" s="769" t="s">
        <v>454</v>
      </c>
      <c r="E591" s="769" t="s">
        <v>380</v>
      </c>
      <c r="F591" s="769" t="s">
        <v>529</v>
      </c>
      <c r="G591" s="435" t="s">
        <v>84</v>
      </c>
      <c r="H591" s="436"/>
      <c r="I591" s="436"/>
      <c r="J591" s="436">
        <v>85</v>
      </c>
      <c r="K591" s="436">
        <v>138</v>
      </c>
      <c r="L591" s="437">
        <v>65</v>
      </c>
      <c r="M591" s="437">
        <v>138</v>
      </c>
      <c r="N591" s="437">
        <v>65</v>
      </c>
      <c r="O591" s="437">
        <v>65</v>
      </c>
      <c r="P591" s="437">
        <v>65</v>
      </c>
      <c r="Q591" s="437">
        <v>65</v>
      </c>
      <c r="R591" s="436"/>
      <c r="S591" s="436"/>
      <c r="T591" s="436"/>
      <c r="U591" s="436"/>
      <c r="V591" s="436"/>
      <c r="W591" s="436"/>
      <c r="X591" s="436"/>
      <c r="Y591" s="436">
        <f>IF(NFI_Expiration=1,IF($A591&lt;VLOOKUP(H$5,NFI,5,0),1,0)*Table_NFI[[#This Row],[Hygiene Kit]],Table_NFI[Hygiene Kit])</f>
        <v>0</v>
      </c>
      <c r="Z591" s="436">
        <f>IF(NFI_Expiration=1,IF($A591&lt;VLOOKUP(I$5,NFI,5,0),1,0)*Table_NFI[[#This Row],[NFI Core Kit]],Table_NFI[NFI Core Kit])</f>
        <v>0</v>
      </c>
      <c r="AA591" s="436">
        <f>IF(NFI_Expiration=1,IF($A591&lt;VLOOKUP(J$5,NFI,5,0),1,0)*Table_NFI[[#This Row],[Sanitary Kit]],Table_NFI[Sanitary Kit])</f>
        <v>0</v>
      </c>
      <c r="AB591" s="436">
        <f>IF(NFI_Expiration=1,IF($A591&lt;VLOOKUP(K$5,NFI,5,0),1,0)*Table_NFI[[#This Row],[Mosquito net]],Table_NFI[Mosquito net])</f>
        <v>0</v>
      </c>
      <c r="AC591" s="436">
        <f>IF(NFI_Expiration=1,IF($A591&lt;VLOOKUP(L$5,NFI,5,0),1,0)*Table_NFI[[#This Row],[Tarpaulin]],Table_NFI[[#This Row],[Tarpaulin]])</f>
        <v>0</v>
      </c>
      <c r="AD591" s="436">
        <f>IF(NFI_Expiration=1,IF($A591&lt;VLOOKUP(M$5,NFI,5,0),1,0)*Table_NFI[[#This Row],[Blanket]],Table_NFI[[#This Row],[Blanket]])</f>
        <v>0</v>
      </c>
      <c r="AE591" s="436">
        <f>IF(NFI_Expiration=1,IF($A591&lt;VLOOKUP(N$5,NFI,5,0),1,0)*Table_NFI[[#This Row],[Kitchen Set]],Table_NFI[Kitchen Set])</f>
        <v>0</v>
      </c>
      <c r="AF591" s="436">
        <f>IF(NFI_Expiration=1,IF($A591&lt;VLOOKUP(O$5,NFI,5,0),1,0)*Table_NFI[[#This Row],[Clothes Kit]],Table_NFI[Clothes Kit])</f>
        <v>0</v>
      </c>
      <c r="AG591" s="436">
        <f>IF(NFI_Expiration=1,IF($A591&lt;VLOOKUP(P$5,NFI,5,0),1,0)*Table_NFI[[#This Row],[Plastic Bucket]],Table_NFI[Plastic Bucket])</f>
        <v>0</v>
      </c>
      <c r="AH591" s="436">
        <f>IF(NFI_Expiration=1,IF($A591&lt;VLOOKUP(Q$5,NFI,5,0),1,0)*Table_NFI[[#This Row],[Plastic Mat]],Table_NFI[Plastic Mat])*IF(Table_NFI[[#This Row],[Distribution Date]]&gt;"2014-04-01",1,2.5)</f>
        <v>0</v>
      </c>
      <c r="AI591" s="436">
        <f>IF(NFI_Expiration=1,IF($A591&lt;VLOOKUP(R$5,NFI,5,0),1,0)*Table_NFI[[#This Row],[Winter Clothes Adult]],Table_NFI[Winter Clothes Adult])</f>
        <v>0</v>
      </c>
      <c r="AJ591" s="436">
        <f>IF(NFI_Expiration=1,IF($A591&lt;VLOOKUP(S$5,NFI,5,0),1,0)*Table_NFI[[#This Row],[Winter Clothes Children]],Table_NFI[Winter Clothes Children])</f>
        <v>0</v>
      </c>
      <c r="AK591" s="436">
        <f>IF(NFI_Expiration=1,IF($A591&lt;VLOOKUP(T$5,NFI,5,0),1,0)*Table_NFI[[#This Row],[Winter Items Other]],Table_NFI[Winter Items Other])</f>
        <v>0</v>
      </c>
      <c r="AL591" s="436">
        <f>IF(NFI_Expiration=1,IF($A591&lt;VLOOKUP(M$5,NFI,5,0),1,0)*Table_NFI[[#This Row],[Winter Blanket]],Table_NFI[[#This Row],[Winter Blanket]])</f>
        <v>0</v>
      </c>
      <c r="AM591" s="436">
        <f>IF(Table_NFI[[#This Row],[Winter Clothes Adult]]+Table_NFI[[#This Row],[Winter Clothes Children]]+Table_NFI[[#This Row],[Winter Items Other]]+Table_NFI[[#This Row],[Winter Blanket]]&gt;0,1,0)</f>
        <v>0</v>
      </c>
      <c r="AN591" s="439">
        <f>IF(NFI_Expiration=1,IF($A591&lt;VLOOKUP(V$5,NFI,5,0),1,0)*Table_NFI[[#This Row],[Jerry Can]],Table_NFI[Jerry Can])</f>
        <v>0</v>
      </c>
      <c r="AO591" s="771" t="str">
        <f>IFERROR(VLOOKUP(Table_NFI[[#This Row],[Camp Name]],CL,2,0),"")</f>
        <v>MMR001CMP085</v>
      </c>
      <c r="AP591" s="772">
        <f ca="1">IF(Table_NFI[[#This Row],[Pcode]]="","",IF(OFFSET(CampList[Opening Date],MATCH(Table_NFI[[#This Row],[Pcode]],CampList[CP_Pcode],0)-1,0,1,1)&gt;=NFI_Monitor_Date,1,0))</f>
        <v>0</v>
      </c>
      <c r="AQ591" s="781" t="str">
        <f>IFERROR(VLOOKUP(Table_NFI[[#This Row],[Camp Name]],CL,3,0),"")</f>
        <v>Closed</v>
      </c>
      <c r="AR591" s="439" t="str">
        <f ca="1">IF(Table_NFI[[#This Row],[Pcode]]="","",OFFSET(CampList[Priority],MATCH(Table_NFI[[#This Row],[Pcode]],CampList[CP_Pcode],0)-1,0,1,1))</f>
        <v/>
      </c>
      <c r="AS591" s="438" t="str">
        <f>IFERROR(Table_NFI[[#This Row],[Kitchen Set]]/VLOOKUP(Table_NFI[[#This Row],[Camp Name]],CL,4,0),"")</f>
        <v/>
      </c>
      <c r="AT591" s="769" t="s">
        <v>1099</v>
      </c>
      <c r="AU591" s="773"/>
    </row>
    <row r="592" spans="1:47" x14ac:dyDescent="0.25">
      <c r="A592" s="451">
        <f t="shared" si="9"/>
        <v>34.833333333333336</v>
      </c>
      <c r="B592" s="768">
        <v>41325</v>
      </c>
      <c r="C592" s="769" t="s">
        <v>454</v>
      </c>
      <c r="D592" s="770" t="s">
        <v>454</v>
      </c>
      <c r="E592" s="769" t="s">
        <v>380</v>
      </c>
      <c r="F592" s="435" t="s">
        <v>529</v>
      </c>
      <c r="G592" s="435" t="s">
        <v>108</v>
      </c>
      <c r="H592" s="436"/>
      <c r="I592" s="441"/>
      <c r="J592" s="434">
        <v>35</v>
      </c>
      <c r="K592" s="434">
        <v>0</v>
      </c>
      <c r="L592" s="434">
        <v>0</v>
      </c>
      <c r="M592" s="434">
        <v>0</v>
      </c>
      <c r="N592" s="434">
        <v>0</v>
      </c>
      <c r="O592" s="434">
        <v>0</v>
      </c>
      <c r="P592" s="437"/>
      <c r="Q592" s="437"/>
      <c r="R592" s="436"/>
      <c r="S592" s="436"/>
      <c r="T592" s="436"/>
      <c r="U592" s="436"/>
      <c r="V592" s="436"/>
      <c r="W592" s="436"/>
      <c r="X592" s="436"/>
      <c r="Y592" s="436">
        <f>IF(NFI_Expiration=1,IF($A592&lt;VLOOKUP(H$5,NFI,5,0),1,0)*Table_NFI[[#This Row],[Hygiene Kit]],Table_NFI[Hygiene Kit])</f>
        <v>0</v>
      </c>
      <c r="Z592" s="436">
        <f>IF(NFI_Expiration=1,IF($A592&lt;VLOOKUP(I$5,NFI,5,0),1,0)*Table_NFI[[#This Row],[NFI Core Kit]],Table_NFI[NFI Core Kit])</f>
        <v>0</v>
      </c>
      <c r="AA592" s="436">
        <f>IF(NFI_Expiration=1,IF($A592&lt;VLOOKUP(J$5,NFI,5,0),1,0)*Table_NFI[[#This Row],[Sanitary Kit]],Table_NFI[Sanitary Kit])</f>
        <v>0</v>
      </c>
      <c r="AB592" s="436">
        <f>IF(NFI_Expiration=1,IF($A592&lt;VLOOKUP(K$5,NFI,5,0),1,0)*Table_NFI[[#This Row],[Mosquito net]],Table_NFI[Mosquito net])</f>
        <v>0</v>
      </c>
      <c r="AC592" s="436">
        <f>IF(NFI_Expiration=1,IF($A592&lt;VLOOKUP(L$5,NFI,5,0),1,0)*Table_NFI[[#This Row],[Tarpaulin]],Table_NFI[[#This Row],[Tarpaulin]])</f>
        <v>0</v>
      </c>
      <c r="AD592" s="436">
        <f>IF(NFI_Expiration=1,IF($A592&lt;VLOOKUP(M$5,NFI,5,0),1,0)*Table_NFI[[#This Row],[Blanket]],Table_NFI[[#This Row],[Blanket]])</f>
        <v>0</v>
      </c>
      <c r="AE592" s="436">
        <f>IF(NFI_Expiration=1,IF($A592&lt;VLOOKUP(N$5,NFI,5,0),1,0)*Table_NFI[[#This Row],[Kitchen Set]],Table_NFI[Kitchen Set])</f>
        <v>0</v>
      </c>
      <c r="AF592" s="436">
        <f>IF(NFI_Expiration=1,IF($A592&lt;VLOOKUP(O$5,NFI,5,0),1,0)*Table_NFI[[#This Row],[Clothes Kit]],Table_NFI[Clothes Kit])</f>
        <v>0</v>
      </c>
      <c r="AG592" s="436">
        <f>IF(NFI_Expiration=1,IF($A592&lt;VLOOKUP(P$5,NFI,5,0),1,0)*Table_NFI[[#This Row],[Plastic Bucket]],Table_NFI[Plastic Bucket])</f>
        <v>0</v>
      </c>
      <c r="AH592" s="436">
        <f>IF(NFI_Expiration=1,IF($A592&lt;VLOOKUP(Q$5,NFI,5,0),1,0)*Table_NFI[[#This Row],[Plastic Mat]],Table_NFI[Plastic Mat])*IF(Table_NFI[[#This Row],[Distribution Date]]&gt;"2014-04-01",1,2.5)</f>
        <v>0</v>
      </c>
      <c r="AI592" s="436">
        <f>IF(NFI_Expiration=1,IF($A592&lt;VLOOKUP(R$5,NFI,5,0),1,0)*Table_NFI[[#This Row],[Winter Clothes Adult]],Table_NFI[Winter Clothes Adult])</f>
        <v>0</v>
      </c>
      <c r="AJ592" s="436">
        <f>IF(NFI_Expiration=1,IF($A592&lt;VLOOKUP(S$5,NFI,5,0),1,0)*Table_NFI[[#This Row],[Winter Clothes Children]],Table_NFI[Winter Clothes Children])</f>
        <v>0</v>
      </c>
      <c r="AK592" s="436">
        <f>IF(NFI_Expiration=1,IF($A592&lt;VLOOKUP(T$5,NFI,5,0),1,0)*Table_NFI[[#This Row],[Winter Items Other]],Table_NFI[Winter Items Other])</f>
        <v>0</v>
      </c>
      <c r="AL592" s="436">
        <f>IF(NFI_Expiration=1,IF($A592&lt;VLOOKUP(M$5,NFI,5,0),1,0)*Table_NFI[[#This Row],[Winter Blanket]],Table_NFI[[#This Row],[Winter Blanket]])</f>
        <v>0</v>
      </c>
      <c r="AM592" s="436">
        <f>IF(Table_NFI[[#This Row],[Winter Clothes Adult]]+Table_NFI[[#This Row],[Winter Clothes Children]]+Table_NFI[[#This Row],[Winter Items Other]]+Table_NFI[[#This Row],[Winter Blanket]]&gt;0,1,0)</f>
        <v>0</v>
      </c>
      <c r="AN592" s="439">
        <f>IF(NFI_Expiration=1,IF($A592&lt;VLOOKUP(V$5,NFI,5,0),1,0)*Table_NFI[[#This Row],[Jerry Can]],Table_NFI[Jerry Can])</f>
        <v>0</v>
      </c>
      <c r="AO592" s="771" t="str">
        <f>IFERROR(VLOOKUP(Table_NFI[[#This Row],[Camp Name]],CL,2,0),"")</f>
        <v>MMR001CMP103</v>
      </c>
      <c r="AP592" s="772">
        <f ca="1">IF(Table_NFI[[#This Row],[Pcode]]="","",IF(OFFSET(CampList[Opening Date],MATCH(Table_NFI[[#This Row],[Pcode]],CampList[CP_Pcode],0)-1,0,1,1)&gt;=NFI_Monitor_Date,1,0))</f>
        <v>0</v>
      </c>
      <c r="AQ592" s="781" t="str">
        <f>IFERROR(VLOOKUP(Table_NFI[[#This Row],[Camp Name]],CL,3,0),"")</f>
        <v>Open</v>
      </c>
      <c r="AR592" s="439" t="str">
        <f ca="1">IF(Table_NFI[[#This Row],[Pcode]]="","",OFFSET(CampList[Priority],MATCH(Table_NFI[[#This Row],[Pcode]],CampList[CP_Pcode],0)-1,0,1,1))</f>
        <v>P4</v>
      </c>
      <c r="AS592" s="438">
        <f>IFERROR(Table_NFI[[#This Row],[Kitchen Set]]/VLOOKUP(Table_NFI[[#This Row],[Camp Name]],CL,4,0),"")</f>
        <v>0</v>
      </c>
      <c r="AT592" s="769" t="s">
        <v>1099</v>
      </c>
      <c r="AU592" s="773"/>
    </row>
    <row r="593" spans="1:47" x14ac:dyDescent="0.25">
      <c r="A593" s="451">
        <f t="shared" si="9"/>
        <v>34.833333333333336</v>
      </c>
      <c r="B593" s="768">
        <v>41325</v>
      </c>
      <c r="C593" s="769" t="s">
        <v>454</v>
      </c>
      <c r="D593" s="770" t="s">
        <v>454</v>
      </c>
      <c r="E593" s="769" t="s">
        <v>380</v>
      </c>
      <c r="F593" s="435" t="s">
        <v>529</v>
      </c>
      <c r="G593" s="435" t="s">
        <v>108</v>
      </c>
      <c r="H593" s="436"/>
      <c r="I593" s="441"/>
      <c r="J593" s="434">
        <v>32</v>
      </c>
      <c r="K593" s="434">
        <v>64</v>
      </c>
      <c r="L593" s="434">
        <v>33</v>
      </c>
      <c r="M593" s="434">
        <v>64</v>
      </c>
      <c r="N593" s="434">
        <v>33</v>
      </c>
      <c r="O593" s="434">
        <v>33</v>
      </c>
      <c r="P593" s="437">
        <v>33</v>
      </c>
      <c r="Q593" s="437">
        <v>33</v>
      </c>
      <c r="R593" s="436"/>
      <c r="S593" s="436"/>
      <c r="T593" s="436"/>
      <c r="U593" s="436"/>
      <c r="V593" s="436"/>
      <c r="W593" s="436"/>
      <c r="X593" s="436"/>
      <c r="Y593" s="436">
        <f>IF(NFI_Expiration=1,IF($A593&lt;VLOOKUP(H$5,NFI,5,0),1,0)*Table_NFI[[#This Row],[Hygiene Kit]],Table_NFI[Hygiene Kit])</f>
        <v>0</v>
      </c>
      <c r="Z593" s="436">
        <f>IF(NFI_Expiration=1,IF($A593&lt;VLOOKUP(I$5,NFI,5,0),1,0)*Table_NFI[[#This Row],[NFI Core Kit]],Table_NFI[NFI Core Kit])</f>
        <v>0</v>
      </c>
      <c r="AA593" s="436">
        <f>IF(NFI_Expiration=1,IF($A593&lt;VLOOKUP(J$5,NFI,5,0),1,0)*Table_NFI[[#This Row],[Sanitary Kit]],Table_NFI[Sanitary Kit])</f>
        <v>0</v>
      </c>
      <c r="AB593" s="436">
        <f>IF(NFI_Expiration=1,IF($A593&lt;VLOOKUP(K$5,NFI,5,0),1,0)*Table_NFI[[#This Row],[Mosquito net]],Table_NFI[Mosquito net])</f>
        <v>0</v>
      </c>
      <c r="AC593" s="436">
        <f>IF(NFI_Expiration=1,IF($A593&lt;VLOOKUP(L$5,NFI,5,0),1,0)*Table_NFI[[#This Row],[Tarpaulin]],Table_NFI[[#This Row],[Tarpaulin]])</f>
        <v>0</v>
      </c>
      <c r="AD593" s="436">
        <f>IF(NFI_Expiration=1,IF($A593&lt;VLOOKUP(M$5,NFI,5,0),1,0)*Table_NFI[[#This Row],[Blanket]],Table_NFI[[#This Row],[Blanket]])</f>
        <v>0</v>
      </c>
      <c r="AE593" s="436">
        <f>IF(NFI_Expiration=1,IF($A593&lt;VLOOKUP(N$5,NFI,5,0),1,0)*Table_NFI[[#This Row],[Kitchen Set]],Table_NFI[Kitchen Set])</f>
        <v>0</v>
      </c>
      <c r="AF593" s="436">
        <f>IF(NFI_Expiration=1,IF($A593&lt;VLOOKUP(O$5,NFI,5,0),1,0)*Table_NFI[[#This Row],[Clothes Kit]],Table_NFI[Clothes Kit])</f>
        <v>0</v>
      </c>
      <c r="AG593" s="436">
        <f>IF(NFI_Expiration=1,IF($A593&lt;VLOOKUP(P$5,NFI,5,0),1,0)*Table_NFI[[#This Row],[Plastic Bucket]],Table_NFI[Plastic Bucket])</f>
        <v>0</v>
      </c>
      <c r="AH593" s="436">
        <f>IF(NFI_Expiration=1,IF($A593&lt;VLOOKUP(Q$5,NFI,5,0),1,0)*Table_NFI[[#This Row],[Plastic Mat]],Table_NFI[Plastic Mat])*IF(Table_NFI[[#This Row],[Distribution Date]]&gt;"2014-04-01",1,2.5)</f>
        <v>0</v>
      </c>
      <c r="AI593" s="436">
        <f>IF(NFI_Expiration=1,IF($A593&lt;VLOOKUP(R$5,NFI,5,0),1,0)*Table_NFI[[#This Row],[Winter Clothes Adult]],Table_NFI[Winter Clothes Adult])</f>
        <v>0</v>
      </c>
      <c r="AJ593" s="436">
        <f>IF(NFI_Expiration=1,IF($A593&lt;VLOOKUP(S$5,NFI,5,0),1,0)*Table_NFI[[#This Row],[Winter Clothes Children]],Table_NFI[Winter Clothes Children])</f>
        <v>0</v>
      </c>
      <c r="AK593" s="436">
        <f>IF(NFI_Expiration=1,IF($A593&lt;VLOOKUP(T$5,NFI,5,0),1,0)*Table_NFI[[#This Row],[Winter Items Other]],Table_NFI[Winter Items Other])</f>
        <v>0</v>
      </c>
      <c r="AL593" s="436">
        <f>IF(NFI_Expiration=1,IF($A593&lt;VLOOKUP(M$5,NFI,5,0),1,0)*Table_NFI[[#This Row],[Winter Blanket]],Table_NFI[[#This Row],[Winter Blanket]])</f>
        <v>0</v>
      </c>
      <c r="AM593" s="436">
        <f>IF(Table_NFI[[#This Row],[Winter Clothes Adult]]+Table_NFI[[#This Row],[Winter Clothes Children]]+Table_NFI[[#This Row],[Winter Items Other]]+Table_NFI[[#This Row],[Winter Blanket]]&gt;0,1,0)</f>
        <v>0</v>
      </c>
      <c r="AN593" s="439">
        <f>IF(NFI_Expiration=1,IF($A593&lt;VLOOKUP(V$5,NFI,5,0),1,0)*Table_NFI[[#This Row],[Jerry Can]],Table_NFI[Jerry Can])</f>
        <v>0</v>
      </c>
      <c r="AO593" s="771" t="str">
        <f>IFERROR(VLOOKUP(Table_NFI[[#This Row],[Camp Name]],CL,2,0),"")</f>
        <v>MMR001CMP103</v>
      </c>
      <c r="AP593" s="772">
        <f ca="1">IF(Table_NFI[[#This Row],[Pcode]]="","",IF(OFFSET(CampList[Opening Date],MATCH(Table_NFI[[#This Row],[Pcode]],CampList[CP_Pcode],0)-1,0,1,1)&gt;=NFI_Monitor_Date,1,0))</f>
        <v>0</v>
      </c>
      <c r="AQ593" s="781" t="str">
        <f>IFERROR(VLOOKUP(Table_NFI[[#This Row],[Camp Name]],CL,3,0),"")</f>
        <v>Open</v>
      </c>
      <c r="AR593" s="439" t="str">
        <f ca="1">IF(Table_NFI[[#This Row],[Pcode]]="","",OFFSET(CampList[Priority],MATCH(Table_NFI[[#This Row],[Pcode]],CampList[CP_Pcode],0)-1,0,1,1))</f>
        <v>P4</v>
      </c>
      <c r="AS593" s="438">
        <f>IFERROR(Table_NFI[[#This Row],[Kitchen Set]]/VLOOKUP(Table_NFI[[#This Row],[Camp Name]],CL,4,0),"")</f>
        <v>0.61111111111111116</v>
      </c>
      <c r="AT593" s="769" t="s">
        <v>1099</v>
      </c>
      <c r="AU593" s="773"/>
    </row>
    <row r="594" spans="1:47" x14ac:dyDescent="0.25">
      <c r="A594" s="451">
        <f t="shared" si="9"/>
        <v>34.833333333333336</v>
      </c>
      <c r="B594" s="768">
        <v>41325</v>
      </c>
      <c r="C594" s="769" t="s">
        <v>454</v>
      </c>
      <c r="D594" s="770" t="s">
        <v>454</v>
      </c>
      <c r="E594" s="769" t="s">
        <v>380</v>
      </c>
      <c r="F594" s="435" t="s">
        <v>529</v>
      </c>
      <c r="G594" s="435" t="s">
        <v>110</v>
      </c>
      <c r="H594" s="436"/>
      <c r="I594" s="436"/>
      <c r="J594" s="436">
        <v>175</v>
      </c>
      <c r="K594" s="436">
        <v>0</v>
      </c>
      <c r="L594" s="437">
        <v>0</v>
      </c>
      <c r="M594" s="437">
        <v>0</v>
      </c>
      <c r="N594" s="437">
        <v>0</v>
      </c>
      <c r="O594" s="437">
        <v>0</v>
      </c>
      <c r="P594" s="437"/>
      <c r="Q594" s="437"/>
      <c r="R594" s="436"/>
      <c r="S594" s="436"/>
      <c r="T594" s="436"/>
      <c r="U594" s="436"/>
      <c r="V594" s="436"/>
      <c r="W594" s="436"/>
      <c r="X594" s="436"/>
      <c r="Y594" s="436">
        <f>IF(NFI_Expiration=1,IF($A594&lt;VLOOKUP(H$5,NFI,5,0),1,0)*Table_NFI[[#This Row],[Hygiene Kit]],Table_NFI[Hygiene Kit])</f>
        <v>0</v>
      </c>
      <c r="Z594" s="436">
        <f>IF(NFI_Expiration=1,IF($A594&lt;VLOOKUP(I$5,NFI,5,0),1,0)*Table_NFI[[#This Row],[NFI Core Kit]],Table_NFI[NFI Core Kit])</f>
        <v>0</v>
      </c>
      <c r="AA594" s="436">
        <f>IF(NFI_Expiration=1,IF($A594&lt;VLOOKUP(J$5,NFI,5,0),1,0)*Table_NFI[[#This Row],[Sanitary Kit]],Table_NFI[Sanitary Kit])</f>
        <v>0</v>
      </c>
      <c r="AB594" s="436">
        <f>IF(NFI_Expiration=1,IF($A594&lt;VLOOKUP(K$5,NFI,5,0),1,0)*Table_NFI[[#This Row],[Mosquito net]],Table_NFI[Mosquito net])</f>
        <v>0</v>
      </c>
      <c r="AC594" s="436">
        <f>IF(NFI_Expiration=1,IF($A594&lt;VLOOKUP(L$5,NFI,5,0),1,0)*Table_NFI[[#This Row],[Tarpaulin]],Table_NFI[[#This Row],[Tarpaulin]])</f>
        <v>0</v>
      </c>
      <c r="AD594" s="436">
        <f>IF(NFI_Expiration=1,IF($A594&lt;VLOOKUP(M$5,NFI,5,0),1,0)*Table_NFI[[#This Row],[Blanket]],Table_NFI[[#This Row],[Blanket]])</f>
        <v>0</v>
      </c>
      <c r="AE594" s="436">
        <f>IF(NFI_Expiration=1,IF($A594&lt;VLOOKUP(N$5,NFI,5,0),1,0)*Table_NFI[[#This Row],[Kitchen Set]],Table_NFI[Kitchen Set])</f>
        <v>0</v>
      </c>
      <c r="AF594" s="436">
        <f>IF(NFI_Expiration=1,IF($A594&lt;VLOOKUP(O$5,NFI,5,0),1,0)*Table_NFI[[#This Row],[Clothes Kit]],Table_NFI[Clothes Kit])</f>
        <v>0</v>
      </c>
      <c r="AG594" s="436">
        <f>IF(NFI_Expiration=1,IF($A594&lt;VLOOKUP(P$5,NFI,5,0),1,0)*Table_NFI[[#This Row],[Plastic Bucket]],Table_NFI[Plastic Bucket])</f>
        <v>0</v>
      </c>
      <c r="AH594" s="436">
        <f>IF(NFI_Expiration=1,IF($A594&lt;VLOOKUP(Q$5,NFI,5,0),1,0)*Table_NFI[[#This Row],[Plastic Mat]],Table_NFI[Plastic Mat])*IF(Table_NFI[[#This Row],[Distribution Date]]&gt;"2014-04-01",1,2.5)</f>
        <v>0</v>
      </c>
      <c r="AI594" s="436">
        <f>IF(NFI_Expiration=1,IF($A594&lt;VLOOKUP(R$5,NFI,5,0),1,0)*Table_NFI[[#This Row],[Winter Clothes Adult]],Table_NFI[Winter Clothes Adult])</f>
        <v>0</v>
      </c>
      <c r="AJ594" s="436">
        <f>IF(NFI_Expiration=1,IF($A594&lt;VLOOKUP(S$5,NFI,5,0),1,0)*Table_NFI[[#This Row],[Winter Clothes Children]],Table_NFI[Winter Clothes Children])</f>
        <v>0</v>
      </c>
      <c r="AK594" s="436">
        <f>IF(NFI_Expiration=1,IF($A594&lt;VLOOKUP(T$5,NFI,5,0),1,0)*Table_NFI[[#This Row],[Winter Items Other]],Table_NFI[Winter Items Other])</f>
        <v>0</v>
      </c>
      <c r="AL594" s="436">
        <f>IF(NFI_Expiration=1,IF($A594&lt;VLOOKUP(M$5,NFI,5,0),1,0)*Table_NFI[[#This Row],[Winter Blanket]],Table_NFI[[#This Row],[Winter Blanket]])</f>
        <v>0</v>
      </c>
      <c r="AM594" s="436">
        <f>IF(Table_NFI[[#This Row],[Winter Clothes Adult]]+Table_NFI[[#This Row],[Winter Clothes Children]]+Table_NFI[[#This Row],[Winter Items Other]]+Table_NFI[[#This Row],[Winter Blanket]]&gt;0,1,0)</f>
        <v>0</v>
      </c>
      <c r="AN594" s="439">
        <f>IF(NFI_Expiration=1,IF($A594&lt;VLOOKUP(V$5,NFI,5,0),1,0)*Table_NFI[[#This Row],[Jerry Can]],Table_NFI[Jerry Can])</f>
        <v>0</v>
      </c>
      <c r="AO594" s="771" t="str">
        <f>IFERROR(VLOOKUP(Table_NFI[[#This Row],[Camp Name]],CL,2,0),"")</f>
        <v>MMR001CMP082</v>
      </c>
      <c r="AP594" s="772">
        <f ca="1">IF(Table_NFI[[#This Row],[Pcode]]="","",IF(OFFSET(CampList[Opening Date],MATCH(Table_NFI[[#This Row],[Pcode]],CampList[CP_Pcode],0)-1,0,1,1)&gt;=NFI_Monitor_Date,1,0))</f>
        <v>0</v>
      </c>
      <c r="AQ594" s="781" t="str">
        <f>IFERROR(VLOOKUP(Table_NFI[[#This Row],[Camp Name]],CL,3,0),"")</f>
        <v>Closed</v>
      </c>
      <c r="AR594" s="439" t="str">
        <f ca="1">IF(Table_NFI[[#This Row],[Pcode]]="","",OFFSET(CampList[Priority],MATCH(Table_NFI[[#This Row],[Pcode]],CampList[CP_Pcode],0)-1,0,1,1))</f>
        <v/>
      </c>
      <c r="AS594" s="438" t="str">
        <f>IFERROR(Table_NFI[[#This Row],[Kitchen Set]]/VLOOKUP(Table_NFI[[#This Row],[Camp Name]],CL,4,0),"")</f>
        <v/>
      </c>
      <c r="AT594" s="769" t="s">
        <v>1099</v>
      </c>
      <c r="AU594" s="773"/>
    </row>
    <row r="595" spans="1:47" x14ac:dyDescent="0.25">
      <c r="A595" s="451">
        <f t="shared" si="9"/>
        <v>34.833333333333336</v>
      </c>
      <c r="B595" s="768">
        <v>41325</v>
      </c>
      <c r="C595" s="769" t="s">
        <v>454</v>
      </c>
      <c r="D595" s="769" t="s">
        <v>454</v>
      </c>
      <c r="E595" s="769" t="s">
        <v>380</v>
      </c>
      <c r="F595" s="769" t="s">
        <v>529</v>
      </c>
      <c r="G595" s="435" t="s">
        <v>112</v>
      </c>
      <c r="H595" s="436"/>
      <c r="I595" s="436"/>
      <c r="J595" s="436">
        <v>38</v>
      </c>
      <c r="K595" s="436">
        <v>89</v>
      </c>
      <c r="L595" s="437">
        <v>44</v>
      </c>
      <c r="M595" s="437">
        <v>89</v>
      </c>
      <c r="N595" s="437">
        <v>44</v>
      </c>
      <c r="O595" s="437">
        <v>44</v>
      </c>
      <c r="P595" s="437">
        <v>44</v>
      </c>
      <c r="Q595" s="437">
        <v>44</v>
      </c>
      <c r="R595" s="436"/>
      <c r="S595" s="436"/>
      <c r="T595" s="436"/>
      <c r="U595" s="436"/>
      <c r="V595" s="436"/>
      <c r="W595" s="436"/>
      <c r="X595" s="436"/>
      <c r="Y595" s="436">
        <f>IF(NFI_Expiration=1,IF($A595&lt;VLOOKUP(H$5,NFI,5,0),1,0)*Table_NFI[[#This Row],[Hygiene Kit]],Table_NFI[Hygiene Kit])</f>
        <v>0</v>
      </c>
      <c r="Z595" s="436">
        <f>IF(NFI_Expiration=1,IF($A595&lt;VLOOKUP(I$5,NFI,5,0),1,0)*Table_NFI[[#This Row],[NFI Core Kit]],Table_NFI[NFI Core Kit])</f>
        <v>0</v>
      </c>
      <c r="AA595" s="436">
        <f>IF(NFI_Expiration=1,IF($A595&lt;VLOOKUP(J$5,NFI,5,0),1,0)*Table_NFI[[#This Row],[Sanitary Kit]],Table_NFI[Sanitary Kit])</f>
        <v>0</v>
      </c>
      <c r="AB595" s="436">
        <f>IF(NFI_Expiration=1,IF($A595&lt;VLOOKUP(K$5,NFI,5,0),1,0)*Table_NFI[[#This Row],[Mosquito net]],Table_NFI[Mosquito net])</f>
        <v>0</v>
      </c>
      <c r="AC595" s="436">
        <f>IF(NFI_Expiration=1,IF($A595&lt;VLOOKUP(L$5,NFI,5,0),1,0)*Table_NFI[[#This Row],[Tarpaulin]],Table_NFI[[#This Row],[Tarpaulin]])</f>
        <v>0</v>
      </c>
      <c r="AD595" s="436">
        <f>IF(NFI_Expiration=1,IF($A595&lt;VLOOKUP(M$5,NFI,5,0),1,0)*Table_NFI[[#This Row],[Blanket]],Table_NFI[[#This Row],[Blanket]])</f>
        <v>0</v>
      </c>
      <c r="AE595" s="436">
        <f>IF(NFI_Expiration=1,IF($A595&lt;VLOOKUP(N$5,NFI,5,0),1,0)*Table_NFI[[#This Row],[Kitchen Set]],Table_NFI[Kitchen Set])</f>
        <v>0</v>
      </c>
      <c r="AF595" s="436">
        <f>IF(NFI_Expiration=1,IF($A595&lt;VLOOKUP(O$5,NFI,5,0),1,0)*Table_NFI[[#This Row],[Clothes Kit]],Table_NFI[Clothes Kit])</f>
        <v>0</v>
      </c>
      <c r="AG595" s="436">
        <f>IF(NFI_Expiration=1,IF($A595&lt;VLOOKUP(P$5,NFI,5,0),1,0)*Table_NFI[[#This Row],[Plastic Bucket]],Table_NFI[Plastic Bucket])</f>
        <v>0</v>
      </c>
      <c r="AH595" s="436">
        <f>IF(NFI_Expiration=1,IF($A595&lt;VLOOKUP(Q$5,NFI,5,0),1,0)*Table_NFI[[#This Row],[Plastic Mat]],Table_NFI[Plastic Mat])*IF(Table_NFI[[#This Row],[Distribution Date]]&gt;"2014-04-01",1,2.5)</f>
        <v>0</v>
      </c>
      <c r="AI595" s="436">
        <f>IF(NFI_Expiration=1,IF($A595&lt;VLOOKUP(R$5,NFI,5,0),1,0)*Table_NFI[[#This Row],[Winter Clothes Adult]],Table_NFI[Winter Clothes Adult])</f>
        <v>0</v>
      </c>
      <c r="AJ595" s="436">
        <f>IF(NFI_Expiration=1,IF($A595&lt;VLOOKUP(S$5,NFI,5,0),1,0)*Table_NFI[[#This Row],[Winter Clothes Children]],Table_NFI[Winter Clothes Children])</f>
        <v>0</v>
      </c>
      <c r="AK595" s="436">
        <f>IF(NFI_Expiration=1,IF($A595&lt;VLOOKUP(T$5,NFI,5,0),1,0)*Table_NFI[[#This Row],[Winter Items Other]],Table_NFI[Winter Items Other])</f>
        <v>0</v>
      </c>
      <c r="AL595" s="436">
        <f>IF(NFI_Expiration=1,IF($A595&lt;VLOOKUP(M$5,NFI,5,0),1,0)*Table_NFI[[#This Row],[Winter Blanket]],Table_NFI[[#This Row],[Winter Blanket]])</f>
        <v>0</v>
      </c>
      <c r="AM595" s="436">
        <f>IF(Table_NFI[[#This Row],[Winter Clothes Adult]]+Table_NFI[[#This Row],[Winter Clothes Children]]+Table_NFI[[#This Row],[Winter Items Other]]+Table_NFI[[#This Row],[Winter Blanket]]&gt;0,1,0)</f>
        <v>0</v>
      </c>
      <c r="AN595" s="439">
        <f>IF(NFI_Expiration=1,IF($A595&lt;VLOOKUP(V$5,NFI,5,0),1,0)*Table_NFI[[#This Row],[Jerry Can]],Table_NFI[Jerry Can])</f>
        <v>0</v>
      </c>
      <c r="AO595" s="771" t="str">
        <f>IFERROR(VLOOKUP(Table_NFI[[#This Row],[Camp Name]],CL,2,0),"")</f>
        <v>MMR001CMP083</v>
      </c>
      <c r="AP595" s="772">
        <f ca="1">IF(Table_NFI[[#This Row],[Pcode]]="","",IF(OFFSET(CampList[Opening Date],MATCH(Table_NFI[[#This Row],[Pcode]],CampList[CP_Pcode],0)-1,0,1,1)&gt;=NFI_Monitor_Date,1,0))</f>
        <v>0</v>
      </c>
      <c r="AQ595" s="781" t="str">
        <f>IFERROR(VLOOKUP(Table_NFI[[#This Row],[Camp Name]],CL,3,0),"")</f>
        <v>Closed</v>
      </c>
      <c r="AR595" s="439" t="str">
        <f ca="1">IF(Table_NFI[[#This Row],[Pcode]]="","",OFFSET(CampList[Priority],MATCH(Table_NFI[[#This Row],[Pcode]],CampList[CP_Pcode],0)-1,0,1,1))</f>
        <v/>
      </c>
      <c r="AS595" s="438" t="str">
        <f>IFERROR(Table_NFI[[#This Row],[Kitchen Set]]/VLOOKUP(Table_NFI[[#This Row],[Camp Name]],CL,4,0),"")</f>
        <v/>
      </c>
      <c r="AT595" s="769" t="s">
        <v>1099</v>
      </c>
      <c r="AU595" s="773"/>
    </row>
    <row r="596" spans="1:47" x14ac:dyDescent="0.25">
      <c r="A596" s="451">
        <f t="shared" si="9"/>
        <v>34.833333333333336</v>
      </c>
      <c r="B596" s="768">
        <v>41325</v>
      </c>
      <c r="C596" s="769" t="s">
        <v>454</v>
      </c>
      <c r="D596" s="769" t="s">
        <v>454</v>
      </c>
      <c r="E596" s="769" t="s">
        <v>380</v>
      </c>
      <c r="F596" s="769" t="s">
        <v>529</v>
      </c>
      <c r="G596" s="435" t="s">
        <v>140</v>
      </c>
      <c r="H596" s="436"/>
      <c r="I596" s="436"/>
      <c r="J596" s="436">
        <v>46</v>
      </c>
      <c r="K596" s="436">
        <v>0</v>
      </c>
      <c r="L596" s="437">
        <v>0</v>
      </c>
      <c r="M596" s="437">
        <v>0</v>
      </c>
      <c r="N596" s="437">
        <v>0</v>
      </c>
      <c r="O596" s="437">
        <v>0</v>
      </c>
      <c r="P596" s="437"/>
      <c r="Q596" s="437"/>
      <c r="R596" s="436"/>
      <c r="S596" s="436"/>
      <c r="T596" s="436"/>
      <c r="U596" s="436"/>
      <c r="V596" s="436"/>
      <c r="W596" s="436"/>
      <c r="X596" s="436"/>
      <c r="Y596" s="436">
        <f>IF(NFI_Expiration=1,IF($A596&lt;VLOOKUP(H$5,NFI,5,0),1,0)*Table_NFI[[#This Row],[Hygiene Kit]],Table_NFI[Hygiene Kit])</f>
        <v>0</v>
      </c>
      <c r="Z596" s="436">
        <f>IF(NFI_Expiration=1,IF($A596&lt;VLOOKUP(I$5,NFI,5,0),1,0)*Table_NFI[[#This Row],[NFI Core Kit]],Table_NFI[NFI Core Kit])</f>
        <v>0</v>
      </c>
      <c r="AA596" s="436">
        <f>IF(NFI_Expiration=1,IF($A596&lt;VLOOKUP(J$5,NFI,5,0),1,0)*Table_NFI[[#This Row],[Sanitary Kit]],Table_NFI[Sanitary Kit])</f>
        <v>0</v>
      </c>
      <c r="AB596" s="436">
        <f>IF(NFI_Expiration=1,IF($A596&lt;VLOOKUP(K$5,NFI,5,0),1,0)*Table_NFI[[#This Row],[Mosquito net]],Table_NFI[Mosquito net])</f>
        <v>0</v>
      </c>
      <c r="AC596" s="436">
        <f>IF(NFI_Expiration=1,IF($A596&lt;VLOOKUP(L$5,NFI,5,0),1,0)*Table_NFI[[#This Row],[Tarpaulin]],Table_NFI[[#This Row],[Tarpaulin]])</f>
        <v>0</v>
      </c>
      <c r="AD596" s="436">
        <f>IF(NFI_Expiration=1,IF($A596&lt;VLOOKUP(M$5,NFI,5,0),1,0)*Table_NFI[[#This Row],[Blanket]],Table_NFI[[#This Row],[Blanket]])</f>
        <v>0</v>
      </c>
      <c r="AE596" s="436">
        <f>IF(NFI_Expiration=1,IF($A596&lt;VLOOKUP(N$5,NFI,5,0),1,0)*Table_NFI[[#This Row],[Kitchen Set]],Table_NFI[Kitchen Set])</f>
        <v>0</v>
      </c>
      <c r="AF596" s="436">
        <f>IF(NFI_Expiration=1,IF($A596&lt;VLOOKUP(O$5,NFI,5,0),1,0)*Table_NFI[[#This Row],[Clothes Kit]],Table_NFI[Clothes Kit])</f>
        <v>0</v>
      </c>
      <c r="AG596" s="436">
        <f>IF(NFI_Expiration=1,IF($A596&lt;VLOOKUP(P$5,NFI,5,0),1,0)*Table_NFI[[#This Row],[Plastic Bucket]],Table_NFI[Plastic Bucket])</f>
        <v>0</v>
      </c>
      <c r="AH596" s="436">
        <f>IF(NFI_Expiration=1,IF($A596&lt;VLOOKUP(Q$5,NFI,5,0),1,0)*Table_NFI[[#This Row],[Plastic Mat]],Table_NFI[Plastic Mat])*IF(Table_NFI[[#This Row],[Distribution Date]]&gt;"2014-04-01",1,2.5)</f>
        <v>0</v>
      </c>
      <c r="AI596" s="436">
        <f>IF(NFI_Expiration=1,IF($A596&lt;VLOOKUP(R$5,NFI,5,0),1,0)*Table_NFI[[#This Row],[Winter Clothes Adult]],Table_NFI[Winter Clothes Adult])</f>
        <v>0</v>
      </c>
      <c r="AJ596" s="436">
        <f>IF(NFI_Expiration=1,IF($A596&lt;VLOOKUP(S$5,NFI,5,0),1,0)*Table_NFI[[#This Row],[Winter Clothes Children]],Table_NFI[Winter Clothes Children])</f>
        <v>0</v>
      </c>
      <c r="AK596" s="436">
        <f>IF(NFI_Expiration=1,IF($A596&lt;VLOOKUP(T$5,NFI,5,0),1,0)*Table_NFI[[#This Row],[Winter Items Other]],Table_NFI[Winter Items Other])</f>
        <v>0</v>
      </c>
      <c r="AL596" s="436">
        <f>IF(NFI_Expiration=1,IF($A596&lt;VLOOKUP(M$5,NFI,5,0),1,0)*Table_NFI[[#This Row],[Winter Blanket]],Table_NFI[[#This Row],[Winter Blanket]])</f>
        <v>0</v>
      </c>
      <c r="AM596" s="436">
        <f>IF(Table_NFI[[#This Row],[Winter Clothes Adult]]+Table_NFI[[#This Row],[Winter Clothes Children]]+Table_NFI[[#This Row],[Winter Items Other]]+Table_NFI[[#This Row],[Winter Blanket]]&gt;0,1,0)</f>
        <v>0</v>
      </c>
      <c r="AN596" s="439">
        <f>IF(NFI_Expiration=1,IF($A596&lt;VLOOKUP(V$5,NFI,5,0),1,0)*Table_NFI[[#This Row],[Jerry Can]],Table_NFI[Jerry Can])</f>
        <v>0</v>
      </c>
      <c r="AO596" s="771" t="str">
        <f>IFERROR(VLOOKUP(Table_NFI[[#This Row],[Camp Name]],CL,2,0),"")</f>
        <v>MMR001CMP105</v>
      </c>
      <c r="AP596" s="772">
        <f ca="1">IF(Table_NFI[[#This Row],[Pcode]]="","",IF(OFFSET(CampList[Opening Date],MATCH(Table_NFI[[#This Row],[Pcode]],CampList[CP_Pcode],0)-1,0,1,1)&gt;=NFI_Monitor_Date,1,0))</f>
        <v>0</v>
      </c>
      <c r="AQ596" s="781" t="str">
        <f>IFERROR(VLOOKUP(Table_NFI[[#This Row],[Camp Name]],CL,3,0),"")</f>
        <v>Open</v>
      </c>
      <c r="AR596" s="439" t="str">
        <f ca="1">IF(Table_NFI[[#This Row],[Pcode]]="","",OFFSET(CampList[Priority],MATCH(Table_NFI[[#This Row],[Pcode]],CampList[CP_Pcode],0)-1,0,1,1))</f>
        <v>P4</v>
      </c>
      <c r="AS596" s="438">
        <f>IFERROR(Table_NFI[[#This Row],[Kitchen Set]]/VLOOKUP(Table_NFI[[#This Row],[Camp Name]],CL,4,0),"")</f>
        <v>0</v>
      </c>
      <c r="AT596" s="769" t="s">
        <v>1099</v>
      </c>
      <c r="AU596" s="773"/>
    </row>
    <row r="597" spans="1:47" x14ac:dyDescent="0.25">
      <c r="A597" s="451">
        <f t="shared" si="9"/>
        <v>34.833333333333336</v>
      </c>
      <c r="B597" s="768">
        <v>41325</v>
      </c>
      <c r="C597" s="769" t="s">
        <v>454</v>
      </c>
      <c r="D597" s="770" t="s">
        <v>454</v>
      </c>
      <c r="E597" s="769" t="s">
        <v>380</v>
      </c>
      <c r="F597" s="435" t="s">
        <v>529</v>
      </c>
      <c r="G597" s="435" t="s">
        <v>516</v>
      </c>
      <c r="H597" s="436"/>
      <c r="I597" s="436"/>
      <c r="J597" s="436"/>
      <c r="K597" s="436">
        <v>11</v>
      </c>
      <c r="L597" s="437">
        <v>6</v>
      </c>
      <c r="M597" s="437">
        <v>0</v>
      </c>
      <c r="N597" s="437">
        <v>6</v>
      </c>
      <c r="O597" s="437">
        <v>6</v>
      </c>
      <c r="P597" s="437">
        <v>6</v>
      </c>
      <c r="Q597" s="437">
        <v>6</v>
      </c>
      <c r="R597" s="436"/>
      <c r="S597" s="436"/>
      <c r="T597" s="436"/>
      <c r="U597" s="436"/>
      <c r="V597" s="436"/>
      <c r="W597" s="436"/>
      <c r="X597" s="436"/>
      <c r="Y597" s="436">
        <f>IF(NFI_Expiration=1,IF($A597&lt;VLOOKUP(H$5,NFI,5,0),1,0)*Table_NFI[[#This Row],[Hygiene Kit]],Table_NFI[Hygiene Kit])</f>
        <v>0</v>
      </c>
      <c r="Z597" s="436">
        <f>IF(NFI_Expiration=1,IF($A597&lt;VLOOKUP(I$5,NFI,5,0),1,0)*Table_NFI[[#This Row],[NFI Core Kit]],Table_NFI[NFI Core Kit])</f>
        <v>0</v>
      </c>
      <c r="AA597" s="436">
        <f>IF(NFI_Expiration=1,IF($A597&lt;VLOOKUP(J$5,NFI,5,0),1,0)*Table_NFI[[#This Row],[Sanitary Kit]],Table_NFI[Sanitary Kit])</f>
        <v>0</v>
      </c>
      <c r="AB597" s="436">
        <f>IF(NFI_Expiration=1,IF($A597&lt;VLOOKUP(K$5,NFI,5,0),1,0)*Table_NFI[[#This Row],[Mosquito net]],Table_NFI[Mosquito net])</f>
        <v>0</v>
      </c>
      <c r="AC597" s="436">
        <f>IF(NFI_Expiration=1,IF($A597&lt;VLOOKUP(L$5,NFI,5,0),1,0)*Table_NFI[[#This Row],[Tarpaulin]],Table_NFI[[#This Row],[Tarpaulin]])</f>
        <v>0</v>
      </c>
      <c r="AD597" s="436">
        <f>IF(NFI_Expiration=1,IF($A597&lt;VLOOKUP(M$5,NFI,5,0),1,0)*Table_NFI[[#This Row],[Blanket]],Table_NFI[[#This Row],[Blanket]])</f>
        <v>0</v>
      </c>
      <c r="AE597" s="436">
        <f>IF(NFI_Expiration=1,IF($A597&lt;VLOOKUP(N$5,NFI,5,0),1,0)*Table_NFI[[#This Row],[Kitchen Set]],Table_NFI[Kitchen Set])</f>
        <v>0</v>
      </c>
      <c r="AF597" s="436">
        <f>IF(NFI_Expiration=1,IF($A597&lt;VLOOKUP(O$5,NFI,5,0),1,0)*Table_NFI[[#This Row],[Clothes Kit]],Table_NFI[Clothes Kit])</f>
        <v>0</v>
      </c>
      <c r="AG597" s="436">
        <f>IF(NFI_Expiration=1,IF($A597&lt;VLOOKUP(P$5,NFI,5,0),1,0)*Table_NFI[[#This Row],[Plastic Bucket]],Table_NFI[Plastic Bucket])</f>
        <v>0</v>
      </c>
      <c r="AH597" s="436">
        <f>IF(NFI_Expiration=1,IF($A597&lt;VLOOKUP(Q$5,NFI,5,0),1,0)*Table_NFI[[#This Row],[Plastic Mat]],Table_NFI[Plastic Mat])*IF(Table_NFI[[#This Row],[Distribution Date]]&gt;"2014-04-01",1,2.5)</f>
        <v>0</v>
      </c>
      <c r="AI597" s="436">
        <f>IF(NFI_Expiration=1,IF($A597&lt;VLOOKUP(R$5,NFI,5,0),1,0)*Table_NFI[[#This Row],[Winter Clothes Adult]],Table_NFI[Winter Clothes Adult])</f>
        <v>0</v>
      </c>
      <c r="AJ597" s="436">
        <f>IF(NFI_Expiration=1,IF($A597&lt;VLOOKUP(S$5,NFI,5,0),1,0)*Table_NFI[[#This Row],[Winter Clothes Children]],Table_NFI[Winter Clothes Children])</f>
        <v>0</v>
      </c>
      <c r="AK597" s="436">
        <f>IF(NFI_Expiration=1,IF($A597&lt;VLOOKUP(T$5,NFI,5,0),1,0)*Table_NFI[[#This Row],[Winter Items Other]],Table_NFI[Winter Items Other])</f>
        <v>0</v>
      </c>
      <c r="AL597" s="436">
        <f>IF(NFI_Expiration=1,IF($A597&lt;VLOOKUP(M$5,NFI,5,0),1,0)*Table_NFI[[#This Row],[Winter Blanket]],Table_NFI[[#This Row],[Winter Blanket]])</f>
        <v>0</v>
      </c>
      <c r="AM597" s="436">
        <f>IF(Table_NFI[[#This Row],[Winter Clothes Adult]]+Table_NFI[[#This Row],[Winter Clothes Children]]+Table_NFI[[#This Row],[Winter Items Other]]+Table_NFI[[#This Row],[Winter Blanket]]&gt;0,1,0)</f>
        <v>0</v>
      </c>
      <c r="AN597" s="439">
        <f>IF(NFI_Expiration=1,IF($A597&lt;VLOOKUP(V$5,NFI,5,0),1,0)*Table_NFI[[#This Row],[Jerry Can]],Table_NFI[Jerry Can])</f>
        <v>0</v>
      </c>
      <c r="AO597" s="771" t="str">
        <f>IFERROR(VLOOKUP(Table_NFI[[#This Row],[Camp Name]],CL,2,0),"")</f>
        <v>MMR001CMP201</v>
      </c>
      <c r="AP597" s="772">
        <f ca="1">IF(Table_NFI[[#This Row],[Pcode]]="","",IF(OFFSET(CampList[Opening Date],MATCH(Table_NFI[[#This Row],[Pcode]],CampList[CP_Pcode],0)-1,0,1,1)&gt;=NFI_Monitor_Date,1,0))</f>
        <v>0</v>
      </c>
      <c r="AQ597" s="781" t="str">
        <f>IFERROR(VLOOKUP(Table_NFI[[#This Row],[Camp Name]],CL,3,0),"")</f>
        <v>Closed</v>
      </c>
      <c r="AR597" s="439" t="str">
        <f ca="1">IF(Table_NFI[[#This Row],[Pcode]]="","",OFFSET(CampList[Priority],MATCH(Table_NFI[[#This Row],[Pcode]],CampList[CP_Pcode],0)-1,0,1,1))</f>
        <v/>
      </c>
      <c r="AS597" s="438" t="str">
        <f>IFERROR(Table_NFI[[#This Row],[Kitchen Set]]/VLOOKUP(Table_NFI[[#This Row],[Camp Name]],CL,4,0),"")</f>
        <v/>
      </c>
      <c r="AT597" s="769" t="s">
        <v>1099</v>
      </c>
      <c r="AU597" s="773"/>
    </row>
    <row r="598" spans="1:47" x14ac:dyDescent="0.25">
      <c r="A598" s="451">
        <f t="shared" si="9"/>
        <v>34.866666666666667</v>
      </c>
      <c r="B598" s="768">
        <v>41324</v>
      </c>
      <c r="C598" s="769" t="s">
        <v>454</v>
      </c>
      <c r="D598" s="769" t="s">
        <v>454</v>
      </c>
      <c r="E598" s="769" t="s">
        <v>380</v>
      </c>
      <c r="F598" s="769" t="s">
        <v>529</v>
      </c>
      <c r="G598" s="435" t="s">
        <v>128</v>
      </c>
      <c r="H598" s="436"/>
      <c r="I598" s="436"/>
      <c r="J598" s="436">
        <v>3</v>
      </c>
      <c r="K598" s="436">
        <v>7</v>
      </c>
      <c r="L598" s="437">
        <v>4</v>
      </c>
      <c r="M598" s="437">
        <v>7</v>
      </c>
      <c r="N598" s="437">
        <v>4</v>
      </c>
      <c r="O598" s="437">
        <v>4</v>
      </c>
      <c r="P598" s="439">
        <v>4</v>
      </c>
      <c r="Q598" s="439">
        <v>4</v>
      </c>
      <c r="R598" s="436"/>
      <c r="S598" s="436"/>
      <c r="T598" s="436"/>
      <c r="U598" s="436"/>
      <c r="V598" s="436"/>
      <c r="W598" s="436"/>
      <c r="X598" s="436"/>
      <c r="Y598" s="436">
        <f>IF(NFI_Expiration=1,IF($A598&lt;VLOOKUP(H$5,NFI,5,0),1,0)*Table_NFI[[#This Row],[Hygiene Kit]],Table_NFI[Hygiene Kit])</f>
        <v>0</v>
      </c>
      <c r="Z598" s="436">
        <f>IF(NFI_Expiration=1,IF($A598&lt;VLOOKUP(I$5,NFI,5,0),1,0)*Table_NFI[[#This Row],[NFI Core Kit]],Table_NFI[NFI Core Kit])</f>
        <v>0</v>
      </c>
      <c r="AA598" s="436">
        <f>IF(NFI_Expiration=1,IF($A598&lt;VLOOKUP(J$5,NFI,5,0),1,0)*Table_NFI[[#This Row],[Sanitary Kit]],Table_NFI[Sanitary Kit])</f>
        <v>0</v>
      </c>
      <c r="AB598" s="436">
        <f>IF(NFI_Expiration=1,IF($A598&lt;VLOOKUP(K$5,NFI,5,0),1,0)*Table_NFI[[#This Row],[Mosquito net]],Table_NFI[Mosquito net])</f>
        <v>0</v>
      </c>
      <c r="AC598" s="436">
        <f>IF(NFI_Expiration=1,IF($A598&lt;VLOOKUP(L$5,NFI,5,0),1,0)*Table_NFI[[#This Row],[Tarpaulin]],Table_NFI[[#This Row],[Tarpaulin]])</f>
        <v>0</v>
      </c>
      <c r="AD598" s="436">
        <f>IF(NFI_Expiration=1,IF($A598&lt;VLOOKUP(M$5,NFI,5,0),1,0)*Table_NFI[[#This Row],[Blanket]],Table_NFI[[#This Row],[Blanket]])</f>
        <v>0</v>
      </c>
      <c r="AE598" s="436">
        <f>IF(NFI_Expiration=1,IF($A598&lt;VLOOKUP(N$5,NFI,5,0),1,0)*Table_NFI[[#This Row],[Kitchen Set]],Table_NFI[Kitchen Set])</f>
        <v>0</v>
      </c>
      <c r="AF598" s="436">
        <f>IF(NFI_Expiration=1,IF($A598&lt;VLOOKUP(O$5,NFI,5,0),1,0)*Table_NFI[[#This Row],[Clothes Kit]],Table_NFI[Clothes Kit])</f>
        <v>0</v>
      </c>
      <c r="AG598" s="436">
        <f>IF(NFI_Expiration=1,IF($A598&lt;VLOOKUP(P$5,NFI,5,0),1,0)*Table_NFI[[#This Row],[Plastic Bucket]],Table_NFI[Plastic Bucket])</f>
        <v>0</v>
      </c>
      <c r="AH598" s="436">
        <f>IF(NFI_Expiration=1,IF($A598&lt;VLOOKUP(Q$5,NFI,5,0),1,0)*Table_NFI[[#This Row],[Plastic Mat]],Table_NFI[Plastic Mat])*IF(Table_NFI[[#This Row],[Distribution Date]]&gt;"2014-04-01",1,2.5)</f>
        <v>0</v>
      </c>
      <c r="AI598" s="436">
        <f>IF(NFI_Expiration=1,IF($A598&lt;VLOOKUP(R$5,NFI,5,0),1,0)*Table_NFI[[#This Row],[Winter Clothes Adult]],Table_NFI[Winter Clothes Adult])</f>
        <v>0</v>
      </c>
      <c r="AJ598" s="436">
        <f>IF(NFI_Expiration=1,IF($A598&lt;VLOOKUP(S$5,NFI,5,0),1,0)*Table_NFI[[#This Row],[Winter Clothes Children]],Table_NFI[Winter Clothes Children])</f>
        <v>0</v>
      </c>
      <c r="AK598" s="436">
        <f>IF(NFI_Expiration=1,IF($A598&lt;VLOOKUP(T$5,NFI,5,0),1,0)*Table_NFI[[#This Row],[Winter Items Other]],Table_NFI[Winter Items Other])</f>
        <v>0</v>
      </c>
      <c r="AL598" s="436">
        <f>IF(NFI_Expiration=1,IF($A598&lt;VLOOKUP(M$5,NFI,5,0),1,0)*Table_NFI[[#This Row],[Winter Blanket]],Table_NFI[[#This Row],[Winter Blanket]])</f>
        <v>0</v>
      </c>
      <c r="AM598" s="436">
        <f>IF(Table_NFI[[#This Row],[Winter Clothes Adult]]+Table_NFI[[#This Row],[Winter Clothes Children]]+Table_NFI[[#This Row],[Winter Items Other]]+Table_NFI[[#This Row],[Winter Blanket]]&gt;0,1,0)</f>
        <v>0</v>
      </c>
      <c r="AN598" s="439">
        <f>IF(NFI_Expiration=1,IF($A598&lt;VLOOKUP(V$5,NFI,5,0),1,0)*Table_NFI[[#This Row],[Jerry Can]],Table_NFI[Jerry Can])</f>
        <v>0</v>
      </c>
      <c r="AO598" s="771" t="str">
        <f>IFERROR(VLOOKUP(Table_NFI[[#This Row],[Camp Name]],CL,2,0),"")</f>
        <v>MMR001CMP171</v>
      </c>
      <c r="AP598" s="772">
        <f ca="1">IF(Table_NFI[[#This Row],[Pcode]]="","",IF(OFFSET(CampList[Opening Date],MATCH(Table_NFI[[#This Row],[Pcode]],CampList[CP_Pcode],0)-1,0,1,1)&gt;=NFI_Monitor_Date,1,0))</f>
        <v>0</v>
      </c>
      <c r="AQ598" s="781" t="str">
        <f>IFERROR(VLOOKUP(Table_NFI[[#This Row],[Camp Name]],CL,3,0),"")</f>
        <v>Closed</v>
      </c>
      <c r="AR598" s="439" t="str">
        <f ca="1">IF(Table_NFI[[#This Row],[Pcode]]="","",OFFSET(CampList[Priority],MATCH(Table_NFI[[#This Row],[Pcode]],CampList[CP_Pcode],0)-1,0,1,1))</f>
        <v/>
      </c>
      <c r="AS598" s="438" t="str">
        <f>IFERROR(Table_NFI[[#This Row],[Kitchen Set]]/VLOOKUP(Table_NFI[[#This Row],[Camp Name]],CL,4,0),"")</f>
        <v/>
      </c>
      <c r="AT598" s="769" t="s">
        <v>1099</v>
      </c>
      <c r="AU598" s="773"/>
    </row>
    <row r="599" spans="1:47" x14ac:dyDescent="0.25">
      <c r="A599" s="451">
        <f t="shared" si="9"/>
        <v>34.866666666666667</v>
      </c>
      <c r="B599" s="768">
        <v>41324</v>
      </c>
      <c r="C599" s="769" t="s">
        <v>454</v>
      </c>
      <c r="D599" s="770" t="s">
        <v>454</v>
      </c>
      <c r="E599" s="769" t="s">
        <v>380</v>
      </c>
      <c r="F599" s="435" t="s">
        <v>529</v>
      </c>
      <c r="G599" s="435" t="s">
        <v>62</v>
      </c>
      <c r="H599" s="436"/>
      <c r="I599" s="436"/>
      <c r="J599" s="436">
        <v>18</v>
      </c>
      <c r="K599" s="436">
        <v>30</v>
      </c>
      <c r="L599" s="437">
        <v>17</v>
      </c>
      <c r="M599" s="437">
        <v>64</v>
      </c>
      <c r="N599" s="437">
        <v>17</v>
      </c>
      <c r="O599" s="437">
        <v>17</v>
      </c>
      <c r="P599" s="437">
        <v>17</v>
      </c>
      <c r="Q599" s="437">
        <v>17</v>
      </c>
      <c r="R599" s="436"/>
      <c r="S599" s="436"/>
      <c r="T599" s="436"/>
      <c r="U599" s="436"/>
      <c r="V599" s="436"/>
      <c r="W599" s="436"/>
      <c r="X599" s="436"/>
      <c r="Y599" s="436">
        <f>IF(NFI_Expiration=1,IF($A599&lt;VLOOKUP(H$5,NFI,5,0),1,0)*Table_NFI[[#This Row],[Hygiene Kit]],Table_NFI[Hygiene Kit])</f>
        <v>0</v>
      </c>
      <c r="Z599" s="436">
        <f>IF(NFI_Expiration=1,IF($A599&lt;VLOOKUP(I$5,NFI,5,0),1,0)*Table_NFI[[#This Row],[NFI Core Kit]],Table_NFI[NFI Core Kit])</f>
        <v>0</v>
      </c>
      <c r="AA599" s="436">
        <f>IF(NFI_Expiration=1,IF($A599&lt;VLOOKUP(J$5,NFI,5,0),1,0)*Table_NFI[[#This Row],[Sanitary Kit]],Table_NFI[Sanitary Kit])</f>
        <v>0</v>
      </c>
      <c r="AB599" s="436">
        <f>IF(NFI_Expiration=1,IF($A599&lt;VLOOKUP(K$5,NFI,5,0),1,0)*Table_NFI[[#This Row],[Mosquito net]],Table_NFI[Mosquito net])</f>
        <v>0</v>
      </c>
      <c r="AC599" s="436">
        <f>IF(NFI_Expiration=1,IF($A599&lt;VLOOKUP(L$5,NFI,5,0),1,0)*Table_NFI[[#This Row],[Tarpaulin]],Table_NFI[[#This Row],[Tarpaulin]])</f>
        <v>0</v>
      </c>
      <c r="AD599" s="436">
        <f>IF(NFI_Expiration=1,IF($A599&lt;VLOOKUP(M$5,NFI,5,0),1,0)*Table_NFI[[#This Row],[Blanket]],Table_NFI[[#This Row],[Blanket]])</f>
        <v>0</v>
      </c>
      <c r="AE599" s="436">
        <f>IF(NFI_Expiration=1,IF($A599&lt;VLOOKUP(N$5,NFI,5,0),1,0)*Table_NFI[[#This Row],[Kitchen Set]],Table_NFI[Kitchen Set])</f>
        <v>0</v>
      </c>
      <c r="AF599" s="436">
        <f>IF(NFI_Expiration=1,IF($A599&lt;VLOOKUP(O$5,NFI,5,0),1,0)*Table_NFI[[#This Row],[Clothes Kit]],Table_NFI[Clothes Kit])</f>
        <v>0</v>
      </c>
      <c r="AG599" s="436">
        <f>IF(NFI_Expiration=1,IF($A599&lt;VLOOKUP(P$5,NFI,5,0),1,0)*Table_NFI[[#This Row],[Plastic Bucket]],Table_NFI[Plastic Bucket])</f>
        <v>0</v>
      </c>
      <c r="AH599" s="436">
        <f>IF(NFI_Expiration=1,IF($A599&lt;VLOOKUP(Q$5,NFI,5,0),1,0)*Table_NFI[[#This Row],[Plastic Mat]],Table_NFI[Plastic Mat])*IF(Table_NFI[[#This Row],[Distribution Date]]&gt;"2014-04-01",1,2.5)</f>
        <v>0</v>
      </c>
      <c r="AI599" s="436">
        <f>IF(NFI_Expiration=1,IF($A599&lt;VLOOKUP(R$5,NFI,5,0),1,0)*Table_NFI[[#This Row],[Winter Clothes Adult]],Table_NFI[Winter Clothes Adult])</f>
        <v>0</v>
      </c>
      <c r="AJ599" s="436">
        <f>IF(NFI_Expiration=1,IF($A599&lt;VLOOKUP(S$5,NFI,5,0),1,0)*Table_NFI[[#This Row],[Winter Clothes Children]],Table_NFI[Winter Clothes Children])</f>
        <v>0</v>
      </c>
      <c r="AK599" s="436">
        <f>IF(NFI_Expiration=1,IF($A599&lt;VLOOKUP(T$5,NFI,5,0),1,0)*Table_NFI[[#This Row],[Winter Items Other]],Table_NFI[Winter Items Other])</f>
        <v>0</v>
      </c>
      <c r="AL599" s="436">
        <f>IF(NFI_Expiration=1,IF($A599&lt;VLOOKUP(M$5,NFI,5,0),1,0)*Table_NFI[[#This Row],[Winter Blanket]],Table_NFI[[#This Row],[Winter Blanket]])</f>
        <v>0</v>
      </c>
      <c r="AM599" s="436">
        <f>IF(Table_NFI[[#This Row],[Winter Clothes Adult]]+Table_NFI[[#This Row],[Winter Clothes Children]]+Table_NFI[[#This Row],[Winter Items Other]]+Table_NFI[[#This Row],[Winter Blanket]]&gt;0,1,0)</f>
        <v>0</v>
      </c>
      <c r="AN599" s="439">
        <f>IF(NFI_Expiration=1,IF($A599&lt;VLOOKUP(V$5,NFI,5,0),1,0)*Table_NFI[[#This Row],[Jerry Can]],Table_NFI[Jerry Can])</f>
        <v>0</v>
      </c>
      <c r="AO599" s="771" t="str">
        <f>IFERROR(VLOOKUP(Table_NFI[[#This Row],[Camp Name]],CL,2,0),"")</f>
        <v>MMR001CMP179</v>
      </c>
      <c r="AP599" s="772">
        <f ca="1">IF(Table_NFI[[#This Row],[Pcode]]="","",IF(OFFSET(CampList[Opening Date],MATCH(Table_NFI[[#This Row],[Pcode]],CampList[CP_Pcode],0)-1,0,1,1)&gt;=NFI_Monitor_Date,1,0))</f>
        <v>0</v>
      </c>
      <c r="AQ599" s="781" t="str">
        <f>IFERROR(VLOOKUP(Table_NFI[[#This Row],[Camp Name]],CL,3,0),"")</f>
        <v>Open</v>
      </c>
      <c r="AR599" s="439" t="str">
        <f ca="1">IF(Table_NFI[[#This Row],[Pcode]]="","",OFFSET(CampList[Priority],MATCH(Table_NFI[[#This Row],[Pcode]],CampList[CP_Pcode],0)-1,0,1,1))</f>
        <v>P4</v>
      </c>
      <c r="AS599" s="438">
        <f>IFERROR(Table_NFI[[#This Row],[Kitchen Set]]/VLOOKUP(Table_NFI[[#This Row],[Camp Name]],CL,4,0),"")</f>
        <v>0.22368421052631579</v>
      </c>
      <c r="AT599" s="769" t="s">
        <v>1099</v>
      </c>
      <c r="AU599" s="773"/>
    </row>
    <row r="600" spans="1:47" x14ac:dyDescent="0.25">
      <c r="A600" s="451">
        <f t="shared" si="9"/>
        <v>34.866666666666667</v>
      </c>
      <c r="B600" s="768">
        <v>41324</v>
      </c>
      <c r="C600" s="769" t="s">
        <v>454</v>
      </c>
      <c r="D600" s="769" t="s">
        <v>454</v>
      </c>
      <c r="E600" s="769" t="s">
        <v>380</v>
      </c>
      <c r="F600" s="435" t="s">
        <v>529</v>
      </c>
      <c r="G600" s="435" t="s">
        <v>39</v>
      </c>
      <c r="H600" s="436"/>
      <c r="I600" s="436"/>
      <c r="J600" s="436">
        <v>1</v>
      </c>
      <c r="K600" s="436">
        <v>6</v>
      </c>
      <c r="L600" s="437">
        <v>3</v>
      </c>
      <c r="M600" s="437">
        <v>15</v>
      </c>
      <c r="N600" s="437">
        <v>4</v>
      </c>
      <c r="O600" s="437">
        <v>4</v>
      </c>
      <c r="P600" s="439">
        <v>4</v>
      </c>
      <c r="Q600" s="439">
        <v>4</v>
      </c>
      <c r="R600" s="436"/>
      <c r="S600" s="436"/>
      <c r="T600" s="436"/>
      <c r="U600" s="436"/>
      <c r="V600" s="436"/>
      <c r="W600" s="436"/>
      <c r="X600" s="436"/>
      <c r="Y600" s="436">
        <f>IF(NFI_Expiration=1,IF($A600&lt;VLOOKUP(H$5,NFI,5,0),1,0)*Table_NFI[[#This Row],[Hygiene Kit]],Table_NFI[Hygiene Kit])</f>
        <v>0</v>
      </c>
      <c r="Z600" s="436">
        <f>IF(NFI_Expiration=1,IF($A600&lt;VLOOKUP(I$5,NFI,5,0),1,0)*Table_NFI[[#This Row],[NFI Core Kit]],Table_NFI[NFI Core Kit])</f>
        <v>0</v>
      </c>
      <c r="AA600" s="436">
        <f>IF(NFI_Expiration=1,IF($A600&lt;VLOOKUP(J$5,NFI,5,0),1,0)*Table_NFI[[#This Row],[Sanitary Kit]],Table_NFI[Sanitary Kit])</f>
        <v>0</v>
      </c>
      <c r="AB600" s="436">
        <f>IF(NFI_Expiration=1,IF($A600&lt;VLOOKUP(K$5,NFI,5,0),1,0)*Table_NFI[[#This Row],[Mosquito net]],Table_NFI[Mosquito net])</f>
        <v>0</v>
      </c>
      <c r="AC600" s="436">
        <f>IF(NFI_Expiration=1,IF($A600&lt;VLOOKUP(L$5,NFI,5,0),1,0)*Table_NFI[[#This Row],[Tarpaulin]],Table_NFI[[#This Row],[Tarpaulin]])</f>
        <v>0</v>
      </c>
      <c r="AD600" s="436">
        <f>IF(NFI_Expiration=1,IF($A600&lt;VLOOKUP(M$5,NFI,5,0),1,0)*Table_NFI[[#This Row],[Blanket]],Table_NFI[[#This Row],[Blanket]])</f>
        <v>0</v>
      </c>
      <c r="AE600" s="436">
        <f>IF(NFI_Expiration=1,IF($A600&lt;VLOOKUP(N$5,NFI,5,0),1,0)*Table_NFI[[#This Row],[Kitchen Set]],Table_NFI[Kitchen Set])</f>
        <v>0</v>
      </c>
      <c r="AF600" s="436">
        <f>IF(NFI_Expiration=1,IF($A600&lt;VLOOKUP(O$5,NFI,5,0),1,0)*Table_NFI[[#This Row],[Clothes Kit]],Table_NFI[Clothes Kit])</f>
        <v>0</v>
      </c>
      <c r="AG600" s="436">
        <f>IF(NFI_Expiration=1,IF($A600&lt;VLOOKUP(P$5,NFI,5,0),1,0)*Table_NFI[[#This Row],[Plastic Bucket]],Table_NFI[Plastic Bucket])</f>
        <v>0</v>
      </c>
      <c r="AH600" s="436">
        <f>IF(NFI_Expiration=1,IF($A600&lt;VLOOKUP(Q$5,NFI,5,0),1,0)*Table_NFI[[#This Row],[Plastic Mat]],Table_NFI[Plastic Mat])*IF(Table_NFI[[#This Row],[Distribution Date]]&gt;"2014-04-01",1,2.5)</f>
        <v>0</v>
      </c>
      <c r="AI600" s="436">
        <f>IF(NFI_Expiration=1,IF($A600&lt;VLOOKUP(R$5,NFI,5,0),1,0)*Table_NFI[[#This Row],[Winter Clothes Adult]],Table_NFI[Winter Clothes Adult])</f>
        <v>0</v>
      </c>
      <c r="AJ600" s="436">
        <f>IF(NFI_Expiration=1,IF($A600&lt;VLOOKUP(S$5,NFI,5,0),1,0)*Table_NFI[[#This Row],[Winter Clothes Children]],Table_NFI[Winter Clothes Children])</f>
        <v>0</v>
      </c>
      <c r="AK600" s="436">
        <f>IF(NFI_Expiration=1,IF($A600&lt;VLOOKUP(T$5,NFI,5,0),1,0)*Table_NFI[[#This Row],[Winter Items Other]],Table_NFI[Winter Items Other])</f>
        <v>0</v>
      </c>
      <c r="AL600" s="436">
        <f>IF(NFI_Expiration=1,IF($A600&lt;VLOOKUP(M$5,NFI,5,0),1,0)*Table_NFI[[#This Row],[Winter Blanket]],Table_NFI[[#This Row],[Winter Blanket]])</f>
        <v>0</v>
      </c>
      <c r="AM600" s="436">
        <f>IF(Table_NFI[[#This Row],[Winter Clothes Adult]]+Table_NFI[[#This Row],[Winter Clothes Children]]+Table_NFI[[#This Row],[Winter Items Other]]+Table_NFI[[#This Row],[Winter Blanket]]&gt;0,1,0)</f>
        <v>0</v>
      </c>
      <c r="AN600" s="439">
        <f>IF(NFI_Expiration=1,IF($A600&lt;VLOOKUP(V$5,NFI,5,0),1,0)*Table_NFI[[#This Row],[Jerry Can]],Table_NFI[Jerry Can])</f>
        <v>0</v>
      </c>
      <c r="AO600" s="771" t="str">
        <f>IFERROR(VLOOKUP(Table_NFI[[#This Row],[Camp Name]],CL,2,0),"")</f>
        <v>MMR001CMP173</v>
      </c>
      <c r="AP600" s="772">
        <f ca="1">IF(Table_NFI[[#This Row],[Pcode]]="","",IF(OFFSET(CampList[Opening Date],MATCH(Table_NFI[[#This Row],[Pcode]],CampList[CP_Pcode],0)-1,0,1,1)&gt;=NFI_Monitor_Date,1,0))</f>
        <v>0</v>
      </c>
      <c r="AQ600" s="781" t="str">
        <f>IFERROR(VLOOKUP(Table_NFI[[#This Row],[Camp Name]],CL,3,0),"")</f>
        <v>Closed</v>
      </c>
      <c r="AR600" s="439" t="str">
        <f ca="1">IF(Table_NFI[[#This Row],[Pcode]]="","",OFFSET(CampList[Priority],MATCH(Table_NFI[[#This Row],[Pcode]],CampList[CP_Pcode],0)-1,0,1,1))</f>
        <v/>
      </c>
      <c r="AS600" s="438" t="str">
        <f>IFERROR(Table_NFI[[#This Row],[Kitchen Set]]/VLOOKUP(Table_NFI[[#This Row],[Camp Name]],CL,4,0),"")</f>
        <v/>
      </c>
      <c r="AT600" s="769" t="s">
        <v>1099</v>
      </c>
      <c r="AU600" s="773"/>
    </row>
    <row r="601" spans="1:47" x14ac:dyDescent="0.25">
      <c r="A601" s="451">
        <f t="shared" si="9"/>
        <v>34.866666666666667</v>
      </c>
      <c r="B601" s="768">
        <v>41324</v>
      </c>
      <c r="C601" s="769" t="s">
        <v>454</v>
      </c>
      <c r="D601" s="769" t="s">
        <v>454</v>
      </c>
      <c r="E601" s="769" t="s">
        <v>380</v>
      </c>
      <c r="F601" s="435" t="s">
        <v>529</v>
      </c>
      <c r="G601" s="435" t="s">
        <v>39</v>
      </c>
      <c r="H601" s="436"/>
      <c r="I601" s="436"/>
      <c r="J601" s="436">
        <v>92</v>
      </c>
      <c r="K601" s="436">
        <v>130</v>
      </c>
      <c r="L601" s="437">
        <v>67</v>
      </c>
      <c r="M601" s="437">
        <v>130</v>
      </c>
      <c r="N601" s="437">
        <v>67</v>
      </c>
      <c r="O601" s="437">
        <v>67</v>
      </c>
      <c r="P601" s="439">
        <v>67</v>
      </c>
      <c r="Q601" s="439">
        <v>67</v>
      </c>
      <c r="R601" s="436"/>
      <c r="S601" s="436"/>
      <c r="T601" s="436"/>
      <c r="U601" s="436"/>
      <c r="V601" s="436"/>
      <c r="W601" s="436"/>
      <c r="X601" s="436"/>
      <c r="Y601" s="436">
        <f>IF(NFI_Expiration=1,IF($A601&lt;VLOOKUP(H$5,NFI,5,0),1,0)*Table_NFI[[#This Row],[Hygiene Kit]],Table_NFI[Hygiene Kit])</f>
        <v>0</v>
      </c>
      <c r="Z601" s="436">
        <f>IF(NFI_Expiration=1,IF($A601&lt;VLOOKUP(I$5,NFI,5,0),1,0)*Table_NFI[[#This Row],[NFI Core Kit]],Table_NFI[NFI Core Kit])</f>
        <v>0</v>
      </c>
      <c r="AA601" s="436">
        <f>IF(NFI_Expiration=1,IF($A601&lt;VLOOKUP(J$5,NFI,5,0),1,0)*Table_NFI[[#This Row],[Sanitary Kit]],Table_NFI[Sanitary Kit])</f>
        <v>0</v>
      </c>
      <c r="AB601" s="436">
        <f>IF(NFI_Expiration=1,IF($A601&lt;VLOOKUP(K$5,NFI,5,0),1,0)*Table_NFI[[#This Row],[Mosquito net]],Table_NFI[Mosquito net])</f>
        <v>0</v>
      </c>
      <c r="AC601" s="436">
        <f>IF(NFI_Expiration=1,IF($A601&lt;VLOOKUP(L$5,NFI,5,0),1,0)*Table_NFI[[#This Row],[Tarpaulin]],Table_NFI[[#This Row],[Tarpaulin]])</f>
        <v>0</v>
      </c>
      <c r="AD601" s="436">
        <f>IF(NFI_Expiration=1,IF($A601&lt;VLOOKUP(M$5,NFI,5,0),1,0)*Table_NFI[[#This Row],[Blanket]],Table_NFI[[#This Row],[Blanket]])</f>
        <v>0</v>
      </c>
      <c r="AE601" s="436">
        <f>IF(NFI_Expiration=1,IF($A601&lt;VLOOKUP(N$5,NFI,5,0),1,0)*Table_NFI[[#This Row],[Kitchen Set]],Table_NFI[Kitchen Set])</f>
        <v>0</v>
      </c>
      <c r="AF601" s="436">
        <f>IF(NFI_Expiration=1,IF($A601&lt;VLOOKUP(O$5,NFI,5,0),1,0)*Table_NFI[[#This Row],[Clothes Kit]],Table_NFI[Clothes Kit])</f>
        <v>0</v>
      </c>
      <c r="AG601" s="436">
        <f>IF(NFI_Expiration=1,IF($A601&lt;VLOOKUP(P$5,NFI,5,0),1,0)*Table_NFI[[#This Row],[Plastic Bucket]],Table_NFI[Plastic Bucket])</f>
        <v>0</v>
      </c>
      <c r="AH601" s="436">
        <f>IF(NFI_Expiration=1,IF($A601&lt;VLOOKUP(Q$5,NFI,5,0),1,0)*Table_NFI[[#This Row],[Plastic Mat]],Table_NFI[Plastic Mat])*IF(Table_NFI[[#This Row],[Distribution Date]]&gt;"2014-04-01",1,2.5)</f>
        <v>0</v>
      </c>
      <c r="AI601" s="436">
        <f>IF(NFI_Expiration=1,IF($A601&lt;VLOOKUP(R$5,NFI,5,0),1,0)*Table_NFI[[#This Row],[Winter Clothes Adult]],Table_NFI[Winter Clothes Adult])</f>
        <v>0</v>
      </c>
      <c r="AJ601" s="436">
        <f>IF(NFI_Expiration=1,IF($A601&lt;VLOOKUP(S$5,NFI,5,0),1,0)*Table_NFI[[#This Row],[Winter Clothes Children]],Table_NFI[Winter Clothes Children])</f>
        <v>0</v>
      </c>
      <c r="AK601" s="436">
        <f>IF(NFI_Expiration=1,IF($A601&lt;VLOOKUP(T$5,NFI,5,0),1,0)*Table_NFI[[#This Row],[Winter Items Other]],Table_NFI[Winter Items Other])</f>
        <v>0</v>
      </c>
      <c r="AL601" s="436">
        <f>IF(NFI_Expiration=1,IF($A601&lt;VLOOKUP(M$5,NFI,5,0),1,0)*Table_NFI[[#This Row],[Winter Blanket]],Table_NFI[[#This Row],[Winter Blanket]])</f>
        <v>0</v>
      </c>
      <c r="AM601" s="436">
        <f>IF(Table_NFI[[#This Row],[Winter Clothes Adult]]+Table_NFI[[#This Row],[Winter Clothes Children]]+Table_NFI[[#This Row],[Winter Items Other]]+Table_NFI[[#This Row],[Winter Blanket]]&gt;0,1,0)</f>
        <v>0</v>
      </c>
      <c r="AN601" s="439">
        <f>IF(NFI_Expiration=1,IF($A601&lt;VLOOKUP(V$5,NFI,5,0),1,0)*Table_NFI[[#This Row],[Jerry Can]],Table_NFI[Jerry Can])</f>
        <v>0</v>
      </c>
      <c r="AO601" s="771" t="str">
        <f>IFERROR(VLOOKUP(Table_NFI[[#This Row],[Camp Name]],CL,2,0),"")</f>
        <v>MMR001CMP173</v>
      </c>
      <c r="AP601" s="772">
        <f ca="1">IF(Table_NFI[[#This Row],[Pcode]]="","",IF(OFFSET(CampList[Opening Date],MATCH(Table_NFI[[#This Row],[Pcode]],CampList[CP_Pcode],0)-1,0,1,1)&gt;=NFI_Monitor_Date,1,0))</f>
        <v>0</v>
      </c>
      <c r="AQ601" s="781" t="str">
        <f>IFERROR(VLOOKUP(Table_NFI[[#This Row],[Camp Name]],CL,3,0),"")</f>
        <v>Closed</v>
      </c>
      <c r="AR601" s="439" t="str">
        <f ca="1">IF(Table_NFI[[#This Row],[Pcode]]="","",OFFSET(CampList[Priority],MATCH(Table_NFI[[#This Row],[Pcode]],CampList[CP_Pcode],0)-1,0,1,1))</f>
        <v/>
      </c>
      <c r="AS601" s="438" t="str">
        <f>IFERROR(Table_NFI[[#This Row],[Kitchen Set]]/VLOOKUP(Table_NFI[[#This Row],[Camp Name]],CL,4,0),"")</f>
        <v/>
      </c>
      <c r="AT601" s="769" t="s">
        <v>1099</v>
      </c>
      <c r="AU601" s="773"/>
    </row>
    <row r="602" spans="1:47" x14ac:dyDescent="0.25">
      <c r="A602" s="451">
        <f t="shared" si="9"/>
        <v>34.866666666666667</v>
      </c>
      <c r="B602" s="768">
        <v>41324</v>
      </c>
      <c r="C602" s="769" t="s">
        <v>454</v>
      </c>
      <c r="D602" s="770" t="s">
        <v>454</v>
      </c>
      <c r="E602" s="769" t="s">
        <v>380</v>
      </c>
      <c r="F602" s="435" t="s">
        <v>529</v>
      </c>
      <c r="G602" s="435" t="s">
        <v>48</v>
      </c>
      <c r="H602" s="436"/>
      <c r="I602" s="436"/>
      <c r="J602" s="436">
        <v>8</v>
      </c>
      <c r="K602" s="436">
        <v>16</v>
      </c>
      <c r="L602" s="437">
        <v>8</v>
      </c>
      <c r="M602" s="437">
        <v>16</v>
      </c>
      <c r="N602" s="437">
        <v>8</v>
      </c>
      <c r="O602" s="437">
        <v>8</v>
      </c>
      <c r="P602" s="437">
        <v>8</v>
      </c>
      <c r="Q602" s="437">
        <v>8</v>
      </c>
      <c r="R602" s="436"/>
      <c r="S602" s="436"/>
      <c r="T602" s="436"/>
      <c r="U602" s="436"/>
      <c r="V602" s="436"/>
      <c r="W602" s="436"/>
      <c r="X602" s="436"/>
      <c r="Y602" s="436">
        <f>IF(NFI_Expiration=1,IF($A602&lt;VLOOKUP(H$5,NFI,5,0),1,0)*Table_NFI[[#This Row],[Hygiene Kit]],Table_NFI[Hygiene Kit])</f>
        <v>0</v>
      </c>
      <c r="Z602" s="436">
        <f>IF(NFI_Expiration=1,IF($A602&lt;VLOOKUP(I$5,NFI,5,0),1,0)*Table_NFI[[#This Row],[NFI Core Kit]],Table_NFI[NFI Core Kit])</f>
        <v>0</v>
      </c>
      <c r="AA602" s="436">
        <f>IF(NFI_Expiration=1,IF($A602&lt;VLOOKUP(J$5,NFI,5,0),1,0)*Table_NFI[[#This Row],[Sanitary Kit]],Table_NFI[Sanitary Kit])</f>
        <v>0</v>
      </c>
      <c r="AB602" s="436">
        <f>IF(NFI_Expiration=1,IF($A602&lt;VLOOKUP(K$5,NFI,5,0),1,0)*Table_NFI[[#This Row],[Mosquito net]],Table_NFI[Mosquito net])</f>
        <v>0</v>
      </c>
      <c r="AC602" s="436">
        <f>IF(NFI_Expiration=1,IF($A602&lt;VLOOKUP(L$5,NFI,5,0),1,0)*Table_NFI[[#This Row],[Tarpaulin]],Table_NFI[[#This Row],[Tarpaulin]])</f>
        <v>0</v>
      </c>
      <c r="AD602" s="436">
        <f>IF(NFI_Expiration=1,IF($A602&lt;VLOOKUP(M$5,NFI,5,0),1,0)*Table_NFI[[#This Row],[Blanket]],Table_NFI[[#This Row],[Blanket]])</f>
        <v>0</v>
      </c>
      <c r="AE602" s="436">
        <f>IF(NFI_Expiration=1,IF($A602&lt;VLOOKUP(N$5,NFI,5,0),1,0)*Table_NFI[[#This Row],[Kitchen Set]],Table_NFI[Kitchen Set])</f>
        <v>0</v>
      </c>
      <c r="AF602" s="436">
        <f>IF(NFI_Expiration=1,IF($A602&lt;VLOOKUP(O$5,NFI,5,0),1,0)*Table_NFI[[#This Row],[Clothes Kit]],Table_NFI[Clothes Kit])</f>
        <v>0</v>
      </c>
      <c r="AG602" s="436">
        <f>IF(NFI_Expiration=1,IF($A602&lt;VLOOKUP(P$5,NFI,5,0),1,0)*Table_NFI[[#This Row],[Plastic Bucket]],Table_NFI[Plastic Bucket])</f>
        <v>0</v>
      </c>
      <c r="AH602" s="436">
        <f>IF(NFI_Expiration=1,IF($A602&lt;VLOOKUP(Q$5,NFI,5,0),1,0)*Table_NFI[[#This Row],[Plastic Mat]],Table_NFI[Plastic Mat])*IF(Table_NFI[[#This Row],[Distribution Date]]&gt;"2014-04-01",1,2.5)</f>
        <v>0</v>
      </c>
      <c r="AI602" s="436">
        <f>IF(NFI_Expiration=1,IF($A602&lt;VLOOKUP(R$5,NFI,5,0),1,0)*Table_NFI[[#This Row],[Winter Clothes Adult]],Table_NFI[Winter Clothes Adult])</f>
        <v>0</v>
      </c>
      <c r="AJ602" s="436">
        <f>IF(NFI_Expiration=1,IF($A602&lt;VLOOKUP(S$5,NFI,5,0),1,0)*Table_NFI[[#This Row],[Winter Clothes Children]],Table_NFI[Winter Clothes Children])</f>
        <v>0</v>
      </c>
      <c r="AK602" s="436">
        <f>IF(NFI_Expiration=1,IF($A602&lt;VLOOKUP(T$5,NFI,5,0),1,0)*Table_NFI[[#This Row],[Winter Items Other]],Table_NFI[Winter Items Other])</f>
        <v>0</v>
      </c>
      <c r="AL602" s="436">
        <f>IF(NFI_Expiration=1,IF($A602&lt;VLOOKUP(M$5,NFI,5,0),1,0)*Table_NFI[[#This Row],[Winter Blanket]],Table_NFI[[#This Row],[Winter Blanket]])</f>
        <v>0</v>
      </c>
      <c r="AM602" s="436">
        <f>IF(Table_NFI[[#This Row],[Winter Clothes Adult]]+Table_NFI[[#This Row],[Winter Clothes Children]]+Table_NFI[[#This Row],[Winter Items Other]]+Table_NFI[[#This Row],[Winter Blanket]]&gt;0,1,0)</f>
        <v>0</v>
      </c>
      <c r="AN602" s="439">
        <f>IF(NFI_Expiration=1,IF($A602&lt;VLOOKUP(V$5,NFI,5,0),1,0)*Table_NFI[[#This Row],[Jerry Can]],Table_NFI[Jerry Can])</f>
        <v>0</v>
      </c>
      <c r="AO602" s="771" t="str">
        <f>IFERROR(VLOOKUP(Table_NFI[[#This Row],[Camp Name]],CL,2,0),"")</f>
        <v>MMR001CMP170</v>
      </c>
      <c r="AP602" s="772">
        <f ca="1">IF(Table_NFI[[#This Row],[Pcode]]="","",IF(OFFSET(CampList[Opening Date],MATCH(Table_NFI[[#This Row],[Pcode]],CampList[CP_Pcode],0)-1,0,1,1)&gt;=NFI_Monitor_Date,1,0))</f>
        <v>0</v>
      </c>
      <c r="AQ602" s="781" t="str">
        <f>IFERROR(VLOOKUP(Table_NFI[[#This Row],[Camp Name]],CL,3,0),"")</f>
        <v>Closed</v>
      </c>
      <c r="AR602" s="439" t="str">
        <f ca="1">IF(Table_NFI[[#This Row],[Pcode]]="","",OFFSET(CampList[Priority],MATCH(Table_NFI[[#This Row],[Pcode]],CampList[CP_Pcode],0)-1,0,1,1))</f>
        <v/>
      </c>
      <c r="AS602" s="438" t="str">
        <f>IFERROR(Table_NFI[[#This Row],[Kitchen Set]]/VLOOKUP(Table_NFI[[#This Row],[Camp Name]],CL,4,0),"")</f>
        <v/>
      </c>
      <c r="AT602" s="769" t="s">
        <v>1099</v>
      </c>
      <c r="AU602" s="773"/>
    </row>
    <row r="603" spans="1:47" x14ac:dyDescent="0.25">
      <c r="A603" s="451">
        <f t="shared" si="9"/>
        <v>34.866666666666667</v>
      </c>
      <c r="B603" s="768">
        <v>41324</v>
      </c>
      <c r="C603" s="769" t="s">
        <v>454</v>
      </c>
      <c r="D603" s="770" t="s">
        <v>454</v>
      </c>
      <c r="E603" s="769" t="s">
        <v>380</v>
      </c>
      <c r="F603" s="435" t="s">
        <v>529</v>
      </c>
      <c r="G603" s="435" t="s">
        <v>76</v>
      </c>
      <c r="H603" s="436"/>
      <c r="I603" s="436"/>
      <c r="J603" s="436">
        <v>74</v>
      </c>
      <c r="K603" s="436">
        <v>105</v>
      </c>
      <c r="L603" s="437">
        <v>59</v>
      </c>
      <c r="M603" s="437">
        <v>105</v>
      </c>
      <c r="N603" s="437">
        <v>59</v>
      </c>
      <c r="O603" s="437">
        <v>59</v>
      </c>
      <c r="P603" s="437">
        <v>59</v>
      </c>
      <c r="Q603" s="437">
        <v>59</v>
      </c>
      <c r="R603" s="436"/>
      <c r="S603" s="436"/>
      <c r="T603" s="436"/>
      <c r="U603" s="436"/>
      <c r="V603" s="436"/>
      <c r="W603" s="436"/>
      <c r="X603" s="436"/>
      <c r="Y603" s="436">
        <f>IF(NFI_Expiration=1,IF($A603&lt;VLOOKUP(H$5,NFI,5,0),1,0)*Table_NFI[[#This Row],[Hygiene Kit]],Table_NFI[Hygiene Kit])</f>
        <v>0</v>
      </c>
      <c r="Z603" s="436">
        <f>IF(NFI_Expiration=1,IF($A603&lt;VLOOKUP(I$5,NFI,5,0),1,0)*Table_NFI[[#This Row],[NFI Core Kit]],Table_NFI[NFI Core Kit])</f>
        <v>0</v>
      </c>
      <c r="AA603" s="436">
        <f>IF(NFI_Expiration=1,IF($A603&lt;VLOOKUP(J$5,NFI,5,0),1,0)*Table_NFI[[#This Row],[Sanitary Kit]],Table_NFI[Sanitary Kit])</f>
        <v>0</v>
      </c>
      <c r="AB603" s="436">
        <f>IF(NFI_Expiration=1,IF($A603&lt;VLOOKUP(K$5,NFI,5,0),1,0)*Table_NFI[[#This Row],[Mosquito net]],Table_NFI[Mosquito net])</f>
        <v>0</v>
      </c>
      <c r="AC603" s="436">
        <f>IF(NFI_Expiration=1,IF($A603&lt;VLOOKUP(L$5,NFI,5,0),1,0)*Table_NFI[[#This Row],[Tarpaulin]],Table_NFI[[#This Row],[Tarpaulin]])</f>
        <v>0</v>
      </c>
      <c r="AD603" s="436">
        <f>IF(NFI_Expiration=1,IF($A603&lt;VLOOKUP(M$5,NFI,5,0),1,0)*Table_NFI[[#This Row],[Blanket]],Table_NFI[[#This Row],[Blanket]])</f>
        <v>0</v>
      </c>
      <c r="AE603" s="436">
        <f>IF(NFI_Expiration=1,IF($A603&lt;VLOOKUP(N$5,NFI,5,0),1,0)*Table_NFI[[#This Row],[Kitchen Set]],Table_NFI[Kitchen Set])</f>
        <v>0</v>
      </c>
      <c r="AF603" s="436">
        <f>IF(NFI_Expiration=1,IF($A603&lt;VLOOKUP(O$5,NFI,5,0),1,0)*Table_NFI[[#This Row],[Clothes Kit]],Table_NFI[Clothes Kit])</f>
        <v>0</v>
      </c>
      <c r="AG603" s="436">
        <f>IF(NFI_Expiration=1,IF($A603&lt;VLOOKUP(P$5,NFI,5,0),1,0)*Table_NFI[[#This Row],[Plastic Bucket]],Table_NFI[Plastic Bucket])</f>
        <v>0</v>
      </c>
      <c r="AH603" s="436">
        <f>IF(NFI_Expiration=1,IF($A603&lt;VLOOKUP(Q$5,NFI,5,0),1,0)*Table_NFI[[#This Row],[Plastic Mat]],Table_NFI[Plastic Mat])*IF(Table_NFI[[#This Row],[Distribution Date]]&gt;"2014-04-01",1,2.5)</f>
        <v>0</v>
      </c>
      <c r="AI603" s="436">
        <f>IF(NFI_Expiration=1,IF($A603&lt;VLOOKUP(R$5,NFI,5,0),1,0)*Table_NFI[[#This Row],[Winter Clothes Adult]],Table_NFI[Winter Clothes Adult])</f>
        <v>0</v>
      </c>
      <c r="AJ603" s="436">
        <f>IF(NFI_Expiration=1,IF($A603&lt;VLOOKUP(S$5,NFI,5,0),1,0)*Table_NFI[[#This Row],[Winter Clothes Children]],Table_NFI[Winter Clothes Children])</f>
        <v>0</v>
      </c>
      <c r="AK603" s="436">
        <f>IF(NFI_Expiration=1,IF($A603&lt;VLOOKUP(T$5,NFI,5,0),1,0)*Table_NFI[[#This Row],[Winter Items Other]],Table_NFI[Winter Items Other])</f>
        <v>0</v>
      </c>
      <c r="AL603" s="436">
        <f>IF(NFI_Expiration=1,IF($A603&lt;VLOOKUP(M$5,NFI,5,0),1,0)*Table_NFI[[#This Row],[Winter Blanket]],Table_NFI[[#This Row],[Winter Blanket]])</f>
        <v>0</v>
      </c>
      <c r="AM603" s="436">
        <f>IF(Table_NFI[[#This Row],[Winter Clothes Adult]]+Table_NFI[[#This Row],[Winter Clothes Children]]+Table_NFI[[#This Row],[Winter Items Other]]+Table_NFI[[#This Row],[Winter Blanket]]&gt;0,1,0)</f>
        <v>0</v>
      </c>
      <c r="AN603" s="439">
        <f>IF(NFI_Expiration=1,IF($A603&lt;VLOOKUP(V$5,NFI,5,0),1,0)*Table_NFI[[#This Row],[Jerry Can]],Table_NFI[Jerry Can])</f>
        <v>0</v>
      </c>
      <c r="AO603" s="771" t="str">
        <f>IFERROR(VLOOKUP(Table_NFI[[#This Row],[Camp Name]],CL,2,0),"")</f>
        <v>MMR001CMP174</v>
      </c>
      <c r="AP603" s="772">
        <f ca="1">IF(Table_NFI[[#This Row],[Pcode]]="","",IF(OFFSET(CampList[Opening Date],MATCH(Table_NFI[[#This Row],[Pcode]],CampList[CP_Pcode],0)-1,0,1,1)&gt;=NFI_Monitor_Date,1,0))</f>
        <v>0</v>
      </c>
      <c r="AQ603" s="781" t="str">
        <f>IFERROR(VLOOKUP(Table_NFI[[#This Row],[Camp Name]],CL,3,0),"")</f>
        <v>Open</v>
      </c>
      <c r="AR603" s="439" t="str">
        <f ca="1">IF(Table_NFI[[#This Row],[Pcode]]="","",OFFSET(CampList[Priority],MATCH(Table_NFI[[#This Row],[Pcode]],CampList[CP_Pcode],0)-1,0,1,1))</f>
        <v>P4</v>
      </c>
      <c r="AS603" s="438">
        <f>IFERROR(Table_NFI[[#This Row],[Kitchen Set]]/VLOOKUP(Table_NFI[[#This Row],[Camp Name]],CL,4,0),"")</f>
        <v>0.90769230769230769</v>
      </c>
      <c r="AT603" s="769" t="s">
        <v>1099</v>
      </c>
      <c r="AU603" s="773"/>
    </row>
    <row r="604" spans="1:47" x14ac:dyDescent="0.25">
      <c r="A604" s="451">
        <f t="shared" si="9"/>
        <v>34.866666666666667</v>
      </c>
      <c r="B604" s="768">
        <v>41324</v>
      </c>
      <c r="C604" s="769" t="s">
        <v>454</v>
      </c>
      <c r="D604" s="770" t="s">
        <v>454</v>
      </c>
      <c r="E604" s="769" t="s">
        <v>380</v>
      </c>
      <c r="F604" s="435" t="s">
        <v>529</v>
      </c>
      <c r="G604" s="435" t="s">
        <v>98</v>
      </c>
      <c r="H604" s="436"/>
      <c r="I604" s="436"/>
      <c r="J604" s="436">
        <v>9</v>
      </c>
      <c r="K604" s="436">
        <v>21</v>
      </c>
      <c r="L604" s="437">
        <v>9</v>
      </c>
      <c r="M604" s="437">
        <v>21</v>
      </c>
      <c r="N604" s="437">
        <v>9</v>
      </c>
      <c r="O604" s="437">
        <v>9</v>
      </c>
      <c r="P604" s="437">
        <v>9</v>
      </c>
      <c r="Q604" s="437">
        <v>9</v>
      </c>
      <c r="R604" s="436"/>
      <c r="S604" s="436"/>
      <c r="T604" s="436"/>
      <c r="U604" s="436"/>
      <c r="V604" s="436"/>
      <c r="W604" s="436"/>
      <c r="X604" s="436"/>
      <c r="Y604" s="436">
        <f>IF(NFI_Expiration=1,IF($A604&lt;VLOOKUP(H$5,NFI,5,0),1,0)*Table_NFI[[#This Row],[Hygiene Kit]],Table_NFI[Hygiene Kit])</f>
        <v>0</v>
      </c>
      <c r="Z604" s="436">
        <f>IF(NFI_Expiration=1,IF($A604&lt;VLOOKUP(I$5,NFI,5,0),1,0)*Table_NFI[[#This Row],[NFI Core Kit]],Table_NFI[NFI Core Kit])</f>
        <v>0</v>
      </c>
      <c r="AA604" s="436">
        <f>IF(NFI_Expiration=1,IF($A604&lt;VLOOKUP(J$5,NFI,5,0),1,0)*Table_NFI[[#This Row],[Sanitary Kit]],Table_NFI[Sanitary Kit])</f>
        <v>0</v>
      </c>
      <c r="AB604" s="436">
        <f>IF(NFI_Expiration=1,IF($A604&lt;VLOOKUP(K$5,NFI,5,0),1,0)*Table_NFI[[#This Row],[Mosquito net]],Table_NFI[Mosquito net])</f>
        <v>0</v>
      </c>
      <c r="AC604" s="436">
        <f>IF(NFI_Expiration=1,IF($A604&lt;VLOOKUP(L$5,NFI,5,0),1,0)*Table_NFI[[#This Row],[Tarpaulin]],Table_NFI[[#This Row],[Tarpaulin]])</f>
        <v>0</v>
      </c>
      <c r="AD604" s="436">
        <f>IF(NFI_Expiration=1,IF($A604&lt;VLOOKUP(M$5,NFI,5,0),1,0)*Table_NFI[[#This Row],[Blanket]],Table_NFI[[#This Row],[Blanket]])</f>
        <v>0</v>
      </c>
      <c r="AE604" s="436">
        <f>IF(NFI_Expiration=1,IF($A604&lt;VLOOKUP(N$5,NFI,5,0),1,0)*Table_NFI[[#This Row],[Kitchen Set]],Table_NFI[Kitchen Set])</f>
        <v>0</v>
      </c>
      <c r="AF604" s="436">
        <f>IF(NFI_Expiration=1,IF($A604&lt;VLOOKUP(O$5,NFI,5,0),1,0)*Table_NFI[[#This Row],[Clothes Kit]],Table_NFI[Clothes Kit])</f>
        <v>0</v>
      </c>
      <c r="AG604" s="436">
        <f>IF(NFI_Expiration=1,IF($A604&lt;VLOOKUP(P$5,NFI,5,0),1,0)*Table_NFI[[#This Row],[Plastic Bucket]],Table_NFI[Plastic Bucket])</f>
        <v>0</v>
      </c>
      <c r="AH604" s="436">
        <f>IF(NFI_Expiration=1,IF($A604&lt;VLOOKUP(Q$5,NFI,5,0),1,0)*Table_NFI[[#This Row],[Plastic Mat]],Table_NFI[Plastic Mat])*IF(Table_NFI[[#This Row],[Distribution Date]]&gt;"2014-04-01",1,2.5)</f>
        <v>0</v>
      </c>
      <c r="AI604" s="436">
        <f>IF(NFI_Expiration=1,IF($A604&lt;VLOOKUP(R$5,NFI,5,0),1,0)*Table_NFI[[#This Row],[Winter Clothes Adult]],Table_NFI[Winter Clothes Adult])</f>
        <v>0</v>
      </c>
      <c r="AJ604" s="436">
        <f>IF(NFI_Expiration=1,IF($A604&lt;VLOOKUP(S$5,NFI,5,0),1,0)*Table_NFI[[#This Row],[Winter Clothes Children]],Table_NFI[Winter Clothes Children])</f>
        <v>0</v>
      </c>
      <c r="AK604" s="436">
        <f>IF(NFI_Expiration=1,IF($A604&lt;VLOOKUP(T$5,NFI,5,0),1,0)*Table_NFI[[#This Row],[Winter Items Other]],Table_NFI[Winter Items Other])</f>
        <v>0</v>
      </c>
      <c r="AL604" s="436">
        <f>IF(NFI_Expiration=1,IF($A604&lt;VLOOKUP(M$5,NFI,5,0),1,0)*Table_NFI[[#This Row],[Winter Blanket]],Table_NFI[[#This Row],[Winter Blanket]])</f>
        <v>0</v>
      </c>
      <c r="AM604" s="436">
        <f>IF(Table_NFI[[#This Row],[Winter Clothes Adult]]+Table_NFI[[#This Row],[Winter Clothes Children]]+Table_NFI[[#This Row],[Winter Items Other]]+Table_NFI[[#This Row],[Winter Blanket]]&gt;0,1,0)</f>
        <v>0</v>
      </c>
      <c r="AN604" s="439">
        <f>IF(NFI_Expiration=1,IF($A604&lt;VLOOKUP(V$5,NFI,5,0),1,0)*Table_NFI[[#This Row],[Jerry Can]],Table_NFI[Jerry Can])</f>
        <v>0</v>
      </c>
      <c r="AO604" s="771" t="str">
        <f>IFERROR(VLOOKUP(Table_NFI[[#This Row],[Camp Name]],CL,2,0),"")</f>
        <v>MMR001CMP178</v>
      </c>
      <c r="AP604" s="772">
        <f ca="1">IF(Table_NFI[[#This Row],[Pcode]]="","",IF(OFFSET(CampList[Opening Date],MATCH(Table_NFI[[#This Row],[Pcode]],CampList[CP_Pcode],0)-1,0,1,1)&gt;=NFI_Monitor_Date,1,0))</f>
        <v>0</v>
      </c>
      <c r="AQ604" s="781" t="str">
        <f>IFERROR(VLOOKUP(Table_NFI[[#This Row],[Camp Name]],CL,3,0),"")</f>
        <v>Closed</v>
      </c>
      <c r="AR604" s="439" t="str">
        <f ca="1">IF(Table_NFI[[#This Row],[Pcode]]="","",OFFSET(CampList[Priority],MATCH(Table_NFI[[#This Row],[Pcode]],CampList[CP_Pcode],0)-1,0,1,1))</f>
        <v/>
      </c>
      <c r="AS604" s="438" t="str">
        <f>IFERROR(Table_NFI[[#This Row],[Kitchen Set]]/VLOOKUP(Table_NFI[[#This Row],[Camp Name]],CL,4,0),"")</f>
        <v/>
      </c>
      <c r="AT604" s="769" t="s">
        <v>1099</v>
      </c>
      <c r="AU604" s="773"/>
    </row>
    <row r="605" spans="1:47" x14ac:dyDescent="0.25">
      <c r="A605" s="451">
        <f t="shared" si="9"/>
        <v>34.866666666666667</v>
      </c>
      <c r="B605" s="768">
        <v>41324</v>
      </c>
      <c r="C605" s="769" t="s">
        <v>454</v>
      </c>
      <c r="D605" s="770" t="s">
        <v>454</v>
      </c>
      <c r="E605" s="769" t="s">
        <v>380</v>
      </c>
      <c r="F605" s="435" t="s">
        <v>529</v>
      </c>
      <c r="G605" s="435" t="s">
        <v>613</v>
      </c>
      <c r="H605" s="436"/>
      <c r="I605" s="436"/>
      <c r="J605" s="436">
        <v>19</v>
      </c>
      <c r="K605" s="436">
        <v>30</v>
      </c>
      <c r="L605" s="437">
        <v>18</v>
      </c>
      <c r="M605" s="437">
        <v>68</v>
      </c>
      <c r="N605" s="437">
        <v>18</v>
      </c>
      <c r="O605" s="437">
        <v>18</v>
      </c>
      <c r="P605" s="437">
        <v>18</v>
      </c>
      <c r="Q605" s="437">
        <v>18</v>
      </c>
      <c r="R605" s="436"/>
      <c r="S605" s="436"/>
      <c r="T605" s="436"/>
      <c r="U605" s="436"/>
      <c r="V605" s="436"/>
      <c r="W605" s="436"/>
      <c r="X605" s="436"/>
      <c r="Y605" s="436">
        <f>IF(NFI_Expiration=1,IF($A605&lt;VLOOKUP(H$5,NFI,5,0),1,0)*Table_NFI[[#This Row],[Hygiene Kit]],Table_NFI[Hygiene Kit])</f>
        <v>0</v>
      </c>
      <c r="Z605" s="436">
        <f>IF(NFI_Expiration=1,IF($A605&lt;VLOOKUP(I$5,NFI,5,0),1,0)*Table_NFI[[#This Row],[NFI Core Kit]],Table_NFI[NFI Core Kit])</f>
        <v>0</v>
      </c>
      <c r="AA605" s="436">
        <f>IF(NFI_Expiration=1,IF($A605&lt;VLOOKUP(J$5,NFI,5,0),1,0)*Table_NFI[[#This Row],[Sanitary Kit]],Table_NFI[Sanitary Kit])</f>
        <v>0</v>
      </c>
      <c r="AB605" s="436">
        <f>IF(NFI_Expiration=1,IF($A605&lt;VLOOKUP(K$5,NFI,5,0),1,0)*Table_NFI[[#This Row],[Mosquito net]],Table_NFI[Mosquito net])</f>
        <v>0</v>
      </c>
      <c r="AC605" s="436">
        <f>IF(NFI_Expiration=1,IF($A605&lt;VLOOKUP(L$5,NFI,5,0),1,0)*Table_NFI[[#This Row],[Tarpaulin]],Table_NFI[[#This Row],[Tarpaulin]])</f>
        <v>0</v>
      </c>
      <c r="AD605" s="436">
        <f>IF(NFI_Expiration=1,IF($A605&lt;VLOOKUP(M$5,NFI,5,0),1,0)*Table_NFI[[#This Row],[Blanket]],Table_NFI[[#This Row],[Blanket]])</f>
        <v>0</v>
      </c>
      <c r="AE605" s="436">
        <f>IF(NFI_Expiration=1,IF($A605&lt;VLOOKUP(N$5,NFI,5,0),1,0)*Table_NFI[[#This Row],[Kitchen Set]],Table_NFI[Kitchen Set])</f>
        <v>0</v>
      </c>
      <c r="AF605" s="436">
        <f>IF(NFI_Expiration=1,IF($A605&lt;VLOOKUP(O$5,NFI,5,0),1,0)*Table_NFI[[#This Row],[Clothes Kit]],Table_NFI[Clothes Kit])</f>
        <v>0</v>
      </c>
      <c r="AG605" s="436">
        <f>IF(NFI_Expiration=1,IF($A605&lt;VLOOKUP(P$5,NFI,5,0),1,0)*Table_NFI[[#This Row],[Plastic Bucket]],Table_NFI[Plastic Bucket])</f>
        <v>0</v>
      </c>
      <c r="AH605" s="436">
        <f>IF(NFI_Expiration=1,IF($A605&lt;VLOOKUP(Q$5,NFI,5,0),1,0)*Table_NFI[[#This Row],[Plastic Mat]],Table_NFI[Plastic Mat])*IF(Table_NFI[[#This Row],[Distribution Date]]&gt;"2014-04-01",1,2.5)</f>
        <v>0</v>
      </c>
      <c r="AI605" s="436">
        <f>IF(NFI_Expiration=1,IF($A605&lt;VLOOKUP(R$5,NFI,5,0),1,0)*Table_NFI[[#This Row],[Winter Clothes Adult]],Table_NFI[Winter Clothes Adult])</f>
        <v>0</v>
      </c>
      <c r="AJ605" s="436">
        <f>IF(NFI_Expiration=1,IF($A605&lt;VLOOKUP(S$5,NFI,5,0),1,0)*Table_NFI[[#This Row],[Winter Clothes Children]],Table_NFI[Winter Clothes Children])</f>
        <v>0</v>
      </c>
      <c r="AK605" s="436">
        <f>IF(NFI_Expiration=1,IF($A605&lt;VLOOKUP(T$5,NFI,5,0),1,0)*Table_NFI[[#This Row],[Winter Items Other]],Table_NFI[Winter Items Other])</f>
        <v>0</v>
      </c>
      <c r="AL605" s="436">
        <f>IF(NFI_Expiration=1,IF($A605&lt;VLOOKUP(M$5,NFI,5,0),1,0)*Table_NFI[[#This Row],[Winter Blanket]],Table_NFI[[#This Row],[Winter Blanket]])</f>
        <v>0</v>
      </c>
      <c r="AM605" s="436">
        <f>IF(Table_NFI[[#This Row],[Winter Clothes Adult]]+Table_NFI[[#This Row],[Winter Clothes Children]]+Table_NFI[[#This Row],[Winter Items Other]]+Table_NFI[[#This Row],[Winter Blanket]]&gt;0,1,0)</f>
        <v>0</v>
      </c>
      <c r="AN605" s="439">
        <f>IF(NFI_Expiration=1,IF($A605&lt;VLOOKUP(V$5,NFI,5,0),1,0)*Table_NFI[[#This Row],[Jerry Can]],Table_NFI[Jerry Can])</f>
        <v>0</v>
      </c>
      <c r="AO605" s="771" t="str">
        <f>IFERROR(VLOOKUP(Table_NFI[[#This Row],[Camp Name]],CL,2,0),"")</f>
        <v>MMR001CMP192</v>
      </c>
      <c r="AP605" s="772">
        <f ca="1">IF(Table_NFI[[#This Row],[Pcode]]="","",IF(OFFSET(CampList[Opening Date],MATCH(Table_NFI[[#This Row],[Pcode]],CampList[CP_Pcode],0)-1,0,1,1)&gt;=NFI_Monitor_Date,1,0))</f>
        <v>0</v>
      </c>
      <c r="AQ605" s="781" t="str">
        <f>IFERROR(VLOOKUP(Table_NFI[[#This Row],[Camp Name]],CL,3,0),"")</f>
        <v>Open</v>
      </c>
      <c r="AR605" s="439" t="str">
        <f ca="1">IF(Table_NFI[[#This Row],[Pcode]]="","",OFFSET(CampList[Priority],MATCH(Table_NFI[[#This Row],[Pcode]],CampList[CP_Pcode],0)-1,0,1,1))</f>
        <v>P4</v>
      </c>
      <c r="AS605" s="438">
        <f>IFERROR(Table_NFI[[#This Row],[Kitchen Set]]/VLOOKUP(Table_NFI[[#This Row],[Camp Name]],CL,4,0),"")</f>
        <v>1.0588235294117647</v>
      </c>
      <c r="AT605" s="769" t="s">
        <v>1099</v>
      </c>
      <c r="AU605" s="773"/>
    </row>
    <row r="606" spans="1:47" x14ac:dyDescent="0.25">
      <c r="A606" s="451">
        <f t="shared" si="9"/>
        <v>34.866666666666667</v>
      </c>
      <c r="B606" s="768">
        <v>41324</v>
      </c>
      <c r="C606" s="769" t="s">
        <v>454</v>
      </c>
      <c r="D606" s="770" t="s">
        <v>454</v>
      </c>
      <c r="E606" s="769" t="s">
        <v>380</v>
      </c>
      <c r="F606" s="435" t="s">
        <v>529</v>
      </c>
      <c r="G606" s="435" t="s">
        <v>74</v>
      </c>
      <c r="H606" s="436"/>
      <c r="I606" s="436"/>
      <c r="J606" s="436">
        <v>2</v>
      </c>
      <c r="K606" s="436">
        <v>3</v>
      </c>
      <c r="L606" s="437">
        <v>2</v>
      </c>
      <c r="M606" s="437">
        <v>7</v>
      </c>
      <c r="N606" s="437">
        <v>2</v>
      </c>
      <c r="O606" s="437">
        <v>2</v>
      </c>
      <c r="P606" s="437">
        <v>2</v>
      </c>
      <c r="Q606" s="437">
        <v>2</v>
      </c>
      <c r="R606" s="436"/>
      <c r="S606" s="436"/>
      <c r="T606" s="436"/>
      <c r="U606" s="436"/>
      <c r="V606" s="436"/>
      <c r="W606" s="436"/>
      <c r="X606" s="436"/>
      <c r="Y606" s="436">
        <f>IF(NFI_Expiration=1,IF($A606&lt;VLOOKUP(H$5,NFI,5,0),1,0)*Table_NFI[[#This Row],[Hygiene Kit]],Table_NFI[Hygiene Kit])</f>
        <v>0</v>
      </c>
      <c r="Z606" s="436">
        <f>IF(NFI_Expiration=1,IF($A606&lt;VLOOKUP(I$5,NFI,5,0),1,0)*Table_NFI[[#This Row],[NFI Core Kit]],Table_NFI[NFI Core Kit])</f>
        <v>0</v>
      </c>
      <c r="AA606" s="436">
        <f>IF(NFI_Expiration=1,IF($A606&lt;VLOOKUP(J$5,NFI,5,0),1,0)*Table_NFI[[#This Row],[Sanitary Kit]],Table_NFI[Sanitary Kit])</f>
        <v>0</v>
      </c>
      <c r="AB606" s="436">
        <f>IF(NFI_Expiration=1,IF($A606&lt;VLOOKUP(K$5,NFI,5,0),1,0)*Table_NFI[[#This Row],[Mosquito net]],Table_NFI[Mosquito net])</f>
        <v>0</v>
      </c>
      <c r="AC606" s="436">
        <f>IF(NFI_Expiration=1,IF($A606&lt;VLOOKUP(L$5,NFI,5,0),1,0)*Table_NFI[[#This Row],[Tarpaulin]],Table_NFI[[#This Row],[Tarpaulin]])</f>
        <v>0</v>
      </c>
      <c r="AD606" s="436">
        <f>IF(NFI_Expiration=1,IF($A606&lt;VLOOKUP(M$5,NFI,5,0),1,0)*Table_NFI[[#This Row],[Blanket]],Table_NFI[[#This Row],[Blanket]])</f>
        <v>0</v>
      </c>
      <c r="AE606" s="436">
        <f>IF(NFI_Expiration=1,IF($A606&lt;VLOOKUP(N$5,NFI,5,0),1,0)*Table_NFI[[#This Row],[Kitchen Set]],Table_NFI[Kitchen Set])</f>
        <v>0</v>
      </c>
      <c r="AF606" s="436">
        <f>IF(NFI_Expiration=1,IF($A606&lt;VLOOKUP(O$5,NFI,5,0),1,0)*Table_NFI[[#This Row],[Clothes Kit]],Table_NFI[Clothes Kit])</f>
        <v>0</v>
      </c>
      <c r="AG606" s="436">
        <f>IF(NFI_Expiration=1,IF($A606&lt;VLOOKUP(P$5,NFI,5,0),1,0)*Table_NFI[[#This Row],[Plastic Bucket]],Table_NFI[Plastic Bucket])</f>
        <v>0</v>
      </c>
      <c r="AH606" s="436">
        <f>IF(NFI_Expiration=1,IF($A606&lt;VLOOKUP(Q$5,NFI,5,0),1,0)*Table_NFI[[#This Row],[Plastic Mat]],Table_NFI[Plastic Mat])*IF(Table_NFI[[#This Row],[Distribution Date]]&gt;"2014-04-01",1,2.5)</f>
        <v>0</v>
      </c>
      <c r="AI606" s="436">
        <f>IF(NFI_Expiration=1,IF($A606&lt;VLOOKUP(R$5,NFI,5,0),1,0)*Table_NFI[[#This Row],[Winter Clothes Adult]],Table_NFI[Winter Clothes Adult])</f>
        <v>0</v>
      </c>
      <c r="AJ606" s="436">
        <f>IF(NFI_Expiration=1,IF($A606&lt;VLOOKUP(S$5,NFI,5,0),1,0)*Table_NFI[[#This Row],[Winter Clothes Children]],Table_NFI[Winter Clothes Children])</f>
        <v>0</v>
      </c>
      <c r="AK606" s="436">
        <f>IF(NFI_Expiration=1,IF($A606&lt;VLOOKUP(T$5,NFI,5,0),1,0)*Table_NFI[[#This Row],[Winter Items Other]],Table_NFI[Winter Items Other])</f>
        <v>0</v>
      </c>
      <c r="AL606" s="436">
        <f>IF(NFI_Expiration=1,IF($A606&lt;VLOOKUP(M$5,NFI,5,0),1,0)*Table_NFI[[#This Row],[Winter Blanket]],Table_NFI[[#This Row],[Winter Blanket]])</f>
        <v>0</v>
      </c>
      <c r="AM606" s="436">
        <f>IF(Table_NFI[[#This Row],[Winter Clothes Adult]]+Table_NFI[[#This Row],[Winter Clothes Children]]+Table_NFI[[#This Row],[Winter Items Other]]+Table_NFI[[#This Row],[Winter Blanket]]&gt;0,1,0)</f>
        <v>0</v>
      </c>
      <c r="AN606" s="439">
        <f>IF(NFI_Expiration=1,IF($A606&lt;VLOOKUP(V$5,NFI,5,0),1,0)*Table_NFI[[#This Row],[Jerry Can]],Table_NFI[Jerry Can])</f>
        <v>0</v>
      </c>
      <c r="AO606" s="771" t="str">
        <f>IFERROR(VLOOKUP(Table_NFI[[#This Row],[Camp Name]],CL,2,0),"")</f>
        <v>MMR001CMP175</v>
      </c>
      <c r="AP606" s="772">
        <f ca="1">IF(Table_NFI[[#This Row],[Pcode]]="","",IF(OFFSET(CampList[Opening Date],MATCH(Table_NFI[[#This Row],[Pcode]],CampList[CP_Pcode],0)-1,0,1,1)&gt;=NFI_Monitor_Date,1,0))</f>
        <v>0</v>
      </c>
      <c r="AQ606" s="781" t="str">
        <f>IFERROR(VLOOKUP(Table_NFI[[#This Row],[Camp Name]],CL,3,0),"")</f>
        <v>Closed</v>
      </c>
      <c r="AR606" s="439" t="str">
        <f ca="1">IF(Table_NFI[[#This Row],[Pcode]]="","",OFFSET(CampList[Priority],MATCH(Table_NFI[[#This Row],[Pcode]],CampList[CP_Pcode],0)-1,0,1,1))</f>
        <v/>
      </c>
      <c r="AS606" s="438" t="str">
        <f>IFERROR(Table_NFI[[#This Row],[Kitchen Set]]/VLOOKUP(Table_NFI[[#This Row],[Camp Name]],CL,4,0),"")</f>
        <v/>
      </c>
      <c r="AT606" s="769" t="s">
        <v>1099</v>
      </c>
      <c r="AU606" s="773"/>
    </row>
    <row r="607" spans="1:47" x14ac:dyDescent="0.25">
      <c r="A607" s="451">
        <f t="shared" si="9"/>
        <v>34.9</v>
      </c>
      <c r="B607" s="768">
        <v>41323</v>
      </c>
      <c r="C607" s="769" t="s">
        <v>454</v>
      </c>
      <c r="D607" s="770" t="s">
        <v>454</v>
      </c>
      <c r="E607" s="769" t="s">
        <v>380</v>
      </c>
      <c r="F607" s="435" t="s">
        <v>529</v>
      </c>
      <c r="G607" s="435" t="s">
        <v>88</v>
      </c>
      <c r="H607" s="436"/>
      <c r="I607" s="436"/>
      <c r="J607" s="436">
        <v>30</v>
      </c>
      <c r="K607" s="436">
        <v>0</v>
      </c>
      <c r="L607" s="437">
        <v>0</v>
      </c>
      <c r="M607" s="437">
        <v>0</v>
      </c>
      <c r="N607" s="437">
        <v>0</v>
      </c>
      <c r="O607" s="437">
        <v>0</v>
      </c>
      <c r="P607" s="437"/>
      <c r="Q607" s="437"/>
      <c r="R607" s="436"/>
      <c r="S607" s="436"/>
      <c r="T607" s="436"/>
      <c r="U607" s="436"/>
      <c r="V607" s="436"/>
      <c r="W607" s="436"/>
      <c r="X607" s="436"/>
      <c r="Y607" s="436">
        <f>IF(NFI_Expiration=1,IF($A607&lt;VLOOKUP(H$5,NFI,5,0),1,0)*Table_NFI[[#This Row],[Hygiene Kit]],Table_NFI[Hygiene Kit])</f>
        <v>0</v>
      </c>
      <c r="Z607" s="436">
        <f>IF(NFI_Expiration=1,IF($A607&lt;VLOOKUP(I$5,NFI,5,0),1,0)*Table_NFI[[#This Row],[NFI Core Kit]],Table_NFI[NFI Core Kit])</f>
        <v>0</v>
      </c>
      <c r="AA607" s="436">
        <f>IF(NFI_Expiration=1,IF($A607&lt;VLOOKUP(J$5,NFI,5,0),1,0)*Table_NFI[[#This Row],[Sanitary Kit]],Table_NFI[Sanitary Kit])</f>
        <v>0</v>
      </c>
      <c r="AB607" s="436">
        <f>IF(NFI_Expiration=1,IF($A607&lt;VLOOKUP(K$5,NFI,5,0),1,0)*Table_NFI[[#This Row],[Mosquito net]],Table_NFI[Mosquito net])</f>
        <v>0</v>
      </c>
      <c r="AC607" s="436">
        <f>IF(NFI_Expiration=1,IF($A607&lt;VLOOKUP(L$5,NFI,5,0),1,0)*Table_NFI[[#This Row],[Tarpaulin]],Table_NFI[[#This Row],[Tarpaulin]])</f>
        <v>0</v>
      </c>
      <c r="AD607" s="436">
        <f>IF(NFI_Expiration=1,IF($A607&lt;VLOOKUP(M$5,NFI,5,0),1,0)*Table_NFI[[#This Row],[Blanket]],Table_NFI[[#This Row],[Blanket]])</f>
        <v>0</v>
      </c>
      <c r="AE607" s="436">
        <f>IF(NFI_Expiration=1,IF($A607&lt;VLOOKUP(N$5,NFI,5,0),1,0)*Table_NFI[[#This Row],[Kitchen Set]],Table_NFI[Kitchen Set])</f>
        <v>0</v>
      </c>
      <c r="AF607" s="436">
        <f>IF(NFI_Expiration=1,IF($A607&lt;VLOOKUP(O$5,NFI,5,0),1,0)*Table_NFI[[#This Row],[Clothes Kit]],Table_NFI[Clothes Kit])</f>
        <v>0</v>
      </c>
      <c r="AG607" s="436">
        <f>IF(NFI_Expiration=1,IF($A607&lt;VLOOKUP(P$5,NFI,5,0),1,0)*Table_NFI[[#This Row],[Plastic Bucket]],Table_NFI[Plastic Bucket])</f>
        <v>0</v>
      </c>
      <c r="AH607" s="436">
        <f>IF(NFI_Expiration=1,IF($A607&lt;VLOOKUP(Q$5,NFI,5,0),1,0)*Table_NFI[[#This Row],[Plastic Mat]],Table_NFI[Plastic Mat])*IF(Table_NFI[[#This Row],[Distribution Date]]&gt;"2014-04-01",1,2.5)</f>
        <v>0</v>
      </c>
      <c r="AI607" s="436">
        <f>IF(NFI_Expiration=1,IF($A607&lt;VLOOKUP(R$5,NFI,5,0),1,0)*Table_NFI[[#This Row],[Winter Clothes Adult]],Table_NFI[Winter Clothes Adult])</f>
        <v>0</v>
      </c>
      <c r="AJ607" s="436">
        <f>IF(NFI_Expiration=1,IF($A607&lt;VLOOKUP(S$5,NFI,5,0),1,0)*Table_NFI[[#This Row],[Winter Clothes Children]],Table_NFI[Winter Clothes Children])</f>
        <v>0</v>
      </c>
      <c r="AK607" s="436">
        <f>IF(NFI_Expiration=1,IF($A607&lt;VLOOKUP(T$5,NFI,5,0),1,0)*Table_NFI[[#This Row],[Winter Items Other]],Table_NFI[Winter Items Other])</f>
        <v>0</v>
      </c>
      <c r="AL607" s="436">
        <f>IF(NFI_Expiration=1,IF($A607&lt;VLOOKUP(M$5,NFI,5,0),1,0)*Table_NFI[[#This Row],[Winter Blanket]],Table_NFI[[#This Row],[Winter Blanket]])</f>
        <v>0</v>
      </c>
      <c r="AM607" s="436">
        <f>IF(Table_NFI[[#This Row],[Winter Clothes Adult]]+Table_NFI[[#This Row],[Winter Clothes Children]]+Table_NFI[[#This Row],[Winter Items Other]]+Table_NFI[[#This Row],[Winter Blanket]]&gt;0,1,0)</f>
        <v>0</v>
      </c>
      <c r="AN607" s="439">
        <f>IF(NFI_Expiration=1,IF($A607&lt;VLOOKUP(V$5,NFI,5,0),1,0)*Table_NFI[[#This Row],[Jerry Can]],Table_NFI[Jerry Can])</f>
        <v>0</v>
      </c>
      <c r="AO607" s="771" t="str">
        <f>IFERROR(VLOOKUP(Table_NFI[[#This Row],[Camp Name]],CL,2,0),"")</f>
        <v>MMR001CMP148</v>
      </c>
      <c r="AP607" s="772">
        <f ca="1">IF(Table_NFI[[#This Row],[Pcode]]="","",IF(OFFSET(CampList[Opening Date],MATCH(Table_NFI[[#This Row],[Pcode]],CampList[CP_Pcode],0)-1,0,1,1)&gt;=NFI_Monitor_Date,1,0))</f>
        <v>0</v>
      </c>
      <c r="AQ607" s="781" t="str">
        <f>IFERROR(VLOOKUP(Table_NFI[[#This Row],[Camp Name]],CL,3,0),"")</f>
        <v>Open</v>
      </c>
      <c r="AR607" s="439" t="str">
        <f ca="1">IF(Table_NFI[[#This Row],[Pcode]]="","",OFFSET(CampList[Priority],MATCH(Table_NFI[[#This Row],[Pcode]],CampList[CP_Pcode],0)-1,0,1,1))</f>
        <v>P4</v>
      </c>
      <c r="AS607" s="438">
        <f>IFERROR(Table_NFI[[#This Row],[Kitchen Set]]/VLOOKUP(Table_NFI[[#This Row],[Camp Name]],CL,4,0),"")</f>
        <v>0</v>
      </c>
      <c r="AT607" s="769" t="s">
        <v>1099</v>
      </c>
      <c r="AU607" s="773"/>
    </row>
    <row r="608" spans="1:47" x14ac:dyDescent="0.25">
      <c r="A608" s="451">
        <f t="shared" si="9"/>
        <v>34.9</v>
      </c>
      <c r="B608" s="768">
        <v>41323</v>
      </c>
      <c r="C608" s="769" t="s">
        <v>454</v>
      </c>
      <c r="D608" s="770" t="s">
        <v>462</v>
      </c>
      <c r="E608" s="769" t="s">
        <v>555</v>
      </c>
      <c r="F608" s="435" t="s">
        <v>146</v>
      </c>
      <c r="G608" s="435" t="s">
        <v>369</v>
      </c>
      <c r="H608" s="436"/>
      <c r="I608" s="436"/>
      <c r="J608" s="436">
        <v>120</v>
      </c>
      <c r="K608" s="436">
        <v>120</v>
      </c>
      <c r="L608" s="437">
        <v>60</v>
      </c>
      <c r="M608" s="437">
        <v>120</v>
      </c>
      <c r="N608" s="437">
        <v>60</v>
      </c>
      <c r="O608" s="437">
        <v>60</v>
      </c>
      <c r="P608" s="437">
        <v>60</v>
      </c>
      <c r="Q608" s="437">
        <v>60</v>
      </c>
      <c r="R608" s="436"/>
      <c r="S608" s="436"/>
      <c r="T608" s="436"/>
      <c r="U608" s="436"/>
      <c r="V608" s="436"/>
      <c r="W608" s="436"/>
      <c r="X608" s="436"/>
      <c r="Y608" s="436">
        <f>IF(NFI_Expiration=1,IF($A608&lt;VLOOKUP(H$5,NFI,5,0),1,0)*Table_NFI[[#This Row],[Hygiene Kit]],Table_NFI[Hygiene Kit])</f>
        <v>0</v>
      </c>
      <c r="Z608" s="436">
        <f>IF(NFI_Expiration=1,IF($A608&lt;VLOOKUP(I$5,NFI,5,0),1,0)*Table_NFI[[#This Row],[NFI Core Kit]],Table_NFI[NFI Core Kit])</f>
        <v>0</v>
      </c>
      <c r="AA608" s="436">
        <f>IF(NFI_Expiration=1,IF($A608&lt;VLOOKUP(J$5,NFI,5,0),1,0)*Table_NFI[[#This Row],[Sanitary Kit]],Table_NFI[Sanitary Kit])</f>
        <v>0</v>
      </c>
      <c r="AB608" s="436">
        <f>IF(NFI_Expiration=1,IF($A608&lt;VLOOKUP(K$5,NFI,5,0),1,0)*Table_NFI[[#This Row],[Mosquito net]],Table_NFI[Mosquito net])</f>
        <v>0</v>
      </c>
      <c r="AC608" s="436">
        <f>IF(NFI_Expiration=1,IF($A608&lt;VLOOKUP(L$5,NFI,5,0),1,0)*Table_NFI[[#This Row],[Tarpaulin]],Table_NFI[[#This Row],[Tarpaulin]])</f>
        <v>0</v>
      </c>
      <c r="AD608" s="436">
        <f>IF(NFI_Expiration=1,IF($A608&lt;VLOOKUP(M$5,NFI,5,0),1,0)*Table_NFI[[#This Row],[Blanket]],Table_NFI[[#This Row],[Blanket]])</f>
        <v>0</v>
      </c>
      <c r="AE608" s="436">
        <f>IF(NFI_Expiration=1,IF($A608&lt;VLOOKUP(N$5,NFI,5,0),1,0)*Table_NFI[[#This Row],[Kitchen Set]],Table_NFI[Kitchen Set])</f>
        <v>0</v>
      </c>
      <c r="AF608" s="436">
        <f>IF(NFI_Expiration=1,IF($A608&lt;VLOOKUP(O$5,NFI,5,0),1,0)*Table_NFI[[#This Row],[Clothes Kit]],Table_NFI[Clothes Kit])</f>
        <v>0</v>
      </c>
      <c r="AG608" s="436">
        <f>IF(NFI_Expiration=1,IF($A608&lt;VLOOKUP(P$5,NFI,5,0),1,0)*Table_NFI[[#This Row],[Plastic Bucket]],Table_NFI[Plastic Bucket])</f>
        <v>0</v>
      </c>
      <c r="AH608" s="436">
        <f>IF(NFI_Expiration=1,IF($A608&lt;VLOOKUP(Q$5,NFI,5,0),1,0)*Table_NFI[[#This Row],[Plastic Mat]],Table_NFI[Plastic Mat])*IF(Table_NFI[[#This Row],[Distribution Date]]&gt;"2014-04-01",1,2.5)</f>
        <v>0</v>
      </c>
      <c r="AI608" s="436">
        <f>IF(NFI_Expiration=1,IF($A608&lt;VLOOKUP(R$5,NFI,5,0),1,0)*Table_NFI[[#This Row],[Winter Clothes Adult]],Table_NFI[Winter Clothes Adult])</f>
        <v>0</v>
      </c>
      <c r="AJ608" s="436">
        <f>IF(NFI_Expiration=1,IF($A608&lt;VLOOKUP(S$5,NFI,5,0),1,0)*Table_NFI[[#This Row],[Winter Clothes Children]],Table_NFI[Winter Clothes Children])</f>
        <v>0</v>
      </c>
      <c r="AK608" s="436">
        <f>IF(NFI_Expiration=1,IF($A608&lt;VLOOKUP(T$5,NFI,5,0),1,0)*Table_NFI[[#This Row],[Winter Items Other]],Table_NFI[Winter Items Other])</f>
        <v>0</v>
      </c>
      <c r="AL608" s="436">
        <f>IF(NFI_Expiration=1,IF($A608&lt;VLOOKUP(M$5,NFI,5,0),1,0)*Table_NFI[[#This Row],[Winter Blanket]],Table_NFI[[#This Row],[Winter Blanket]])</f>
        <v>0</v>
      </c>
      <c r="AM608" s="436">
        <f>IF(Table_NFI[[#This Row],[Winter Clothes Adult]]+Table_NFI[[#This Row],[Winter Clothes Children]]+Table_NFI[[#This Row],[Winter Items Other]]+Table_NFI[[#This Row],[Winter Blanket]]&gt;0,1,0)</f>
        <v>0</v>
      </c>
      <c r="AN608" s="439">
        <f>IF(NFI_Expiration=1,IF($A608&lt;VLOOKUP(V$5,NFI,5,0),1,0)*Table_NFI[[#This Row],[Jerry Can]],Table_NFI[Jerry Can])</f>
        <v>0</v>
      </c>
      <c r="AO608" s="771" t="str">
        <f>IFERROR(VLOOKUP(Table_NFI[[#This Row],[Camp Name]],CL,2,0),"")</f>
        <v>MMR015CMP016</v>
      </c>
      <c r="AP608" s="772">
        <f ca="1">IF(Table_NFI[[#This Row],[Pcode]]="","",IF(OFFSET(CampList[Opening Date],MATCH(Table_NFI[[#This Row],[Pcode]],CampList[CP_Pcode],0)-1,0,1,1)&gt;=NFI_Monitor_Date,1,0))</f>
        <v>0</v>
      </c>
      <c r="AQ608" s="781" t="str">
        <f>IFERROR(VLOOKUP(Table_NFI[[#This Row],[Camp Name]],CL,3,0),"")</f>
        <v>Open</v>
      </c>
      <c r="AR608" s="439" t="str">
        <f ca="1">IF(Table_NFI[[#This Row],[Pcode]]="","",OFFSET(CampList[Priority],MATCH(Table_NFI[[#This Row],[Pcode]],CampList[CP_Pcode],0)-1,0,1,1))</f>
        <v>P3</v>
      </c>
      <c r="AS608" s="438">
        <f>IFERROR(Table_NFI[[#This Row],[Kitchen Set]]/VLOOKUP(Table_NFI[[#This Row],[Camp Name]],CL,4,0),"")</f>
        <v>0.9375</v>
      </c>
      <c r="AT608" s="769" t="s">
        <v>1099</v>
      </c>
      <c r="AU608" s="773"/>
    </row>
    <row r="609" spans="1:47" x14ac:dyDescent="0.25">
      <c r="A609" s="451">
        <f t="shared" si="9"/>
        <v>34.9</v>
      </c>
      <c r="B609" s="768">
        <v>41323</v>
      </c>
      <c r="C609" s="769" t="s">
        <v>454</v>
      </c>
      <c r="D609" s="769" t="s">
        <v>462</v>
      </c>
      <c r="E609" s="769" t="s">
        <v>380</v>
      </c>
      <c r="F609" s="435" t="s">
        <v>151</v>
      </c>
      <c r="G609" s="435" t="s">
        <v>160</v>
      </c>
      <c r="H609" s="436"/>
      <c r="I609" s="436"/>
      <c r="J609" s="436">
        <v>221</v>
      </c>
      <c r="K609" s="436">
        <v>221</v>
      </c>
      <c r="L609" s="437">
        <v>110</v>
      </c>
      <c r="M609" s="437">
        <v>221</v>
      </c>
      <c r="N609" s="437">
        <v>110</v>
      </c>
      <c r="O609" s="437">
        <v>110</v>
      </c>
      <c r="P609" s="437">
        <v>110</v>
      </c>
      <c r="Q609" s="437">
        <v>110</v>
      </c>
      <c r="R609" s="436"/>
      <c r="S609" s="436"/>
      <c r="T609" s="436"/>
      <c r="U609" s="436"/>
      <c r="V609" s="436"/>
      <c r="W609" s="436"/>
      <c r="X609" s="436"/>
      <c r="Y609" s="436">
        <f>IF(NFI_Expiration=1,IF($A609&lt;VLOOKUP(H$5,NFI,5,0),1,0)*Table_NFI[[#This Row],[Hygiene Kit]],Table_NFI[Hygiene Kit])</f>
        <v>0</v>
      </c>
      <c r="Z609" s="436">
        <f>IF(NFI_Expiration=1,IF($A609&lt;VLOOKUP(I$5,NFI,5,0),1,0)*Table_NFI[[#This Row],[NFI Core Kit]],Table_NFI[NFI Core Kit])</f>
        <v>0</v>
      </c>
      <c r="AA609" s="436">
        <f>IF(NFI_Expiration=1,IF($A609&lt;VLOOKUP(J$5,NFI,5,0),1,0)*Table_NFI[[#This Row],[Sanitary Kit]],Table_NFI[Sanitary Kit])</f>
        <v>0</v>
      </c>
      <c r="AB609" s="436">
        <f>IF(NFI_Expiration=1,IF($A609&lt;VLOOKUP(K$5,NFI,5,0),1,0)*Table_NFI[[#This Row],[Mosquito net]],Table_NFI[Mosquito net])</f>
        <v>0</v>
      </c>
      <c r="AC609" s="436">
        <f>IF(NFI_Expiration=1,IF($A609&lt;VLOOKUP(L$5,NFI,5,0),1,0)*Table_NFI[[#This Row],[Tarpaulin]],Table_NFI[[#This Row],[Tarpaulin]])</f>
        <v>0</v>
      </c>
      <c r="AD609" s="436">
        <f>IF(NFI_Expiration=1,IF($A609&lt;VLOOKUP(M$5,NFI,5,0),1,0)*Table_NFI[[#This Row],[Blanket]],Table_NFI[[#This Row],[Blanket]])</f>
        <v>0</v>
      </c>
      <c r="AE609" s="436">
        <f>IF(NFI_Expiration=1,IF($A609&lt;VLOOKUP(N$5,NFI,5,0),1,0)*Table_NFI[[#This Row],[Kitchen Set]],Table_NFI[Kitchen Set])</f>
        <v>0</v>
      </c>
      <c r="AF609" s="436">
        <f>IF(NFI_Expiration=1,IF($A609&lt;VLOOKUP(O$5,NFI,5,0),1,0)*Table_NFI[[#This Row],[Clothes Kit]],Table_NFI[Clothes Kit])</f>
        <v>0</v>
      </c>
      <c r="AG609" s="436">
        <f>IF(NFI_Expiration=1,IF($A609&lt;VLOOKUP(P$5,NFI,5,0),1,0)*Table_NFI[[#This Row],[Plastic Bucket]],Table_NFI[Plastic Bucket])</f>
        <v>0</v>
      </c>
      <c r="AH609" s="436">
        <f>IF(NFI_Expiration=1,IF($A609&lt;VLOOKUP(Q$5,NFI,5,0),1,0)*Table_NFI[[#This Row],[Plastic Mat]],Table_NFI[Plastic Mat])*IF(Table_NFI[[#This Row],[Distribution Date]]&gt;"2014-04-01",1,2.5)</f>
        <v>0</v>
      </c>
      <c r="AI609" s="436">
        <f>IF(NFI_Expiration=1,IF($A609&lt;VLOOKUP(R$5,NFI,5,0),1,0)*Table_NFI[[#This Row],[Winter Clothes Adult]],Table_NFI[Winter Clothes Adult])</f>
        <v>0</v>
      </c>
      <c r="AJ609" s="436">
        <f>IF(NFI_Expiration=1,IF($A609&lt;VLOOKUP(S$5,NFI,5,0),1,0)*Table_NFI[[#This Row],[Winter Clothes Children]],Table_NFI[Winter Clothes Children])</f>
        <v>0</v>
      </c>
      <c r="AK609" s="436">
        <f>IF(NFI_Expiration=1,IF($A609&lt;VLOOKUP(T$5,NFI,5,0),1,0)*Table_NFI[[#This Row],[Winter Items Other]],Table_NFI[Winter Items Other])</f>
        <v>0</v>
      </c>
      <c r="AL609" s="436">
        <f>IF(NFI_Expiration=1,IF($A609&lt;VLOOKUP(M$5,NFI,5,0),1,0)*Table_NFI[[#This Row],[Winter Blanket]],Table_NFI[[#This Row],[Winter Blanket]])</f>
        <v>0</v>
      </c>
      <c r="AM609" s="436">
        <f>IF(Table_NFI[[#This Row],[Winter Clothes Adult]]+Table_NFI[[#This Row],[Winter Clothes Children]]+Table_NFI[[#This Row],[Winter Items Other]]+Table_NFI[[#This Row],[Winter Blanket]]&gt;0,1,0)</f>
        <v>0</v>
      </c>
      <c r="AN609" s="439">
        <f>IF(NFI_Expiration=1,IF($A609&lt;VLOOKUP(V$5,NFI,5,0),1,0)*Table_NFI[[#This Row],[Jerry Can]],Table_NFI[Jerry Can])</f>
        <v>0</v>
      </c>
      <c r="AO609" s="771" t="str">
        <f>IFERROR(VLOOKUP(Table_NFI[[#This Row],[Camp Name]],CL,2,0),"")</f>
        <v>MMR001CMP133</v>
      </c>
      <c r="AP609" s="772">
        <f ca="1">IF(Table_NFI[[#This Row],[Pcode]]="","",IF(OFFSET(CampList[Opening Date],MATCH(Table_NFI[[#This Row],[Pcode]],CampList[CP_Pcode],0)-1,0,1,1)&gt;=NFI_Monitor_Date,1,0))</f>
        <v>0</v>
      </c>
      <c r="AQ609" s="781" t="str">
        <f>IFERROR(VLOOKUP(Table_NFI[[#This Row],[Camp Name]],CL,3,0),"")</f>
        <v>Open</v>
      </c>
      <c r="AR609" s="439" t="str">
        <f ca="1">IF(Table_NFI[[#This Row],[Pcode]]="","",OFFSET(CampList[Priority],MATCH(Table_NFI[[#This Row],[Pcode]],CampList[CP_Pcode],0)-1,0,1,1))</f>
        <v>P4</v>
      </c>
      <c r="AS609" s="438">
        <f>IFERROR(Table_NFI[[#This Row],[Kitchen Set]]/VLOOKUP(Table_NFI[[#This Row],[Camp Name]],CL,4,0),"")</f>
        <v>0.96491228070175439</v>
      </c>
      <c r="AT609" s="769" t="s">
        <v>1099</v>
      </c>
      <c r="AU609" s="773"/>
    </row>
    <row r="610" spans="1:47" x14ac:dyDescent="0.25">
      <c r="A610" s="451">
        <f t="shared" si="9"/>
        <v>34.9</v>
      </c>
      <c r="B610" s="768">
        <v>41323</v>
      </c>
      <c r="C610" s="769" t="s">
        <v>454</v>
      </c>
      <c r="D610" s="770" t="s">
        <v>462</v>
      </c>
      <c r="E610" s="769" t="s">
        <v>555</v>
      </c>
      <c r="F610" s="435" t="s">
        <v>166</v>
      </c>
      <c r="G610" s="435" t="s">
        <v>167</v>
      </c>
      <c r="H610" s="436"/>
      <c r="I610" s="436"/>
      <c r="J610" s="436">
        <v>57</v>
      </c>
      <c r="K610" s="436">
        <v>57</v>
      </c>
      <c r="L610" s="437">
        <v>29</v>
      </c>
      <c r="M610" s="437">
        <v>57</v>
      </c>
      <c r="N610" s="437">
        <v>29</v>
      </c>
      <c r="O610" s="437">
        <v>29</v>
      </c>
      <c r="P610" s="437">
        <v>29</v>
      </c>
      <c r="Q610" s="437">
        <v>29</v>
      </c>
      <c r="R610" s="436"/>
      <c r="S610" s="436"/>
      <c r="T610" s="436"/>
      <c r="U610" s="436"/>
      <c r="V610" s="436"/>
      <c r="W610" s="436"/>
      <c r="X610" s="436"/>
      <c r="Y610" s="436">
        <f>IF(NFI_Expiration=1,IF($A610&lt;VLOOKUP(H$5,NFI,5,0),1,0)*Table_NFI[[#This Row],[Hygiene Kit]],Table_NFI[Hygiene Kit])</f>
        <v>0</v>
      </c>
      <c r="Z610" s="436">
        <f>IF(NFI_Expiration=1,IF($A610&lt;VLOOKUP(I$5,NFI,5,0),1,0)*Table_NFI[[#This Row],[NFI Core Kit]],Table_NFI[NFI Core Kit])</f>
        <v>0</v>
      </c>
      <c r="AA610" s="436">
        <f>IF(NFI_Expiration=1,IF($A610&lt;VLOOKUP(J$5,NFI,5,0),1,0)*Table_NFI[[#This Row],[Sanitary Kit]],Table_NFI[Sanitary Kit])</f>
        <v>0</v>
      </c>
      <c r="AB610" s="436">
        <f>IF(NFI_Expiration=1,IF($A610&lt;VLOOKUP(K$5,NFI,5,0),1,0)*Table_NFI[[#This Row],[Mosquito net]],Table_NFI[Mosquito net])</f>
        <v>0</v>
      </c>
      <c r="AC610" s="436">
        <f>IF(NFI_Expiration=1,IF($A610&lt;VLOOKUP(L$5,NFI,5,0),1,0)*Table_NFI[[#This Row],[Tarpaulin]],Table_NFI[[#This Row],[Tarpaulin]])</f>
        <v>0</v>
      </c>
      <c r="AD610" s="436">
        <f>IF(NFI_Expiration=1,IF($A610&lt;VLOOKUP(M$5,NFI,5,0),1,0)*Table_NFI[[#This Row],[Blanket]],Table_NFI[[#This Row],[Blanket]])</f>
        <v>0</v>
      </c>
      <c r="AE610" s="436">
        <f>IF(NFI_Expiration=1,IF($A610&lt;VLOOKUP(N$5,NFI,5,0),1,0)*Table_NFI[[#This Row],[Kitchen Set]],Table_NFI[Kitchen Set])</f>
        <v>0</v>
      </c>
      <c r="AF610" s="436">
        <f>IF(NFI_Expiration=1,IF($A610&lt;VLOOKUP(O$5,NFI,5,0),1,0)*Table_NFI[[#This Row],[Clothes Kit]],Table_NFI[Clothes Kit])</f>
        <v>0</v>
      </c>
      <c r="AG610" s="436">
        <f>IF(NFI_Expiration=1,IF($A610&lt;VLOOKUP(P$5,NFI,5,0),1,0)*Table_NFI[[#This Row],[Plastic Bucket]],Table_NFI[Plastic Bucket])</f>
        <v>0</v>
      </c>
      <c r="AH610" s="436">
        <f>IF(NFI_Expiration=1,IF($A610&lt;VLOOKUP(Q$5,NFI,5,0),1,0)*Table_NFI[[#This Row],[Plastic Mat]],Table_NFI[Plastic Mat])*IF(Table_NFI[[#This Row],[Distribution Date]]&gt;"2014-04-01",1,2.5)</f>
        <v>0</v>
      </c>
      <c r="AI610" s="436">
        <f>IF(NFI_Expiration=1,IF($A610&lt;VLOOKUP(R$5,NFI,5,0),1,0)*Table_NFI[[#This Row],[Winter Clothes Adult]],Table_NFI[Winter Clothes Adult])</f>
        <v>0</v>
      </c>
      <c r="AJ610" s="436">
        <f>IF(NFI_Expiration=1,IF($A610&lt;VLOOKUP(S$5,NFI,5,0),1,0)*Table_NFI[[#This Row],[Winter Clothes Children]],Table_NFI[Winter Clothes Children])</f>
        <v>0</v>
      </c>
      <c r="AK610" s="436">
        <f>IF(NFI_Expiration=1,IF($A610&lt;VLOOKUP(T$5,NFI,5,0),1,0)*Table_NFI[[#This Row],[Winter Items Other]],Table_NFI[Winter Items Other])</f>
        <v>0</v>
      </c>
      <c r="AL610" s="436">
        <f>IF(NFI_Expiration=1,IF($A610&lt;VLOOKUP(M$5,NFI,5,0),1,0)*Table_NFI[[#This Row],[Winter Blanket]],Table_NFI[[#This Row],[Winter Blanket]])</f>
        <v>0</v>
      </c>
      <c r="AM610" s="436">
        <f>IF(Table_NFI[[#This Row],[Winter Clothes Adult]]+Table_NFI[[#This Row],[Winter Clothes Children]]+Table_NFI[[#This Row],[Winter Items Other]]+Table_NFI[[#This Row],[Winter Blanket]]&gt;0,1,0)</f>
        <v>0</v>
      </c>
      <c r="AN610" s="439">
        <f>IF(NFI_Expiration=1,IF($A610&lt;VLOOKUP(V$5,NFI,5,0),1,0)*Table_NFI[[#This Row],[Jerry Can]],Table_NFI[Jerry Can])</f>
        <v>0</v>
      </c>
      <c r="AO610" s="771" t="str">
        <f>IFERROR(VLOOKUP(Table_NFI[[#This Row],[Camp Name]],CL,2,0),"")</f>
        <v>MMR015CMP009</v>
      </c>
      <c r="AP610" s="772">
        <f ca="1">IF(Table_NFI[[#This Row],[Pcode]]="","",IF(OFFSET(CampList[Opening Date],MATCH(Table_NFI[[#This Row],[Pcode]],CampList[CP_Pcode],0)-1,0,1,1)&gt;=NFI_Monitor_Date,1,0))</f>
        <v>0</v>
      </c>
      <c r="AQ610" s="781" t="str">
        <f>IFERROR(VLOOKUP(Table_NFI[[#This Row],[Camp Name]],CL,3,0),"")</f>
        <v>Open</v>
      </c>
      <c r="AR610" s="439" t="str">
        <f ca="1">IF(Table_NFI[[#This Row],[Pcode]]="","",OFFSET(CampList[Priority],MATCH(Table_NFI[[#This Row],[Pcode]],CampList[CP_Pcode],0)-1,0,1,1))</f>
        <v>P2</v>
      </c>
      <c r="AS610" s="438">
        <f>IFERROR(Table_NFI[[#This Row],[Kitchen Set]]/VLOOKUP(Table_NFI[[#This Row],[Camp Name]],CL,4,0),"")</f>
        <v>0.76315789473684215</v>
      </c>
      <c r="AT610" s="769" t="s">
        <v>1099</v>
      </c>
      <c r="AU610" s="773"/>
    </row>
    <row r="611" spans="1:47" ht="14.45" customHeight="1" x14ac:dyDescent="0.25">
      <c r="A611" s="451">
        <f t="shared" si="9"/>
        <v>34.9</v>
      </c>
      <c r="B611" s="768">
        <v>41323</v>
      </c>
      <c r="C611" s="769" t="s">
        <v>454</v>
      </c>
      <c r="D611" s="770" t="s">
        <v>462</v>
      </c>
      <c r="E611" s="769" t="s">
        <v>555</v>
      </c>
      <c r="F611" s="435" t="s">
        <v>230</v>
      </c>
      <c r="G611" s="435" t="s">
        <v>233</v>
      </c>
      <c r="H611" s="436"/>
      <c r="I611" s="436"/>
      <c r="J611" s="436">
        <v>60</v>
      </c>
      <c r="K611" s="436">
        <v>60</v>
      </c>
      <c r="L611" s="437">
        <v>30</v>
      </c>
      <c r="M611" s="437">
        <v>60</v>
      </c>
      <c r="N611" s="437">
        <v>30</v>
      </c>
      <c r="O611" s="437">
        <v>30</v>
      </c>
      <c r="P611" s="437">
        <v>30</v>
      </c>
      <c r="Q611" s="437">
        <v>30</v>
      </c>
      <c r="R611" s="436"/>
      <c r="S611" s="436"/>
      <c r="T611" s="436"/>
      <c r="U611" s="436"/>
      <c r="V611" s="436"/>
      <c r="W611" s="436"/>
      <c r="X611" s="436"/>
      <c r="Y611" s="436">
        <f>IF(NFI_Expiration=1,IF($A611&lt;VLOOKUP(H$5,NFI,5,0),1,0)*Table_NFI[[#This Row],[Hygiene Kit]],Table_NFI[Hygiene Kit])</f>
        <v>0</v>
      </c>
      <c r="Z611" s="436">
        <f>IF(NFI_Expiration=1,IF($A611&lt;VLOOKUP(I$5,NFI,5,0),1,0)*Table_NFI[[#This Row],[NFI Core Kit]],Table_NFI[NFI Core Kit])</f>
        <v>0</v>
      </c>
      <c r="AA611" s="436">
        <f>IF(NFI_Expiration=1,IF($A611&lt;VLOOKUP(J$5,NFI,5,0),1,0)*Table_NFI[[#This Row],[Sanitary Kit]],Table_NFI[Sanitary Kit])</f>
        <v>0</v>
      </c>
      <c r="AB611" s="436">
        <f>IF(NFI_Expiration=1,IF($A611&lt;VLOOKUP(K$5,NFI,5,0),1,0)*Table_NFI[[#This Row],[Mosquito net]],Table_NFI[Mosquito net])</f>
        <v>0</v>
      </c>
      <c r="AC611" s="436">
        <f>IF(NFI_Expiration=1,IF($A611&lt;VLOOKUP(L$5,NFI,5,0),1,0)*Table_NFI[[#This Row],[Tarpaulin]],Table_NFI[[#This Row],[Tarpaulin]])</f>
        <v>0</v>
      </c>
      <c r="AD611" s="436">
        <f>IF(NFI_Expiration=1,IF($A611&lt;VLOOKUP(M$5,NFI,5,0),1,0)*Table_NFI[[#This Row],[Blanket]],Table_NFI[[#This Row],[Blanket]])</f>
        <v>0</v>
      </c>
      <c r="AE611" s="436">
        <f>IF(NFI_Expiration=1,IF($A611&lt;VLOOKUP(N$5,NFI,5,0),1,0)*Table_NFI[[#This Row],[Kitchen Set]],Table_NFI[Kitchen Set])</f>
        <v>0</v>
      </c>
      <c r="AF611" s="436">
        <f>IF(NFI_Expiration=1,IF($A611&lt;VLOOKUP(O$5,NFI,5,0),1,0)*Table_NFI[[#This Row],[Clothes Kit]],Table_NFI[Clothes Kit])</f>
        <v>0</v>
      </c>
      <c r="AG611" s="436">
        <f>IF(NFI_Expiration=1,IF($A611&lt;VLOOKUP(P$5,NFI,5,0),1,0)*Table_NFI[[#This Row],[Plastic Bucket]],Table_NFI[Plastic Bucket])</f>
        <v>0</v>
      </c>
      <c r="AH611" s="436">
        <f>IF(NFI_Expiration=1,IF($A611&lt;VLOOKUP(Q$5,NFI,5,0),1,0)*Table_NFI[[#This Row],[Plastic Mat]],Table_NFI[Plastic Mat])*IF(Table_NFI[[#This Row],[Distribution Date]]&gt;"2014-04-01",1,2.5)</f>
        <v>0</v>
      </c>
      <c r="AI611" s="436">
        <f>IF(NFI_Expiration=1,IF($A611&lt;VLOOKUP(R$5,NFI,5,0),1,0)*Table_NFI[[#This Row],[Winter Clothes Adult]],Table_NFI[Winter Clothes Adult])</f>
        <v>0</v>
      </c>
      <c r="AJ611" s="436">
        <f>IF(NFI_Expiration=1,IF($A611&lt;VLOOKUP(S$5,NFI,5,0),1,0)*Table_NFI[[#This Row],[Winter Clothes Children]],Table_NFI[Winter Clothes Children])</f>
        <v>0</v>
      </c>
      <c r="AK611" s="436">
        <f>IF(NFI_Expiration=1,IF($A611&lt;VLOOKUP(T$5,NFI,5,0),1,0)*Table_NFI[[#This Row],[Winter Items Other]],Table_NFI[Winter Items Other])</f>
        <v>0</v>
      </c>
      <c r="AL611" s="436">
        <f>IF(NFI_Expiration=1,IF($A611&lt;VLOOKUP(M$5,NFI,5,0),1,0)*Table_NFI[[#This Row],[Winter Blanket]],Table_NFI[[#This Row],[Winter Blanket]])</f>
        <v>0</v>
      </c>
      <c r="AM611" s="436">
        <f>IF(Table_NFI[[#This Row],[Winter Clothes Adult]]+Table_NFI[[#This Row],[Winter Clothes Children]]+Table_NFI[[#This Row],[Winter Items Other]]+Table_NFI[[#This Row],[Winter Blanket]]&gt;0,1,0)</f>
        <v>0</v>
      </c>
      <c r="AN611" s="439">
        <f>IF(NFI_Expiration=1,IF($A611&lt;VLOOKUP(V$5,NFI,5,0),1,0)*Table_NFI[[#This Row],[Jerry Can]],Table_NFI[Jerry Can])</f>
        <v>0</v>
      </c>
      <c r="AO611" s="771" t="str">
        <f>IFERROR(VLOOKUP(Table_NFI[[#This Row],[Camp Name]],CL,2,0),"")</f>
        <v>MMR015CMP012</v>
      </c>
      <c r="AP611" s="772">
        <f ca="1">IF(Table_NFI[[#This Row],[Pcode]]="","",IF(OFFSET(CampList[Opening Date],MATCH(Table_NFI[[#This Row],[Pcode]],CampList[CP_Pcode],0)-1,0,1,1)&gt;=NFI_Monitor_Date,1,0))</f>
        <v>0</v>
      </c>
      <c r="AQ611" s="781" t="str">
        <f>IFERROR(VLOOKUP(Table_NFI[[#This Row],[Camp Name]],CL,3,0),"")</f>
        <v>Open</v>
      </c>
      <c r="AR611" s="439" t="str">
        <f ca="1">IF(Table_NFI[[#This Row],[Pcode]]="","",OFFSET(CampList[Priority],MATCH(Table_NFI[[#This Row],[Pcode]],CampList[CP_Pcode],0)-1,0,1,1))</f>
        <v>P1</v>
      </c>
      <c r="AS611" s="438">
        <f>IFERROR(Table_NFI[[#This Row],[Kitchen Set]]/VLOOKUP(Table_NFI[[#This Row],[Camp Name]],CL,4,0),"")</f>
        <v>3.3333333333333335</v>
      </c>
      <c r="AT611" s="769" t="s">
        <v>1099</v>
      </c>
      <c r="AU611" s="773"/>
    </row>
    <row r="612" spans="1:47" x14ac:dyDescent="0.25">
      <c r="A612" s="451">
        <f t="shared" si="9"/>
        <v>34.9</v>
      </c>
      <c r="B612" s="768">
        <v>41323</v>
      </c>
      <c r="C612" s="769" t="s">
        <v>454</v>
      </c>
      <c r="D612" s="770" t="s">
        <v>462</v>
      </c>
      <c r="E612" s="769" t="s">
        <v>555</v>
      </c>
      <c r="F612" s="435" t="s">
        <v>146</v>
      </c>
      <c r="G612" s="435" t="s">
        <v>371</v>
      </c>
      <c r="H612" s="436"/>
      <c r="I612" s="436"/>
      <c r="J612" s="436">
        <v>93</v>
      </c>
      <c r="K612" s="436">
        <v>93</v>
      </c>
      <c r="L612" s="437">
        <v>46</v>
      </c>
      <c r="M612" s="437">
        <v>93</v>
      </c>
      <c r="N612" s="437">
        <v>46</v>
      </c>
      <c r="O612" s="437">
        <v>46</v>
      </c>
      <c r="P612" s="437">
        <v>46</v>
      </c>
      <c r="Q612" s="437">
        <v>46</v>
      </c>
      <c r="R612" s="436"/>
      <c r="S612" s="436"/>
      <c r="T612" s="436"/>
      <c r="U612" s="436"/>
      <c r="V612" s="436"/>
      <c r="W612" s="436"/>
      <c r="X612" s="436"/>
      <c r="Y612" s="436">
        <f>IF(NFI_Expiration=1,IF($A612&lt;VLOOKUP(H$5,NFI,5,0),1,0)*Table_NFI[[#This Row],[Hygiene Kit]],Table_NFI[Hygiene Kit])</f>
        <v>0</v>
      </c>
      <c r="Z612" s="436">
        <f>IF(NFI_Expiration=1,IF($A612&lt;VLOOKUP(I$5,NFI,5,0),1,0)*Table_NFI[[#This Row],[NFI Core Kit]],Table_NFI[NFI Core Kit])</f>
        <v>0</v>
      </c>
      <c r="AA612" s="436">
        <f>IF(NFI_Expiration=1,IF($A612&lt;VLOOKUP(J$5,NFI,5,0),1,0)*Table_NFI[[#This Row],[Sanitary Kit]],Table_NFI[Sanitary Kit])</f>
        <v>0</v>
      </c>
      <c r="AB612" s="436">
        <f>IF(NFI_Expiration=1,IF($A612&lt;VLOOKUP(K$5,NFI,5,0),1,0)*Table_NFI[[#This Row],[Mosquito net]],Table_NFI[Mosquito net])</f>
        <v>0</v>
      </c>
      <c r="AC612" s="436">
        <f>IF(NFI_Expiration=1,IF($A612&lt;VLOOKUP(L$5,NFI,5,0),1,0)*Table_NFI[[#This Row],[Tarpaulin]],Table_NFI[[#This Row],[Tarpaulin]])</f>
        <v>0</v>
      </c>
      <c r="AD612" s="436">
        <f>IF(NFI_Expiration=1,IF($A612&lt;VLOOKUP(M$5,NFI,5,0),1,0)*Table_NFI[[#This Row],[Blanket]],Table_NFI[[#This Row],[Blanket]])</f>
        <v>0</v>
      </c>
      <c r="AE612" s="436">
        <f>IF(NFI_Expiration=1,IF($A612&lt;VLOOKUP(N$5,NFI,5,0),1,0)*Table_NFI[[#This Row],[Kitchen Set]],Table_NFI[Kitchen Set])</f>
        <v>0</v>
      </c>
      <c r="AF612" s="436">
        <f>IF(NFI_Expiration=1,IF($A612&lt;VLOOKUP(O$5,NFI,5,0),1,0)*Table_NFI[[#This Row],[Clothes Kit]],Table_NFI[Clothes Kit])</f>
        <v>0</v>
      </c>
      <c r="AG612" s="436">
        <f>IF(NFI_Expiration=1,IF($A612&lt;VLOOKUP(P$5,NFI,5,0),1,0)*Table_NFI[[#This Row],[Plastic Bucket]],Table_NFI[Plastic Bucket])</f>
        <v>0</v>
      </c>
      <c r="AH612" s="436">
        <f>IF(NFI_Expiration=1,IF($A612&lt;VLOOKUP(Q$5,NFI,5,0),1,0)*Table_NFI[[#This Row],[Plastic Mat]],Table_NFI[Plastic Mat])*IF(Table_NFI[[#This Row],[Distribution Date]]&gt;"2014-04-01",1,2.5)</f>
        <v>0</v>
      </c>
      <c r="AI612" s="436">
        <f>IF(NFI_Expiration=1,IF($A612&lt;VLOOKUP(R$5,NFI,5,0),1,0)*Table_NFI[[#This Row],[Winter Clothes Adult]],Table_NFI[Winter Clothes Adult])</f>
        <v>0</v>
      </c>
      <c r="AJ612" s="436">
        <f>IF(NFI_Expiration=1,IF($A612&lt;VLOOKUP(S$5,NFI,5,0),1,0)*Table_NFI[[#This Row],[Winter Clothes Children]],Table_NFI[Winter Clothes Children])</f>
        <v>0</v>
      </c>
      <c r="AK612" s="436">
        <f>IF(NFI_Expiration=1,IF($A612&lt;VLOOKUP(T$5,NFI,5,0),1,0)*Table_NFI[[#This Row],[Winter Items Other]],Table_NFI[Winter Items Other])</f>
        <v>0</v>
      </c>
      <c r="AL612" s="436">
        <f>IF(NFI_Expiration=1,IF($A612&lt;VLOOKUP(M$5,NFI,5,0),1,0)*Table_NFI[[#This Row],[Winter Blanket]],Table_NFI[[#This Row],[Winter Blanket]])</f>
        <v>0</v>
      </c>
      <c r="AM612" s="436">
        <f>IF(Table_NFI[[#This Row],[Winter Clothes Adult]]+Table_NFI[[#This Row],[Winter Clothes Children]]+Table_NFI[[#This Row],[Winter Items Other]]+Table_NFI[[#This Row],[Winter Blanket]]&gt;0,1,0)</f>
        <v>0</v>
      </c>
      <c r="AN612" s="439">
        <f>IF(NFI_Expiration=1,IF($A612&lt;VLOOKUP(V$5,NFI,5,0),1,0)*Table_NFI[[#This Row],[Jerry Can]],Table_NFI[Jerry Can])</f>
        <v>0</v>
      </c>
      <c r="AO612" s="771" t="str">
        <f>IFERROR(VLOOKUP(Table_NFI[[#This Row],[Camp Name]],CL,2,0),"")</f>
        <v>MMR015CMP006</v>
      </c>
      <c r="AP612" s="772">
        <f ca="1">IF(Table_NFI[[#This Row],[Pcode]]="","",IF(OFFSET(CampList[Opening Date],MATCH(Table_NFI[[#This Row],[Pcode]],CampList[CP_Pcode],0)-1,0,1,1)&gt;=NFI_Monitor_Date,1,0))</f>
        <v>0</v>
      </c>
      <c r="AQ612" s="781" t="str">
        <f>IFERROR(VLOOKUP(Table_NFI[[#This Row],[Camp Name]],CL,3,0),"")</f>
        <v>Open</v>
      </c>
      <c r="AR612" s="439" t="str">
        <f ca="1">IF(Table_NFI[[#This Row],[Pcode]]="","",OFFSET(CampList[Priority],MATCH(Table_NFI[[#This Row],[Pcode]],CampList[CP_Pcode],0)-1,0,1,1))</f>
        <v>P1</v>
      </c>
      <c r="AS612" s="438">
        <f>IFERROR(Table_NFI[[#This Row],[Kitchen Set]]/VLOOKUP(Table_NFI[[#This Row],[Camp Name]],CL,4,0),"")</f>
        <v>0.90196078431372551</v>
      </c>
      <c r="AT612" s="769" t="s">
        <v>1099</v>
      </c>
      <c r="AU612" s="773"/>
    </row>
    <row r="613" spans="1:47" x14ac:dyDescent="0.25">
      <c r="A613" s="451">
        <f t="shared" si="9"/>
        <v>34.9</v>
      </c>
      <c r="B613" s="768">
        <v>41323</v>
      </c>
      <c r="C613" s="769" t="s">
        <v>454</v>
      </c>
      <c r="D613" s="770" t="s">
        <v>462</v>
      </c>
      <c r="E613" s="769" t="s">
        <v>555</v>
      </c>
      <c r="F613" s="435" t="s">
        <v>289</v>
      </c>
      <c r="G613" s="435" t="s">
        <v>292</v>
      </c>
      <c r="H613" s="436"/>
      <c r="I613" s="436"/>
      <c r="J613" s="436">
        <v>118</v>
      </c>
      <c r="K613" s="436">
        <v>118</v>
      </c>
      <c r="L613" s="437">
        <v>59</v>
      </c>
      <c r="M613" s="437">
        <v>118</v>
      </c>
      <c r="N613" s="437">
        <v>59</v>
      </c>
      <c r="O613" s="437">
        <v>59</v>
      </c>
      <c r="P613" s="437">
        <v>59</v>
      </c>
      <c r="Q613" s="437">
        <v>59</v>
      </c>
      <c r="R613" s="436"/>
      <c r="S613" s="436"/>
      <c r="T613" s="436"/>
      <c r="U613" s="436"/>
      <c r="V613" s="436"/>
      <c r="W613" s="436"/>
      <c r="X613" s="436"/>
      <c r="Y613" s="436">
        <f>IF(NFI_Expiration=1,IF($A613&lt;VLOOKUP(H$5,NFI,5,0),1,0)*Table_NFI[[#This Row],[Hygiene Kit]],Table_NFI[Hygiene Kit])</f>
        <v>0</v>
      </c>
      <c r="Z613" s="436">
        <f>IF(NFI_Expiration=1,IF($A613&lt;VLOOKUP(I$5,NFI,5,0),1,0)*Table_NFI[[#This Row],[NFI Core Kit]],Table_NFI[NFI Core Kit])</f>
        <v>0</v>
      </c>
      <c r="AA613" s="436">
        <f>IF(NFI_Expiration=1,IF($A613&lt;VLOOKUP(J$5,NFI,5,0),1,0)*Table_NFI[[#This Row],[Sanitary Kit]],Table_NFI[Sanitary Kit])</f>
        <v>0</v>
      </c>
      <c r="AB613" s="436">
        <f>IF(NFI_Expiration=1,IF($A613&lt;VLOOKUP(K$5,NFI,5,0),1,0)*Table_NFI[[#This Row],[Mosquito net]],Table_NFI[Mosquito net])</f>
        <v>0</v>
      </c>
      <c r="AC613" s="436">
        <f>IF(NFI_Expiration=1,IF($A613&lt;VLOOKUP(L$5,NFI,5,0),1,0)*Table_NFI[[#This Row],[Tarpaulin]],Table_NFI[[#This Row],[Tarpaulin]])</f>
        <v>0</v>
      </c>
      <c r="AD613" s="436">
        <f>IF(NFI_Expiration=1,IF($A613&lt;VLOOKUP(M$5,NFI,5,0),1,0)*Table_NFI[[#This Row],[Blanket]],Table_NFI[[#This Row],[Blanket]])</f>
        <v>0</v>
      </c>
      <c r="AE613" s="436">
        <f>IF(NFI_Expiration=1,IF($A613&lt;VLOOKUP(N$5,NFI,5,0),1,0)*Table_NFI[[#This Row],[Kitchen Set]],Table_NFI[Kitchen Set])</f>
        <v>0</v>
      </c>
      <c r="AF613" s="436">
        <f>IF(NFI_Expiration=1,IF($A613&lt;VLOOKUP(O$5,NFI,5,0),1,0)*Table_NFI[[#This Row],[Clothes Kit]],Table_NFI[Clothes Kit])</f>
        <v>0</v>
      </c>
      <c r="AG613" s="436">
        <f>IF(NFI_Expiration=1,IF($A613&lt;VLOOKUP(P$5,NFI,5,0),1,0)*Table_NFI[[#This Row],[Plastic Bucket]],Table_NFI[Plastic Bucket])</f>
        <v>0</v>
      </c>
      <c r="AH613" s="436">
        <f>IF(NFI_Expiration=1,IF($A613&lt;VLOOKUP(Q$5,NFI,5,0),1,0)*Table_NFI[[#This Row],[Plastic Mat]],Table_NFI[Plastic Mat])*IF(Table_NFI[[#This Row],[Distribution Date]]&gt;"2014-04-01",1,2.5)</f>
        <v>0</v>
      </c>
      <c r="AI613" s="436">
        <f>IF(NFI_Expiration=1,IF($A613&lt;VLOOKUP(R$5,NFI,5,0),1,0)*Table_NFI[[#This Row],[Winter Clothes Adult]],Table_NFI[Winter Clothes Adult])</f>
        <v>0</v>
      </c>
      <c r="AJ613" s="436">
        <f>IF(NFI_Expiration=1,IF($A613&lt;VLOOKUP(S$5,NFI,5,0),1,0)*Table_NFI[[#This Row],[Winter Clothes Children]],Table_NFI[Winter Clothes Children])</f>
        <v>0</v>
      </c>
      <c r="AK613" s="436">
        <f>IF(NFI_Expiration=1,IF($A613&lt;VLOOKUP(T$5,NFI,5,0),1,0)*Table_NFI[[#This Row],[Winter Items Other]],Table_NFI[Winter Items Other])</f>
        <v>0</v>
      </c>
      <c r="AL613" s="436">
        <f>IF(NFI_Expiration=1,IF($A613&lt;VLOOKUP(M$5,NFI,5,0),1,0)*Table_NFI[[#This Row],[Winter Blanket]],Table_NFI[[#This Row],[Winter Blanket]])</f>
        <v>0</v>
      </c>
      <c r="AM613" s="436">
        <f>IF(Table_NFI[[#This Row],[Winter Clothes Adult]]+Table_NFI[[#This Row],[Winter Clothes Children]]+Table_NFI[[#This Row],[Winter Items Other]]+Table_NFI[[#This Row],[Winter Blanket]]&gt;0,1,0)</f>
        <v>0</v>
      </c>
      <c r="AN613" s="439">
        <f>IF(NFI_Expiration=1,IF($A613&lt;VLOOKUP(V$5,NFI,5,0),1,0)*Table_NFI[[#This Row],[Jerry Can]],Table_NFI[Jerry Can])</f>
        <v>0</v>
      </c>
      <c r="AO613" s="771" t="str">
        <f>IFERROR(VLOOKUP(Table_NFI[[#This Row],[Camp Name]],CL,2,0),"")</f>
        <v>MMR015CMP004</v>
      </c>
      <c r="AP613" s="772">
        <f ca="1">IF(Table_NFI[[#This Row],[Pcode]]="","",IF(OFFSET(CampList[Opening Date],MATCH(Table_NFI[[#This Row],[Pcode]],CampList[CP_Pcode],0)-1,0,1,1)&gt;=NFI_Monitor_Date,1,0))</f>
        <v>0</v>
      </c>
      <c r="AQ613" s="781" t="str">
        <f>IFERROR(VLOOKUP(Table_NFI[[#This Row],[Camp Name]],CL,3,0),"")</f>
        <v>Open</v>
      </c>
      <c r="AR613" s="439" t="str">
        <f ca="1">IF(Table_NFI[[#This Row],[Pcode]]="","",OFFSET(CampList[Priority],MATCH(Table_NFI[[#This Row],[Pcode]],CampList[CP_Pcode],0)-1,0,1,1))</f>
        <v>P3</v>
      </c>
      <c r="AS613" s="438">
        <f>IFERROR(Table_NFI[[#This Row],[Kitchen Set]]/VLOOKUP(Table_NFI[[#This Row],[Camp Name]],CL,4,0),"")</f>
        <v>0.71951219512195119</v>
      </c>
      <c r="AT613" s="769" t="s">
        <v>1099</v>
      </c>
      <c r="AU613" s="773"/>
    </row>
    <row r="614" spans="1:47" x14ac:dyDescent="0.25">
      <c r="A614" s="451">
        <f t="shared" si="9"/>
        <v>34.9</v>
      </c>
      <c r="B614" s="768">
        <v>41323</v>
      </c>
      <c r="C614" s="769" t="s">
        <v>454</v>
      </c>
      <c r="D614" s="770" t="s">
        <v>462</v>
      </c>
      <c r="E614" s="769" t="s">
        <v>555</v>
      </c>
      <c r="F614" s="435" t="s">
        <v>289</v>
      </c>
      <c r="G614" s="435" t="s">
        <v>290</v>
      </c>
      <c r="H614" s="436"/>
      <c r="I614" s="436"/>
      <c r="J614" s="436">
        <v>139</v>
      </c>
      <c r="K614" s="436">
        <v>139</v>
      </c>
      <c r="L614" s="437">
        <v>70</v>
      </c>
      <c r="M614" s="437">
        <v>139</v>
      </c>
      <c r="N614" s="437">
        <v>70</v>
      </c>
      <c r="O614" s="437">
        <v>70</v>
      </c>
      <c r="P614" s="437">
        <v>70</v>
      </c>
      <c r="Q614" s="437">
        <v>70</v>
      </c>
      <c r="R614" s="436"/>
      <c r="S614" s="436"/>
      <c r="T614" s="436"/>
      <c r="U614" s="436"/>
      <c r="V614" s="436"/>
      <c r="W614" s="436"/>
      <c r="X614" s="436"/>
      <c r="Y614" s="436">
        <f>IF(NFI_Expiration=1,IF($A614&lt;VLOOKUP(H$5,NFI,5,0),1,0)*Table_NFI[[#This Row],[Hygiene Kit]],Table_NFI[Hygiene Kit])</f>
        <v>0</v>
      </c>
      <c r="Z614" s="436">
        <f>IF(NFI_Expiration=1,IF($A614&lt;VLOOKUP(I$5,NFI,5,0),1,0)*Table_NFI[[#This Row],[NFI Core Kit]],Table_NFI[NFI Core Kit])</f>
        <v>0</v>
      </c>
      <c r="AA614" s="436">
        <f>IF(NFI_Expiration=1,IF($A614&lt;VLOOKUP(J$5,NFI,5,0),1,0)*Table_NFI[[#This Row],[Sanitary Kit]],Table_NFI[Sanitary Kit])</f>
        <v>0</v>
      </c>
      <c r="AB614" s="436">
        <f>IF(NFI_Expiration=1,IF($A614&lt;VLOOKUP(K$5,NFI,5,0),1,0)*Table_NFI[[#This Row],[Mosquito net]],Table_NFI[Mosquito net])</f>
        <v>0</v>
      </c>
      <c r="AC614" s="436">
        <f>IF(NFI_Expiration=1,IF($A614&lt;VLOOKUP(L$5,NFI,5,0),1,0)*Table_NFI[[#This Row],[Tarpaulin]],Table_NFI[[#This Row],[Tarpaulin]])</f>
        <v>0</v>
      </c>
      <c r="AD614" s="436">
        <f>IF(NFI_Expiration=1,IF($A614&lt;VLOOKUP(M$5,NFI,5,0),1,0)*Table_NFI[[#This Row],[Blanket]],Table_NFI[[#This Row],[Blanket]])</f>
        <v>0</v>
      </c>
      <c r="AE614" s="436">
        <f>IF(NFI_Expiration=1,IF($A614&lt;VLOOKUP(N$5,NFI,5,0),1,0)*Table_NFI[[#This Row],[Kitchen Set]],Table_NFI[Kitchen Set])</f>
        <v>0</v>
      </c>
      <c r="AF614" s="436">
        <f>IF(NFI_Expiration=1,IF($A614&lt;VLOOKUP(O$5,NFI,5,0),1,0)*Table_NFI[[#This Row],[Clothes Kit]],Table_NFI[Clothes Kit])</f>
        <v>0</v>
      </c>
      <c r="AG614" s="436">
        <f>IF(NFI_Expiration=1,IF($A614&lt;VLOOKUP(P$5,NFI,5,0),1,0)*Table_NFI[[#This Row],[Plastic Bucket]],Table_NFI[Plastic Bucket])</f>
        <v>0</v>
      </c>
      <c r="AH614" s="436">
        <f>IF(NFI_Expiration=1,IF($A614&lt;VLOOKUP(Q$5,NFI,5,0),1,0)*Table_NFI[[#This Row],[Plastic Mat]],Table_NFI[Plastic Mat])*IF(Table_NFI[[#This Row],[Distribution Date]]&gt;"2014-04-01",1,2.5)</f>
        <v>0</v>
      </c>
      <c r="AI614" s="436">
        <f>IF(NFI_Expiration=1,IF($A614&lt;VLOOKUP(R$5,NFI,5,0),1,0)*Table_NFI[[#This Row],[Winter Clothes Adult]],Table_NFI[Winter Clothes Adult])</f>
        <v>0</v>
      </c>
      <c r="AJ614" s="436">
        <f>IF(NFI_Expiration=1,IF($A614&lt;VLOOKUP(S$5,NFI,5,0),1,0)*Table_NFI[[#This Row],[Winter Clothes Children]],Table_NFI[Winter Clothes Children])</f>
        <v>0</v>
      </c>
      <c r="AK614" s="436">
        <f>IF(NFI_Expiration=1,IF($A614&lt;VLOOKUP(T$5,NFI,5,0),1,0)*Table_NFI[[#This Row],[Winter Items Other]],Table_NFI[Winter Items Other])</f>
        <v>0</v>
      </c>
      <c r="AL614" s="436">
        <f>IF(NFI_Expiration=1,IF($A614&lt;VLOOKUP(M$5,NFI,5,0),1,0)*Table_NFI[[#This Row],[Winter Blanket]],Table_NFI[[#This Row],[Winter Blanket]])</f>
        <v>0</v>
      </c>
      <c r="AM614" s="436">
        <f>IF(Table_NFI[[#This Row],[Winter Clothes Adult]]+Table_NFI[[#This Row],[Winter Clothes Children]]+Table_NFI[[#This Row],[Winter Items Other]]+Table_NFI[[#This Row],[Winter Blanket]]&gt;0,1,0)</f>
        <v>0</v>
      </c>
      <c r="AN614" s="439">
        <f>IF(NFI_Expiration=1,IF($A614&lt;VLOOKUP(V$5,NFI,5,0),1,0)*Table_NFI[[#This Row],[Jerry Can]],Table_NFI[Jerry Can])</f>
        <v>0</v>
      </c>
      <c r="AO614" s="771" t="str">
        <f>IFERROR(VLOOKUP(Table_NFI[[#This Row],[Camp Name]],CL,2,0),"")</f>
        <v>MMR015CMP001</v>
      </c>
      <c r="AP614" s="772">
        <f ca="1">IF(Table_NFI[[#This Row],[Pcode]]="","",IF(OFFSET(CampList[Opening Date],MATCH(Table_NFI[[#This Row],[Pcode]],CampList[CP_Pcode],0)-1,0,1,1)&gt;=NFI_Monitor_Date,1,0))</f>
        <v>0</v>
      </c>
      <c r="AQ614" s="781" t="str">
        <f>IFERROR(VLOOKUP(Table_NFI[[#This Row],[Camp Name]],CL,3,0),"")</f>
        <v>Open</v>
      </c>
      <c r="AR614" s="439" t="str">
        <f ca="1">IF(Table_NFI[[#This Row],[Pcode]]="","",OFFSET(CampList[Priority],MATCH(Table_NFI[[#This Row],[Pcode]],CampList[CP_Pcode],0)-1,0,1,1))</f>
        <v>P3</v>
      </c>
      <c r="AS614" s="438">
        <f>IFERROR(Table_NFI[[#This Row],[Kitchen Set]]/VLOOKUP(Table_NFI[[#This Row],[Camp Name]],CL,4,0),"")</f>
        <v>1.0294117647058822</v>
      </c>
      <c r="AT614" s="769" t="s">
        <v>1099</v>
      </c>
      <c r="AU614" s="773"/>
    </row>
    <row r="615" spans="1:47" x14ac:dyDescent="0.25">
      <c r="A615" s="451">
        <f t="shared" si="9"/>
        <v>34.9</v>
      </c>
      <c r="B615" s="768">
        <v>41323</v>
      </c>
      <c r="C615" s="769" t="s">
        <v>454</v>
      </c>
      <c r="D615" s="770" t="s">
        <v>462</v>
      </c>
      <c r="E615" s="769" t="s">
        <v>555</v>
      </c>
      <c r="F615" s="435" t="s">
        <v>289</v>
      </c>
      <c r="G615" s="435" t="s">
        <v>361</v>
      </c>
      <c r="H615" s="436"/>
      <c r="I615" s="436"/>
      <c r="J615" s="436">
        <v>16</v>
      </c>
      <c r="K615" s="436">
        <v>16</v>
      </c>
      <c r="L615" s="437">
        <v>8</v>
      </c>
      <c r="M615" s="437">
        <v>16</v>
      </c>
      <c r="N615" s="437">
        <v>8</v>
      </c>
      <c r="O615" s="437">
        <v>8</v>
      </c>
      <c r="P615" s="437">
        <v>8</v>
      </c>
      <c r="Q615" s="437">
        <v>8</v>
      </c>
      <c r="R615" s="436"/>
      <c r="S615" s="436"/>
      <c r="T615" s="436"/>
      <c r="U615" s="436"/>
      <c r="V615" s="436"/>
      <c r="W615" s="436"/>
      <c r="X615" s="436"/>
      <c r="Y615" s="436">
        <f>IF(NFI_Expiration=1,IF($A615&lt;VLOOKUP(H$5,NFI,5,0),1,0)*Table_NFI[[#This Row],[Hygiene Kit]],Table_NFI[Hygiene Kit])</f>
        <v>0</v>
      </c>
      <c r="Z615" s="436">
        <f>IF(NFI_Expiration=1,IF($A615&lt;VLOOKUP(I$5,NFI,5,0),1,0)*Table_NFI[[#This Row],[NFI Core Kit]],Table_NFI[NFI Core Kit])</f>
        <v>0</v>
      </c>
      <c r="AA615" s="436">
        <f>IF(NFI_Expiration=1,IF($A615&lt;VLOOKUP(J$5,NFI,5,0),1,0)*Table_NFI[[#This Row],[Sanitary Kit]],Table_NFI[Sanitary Kit])</f>
        <v>0</v>
      </c>
      <c r="AB615" s="436">
        <f>IF(NFI_Expiration=1,IF($A615&lt;VLOOKUP(K$5,NFI,5,0),1,0)*Table_NFI[[#This Row],[Mosquito net]],Table_NFI[Mosquito net])</f>
        <v>0</v>
      </c>
      <c r="AC615" s="436">
        <f>IF(NFI_Expiration=1,IF($A615&lt;VLOOKUP(L$5,NFI,5,0),1,0)*Table_NFI[[#This Row],[Tarpaulin]],Table_NFI[[#This Row],[Tarpaulin]])</f>
        <v>0</v>
      </c>
      <c r="AD615" s="436">
        <f>IF(NFI_Expiration=1,IF($A615&lt;VLOOKUP(M$5,NFI,5,0),1,0)*Table_NFI[[#This Row],[Blanket]],Table_NFI[[#This Row],[Blanket]])</f>
        <v>0</v>
      </c>
      <c r="AE615" s="436">
        <f>IF(NFI_Expiration=1,IF($A615&lt;VLOOKUP(N$5,NFI,5,0),1,0)*Table_NFI[[#This Row],[Kitchen Set]],Table_NFI[Kitchen Set])</f>
        <v>0</v>
      </c>
      <c r="AF615" s="436">
        <f>IF(NFI_Expiration=1,IF($A615&lt;VLOOKUP(O$5,NFI,5,0),1,0)*Table_NFI[[#This Row],[Clothes Kit]],Table_NFI[Clothes Kit])</f>
        <v>0</v>
      </c>
      <c r="AG615" s="436">
        <f>IF(NFI_Expiration=1,IF($A615&lt;VLOOKUP(P$5,NFI,5,0),1,0)*Table_NFI[[#This Row],[Plastic Bucket]],Table_NFI[Plastic Bucket])</f>
        <v>0</v>
      </c>
      <c r="AH615" s="436">
        <f>IF(NFI_Expiration=1,IF($A615&lt;VLOOKUP(Q$5,NFI,5,0),1,0)*Table_NFI[[#This Row],[Plastic Mat]],Table_NFI[Plastic Mat])*IF(Table_NFI[[#This Row],[Distribution Date]]&gt;"2014-04-01",1,2.5)</f>
        <v>0</v>
      </c>
      <c r="AI615" s="436">
        <f>IF(NFI_Expiration=1,IF($A615&lt;VLOOKUP(R$5,NFI,5,0),1,0)*Table_NFI[[#This Row],[Winter Clothes Adult]],Table_NFI[Winter Clothes Adult])</f>
        <v>0</v>
      </c>
      <c r="AJ615" s="436">
        <f>IF(NFI_Expiration=1,IF($A615&lt;VLOOKUP(S$5,NFI,5,0),1,0)*Table_NFI[[#This Row],[Winter Clothes Children]],Table_NFI[Winter Clothes Children])</f>
        <v>0</v>
      </c>
      <c r="AK615" s="436">
        <f>IF(NFI_Expiration=1,IF($A615&lt;VLOOKUP(T$5,NFI,5,0),1,0)*Table_NFI[[#This Row],[Winter Items Other]],Table_NFI[Winter Items Other])</f>
        <v>0</v>
      </c>
      <c r="AL615" s="436">
        <f>IF(NFI_Expiration=1,IF($A615&lt;VLOOKUP(M$5,NFI,5,0),1,0)*Table_NFI[[#This Row],[Winter Blanket]],Table_NFI[[#This Row],[Winter Blanket]])</f>
        <v>0</v>
      </c>
      <c r="AM615" s="436">
        <f>IF(Table_NFI[[#This Row],[Winter Clothes Adult]]+Table_NFI[[#This Row],[Winter Clothes Children]]+Table_NFI[[#This Row],[Winter Items Other]]+Table_NFI[[#This Row],[Winter Blanket]]&gt;0,1,0)</f>
        <v>0</v>
      </c>
      <c r="AN615" s="439">
        <f>IF(NFI_Expiration=1,IF($A615&lt;VLOOKUP(V$5,NFI,5,0),1,0)*Table_NFI[[#This Row],[Jerry Can]],Table_NFI[Jerry Can])</f>
        <v>0</v>
      </c>
      <c r="AO615" s="771" t="str">
        <f>IFERROR(VLOOKUP(Table_NFI[[#This Row],[Camp Name]],CL,2,0),"")</f>
        <v>MMR015CMP139</v>
      </c>
      <c r="AP615" s="772">
        <f ca="1">IF(Table_NFI[[#This Row],[Pcode]]="","",IF(OFFSET(CampList[Opening Date],MATCH(Table_NFI[[#This Row],[Pcode]],CampList[CP_Pcode],0)-1,0,1,1)&gt;=NFI_Monitor_Date,1,0))</f>
        <v>0</v>
      </c>
      <c r="AQ615" s="781" t="str">
        <f>IFERROR(VLOOKUP(Table_NFI[[#This Row],[Camp Name]],CL,3,0),"")</f>
        <v>Closed</v>
      </c>
      <c r="AR615" s="439" t="str">
        <f ca="1">IF(Table_NFI[[#This Row],[Pcode]]="","",OFFSET(CampList[Priority],MATCH(Table_NFI[[#This Row],[Pcode]],CampList[CP_Pcode],0)-1,0,1,1))</f>
        <v>P2</v>
      </c>
      <c r="AS615" s="438" t="str">
        <f>IFERROR(Table_NFI[[#This Row],[Kitchen Set]]/VLOOKUP(Table_NFI[[#This Row],[Camp Name]],CL,4,0),"")</f>
        <v/>
      </c>
      <c r="AT615" s="769" t="s">
        <v>1099</v>
      </c>
      <c r="AU615" s="773"/>
    </row>
    <row r="616" spans="1:47" x14ac:dyDescent="0.25">
      <c r="A616" s="451">
        <f t="shared" si="9"/>
        <v>34.9</v>
      </c>
      <c r="B616" s="768">
        <v>41323</v>
      </c>
      <c r="C616" s="769" t="s">
        <v>454</v>
      </c>
      <c r="D616" s="770" t="s">
        <v>462</v>
      </c>
      <c r="E616" s="769" t="s">
        <v>555</v>
      </c>
      <c r="F616" s="435" t="s">
        <v>146</v>
      </c>
      <c r="G616" s="435" t="s">
        <v>149</v>
      </c>
      <c r="H616" s="436"/>
      <c r="I616" s="436"/>
      <c r="J616" s="436">
        <v>86</v>
      </c>
      <c r="K616" s="436">
        <v>86</v>
      </c>
      <c r="L616" s="437">
        <v>43</v>
      </c>
      <c r="M616" s="437">
        <v>86</v>
      </c>
      <c r="N616" s="437">
        <v>43</v>
      </c>
      <c r="O616" s="437">
        <v>43</v>
      </c>
      <c r="P616" s="437">
        <v>43</v>
      </c>
      <c r="Q616" s="437">
        <v>43</v>
      </c>
      <c r="R616" s="436"/>
      <c r="S616" s="436"/>
      <c r="T616" s="436"/>
      <c r="U616" s="436"/>
      <c r="V616" s="436"/>
      <c r="W616" s="436"/>
      <c r="X616" s="436"/>
      <c r="Y616" s="436">
        <f>IF(NFI_Expiration=1,IF($A616&lt;VLOOKUP(H$5,NFI,5,0),1,0)*Table_NFI[[#This Row],[Hygiene Kit]],Table_NFI[Hygiene Kit])</f>
        <v>0</v>
      </c>
      <c r="Z616" s="436">
        <f>IF(NFI_Expiration=1,IF($A616&lt;VLOOKUP(I$5,NFI,5,0),1,0)*Table_NFI[[#This Row],[NFI Core Kit]],Table_NFI[NFI Core Kit])</f>
        <v>0</v>
      </c>
      <c r="AA616" s="436">
        <f>IF(NFI_Expiration=1,IF($A616&lt;VLOOKUP(J$5,NFI,5,0),1,0)*Table_NFI[[#This Row],[Sanitary Kit]],Table_NFI[Sanitary Kit])</f>
        <v>0</v>
      </c>
      <c r="AB616" s="436">
        <f>IF(NFI_Expiration=1,IF($A616&lt;VLOOKUP(K$5,NFI,5,0),1,0)*Table_NFI[[#This Row],[Mosquito net]],Table_NFI[Mosquito net])</f>
        <v>0</v>
      </c>
      <c r="AC616" s="436">
        <f>IF(NFI_Expiration=1,IF($A616&lt;VLOOKUP(L$5,NFI,5,0),1,0)*Table_NFI[[#This Row],[Tarpaulin]],Table_NFI[[#This Row],[Tarpaulin]])</f>
        <v>0</v>
      </c>
      <c r="AD616" s="436">
        <f>IF(NFI_Expiration=1,IF($A616&lt;VLOOKUP(M$5,NFI,5,0),1,0)*Table_NFI[[#This Row],[Blanket]],Table_NFI[[#This Row],[Blanket]])</f>
        <v>0</v>
      </c>
      <c r="AE616" s="436">
        <f>IF(NFI_Expiration=1,IF($A616&lt;VLOOKUP(N$5,NFI,5,0),1,0)*Table_NFI[[#This Row],[Kitchen Set]],Table_NFI[Kitchen Set])</f>
        <v>0</v>
      </c>
      <c r="AF616" s="436">
        <f>IF(NFI_Expiration=1,IF($A616&lt;VLOOKUP(O$5,NFI,5,0),1,0)*Table_NFI[[#This Row],[Clothes Kit]],Table_NFI[Clothes Kit])</f>
        <v>0</v>
      </c>
      <c r="AG616" s="436">
        <f>IF(NFI_Expiration=1,IF($A616&lt;VLOOKUP(P$5,NFI,5,0),1,0)*Table_NFI[[#This Row],[Plastic Bucket]],Table_NFI[Plastic Bucket])</f>
        <v>0</v>
      </c>
      <c r="AH616" s="436">
        <f>IF(NFI_Expiration=1,IF($A616&lt;VLOOKUP(Q$5,NFI,5,0),1,0)*Table_NFI[[#This Row],[Plastic Mat]],Table_NFI[Plastic Mat])*IF(Table_NFI[[#This Row],[Distribution Date]]&gt;"2014-04-01",1,2.5)</f>
        <v>0</v>
      </c>
      <c r="AI616" s="436">
        <f>IF(NFI_Expiration=1,IF($A616&lt;VLOOKUP(R$5,NFI,5,0),1,0)*Table_NFI[[#This Row],[Winter Clothes Adult]],Table_NFI[Winter Clothes Adult])</f>
        <v>0</v>
      </c>
      <c r="AJ616" s="436">
        <f>IF(NFI_Expiration=1,IF($A616&lt;VLOOKUP(S$5,NFI,5,0),1,0)*Table_NFI[[#This Row],[Winter Clothes Children]],Table_NFI[Winter Clothes Children])</f>
        <v>0</v>
      </c>
      <c r="AK616" s="436">
        <f>IF(NFI_Expiration=1,IF($A616&lt;VLOOKUP(T$5,NFI,5,0),1,0)*Table_NFI[[#This Row],[Winter Items Other]],Table_NFI[Winter Items Other])</f>
        <v>0</v>
      </c>
      <c r="AL616" s="436">
        <f>IF(NFI_Expiration=1,IF($A616&lt;VLOOKUP(M$5,NFI,5,0),1,0)*Table_NFI[[#This Row],[Winter Blanket]],Table_NFI[[#This Row],[Winter Blanket]])</f>
        <v>0</v>
      </c>
      <c r="AM616" s="436">
        <f>IF(Table_NFI[[#This Row],[Winter Clothes Adult]]+Table_NFI[[#This Row],[Winter Clothes Children]]+Table_NFI[[#This Row],[Winter Items Other]]+Table_NFI[[#This Row],[Winter Blanket]]&gt;0,1,0)</f>
        <v>0</v>
      </c>
      <c r="AN616" s="439">
        <f>IF(NFI_Expiration=1,IF($A616&lt;VLOOKUP(V$5,NFI,5,0),1,0)*Table_NFI[[#This Row],[Jerry Can]],Table_NFI[Jerry Can])</f>
        <v>0</v>
      </c>
      <c r="AO616" s="771" t="str">
        <f>IFERROR(VLOOKUP(Table_NFI[[#This Row],[Camp Name]],CL,2,0),"")</f>
        <v>MMR015CMP007</v>
      </c>
      <c r="AP616" s="772">
        <f ca="1">IF(Table_NFI[[#This Row],[Pcode]]="","",IF(OFFSET(CampList[Opening Date],MATCH(Table_NFI[[#This Row],[Pcode]],CampList[CP_Pcode],0)-1,0,1,1)&gt;=NFI_Monitor_Date,1,0))</f>
        <v>0</v>
      </c>
      <c r="AQ616" s="781" t="str">
        <f>IFERROR(VLOOKUP(Table_NFI[[#This Row],[Camp Name]],CL,3,0),"")</f>
        <v>Open</v>
      </c>
      <c r="AR616" s="439" t="str">
        <f ca="1">IF(Table_NFI[[#This Row],[Pcode]]="","",OFFSET(CampList[Priority],MATCH(Table_NFI[[#This Row],[Pcode]],CampList[CP_Pcode],0)-1,0,1,1))</f>
        <v>P3</v>
      </c>
      <c r="AS616" s="438">
        <f>IFERROR(Table_NFI[[#This Row],[Kitchen Set]]/VLOOKUP(Table_NFI[[#This Row],[Camp Name]],CL,4,0),"")</f>
        <v>0.60563380281690138</v>
      </c>
      <c r="AT616" s="769" t="s">
        <v>1099</v>
      </c>
      <c r="AU616" s="773"/>
    </row>
    <row r="617" spans="1:47" x14ac:dyDescent="0.25">
      <c r="A617" s="451">
        <f t="shared" si="9"/>
        <v>34.9</v>
      </c>
      <c r="B617" s="768">
        <v>41323</v>
      </c>
      <c r="C617" s="769" t="s">
        <v>454</v>
      </c>
      <c r="D617" s="770" t="s">
        <v>462</v>
      </c>
      <c r="E617" s="769" t="s">
        <v>555</v>
      </c>
      <c r="F617" s="435" t="s">
        <v>298</v>
      </c>
      <c r="G617" s="435" t="s">
        <v>595</v>
      </c>
      <c r="H617" s="436"/>
      <c r="I617" s="436"/>
      <c r="J617" s="436">
        <v>90</v>
      </c>
      <c r="K617" s="436">
        <v>90</v>
      </c>
      <c r="L617" s="437">
        <v>45</v>
      </c>
      <c r="M617" s="437">
        <v>90</v>
      </c>
      <c r="N617" s="437">
        <v>45</v>
      </c>
      <c r="O617" s="437">
        <v>45</v>
      </c>
      <c r="P617" s="437">
        <v>45</v>
      </c>
      <c r="Q617" s="437">
        <v>45</v>
      </c>
      <c r="R617" s="436"/>
      <c r="S617" s="436"/>
      <c r="T617" s="436"/>
      <c r="U617" s="436"/>
      <c r="V617" s="436"/>
      <c r="W617" s="436"/>
      <c r="X617" s="436"/>
      <c r="Y617" s="436">
        <f>IF(NFI_Expiration=1,IF($A617&lt;VLOOKUP(H$5,NFI,5,0),1,0)*Table_NFI[[#This Row],[Hygiene Kit]],Table_NFI[Hygiene Kit])</f>
        <v>0</v>
      </c>
      <c r="Z617" s="436">
        <f>IF(NFI_Expiration=1,IF($A617&lt;VLOOKUP(I$5,NFI,5,0),1,0)*Table_NFI[[#This Row],[NFI Core Kit]],Table_NFI[NFI Core Kit])</f>
        <v>0</v>
      </c>
      <c r="AA617" s="436">
        <f>IF(NFI_Expiration=1,IF($A617&lt;VLOOKUP(J$5,NFI,5,0),1,0)*Table_NFI[[#This Row],[Sanitary Kit]],Table_NFI[Sanitary Kit])</f>
        <v>0</v>
      </c>
      <c r="AB617" s="436">
        <f>IF(NFI_Expiration=1,IF($A617&lt;VLOOKUP(K$5,NFI,5,0),1,0)*Table_NFI[[#This Row],[Mosquito net]],Table_NFI[Mosquito net])</f>
        <v>0</v>
      </c>
      <c r="AC617" s="436">
        <f>IF(NFI_Expiration=1,IF($A617&lt;VLOOKUP(L$5,NFI,5,0),1,0)*Table_NFI[[#This Row],[Tarpaulin]],Table_NFI[[#This Row],[Tarpaulin]])</f>
        <v>0</v>
      </c>
      <c r="AD617" s="436">
        <f>IF(NFI_Expiration=1,IF($A617&lt;VLOOKUP(M$5,NFI,5,0),1,0)*Table_NFI[[#This Row],[Blanket]],Table_NFI[[#This Row],[Blanket]])</f>
        <v>0</v>
      </c>
      <c r="AE617" s="436">
        <f>IF(NFI_Expiration=1,IF($A617&lt;VLOOKUP(N$5,NFI,5,0),1,0)*Table_NFI[[#This Row],[Kitchen Set]],Table_NFI[Kitchen Set])</f>
        <v>0</v>
      </c>
      <c r="AF617" s="436">
        <f>IF(NFI_Expiration=1,IF($A617&lt;VLOOKUP(O$5,NFI,5,0),1,0)*Table_NFI[[#This Row],[Clothes Kit]],Table_NFI[Clothes Kit])</f>
        <v>0</v>
      </c>
      <c r="AG617" s="436">
        <f>IF(NFI_Expiration=1,IF($A617&lt;VLOOKUP(P$5,NFI,5,0),1,0)*Table_NFI[[#This Row],[Plastic Bucket]],Table_NFI[Plastic Bucket])</f>
        <v>0</v>
      </c>
      <c r="AH617" s="436">
        <f>IF(NFI_Expiration=1,IF($A617&lt;VLOOKUP(Q$5,NFI,5,0),1,0)*Table_NFI[[#This Row],[Plastic Mat]],Table_NFI[Plastic Mat])*IF(Table_NFI[[#This Row],[Distribution Date]]&gt;"2014-04-01",1,2.5)</f>
        <v>0</v>
      </c>
      <c r="AI617" s="436">
        <f>IF(NFI_Expiration=1,IF($A617&lt;VLOOKUP(R$5,NFI,5,0),1,0)*Table_NFI[[#This Row],[Winter Clothes Adult]],Table_NFI[Winter Clothes Adult])</f>
        <v>0</v>
      </c>
      <c r="AJ617" s="436">
        <f>IF(NFI_Expiration=1,IF($A617&lt;VLOOKUP(S$5,NFI,5,0),1,0)*Table_NFI[[#This Row],[Winter Clothes Children]],Table_NFI[Winter Clothes Children])</f>
        <v>0</v>
      </c>
      <c r="AK617" s="436">
        <f>IF(NFI_Expiration=1,IF($A617&lt;VLOOKUP(T$5,NFI,5,0),1,0)*Table_NFI[[#This Row],[Winter Items Other]],Table_NFI[Winter Items Other])</f>
        <v>0</v>
      </c>
      <c r="AL617" s="436">
        <f>IF(NFI_Expiration=1,IF($A617&lt;VLOOKUP(M$5,NFI,5,0),1,0)*Table_NFI[[#This Row],[Winter Blanket]],Table_NFI[[#This Row],[Winter Blanket]])</f>
        <v>0</v>
      </c>
      <c r="AM617" s="436">
        <f>IF(Table_NFI[[#This Row],[Winter Clothes Adult]]+Table_NFI[[#This Row],[Winter Clothes Children]]+Table_NFI[[#This Row],[Winter Items Other]]+Table_NFI[[#This Row],[Winter Blanket]]&gt;0,1,0)</f>
        <v>0</v>
      </c>
      <c r="AN617" s="439">
        <f>IF(NFI_Expiration=1,IF($A617&lt;VLOOKUP(V$5,NFI,5,0),1,0)*Table_NFI[[#This Row],[Jerry Can]],Table_NFI[Jerry Can])</f>
        <v>0</v>
      </c>
      <c r="AO617" s="771" t="str">
        <f>IFERROR(VLOOKUP(Table_NFI[[#This Row],[Camp Name]],CL,2,0),"")</f>
        <v>MMR015CMP210</v>
      </c>
      <c r="AP617" s="772">
        <f ca="1">IF(Table_NFI[[#This Row],[Pcode]]="","",IF(OFFSET(CampList[Opening Date],MATCH(Table_NFI[[#This Row],[Pcode]],CampList[CP_Pcode],0)-1,0,1,1)&gt;=NFI_Monitor_Date,1,0))</f>
        <v>0</v>
      </c>
      <c r="AQ617" s="781" t="str">
        <f>IFERROR(VLOOKUP(Table_NFI[[#This Row],[Camp Name]],CL,3,0),"")</f>
        <v>Open</v>
      </c>
      <c r="AR617" s="439" t="str">
        <f ca="1">IF(Table_NFI[[#This Row],[Pcode]]="","",OFFSET(CampList[Priority],MATCH(Table_NFI[[#This Row],[Pcode]],CampList[CP_Pcode],0)-1,0,1,1))</f>
        <v>P3</v>
      </c>
      <c r="AS617" s="438">
        <f>IFERROR(Table_NFI[[#This Row],[Kitchen Set]]/VLOOKUP(Table_NFI[[#This Row],[Camp Name]],CL,4,0),"")</f>
        <v>0.38135593220338981</v>
      </c>
      <c r="AT617" s="769" t="s">
        <v>1099</v>
      </c>
      <c r="AU617" s="773"/>
    </row>
    <row r="618" spans="1:47" x14ac:dyDescent="0.25">
      <c r="A618" s="451">
        <f t="shared" si="9"/>
        <v>35.166666666666664</v>
      </c>
      <c r="B618" s="768">
        <v>41315</v>
      </c>
      <c r="C618" s="769" t="s">
        <v>907</v>
      </c>
      <c r="D618" s="769" t="s">
        <v>907</v>
      </c>
      <c r="E618" s="769" t="s">
        <v>380</v>
      </c>
      <c r="F618" s="435" t="s">
        <v>180</v>
      </c>
      <c r="G618" s="435" t="s">
        <v>183</v>
      </c>
      <c r="H618" s="436"/>
      <c r="I618" s="436"/>
      <c r="J618" s="436"/>
      <c r="K618" s="436"/>
      <c r="L618" s="437">
        <v>36</v>
      </c>
      <c r="M618" s="437"/>
      <c r="N618" s="437">
        <v>22</v>
      </c>
      <c r="O618" s="437"/>
      <c r="P618" s="439">
        <v>0</v>
      </c>
      <c r="Q618" s="439">
        <v>0</v>
      </c>
      <c r="R618" s="436"/>
      <c r="S618" s="436"/>
      <c r="T618" s="436"/>
      <c r="U618" s="436"/>
      <c r="V618" s="436"/>
      <c r="W618" s="436"/>
      <c r="X618" s="436"/>
      <c r="Y618" s="436">
        <f>IF(NFI_Expiration=1,IF($A618&lt;VLOOKUP(H$5,NFI,5,0),1,0)*Table_NFI[[#This Row],[Hygiene Kit]],Table_NFI[Hygiene Kit])</f>
        <v>0</v>
      </c>
      <c r="Z618" s="436">
        <f>IF(NFI_Expiration=1,IF($A618&lt;VLOOKUP(I$5,NFI,5,0),1,0)*Table_NFI[[#This Row],[NFI Core Kit]],Table_NFI[NFI Core Kit])</f>
        <v>0</v>
      </c>
      <c r="AA618" s="436">
        <f>IF(NFI_Expiration=1,IF($A618&lt;VLOOKUP(J$5,NFI,5,0),1,0)*Table_NFI[[#This Row],[Sanitary Kit]],Table_NFI[Sanitary Kit])</f>
        <v>0</v>
      </c>
      <c r="AB618" s="436">
        <f>IF(NFI_Expiration=1,IF($A618&lt;VLOOKUP(K$5,NFI,5,0),1,0)*Table_NFI[[#This Row],[Mosquito net]],Table_NFI[Mosquito net])</f>
        <v>0</v>
      </c>
      <c r="AC618" s="436">
        <f>IF(NFI_Expiration=1,IF($A618&lt;VLOOKUP(L$5,NFI,5,0),1,0)*Table_NFI[[#This Row],[Tarpaulin]],Table_NFI[[#This Row],[Tarpaulin]])</f>
        <v>0</v>
      </c>
      <c r="AD618" s="436">
        <f>IF(NFI_Expiration=1,IF($A618&lt;VLOOKUP(M$5,NFI,5,0),1,0)*Table_NFI[[#This Row],[Blanket]],Table_NFI[[#This Row],[Blanket]])</f>
        <v>0</v>
      </c>
      <c r="AE618" s="436">
        <f>IF(NFI_Expiration=1,IF($A618&lt;VLOOKUP(N$5,NFI,5,0),1,0)*Table_NFI[[#This Row],[Kitchen Set]],Table_NFI[Kitchen Set])</f>
        <v>0</v>
      </c>
      <c r="AF618" s="436">
        <f>IF(NFI_Expiration=1,IF($A618&lt;VLOOKUP(O$5,NFI,5,0),1,0)*Table_NFI[[#This Row],[Clothes Kit]],Table_NFI[Clothes Kit])</f>
        <v>0</v>
      </c>
      <c r="AG618" s="436">
        <f>IF(NFI_Expiration=1,IF($A618&lt;VLOOKUP(P$5,NFI,5,0),1,0)*Table_NFI[[#This Row],[Plastic Bucket]],Table_NFI[Plastic Bucket])</f>
        <v>0</v>
      </c>
      <c r="AH618" s="436">
        <f>IF(NFI_Expiration=1,IF($A618&lt;VLOOKUP(Q$5,NFI,5,0),1,0)*Table_NFI[[#This Row],[Plastic Mat]],Table_NFI[Plastic Mat])*IF(Table_NFI[[#This Row],[Distribution Date]]&gt;"2014-04-01",1,2.5)</f>
        <v>0</v>
      </c>
      <c r="AI618" s="436">
        <f>IF(NFI_Expiration=1,IF($A618&lt;VLOOKUP(R$5,NFI,5,0),1,0)*Table_NFI[[#This Row],[Winter Clothes Adult]],Table_NFI[Winter Clothes Adult])</f>
        <v>0</v>
      </c>
      <c r="AJ618" s="436">
        <f>IF(NFI_Expiration=1,IF($A618&lt;VLOOKUP(S$5,NFI,5,0),1,0)*Table_NFI[[#This Row],[Winter Clothes Children]],Table_NFI[Winter Clothes Children])</f>
        <v>0</v>
      </c>
      <c r="AK618" s="436">
        <f>IF(NFI_Expiration=1,IF($A618&lt;VLOOKUP(T$5,NFI,5,0),1,0)*Table_NFI[[#This Row],[Winter Items Other]],Table_NFI[Winter Items Other])</f>
        <v>0</v>
      </c>
      <c r="AL618" s="436">
        <f>IF(NFI_Expiration=1,IF($A618&lt;VLOOKUP(M$5,NFI,5,0),1,0)*Table_NFI[[#This Row],[Winter Blanket]],Table_NFI[[#This Row],[Winter Blanket]])</f>
        <v>0</v>
      </c>
      <c r="AM618" s="436">
        <f>IF(Table_NFI[[#This Row],[Winter Clothes Adult]]+Table_NFI[[#This Row],[Winter Clothes Children]]+Table_NFI[[#This Row],[Winter Items Other]]+Table_NFI[[#This Row],[Winter Blanket]]&gt;0,1,0)</f>
        <v>0</v>
      </c>
      <c r="AN618" s="439">
        <f>IF(NFI_Expiration=1,IF($A618&lt;VLOOKUP(V$5,NFI,5,0),1,0)*Table_NFI[[#This Row],[Jerry Can]],Table_NFI[Jerry Can])</f>
        <v>0</v>
      </c>
      <c r="AO618" s="771" t="str">
        <f>IFERROR(VLOOKUP(Table_NFI[[#This Row],[Camp Name]],CL,2,0),"")</f>
        <v>MMR001CMP081</v>
      </c>
      <c r="AP618" s="772">
        <f ca="1">IF(Table_NFI[[#This Row],[Pcode]]="","",IF(OFFSET(CampList[Opening Date],MATCH(Table_NFI[[#This Row],[Pcode]],CampList[CP_Pcode],0)-1,0,1,1)&gt;=NFI_Monitor_Date,1,0))</f>
        <v>0</v>
      </c>
      <c r="AQ618" s="771" t="str">
        <f>IFERROR(VLOOKUP(Table_NFI[[#This Row],[Camp Name]],CL,3,0),"")</f>
        <v>Closed</v>
      </c>
      <c r="AR618" s="436" t="str">
        <f ca="1">IF(Table_NFI[[#This Row],[Pcode]]="","",OFFSET(CampList[Priority],MATCH(Table_NFI[[#This Row],[Pcode]],CampList[CP_Pcode],0)-1,0,1,1))</f>
        <v>P4</v>
      </c>
      <c r="AS618" s="438" t="str">
        <f>IFERROR(Table_NFI[[#This Row],[Kitchen Set]]/VLOOKUP(Table_NFI[[#This Row],[Camp Name]],CL,4,0),"")</f>
        <v/>
      </c>
      <c r="AT618" s="769" t="s">
        <v>1099</v>
      </c>
      <c r="AU618" s="773"/>
    </row>
    <row r="619" spans="1:47" x14ac:dyDescent="0.25">
      <c r="A619" s="451">
        <f t="shared" si="9"/>
        <v>35.166666666666664</v>
      </c>
      <c r="B619" s="768">
        <v>41315</v>
      </c>
      <c r="C619" s="769" t="s">
        <v>907</v>
      </c>
      <c r="D619" s="770" t="s">
        <v>907</v>
      </c>
      <c r="E619" s="769" t="s">
        <v>380</v>
      </c>
      <c r="F619" s="435" t="s">
        <v>180</v>
      </c>
      <c r="G619" s="435" t="s">
        <v>181</v>
      </c>
      <c r="H619" s="436"/>
      <c r="I619" s="436"/>
      <c r="J619" s="436"/>
      <c r="K619" s="436"/>
      <c r="L619" s="437">
        <v>20</v>
      </c>
      <c r="M619" s="437"/>
      <c r="N619" s="437">
        <v>12</v>
      </c>
      <c r="O619" s="437"/>
      <c r="P619" s="437">
        <v>0</v>
      </c>
      <c r="Q619" s="437">
        <v>0</v>
      </c>
      <c r="R619" s="436"/>
      <c r="S619" s="436"/>
      <c r="T619" s="436"/>
      <c r="U619" s="436"/>
      <c r="V619" s="436"/>
      <c r="W619" s="436"/>
      <c r="X619" s="436"/>
      <c r="Y619" s="436">
        <f>IF(NFI_Expiration=1,IF($A619&lt;VLOOKUP(H$5,NFI,5,0),1,0)*Table_NFI[[#This Row],[Hygiene Kit]],Table_NFI[Hygiene Kit])</f>
        <v>0</v>
      </c>
      <c r="Z619" s="436">
        <f>IF(NFI_Expiration=1,IF($A619&lt;VLOOKUP(I$5,NFI,5,0),1,0)*Table_NFI[[#This Row],[NFI Core Kit]],Table_NFI[NFI Core Kit])</f>
        <v>0</v>
      </c>
      <c r="AA619" s="436">
        <f>IF(NFI_Expiration=1,IF($A619&lt;VLOOKUP(J$5,NFI,5,0),1,0)*Table_NFI[[#This Row],[Sanitary Kit]],Table_NFI[Sanitary Kit])</f>
        <v>0</v>
      </c>
      <c r="AB619" s="436">
        <f>IF(NFI_Expiration=1,IF($A619&lt;VLOOKUP(K$5,NFI,5,0),1,0)*Table_NFI[[#This Row],[Mosquito net]],Table_NFI[Mosquito net])</f>
        <v>0</v>
      </c>
      <c r="AC619" s="436">
        <f>IF(NFI_Expiration=1,IF($A619&lt;VLOOKUP(L$5,NFI,5,0),1,0)*Table_NFI[[#This Row],[Tarpaulin]],Table_NFI[[#This Row],[Tarpaulin]])</f>
        <v>0</v>
      </c>
      <c r="AD619" s="436">
        <f>IF(NFI_Expiration=1,IF($A619&lt;VLOOKUP(M$5,NFI,5,0),1,0)*Table_NFI[[#This Row],[Blanket]],Table_NFI[[#This Row],[Blanket]])</f>
        <v>0</v>
      </c>
      <c r="AE619" s="436">
        <f>IF(NFI_Expiration=1,IF($A619&lt;VLOOKUP(N$5,NFI,5,0),1,0)*Table_NFI[[#This Row],[Kitchen Set]],Table_NFI[Kitchen Set])</f>
        <v>0</v>
      </c>
      <c r="AF619" s="436">
        <f>IF(NFI_Expiration=1,IF($A619&lt;VLOOKUP(O$5,NFI,5,0),1,0)*Table_NFI[[#This Row],[Clothes Kit]],Table_NFI[Clothes Kit])</f>
        <v>0</v>
      </c>
      <c r="AG619" s="436">
        <f>IF(NFI_Expiration=1,IF($A619&lt;VLOOKUP(P$5,NFI,5,0),1,0)*Table_NFI[[#This Row],[Plastic Bucket]],Table_NFI[Plastic Bucket])</f>
        <v>0</v>
      </c>
      <c r="AH619" s="436">
        <f>IF(NFI_Expiration=1,IF($A619&lt;VLOOKUP(Q$5,NFI,5,0),1,0)*Table_NFI[[#This Row],[Plastic Mat]],Table_NFI[Plastic Mat])*IF(Table_NFI[[#This Row],[Distribution Date]]&gt;"2014-04-01",1,2.5)</f>
        <v>0</v>
      </c>
      <c r="AI619" s="436">
        <f>IF(NFI_Expiration=1,IF($A619&lt;VLOOKUP(R$5,NFI,5,0),1,0)*Table_NFI[[#This Row],[Winter Clothes Adult]],Table_NFI[Winter Clothes Adult])</f>
        <v>0</v>
      </c>
      <c r="AJ619" s="436">
        <f>IF(NFI_Expiration=1,IF($A619&lt;VLOOKUP(S$5,NFI,5,0),1,0)*Table_NFI[[#This Row],[Winter Clothes Children]],Table_NFI[Winter Clothes Children])</f>
        <v>0</v>
      </c>
      <c r="AK619" s="436">
        <f>IF(NFI_Expiration=1,IF($A619&lt;VLOOKUP(T$5,NFI,5,0),1,0)*Table_NFI[[#This Row],[Winter Items Other]],Table_NFI[Winter Items Other])</f>
        <v>0</v>
      </c>
      <c r="AL619" s="436">
        <f>IF(NFI_Expiration=1,IF($A619&lt;VLOOKUP(M$5,NFI,5,0),1,0)*Table_NFI[[#This Row],[Winter Blanket]],Table_NFI[[#This Row],[Winter Blanket]])</f>
        <v>0</v>
      </c>
      <c r="AM619" s="436">
        <f>IF(Table_NFI[[#This Row],[Winter Clothes Adult]]+Table_NFI[[#This Row],[Winter Clothes Children]]+Table_NFI[[#This Row],[Winter Items Other]]+Table_NFI[[#This Row],[Winter Blanket]]&gt;0,1,0)</f>
        <v>0</v>
      </c>
      <c r="AN619" s="439">
        <f>IF(NFI_Expiration=1,IF($A619&lt;VLOOKUP(V$5,NFI,5,0),1,0)*Table_NFI[[#This Row],[Jerry Can]],Table_NFI[Jerry Can])</f>
        <v>0</v>
      </c>
      <c r="AO619" s="771" t="str">
        <f>IFERROR(VLOOKUP(Table_NFI[[#This Row],[Camp Name]],CL,2,0),"")</f>
        <v>MMR001CMP080</v>
      </c>
      <c r="AP619" s="772">
        <f ca="1">IF(Table_NFI[[#This Row],[Pcode]]="","",IF(OFFSET(CampList[Opening Date],MATCH(Table_NFI[[#This Row],[Pcode]],CampList[CP_Pcode],0)-1,0,1,1)&gt;=NFI_Monitor_Date,1,0))</f>
        <v>0</v>
      </c>
      <c r="AQ619" s="771" t="str">
        <f>IFERROR(VLOOKUP(Table_NFI[[#This Row],[Camp Name]],CL,3,0),"")</f>
        <v>Open</v>
      </c>
      <c r="AR619" s="436" t="str">
        <f ca="1">IF(Table_NFI[[#This Row],[Pcode]]="","",OFFSET(CampList[Priority],MATCH(Table_NFI[[#This Row],[Pcode]],CampList[CP_Pcode],0)-1,0,1,1))</f>
        <v>P4</v>
      </c>
      <c r="AS619" s="438">
        <f>IFERROR(Table_NFI[[#This Row],[Kitchen Set]]/VLOOKUP(Table_NFI[[#This Row],[Camp Name]],CL,4,0),"")</f>
        <v>1</v>
      </c>
      <c r="AT619" s="769" t="s">
        <v>1099</v>
      </c>
      <c r="AU619" s="773"/>
    </row>
    <row r="620" spans="1:47" x14ac:dyDescent="0.25">
      <c r="A620" s="451">
        <f t="shared" si="9"/>
        <v>35.200000000000003</v>
      </c>
      <c r="B620" s="768">
        <v>41314</v>
      </c>
      <c r="C620" s="769" t="s">
        <v>907</v>
      </c>
      <c r="D620" s="769" t="s">
        <v>907</v>
      </c>
      <c r="E620" s="769" t="s">
        <v>380</v>
      </c>
      <c r="F620" s="769" t="s">
        <v>237</v>
      </c>
      <c r="G620" s="435" t="s">
        <v>253</v>
      </c>
      <c r="H620" s="436"/>
      <c r="I620" s="436"/>
      <c r="J620" s="436"/>
      <c r="K620" s="436"/>
      <c r="L620" s="437">
        <v>177</v>
      </c>
      <c r="M620" s="437">
        <v>10</v>
      </c>
      <c r="N620" s="437">
        <v>10</v>
      </c>
      <c r="O620" s="437"/>
      <c r="P620" s="437">
        <v>0</v>
      </c>
      <c r="Q620" s="437">
        <v>0</v>
      </c>
      <c r="R620" s="436"/>
      <c r="S620" s="436"/>
      <c r="T620" s="436"/>
      <c r="U620" s="436"/>
      <c r="V620" s="436"/>
      <c r="W620" s="436"/>
      <c r="X620" s="436"/>
      <c r="Y620" s="436">
        <f>IF(NFI_Expiration=1,IF($A620&lt;VLOOKUP(H$5,NFI,5,0),1,0)*Table_NFI[[#This Row],[Hygiene Kit]],Table_NFI[Hygiene Kit])</f>
        <v>0</v>
      </c>
      <c r="Z620" s="436">
        <f>IF(NFI_Expiration=1,IF($A620&lt;VLOOKUP(I$5,NFI,5,0),1,0)*Table_NFI[[#This Row],[NFI Core Kit]],Table_NFI[NFI Core Kit])</f>
        <v>0</v>
      </c>
      <c r="AA620" s="436">
        <f>IF(NFI_Expiration=1,IF($A620&lt;VLOOKUP(J$5,NFI,5,0),1,0)*Table_NFI[[#This Row],[Sanitary Kit]],Table_NFI[Sanitary Kit])</f>
        <v>0</v>
      </c>
      <c r="AB620" s="436">
        <f>IF(NFI_Expiration=1,IF($A620&lt;VLOOKUP(K$5,NFI,5,0),1,0)*Table_NFI[[#This Row],[Mosquito net]],Table_NFI[Mosquito net])</f>
        <v>0</v>
      </c>
      <c r="AC620" s="436">
        <f>IF(NFI_Expiration=1,IF($A620&lt;VLOOKUP(L$5,NFI,5,0),1,0)*Table_NFI[[#This Row],[Tarpaulin]],Table_NFI[[#This Row],[Tarpaulin]])</f>
        <v>0</v>
      </c>
      <c r="AD620" s="436">
        <f>IF(NFI_Expiration=1,IF($A620&lt;VLOOKUP(M$5,NFI,5,0),1,0)*Table_NFI[[#This Row],[Blanket]],Table_NFI[[#This Row],[Blanket]])</f>
        <v>0</v>
      </c>
      <c r="AE620" s="436">
        <f>IF(NFI_Expiration=1,IF($A620&lt;VLOOKUP(N$5,NFI,5,0),1,0)*Table_NFI[[#This Row],[Kitchen Set]],Table_NFI[Kitchen Set])</f>
        <v>0</v>
      </c>
      <c r="AF620" s="436">
        <f>IF(NFI_Expiration=1,IF($A620&lt;VLOOKUP(O$5,NFI,5,0),1,0)*Table_NFI[[#This Row],[Clothes Kit]],Table_NFI[Clothes Kit])</f>
        <v>0</v>
      </c>
      <c r="AG620" s="436">
        <f>IF(NFI_Expiration=1,IF($A620&lt;VLOOKUP(P$5,NFI,5,0),1,0)*Table_NFI[[#This Row],[Plastic Bucket]],Table_NFI[Plastic Bucket])</f>
        <v>0</v>
      </c>
      <c r="AH620" s="436">
        <f>IF(NFI_Expiration=1,IF($A620&lt;VLOOKUP(Q$5,NFI,5,0),1,0)*Table_NFI[[#This Row],[Plastic Mat]],Table_NFI[Plastic Mat])*IF(Table_NFI[[#This Row],[Distribution Date]]&gt;"2014-04-01",1,2.5)</f>
        <v>0</v>
      </c>
      <c r="AI620" s="436">
        <f>IF(NFI_Expiration=1,IF($A620&lt;VLOOKUP(R$5,NFI,5,0),1,0)*Table_NFI[[#This Row],[Winter Clothes Adult]],Table_NFI[Winter Clothes Adult])</f>
        <v>0</v>
      </c>
      <c r="AJ620" s="436">
        <f>IF(NFI_Expiration=1,IF($A620&lt;VLOOKUP(S$5,NFI,5,0),1,0)*Table_NFI[[#This Row],[Winter Clothes Children]],Table_NFI[Winter Clothes Children])</f>
        <v>0</v>
      </c>
      <c r="AK620" s="436">
        <f>IF(NFI_Expiration=1,IF($A620&lt;VLOOKUP(T$5,NFI,5,0),1,0)*Table_NFI[[#This Row],[Winter Items Other]],Table_NFI[Winter Items Other])</f>
        <v>0</v>
      </c>
      <c r="AL620" s="436">
        <f>IF(NFI_Expiration=1,IF($A620&lt;VLOOKUP(M$5,NFI,5,0),1,0)*Table_NFI[[#This Row],[Winter Blanket]],Table_NFI[[#This Row],[Winter Blanket]])</f>
        <v>0</v>
      </c>
      <c r="AM620" s="436">
        <f>IF(Table_NFI[[#This Row],[Winter Clothes Adult]]+Table_NFI[[#This Row],[Winter Clothes Children]]+Table_NFI[[#This Row],[Winter Items Other]]+Table_NFI[[#This Row],[Winter Blanket]]&gt;0,1,0)</f>
        <v>0</v>
      </c>
      <c r="AN620" s="439">
        <f>IF(NFI_Expiration=1,IF($A620&lt;VLOOKUP(V$5,NFI,5,0),1,0)*Table_NFI[[#This Row],[Jerry Can]],Table_NFI[Jerry Can])</f>
        <v>0</v>
      </c>
      <c r="AO620" s="771" t="str">
        <f>IFERROR(VLOOKUP(Table_NFI[[#This Row],[Camp Name]],CL,2,0),"")</f>
        <v>MMR001CMP018</v>
      </c>
      <c r="AP620" s="772">
        <f ca="1">IF(Table_NFI[[#This Row],[Pcode]]="","",IF(OFFSET(CampList[Opening Date],MATCH(Table_NFI[[#This Row],[Pcode]],CampList[CP_Pcode],0)-1,0,1,1)&gt;=NFI_Monitor_Date,1,0))</f>
        <v>0</v>
      </c>
      <c r="AQ620" s="771" t="str">
        <f>IFERROR(VLOOKUP(Table_NFI[[#This Row],[Camp Name]],CL,3,0),"")</f>
        <v>Open</v>
      </c>
      <c r="AR620" s="436" t="str">
        <f ca="1">IF(Table_NFI[[#This Row],[Pcode]]="","",OFFSET(CampList[Priority],MATCH(Table_NFI[[#This Row],[Pcode]],CampList[CP_Pcode],0)-1,0,1,1))</f>
        <v>P4</v>
      </c>
      <c r="AS620" s="438">
        <f>IFERROR(Table_NFI[[#This Row],[Kitchen Set]]/VLOOKUP(Table_NFI[[#This Row],[Camp Name]],CL,4,0),"")</f>
        <v>4.9261083743842367E-2</v>
      </c>
      <c r="AT620" s="769" t="s">
        <v>1099</v>
      </c>
      <c r="AU620" s="773"/>
    </row>
    <row r="621" spans="1:47" x14ac:dyDescent="0.25">
      <c r="A621" s="451">
        <f t="shared" si="9"/>
        <v>35.200000000000003</v>
      </c>
      <c r="B621" s="768">
        <v>41314</v>
      </c>
      <c r="C621" s="769" t="s">
        <v>907</v>
      </c>
      <c r="D621" s="770" t="s">
        <v>907</v>
      </c>
      <c r="E621" s="769" t="s">
        <v>380</v>
      </c>
      <c r="F621" s="435" t="s">
        <v>237</v>
      </c>
      <c r="G621" s="435" t="s">
        <v>277</v>
      </c>
      <c r="H621" s="436"/>
      <c r="I621" s="436"/>
      <c r="J621" s="436"/>
      <c r="K621" s="436"/>
      <c r="L621" s="437">
        <v>109</v>
      </c>
      <c r="M621" s="437">
        <v>10</v>
      </c>
      <c r="N621" s="437">
        <v>10</v>
      </c>
      <c r="O621" s="437"/>
      <c r="P621" s="437">
        <v>0</v>
      </c>
      <c r="Q621" s="437">
        <v>0</v>
      </c>
      <c r="R621" s="436"/>
      <c r="S621" s="436"/>
      <c r="T621" s="436"/>
      <c r="U621" s="436"/>
      <c r="V621" s="436"/>
      <c r="W621" s="436"/>
      <c r="X621" s="436"/>
      <c r="Y621" s="436">
        <f>IF(NFI_Expiration=1,IF($A621&lt;VLOOKUP(H$5,NFI,5,0),1,0)*Table_NFI[[#This Row],[Hygiene Kit]],Table_NFI[Hygiene Kit])</f>
        <v>0</v>
      </c>
      <c r="Z621" s="436">
        <f>IF(NFI_Expiration=1,IF($A621&lt;VLOOKUP(I$5,NFI,5,0),1,0)*Table_NFI[[#This Row],[NFI Core Kit]],Table_NFI[NFI Core Kit])</f>
        <v>0</v>
      </c>
      <c r="AA621" s="436">
        <f>IF(NFI_Expiration=1,IF($A621&lt;VLOOKUP(J$5,NFI,5,0),1,0)*Table_NFI[[#This Row],[Sanitary Kit]],Table_NFI[Sanitary Kit])</f>
        <v>0</v>
      </c>
      <c r="AB621" s="436">
        <f>IF(NFI_Expiration=1,IF($A621&lt;VLOOKUP(K$5,NFI,5,0),1,0)*Table_NFI[[#This Row],[Mosquito net]],Table_NFI[Mosquito net])</f>
        <v>0</v>
      </c>
      <c r="AC621" s="436">
        <f>IF(NFI_Expiration=1,IF($A621&lt;VLOOKUP(L$5,NFI,5,0),1,0)*Table_NFI[[#This Row],[Tarpaulin]],Table_NFI[[#This Row],[Tarpaulin]])</f>
        <v>0</v>
      </c>
      <c r="AD621" s="436">
        <f>IF(NFI_Expiration=1,IF($A621&lt;VLOOKUP(M$5,NFI,5,0),1,0)*Table_NFI[[#This Row],[Blanket]],Table_NFI[[#This Row],[Blanket]])</f>
        <v>0</v>
      </c>
      <c r="AE621" s="436">
        <f>IF(NFI_Expiration=1,IF($A621&lt;VLOOKUP(N$5,NFI,5,0),1,0)*Table_NFI[[#This Row],[Kitchen Set]],Table_NFI[Kitchen Set])</f>
        <v>0</v>
      </c>
      <c r="AF621" s="436">
        <f>IF(NFI_Expiration=1,IF($A621&lt;VLOOKUP(O$5,NFI,5,0),1,0)*Table_NFI[[#This Row],[Clothes Kit]],Table_NFI[Clothes Kit])</f>
        <v>0</v>
      </c>
      <c r="AG621" s="436">
        <f>IF(NFI_Expiration=1,IF($A621&lt;VLOOKUP(P$5,NFI,5,0),1,0)*Table_NFI[[#This Row],[Plastic Bucket]],Table_NFI[Plastic Bucket])</f>
        <v>0</v>
      </c>
      <c r="AH621" s="436">
        <f>IF(NFI_Expiration=1,IF($A621&lt;VLOOKUP(Q$5,NFI,5,0),1,0)*Table_NFI[[#This Row],[Plastic Mat]],Table_NFI[Plastic Mat])*IF(Table_NFI[[#This Row],[Distribution Date]]&gt;"2014-04-01",1,2.5)</f>
        <v>0</v>
      </c>
      <c r="AI621" s="436">
        <f>IF(NFI_Expiration=1,IF($A621&lt;VLOOKUP(R$5,NFI,5,0),1,0)*Table_NFI[[#This Row],[Winter Clothes Adult]],Table_NFI[Winter Clothes Adult])</f>
        <v>0</v>
      </c>
      <c r="AJ621" s="436">
        <f>IF(NFI_Expiration=1,IF($A621&lt;VLOOKUP(S$5,NFI,5,0),1,0)*Table_NFI[[#This Row],[Winter Clothes Children]],Table_NFI[Winter Clothes Children])</f>
        <v>0</v>
      </c>
      <c r="AK621" s="436">
        <f>IF(NFI_Expiration=1,IF($A621&lt;VLOOKUP(T$5,NFI,5,0),1,0)*Table_NFI[[#This Row],[Winter Items Other]],Table_NFI[Winter Items Other])</f>
        <v>0</v>
      </c>
      <c r="AL621" s="436">
        <f>IF(NFI_Expiration=1,IF($A621&lt;VLOOKUP(M$5,NFI,5,0),1,0)*Table_NFI[[#This Row],[Winter Blanket]],Table_NFI[[#This Row],[Winter Blanket]])</f>
        <v>0</v>
      </c>
      <c r="AM621" s="436">
        <f>IF(Table_NFI[[#This Row],[Winter Clothes Adult]]+Table_NFI[[#This Row],[Winter Clothes Children]]+Table_NFI[[#This Row],[Winter Items Other]]+Table_NFI[[#This Row],[Winter Blanket]]&gt;0,1,0)</f>
        <v>0</v>
      </c>
      <c r="AN621" s="439">
        <f>IF(NFI_Expiration=1,IF($A621&lt;VLOOKUP(V$5,NFI,5,0),1,0)*Table_NFI[[#This Row],[Jerry Can]],Table_NFI[Jerry Can])</f>
        <v>0</v>
      </c>
      <c r="AO621" s="771" t="str">
        <f>IFERROR(VLOOKUP(Table_NFI[[#This Row],[Camp Name]],CL,2,0),"")</f>
        <v>MMR001CMP006</v>
      </c>
      <c r="AP621" s="772">
        <f ca="1">IF(Table_NFI[[#This Row],[Pcode]]="","",IF(OFFSET(CampList[Opening Date],MATCH(Table_NFI[[#This Row],[Pcode]],CampList[CP_Pcode],0)-1,0,1,1)&gt;=NFI_Monitor_Date,1,0))</f>
        <v>0</v>
      </c>
      <c r="AQ621" s="771" t="str">
        <f>IFERROR(VLOOKUP(Table_NFI[[#This Row],[Camp Name]],CL,3,0),"")</f>
        <v>Open</v>
      </c>
      <c r="AR621" s="436" t="str">
        <f ca="1">IF(Table_NFI[[#This Row],[Pcode]]="","",OFFSET(CampList[Priority],MATCH(Table_NFI[[#This Row],[Pcode]],CampList[CP_Pcode],0)-1,0,1,1))</f>
        <v>P4</v>
      </c>
      <c r="AS621" s="438">
        <f>IFERROR(Table_NFI[[#This Row],[Kitchen Set]]/VLOOKUP(Table_NFI[[#This Row],[Camp Name]],CL,4,0),"")</f>
        <v>0.10526315789473684</v>
      </c>
      <c r="AT621" s="769" t="s">
        <v>1099</v>
      </c>
      <c r="AU621" s="773"/>
    </row>
    <row r="622" spans="1:47" x14ac:dyDescent="0.25">
      <c r="A622" s="451">
        <f t="shared" si="9"/>
        <v>35.299999999999997</v>
      </c>
      <c r="B622" s="768">
        <v>41311</v>
      </c>
      <c r="C622" s="769" t="s">
        <v>454</v>
      </c>
      <c r="D622" s="770" t="s">
        <v>454</v>
      </c>
      <c r="E622" s="769" t="s">
        <v>380</v>
      </c>
      <c r="F622" s="435" t="s">
        <v>310</v>
      </c>
      <c r="G622" s="435" t="s">
        <v>318</v>
      </c>
      <c r="H622" s="436"/>
      <c r="I622" s="436"/>
      <c r="J622" s="436">
        <v>17</v>
      </c>
      <c r="K622" s="436">
        <v>20</v>
      </c>
      <c r="L622" s="437">
        <v>15</v>
      </c>
      <c r="M622" s="437">
        <v>20</v>
      </c>
      <c r="N622" s="437">
        <v>14</v>
      </c>
      <c r="O622" s="437">
        <v>11</v>
      </c>
      <c r="P622" s="437">
        <v>11</v>
      </c>
      <c r="Q622" s="437">
        <v>11</v>
      </c>
      <c r="R622" s="436"/>
      <c r="S622" s="436"/>
      <c r="T622" s="436"/>
      <c r="U622" s="436"/>
      <c r="V622" s="436"/>
      <c r="W622" s="436"/>
      <c r="X622" s="436"/>
      <c r="Y622" s="436">
        <f>IF(NFI_Expiration=1,IF($A622&lt;VLOOKUP(H$5,NFI,5,0),1,0)*Table_NFI[[#This Row],[Hygiene Kit]],Table_NFI[Hygiene Kit])</f>
        <v>0</v>
      </c>
      <c r="Z622" s="436">
        <f>IF(NFI_Expiration=1,IF($A622&lt;VLOOKUP(I$5,NFI,5,0),1,0)*Table_NFI[[#This Row],[NFI Core Kit]],Table_NFI[NFI Core Kit])</f>
        <v>0</v>
      </c>
      <c r="AA622" s="436">
        <f>IF(NFI_Expiration=1,IF($A622&lt;VLOOKUP(J$5,NFI,5,0),1,0)*Table_NFI[[#This Row],[Sanitary Kit]],Table_NFI[Sanitary Kit])</f>
        <v>0</v>
      </c>
      <c r="AB622" s="436">
        <f>IF(NFI_Expiration=1,IF($A622&lt;VLOOKUP(K$5,NFI,5,0),1,0)*Table_NFI[[#This Row],[Mosquito net]],Table_NFI[Mosquito net])</f>
        <v>0</v>
      </c>
      <c r="AC622" s="436">
        <f>IF(NFI_Expiration=1,IF($A622&lt;VLOOKUP(L$5,NFI,5,0),1,0)*Table_NFI[[#This Row],[Tarpaulin]],Table_NFI[[#This Row],[Tarpaulin]])</f>
        <v>0</v>
      </c>
      <c r="AD622" s="436">
        <f>IF(NFI_Expiration=1,IF($A622&lt;VLOOKUP(M$5,NFI,5,0),1,0)*Table_NFI[[#This Row],[Blanket]],Table_NFI[[#This Row],[Blanket]])</f>
        <v>0</v>
      </c>
      <c r="AE622" s="436">
        <f>IF(NFI_Expiration=1,IF($A622&lt;VLOOKUP(N$5,NFI,5,0),1,0)*Table_NFI[[#This Row],[Kitchen Set]],Table_NFI[Kitchen Set])</f>
        <v>0</v>
      </c>
      <c r="AF622" s="436">
        <f>IF(NFI_Expiration=1,IF($A622&lt;VLOOKUP(O$5,NFI,5,0),1,0)*Table_NFI[[#This Row],[Clothes Kit]],Table_NFI[Clothes Kit])</f>
        <v>0</v>
      </c>
      <c r="AG622" s="436">
        <f>IF(NFI_Expiration=1,IF($A622&lt;VLOOKUP(P$5,NFI,5,0),1,0)*Table_NFI[[#This Row],[Plastic Bucket]],Table_NFI[Plastic Bucket])</f>
        <v>0</v>
      </c>
      <c r="AH622" s="436">
        <f>IF(NFI_Expiration=1,IF($A622&lt;VLOOKUP(Q$5,NFI,5,0),1,0)*Table_NFI[[#This Row],[Plastic Mat]],Table_NFI[Plastic Mat])*IF(Table_NFI[[#This Row],[Distribution Date]]&gt;"2014-04-01",1,2.5)</f>
        <v>0</v>
      </c>
      <c r="AI622" s="436">
        <f>IF(NFI_Expiration=1,IF($A622&lt;VLOOKUP(R$5,NFI,5,0),1,0)*Table_NFI[[#This Row],[Winter Clothes Adult]],Table_NFI[Winter Clothes Adult])</f>
        <v>0</v>
      </c>
      <c r="AJ622" s="436">
        <f>IF(NFI_Expiration=1,IF($A622&lt;VLOOKUP(S$5,NFI,5,0),1,0)*Table_NFI[[#This Row],[Winter Clothes Children]],Table_NFI[Winter Clothes Children])</f>
        <v>0</v>
      </c>
      <c r="AK622" s="436">
        <f>IF(NFI_Expiration=1,IF($A622&lt;VLOOKUP(T$5,NFI,5,0),1,0)*Table_NFI[[#This Row],[Winter Items Other]],Table_NFI[Winter Items Other])</f>
        <v>0</v>
      </c>
      <c r="AL622" s="436">
        <f>IF(NFI_Expiration=1,IF($A622&lt;VLOOKUP(M$5,NFI,5,0),1,0)*Table_NFI[[#This Row],[Winter Blanket]],Table_NFI[[#This Row],[Winter Blanket]])</f>
        <v>0</v>
      </c>
      <c r="AM622" s="436">
        <f>IF(Table_NFI[[#This Row],[Winter Clothes Adult]]+Table_NFI[[#This Row],[Winter Clothes Children]]+Table_NFI[[#This Row],[Winter Items Other]]+Table_NFI[[#This Row],[Winter Blanket]]&gt;0,1,0)</f>
        <v>0</v>
      </c>
      <c r="AN622" s="439">
        <f>IF(NFI_Expiration=1,IF($A622&lt;VLOOKUP(V$5,NFI,5,0),1,0)*Table_NFI[[#This Row],[Jerry Can]],Table_NFI[Jerry Can])</f>
        <v>0</v>
      </c>
      <c r="AO622" s="771" t="str">
        <f>IFERROR(VLOOKUP(Table_NFI[[#This Row],[Camp Name]],CL,2,0),"")</f>
        <v>MMR001CMP032</v>
      </c>
      <c r="AP622" s="772">
        <f ca="1">IF(Table_NFI[[#This Row],[Pcode]]="","",IF(OFFSET(CampList[Opening Date],MATCH(Table_NFI[[#This Row],[Pcode]],CampList[CP_Pcode],0)-1,0,1,1)&gt;=NFI_Monitor_Date,1,0))</f>
        <v>0</v>
      </c>
      <c r="AQ622" s="781" t="str">
        <f>IFERROR(VLOOKUP(Table_NFI[[#This Row],[Camp Name]],CL,3,0),"")</f>
        <v>Open</v>
      </c>
      <c r="AR622" s="439" t="str">
        <f ca="1">IF(Table_NFI[[#This Row],[Pcode]]="","",OFFSET(CampList[Priority],MATCH(Table_NFI[[#This Row],[Pcode]],CampList[CP_Pcode],0)-1,0,1,1))</f>
        <v>P4</v>
      </c>
      <c r="AS622" s="438">
        <f>IFERROR(Table_NFI[[#This Row],[Kitchen Set]]/VLOOKUP(Table_NFI[[#This Row],[Camp Name]],CL,4,0),"")</f>
        <v>0.14893617021276595</v>
      </c>
      <c r="AT622" s="769" t="s">
        <v>1099</v>
      </c>
      <c r="AU622" s="773"/>
    </row>
    <row r="623" spans="1:47" x14ac:dyDescent="0.25">
      <c r="A623" s="451">
        <f t="shared" si="9"/>
        <v>35.333333333333336</v>
      </c>
      <c r="B623" s="768">
        <v>41310</v>
      </c>
      <c r="C623" s="769" t="s">
        <v>907</v>
      </c>
      <c r="D623" s="769" t="s">
        <v>907</v>
      </c>
      <c r="E623" s="769" t="s">
        <v>380</v>
      </c>
      <c r="F623" s="769" t="s">
        <v>237</v>
      </c>
      <c r="G623" s="435" t="s">
        <v>253</v>
      </c>
      <c r="H623" s="436">
        <v>22</v>
      </c>
      <c r="I623" s="436"/>
      <c r="J623" s="436"/>
      <c r="K623" s="436"/>
      <c r="L623" s="437"/>
      <c r="M623" s="437"/>
      <c r="N623" s="437"/>
      <c r="O623" s="437"/>
      <c r="P623" s="437">
        <v>0</v>
      </c>
      <c r="Q623" s="437">
        <v>0</v>
      </c>
      <c r="R623" s="436"/>
      <c r="S623" s="436"/>
      <c r="T623" s="436"/>
      <c r="U623" s="436"/>
      <c r="V623" s="436"/>
      <c r="W623" s="436"/>
      <c r="X623" s="436"/>
      <c r="Y623" s="436">
        <f>IF(NFI_Expiration=1,IF($A623&lt;VLOOKUP(H$5,NFI,5,0),1,0)*Table_NFI[[#This Row],[Hygiene Kit]],Table_NFI[Hygiene Kit])</f>
        <v>0</v>
      </c>
      <c r="Z623" s="436">
        <f>IF(NFI_Expiration=1,IF($A623&lt;VLOOKUP(I$5,NFI,5,0),1,0)*Table_NFI[[#This Row],[NFI Core Kit]],Table_NFI[NFI Core Kit])</f>
        <v>0</v>
      </c>
      <c r="AA623" s="436">
        <f>IF(NFI_Expiration=1,IF($A623&lt;VLOOKUP(J$5,NFI,5,0),1,0)*Table_NFI[[#This Row],[Sanitary Kit]],Table_NFI[Sanitary Kit])</f>
        <v>0</v>
      </c>
      <c r="AB623" s="436">
        <f>IF(NFI_Expiration=1,IF($A623&lt;VLOOKUP(K$5,NFI,5,0),1,0)*Table_NFI[[#This Row],[Mosquito net]],Table_NFI[Mosquito net])</f>
        <v>0</v>
      </c>
      <c r="AC623" s="436">
        <f>IF(NFI_Expiration=1,IF($A623&lt;VLOOKUP(L$5,NFI,5,0),1,0)*Table_NFI[[#This Row],[Tarpaulin]],Table_NFI[[#This Row],[Tarpaulin]])</f>
        <v>0</v>
      </c>
      <c r="AD623" s="436">
        <f>IF(NFI_Expiration=1,IF($A623&lt;VLOOKUP(M$5,NFI,5,0),1,0)*Table_NFI[[#This Row],[Blanket]],Table_NFI[[#This Row],[Blanket]])</f>
        <v>0</v>
      </c>
      <c r="AE623" s="436">
        <f>IF(NFI_Expiration=1,IF($A623&lt;VLOOKUP(N$5,NFI,5,0),1,0)*Table_NFI[[#This Row],[Kitchen Set]],Table_NFI[Kitchen Set])</f>
        <v>0</v>
      </c>
      <c r="AF623" s="436">
        <f>IF(NFI_Expiration=1,IF($A623&lt;VLOOKUP(O$5,NFI,5,0),1,0)*Table_NFI[[#This Row],[Clothes Kit]],Table_NFI[Clothes Kit])</f>
        <v>0</v>
      </c>
      <c r="AG623" s="436">
        <f>IF(NFI_Expiration=1,IF($A623&lt;VLOOKUP(P$5,NFI,5,0),1,0)*Table_NFI[[#This Row],[Plastic Bucket]],Table_NFI[Plastic Bucket])</f>
        <v>0</v>
      </c>
      <c r="AH623" s="436">
        <f>IF(NFI_Expiration=1,IF($A623&lt;VLOOKUP(Q$5,NFI,5,0),1,0)*Table_NFI[[#This Row],[Plastic Mat]],Table_NFI[Plastic Mat])*IF(Table_NFI[[#This Row],[Distribution Date]]&gt;"2014-04-01",1,2.5)</f>
        <v>0</v>
      </c>
      <c r="AI623" s="436">
        <f>IF(NFI_Expiration=1,IF($A623&lt;VLOOKUP(R$5,NFI,5,0),1,0)*Table_NFI[[#This Row],[Winter Clothes Adult]],Table_NFI[Winter Clothes Adult])</f>
        <v>0</v>
      </c>
      <c r="AJ623" s="436">
        <f>IF(NFI_Expiration=1,IF($A623&lt;VLOOKUP(S$5,NFI,5,0),1,0)*Table_NFI[[#This Row],[Winter Clothes Children]],Table_NFI[Winter Clothes Children])</f>
        <v>0</v>
      </c>
      <c r="AK623" s="436">
        <f>IF(NFI_Expiration=1,IF($A623&lt;VLOOKUP(T$5,NFI,5,0),1,0)*Table_NFI[[#This Row],[Winter Items Other]],Table_NFI[Winter Items Other])</f>
        <v>0</v>
      </c>
      <c r="AL623" s="436">
        <f>IF(NFI_Expiration=1,IF($A623&lt;VLOOKUP(M$5,NFI,5,0),1,0)*Table_NFI[[#This Row],[Winter Blanket]],Table_NFI[[#This Row],[Winter Blanket]])</f>
        <v>0</v>
      </c>
      <c r="AM623" s="436">
        <f>IF(Table_NFI[[#This Row],[Winter Clothes Adult]]+Table_NFI[[#This Row],[Winter Clothes Children]]+Table_NFI[[#This Row],[Winter Items Other]]+Table_NFI[[#This Row],[Winter Blanket]]&gt;0,1,0)</f>
        <v>0</v>
      </c>
      <c r="AN623" s="439">
        <f>IF(NFI_Expiration=1,IF($A623&lt;VLOOKUP(V$5,NFI,5,0),1,0)*Table_NFI[[#This Row],[Jerry Can]],Table_NFI[Jerry Can])</f>
        <v>0</v>
      </c>
      <c r="AO623" s="771" t="str">
        <f>IFERROR(VLOOKUP(Table_NFI[[#This Row],[Camp Name]],CL,2,0),"")</f>
        <v>MMR001CMP018</v>
      </c>
      <c r="AP623" s="772">
        <f ca="1">IF(Table_NFI[[#This Row],[Pcode]]="","",IF(OFFSET(CampList[Opening Date],MATCH(Table_NFI[[#This Row],[Pcode]],CampList[CP_Pcode],0)-1,0,1,1)&gt;=NFI_Monitor_Date,1,0))</f>
        <v>0</v>
      </c>
      <c r="AQ623" s="771" t="str">
        <f>IFERROR(VLOOKUP(Table_NFI[[#This Row],[Camp Name]],CL,3,0),"")</f>
        <v>Open</v>
      </c>
      <c r="AR623" s="436" t="str">
        <f ca="1">IF(Table_NFI[[#This Row],[Pcode]]="","",OFFSET(CampList[Priority],MATCH(Table_NFI[[#This Row],[Pcode]],CampList[CP_Pcode],0)-1,0,1,1))</f>
        <v>P4</v>
      </c>
      <c r="AS623" s="438">
        <f>IFERROR(Table_NFI[[#This Row],[Kitchen Set]]/VLOOKUP(Table_NFI[[#This Row],[Camp Name]],CL,4,0),"")</f>
        <v>0</v>
      </c>
      <c r="AT623" s="769" t="s">
        <v>1099</v>
      </c>
      <c r="AU623" s="773"/>
    </row>
    <row r="624" spans="1:47" x14ac:dyDescent="0.25">
      <c r="A624" s="451">
        <f t="shared" si="9"/>
        <v>35.333333333333336</v>
      </c>
      <c r="B624" s="768">
        <v>41310</v>
      </c>
      <c r="C624" s="769" t="s">
        <v>454</v>
      </c>
      <c r="D624" s="769" t="s">
        <v>454</v>
      </c>
      <c r="E624" s="769" t="s">
        <v>380</v>
      </c>
      <c r="F624" s="435" t="s">
        <v>310</v>
      </c>
      <c r="G624" s="435" t="s">
        <v>328</v>
      </c>
      <c r="H624" s="436"/>
      <c r="I624" s="436"/>
      <c r="J624" s="436">
        <v>37</v>
      </c>
      <c r="K624" s="436">
        <v>70</v>
      </c>
      <c r="L624" s="437">
        <v>34</v>
      </c>
      <c r="M624" s="437">
        <v>70</v>
      </c>
      <c r="N624" s="437">
        <v>34</v>
      </c>
      <c r="O624" s="437">
        <v>34</v>
      </c>
      <c r="P624" s="437">
        <v>34</v>
      </c>
      <c r="Q624" s="437">
        <v>34</v>
      </c>
      <c r="R624" s="436"/>
      <c r="S624" s="436"/>
      <c r="T624" s="436"/>
      <c r="U624" s="436"/>
      <c r="V624" s="436"/>
      <c r="W624" s="436"/>
      <c r="X624" s="436"/>
      <c r="Y624" s="436">
        <f>IF(NFI_Expiration=1,IF($A624&lt;VLOOKUP(H$5,NFI,5,0),1,0)*Table_NFI[[#This Row],[Hygiene Kit]],Table_NFI[Hygiene Kit])</f>
        <v>0</v>
      </c>
      <c r="Z624" s="436">
        <f>IF(NFI_Expiration=1,IF($A624&lt;VLOOKUP(I$5,NFI,5,0),1,0)*Table_NFI[[#This Row],[NFI Core Kit]],Table_NFI[NFI Core Kit])</f>
        <v>0</v>
      </c>
      <c r="AA624" s="436">
        <f>IF(NFI_Expiration=1,IF($A624&lt;VLOOKUP(J$5,NFI,5,0),1,0)*Table_NFI[[#This Row],[Sanitary Kit]],Table_NFI[Sanitary Kit])</f>
        <v>0</v>
      </c>
      <c r="AB624" s="436">
        <f>IF(NFI_Expiration=1,IF($A624&lt;VLOOKUP(K$5,NFI,5,0),1,0)*Table_NFI[[#This Row],[Mosquito net]],Table_NFI[Mosquito net])</f>
        <v>0</v>
      </c>
      <c r="AC624" s="436">
        <f>IF(NFI_Expiration=1,IF($A624&lt;VLOOKUP(L$5,NFI,5,0),1,0)*Table_NFI[[#This Row],[Tarpaulin]],Table_NFI[[#This Row],[Tarpaulin]])</f>
        <v>0</v>
      </c>
      <c r="AD624" s="436">
        <f>IF(NFI_Expiration=1,IF($A624&lt;VLOOKUP(M$5,NFI,5,0),1,0)*Table_NFI[[#This Row],[Blanket]],Table_NFI[[#This Row],[Blanket]])</f>
        <v>0</v>
      </c>
      <c r="AE624" s="436">
        <f>IF(NFI_Expiration=1,IF($A624&lt;VLOOKUP(N$5,NFI,5,0),1,0)*Table_NFI[[#This Row],[Kitchen Set]],Table_NFI[Kitchen Set])</f>
        <v>0</v>
      </c>
      <c r="AF624" s="436">
        <f>IF(NFI_Expiration=1,IF($A624&lt;VLOOKUP(O$5,NFI,5,0),1,0)*Table_NFI[[#This Row],[Clothes Kit]],Table_NFI[Clothes Kit])</f>
        <v>0</v>
      </c>
      <c r="AG624" s="436">
        <f>IF(NFI_Expiration=1,IF($A624&lt;VLOOKUP(P$5,NFI,5,0),1,0)*Table_NFI[[#This Row],[Plastic Bucket]],Table_NFI[Plastic Bucket])</f>
        <v>0</v>
      </c>
      <c r="AH624" s="436">
        <f>IF(NFI_Expiration=1,IF($A624&lt;VLOOKUP(Q$5,NFI,5,0),1,0)*Table_NFI[[#This Row],[Plastic Mat]],Table_NFI[Plastic Mat])*IF(Table_NFI[[#This Row],[Distribution Date]]&gt;"2014-04-01",1,2.5)</f>
        <v>0</v>
      </c>
      <c r="AI624" s="436">
        <f>IF(NFI_Expiration=1,IF($A624&lt;VLOOKUP(R$5,NFI,5,0),1,0)*Table_NFI[[#This Row],[Winter Clothes Adult]],Table_NFI[Winter Clothes Adult])</f>
        <v>0</v>
      </c>
      <c r="AJ624" s="436">
        <f>IF(NFI_Expiration=1,IF($A624&lt;VLOOKUP(S$5,NFI,5,0),1,0)*Table_NFI[[#This Row],[Winter Clothes Children]],Table_NFI[Winter Clothes Children])</f>
        <v>0</v>
      </c>
      <c r="AK624" s="436">
        <f>IF(NFI_Expiration=1,IF($A624&lt;VLOOKUP(T$5,NFI,5,0),1,0)*Table_NFI[[#This Row],[Winter Items Other]],Table_NFI[Winter Items Other])</f>
        <v>0</v>
      </c>
      <c r="AL624" s="436">
        <f>IF(NFI_Expiration=1,IF($A624&lt;VLOOKUP(M$5,NFI,5,0),1,0)*Table_NFI[[#This Row],[Winter Blanket]],Table_NFI[[#This Row],[Winter Blanket]])</f>
        <v>0</v>
      </c>
      <c r="AM624" s="436">
        <f>IF(Table_NFI[[#This Row],[Winter Clothes Adult]]+Table_NFI[[#This Row],[Winter Clothes Children]]+Table_NFI[[#This Row],[Winter Items Other]]+Table_NFI[[#This Row],[Winter Blanket]]&gt;0,1,0)</f>
        <v>0</v>
      </c>
      <c r="AN624" s="439">
        <f>IF(NFI_Expiration=1,IF($A624&lt;VLOOKUP(V$5,NFI,5,0),1,0)*Table_NFI[[#This Row],[Jerry Can]],Table_NFI[Jerry Can])</f>
        <v>0</v>
      </c>
      <c r="AO624" s="771" t="str">
        <f>IFERROR(VLOOKUP(Table_NFI[[#This Row],[Camp Name]],CL,2,0),"")</f>
        <v>MMR001CMP031</v>
      </c>
      <c r="AP624" s="772">
        <f ca="1">IF(Table_NFI[[#This Row],[Pcode]]="","",IF(OFFSET(CampList[Opening Date],MATCH(Table_NFI[[#This Row],[Pcode]],CampList[CP_Pcode],0)-1,0,1,1)&gt;=NFI_Monitor_Date,1,0))</f>
        <v>0</v>
      </c>
      <c r="AQ624" s="781" t="str">
        <f>IFERROR(VLOOKUP(Table_NFI[[#This Row],[Camp Name]],CL,3,0),"")</f>
        <v>Open</v>
      </c>
      <c r="AR624" s="439" t="str">
        <f ca="1">IF(Table_NFI[[#This Row],[Pcode]]="","",OFFSET(CampList[Priority],MATCH(Table_NFI[[#This Row],[Pcode]],CampList[CP_Pcode],0)-1,0,1,1))</f>
        <v>P4</v>
      </c>
      <c r="AS624" s="438">
        <f>IFERROR(Table_NFI[[#This Row],[Kitchen Set]]/VLOOKUP(Table_NFI[[#This Row],[Camp Name]],CL,4,0),"")</f>
        <v>0.25185185185185183</v>
      </c>
      <c r="AT624" s="769" t="s">
        <v>1099</v>
      </c>
      <c r="AU624" s="773"/>
    </row>
    <row r="625" spans="1:47" x14ac:dyDescent="0.25">
      <c r="A625" s="451">
        <f t="shared" si="9"/>
        <v>35.333333333333336</v>
      </c>
      <c r="B625" s="768">
        <v>41310</v>
      </c>
      <c r="C625" s="769" t="s">
        <v>907</v>
      </c>
      <c r="D625" s="769" t="s">
        <v>907</v>
      </c>
      <c r="E625" s="769" t="s">
        <v>380</v>
      </c>
      <c r="F625" s="769" t="s">
        <v>310</v>
      </c>
      <c r="G625" s="435" t="s">
        <v>330</v>
      </c>
      <c r="H625" s="436">
        <v>46</v>
      </c>
      <c r="I625" s="436"/>
      <c r="J625" s="436"/>
      <c r="K625" s="436"/>
      <c r="L625" s="437"/>
      <c r="M625" s="437"/>
      <c r="N625" s="437"/>
      <c r="O625" s="437"/>
      <c r="P625" s="437">
        <v>0</v>
      </c>
      <c r="Q625" s="437">
        <v>0</v>
      </c>
      <c r="R625" s="436"/>
      <c r="S625" s="436"/>
      <c r="T625" s="436"/>
      <c r="U625" s="436"/>
      <c r="V625" s="436"/>
      <c r="W625" s="436"/>
      <c r="X625" s="436"/>
      <c r="Y625" s="436">
        <f>IF(NFI_Expiration=1,IF($A625&lt;VLOOKUP(H$5,NFI,5,0),1,0)*Table_NFI[[#This Row],[Hygiene Kit]],Table_NFI[Hygiene Kit])</f>
        <v>0</v>
      </c>
      <c r="Z625" s="436">
        <f>IF(NFI_Expiration=1,IF($A625&lt;VLOOKUP(I$5,NFI,5,0),1,0)*Table_NFI[[#This Row],[NFI Core Kit]],Table_NFI[NFI Core Kit])</f>
        <v>0</v>
      </c>
      <c r="AA625" s="436">
        <f>IF(NFI_Expiration=1,IF($A625&lt;VLOOKUP(J$5,NFI,5,0),1,0)*Table_NFI[[#This Row],[Sanitary Kit]],Table_NFI[Sanitary Kit])</f>
        <v>0</v>
      </c>
      <c r="AB625" s="436">
        <f>IF(NFI_Expiration=1,IF($A625&lt;VLOOKUP(K$5,NFI,5,0),1,0)*Table_NFI[[#This Row],[Mosquito net]],Table_NFI[Mosquito net])</f>
        <v>0</v>
      </c>
      <c r="AC625" s="436">
        <f>IF(NFI_Expiration=1,IF($A625&lt;VLOOKUP(L$5,NFI,5,0),1,0)*Table_NFI[[#This Row],[Tarpaulin]],Table_NFI[[#This Row],[Tarpaulin]])</f>
        <v>0</v>
      </c>
      <c r="AD625" s="436">
        <f>IF(NFI_Expiration=1,IF($A625&lt;VLOOKUP(M$5,NFI,5,0),1,0)*Table_NFI[[#This Row],[Blanket]],Table_NFI[[#This Row],[Blanket]])</f>
        <v>0</v>
      </c>
      <c r="AE625" s="436">
        <f>IF(NFI_Expiration=1,IF($A625&lt;VLOOKUP(N$5,NFI,5,0),1,0)*Table_NFI[[#This Row],[Kitchen Set]],Table_NFI[Kitchen Set])</f>
        <v>0</v>
      </c>
      <c r="AF625" s="436">
        <f>IF(NFI_Expiration=1,IF($A625&lt;VLOOKUP(O$5,NFI,5,0),1,0)*Table_NFI[[#This Row],[Clothes Kit]],Table_NFI[Clothes Kit])</f>
        <v>0</v>
      </c>
      <c r="AG625" s="436">
        <f>IF(NFI_Expiration=1,IF($A625&lt;VLOOKUP(P$5,NFI,5,0),1,0)*Table_NFI[[#This Row],[Plastic Bucket]],Table_NFI[Plastic Bucket])</f>
        <v>0</v>
      </c>
      <c r="AH625" s="436">
        <f>IF(NFI_Expiration=1,IF($A625&lt;VLOOKUP(Q$5,NFI,5,0),1,0)*Table_NFI[[#This Row],[Plastic Mat]],Table_NFI[Plastic Mat])*IF(Table_NFI[[#This Row],[Distribution Date]]&gt;"2014-04-01",1,2.5)</f>
        <v>0</v>
      </c>
      <c r="AI625" s="436">
        <f>IF(NFI_Expiration=1,IF($A625&lt;VLOOKUP(R$5,NFI,5,0),1,0)*Table_NFI[[#This Row],[Winter Clothes Adult]],Table_NFI[Winter Clothes Adult])</f>
        <v>0</v>
      </c>
      <c r="AJ625" s="436">
        <f>IF(NFI_Expiration=1,IF($A625&lt;VLOOKUP(S$5,NFI,5,0),1,0)*Table_NFI[[#This Row],[Winter Clothes Children]],Table_NFI[Winter Clothes Children])</f>
        <v>0</v>
      </c>
      <c r="AK625" s="436">
        <f>IF(NFI_Expiration=1,IF($A625&lt;VLOOKUP(T$5,NFI,5,0),1,0)*Table_NFI[[#This Row],[Winter Items Other]],Table_NFI[Winter Items Other])</f>
        <v>0</v>
      </c>
      <c r="AL625" s="436">
        <f>IF(NFI_Expiration=1,IF($A625&lt;VLOOKUP(M$5,NFI,5,0),1,0)*Table_NFI[[#This Row],[Winter Blanket]],Table_NFI[[#This Row],[Winter Blanket]])</f>
        <v>0</v>
      </c>
      <c r="AM625" s="436">
        <f>IF(Table_NFI[[#This Row],[Winter Clothes Adult]]+Table_NFI[[#This Row],[Winter Clothes Children]]+Table_NFI[[#This Row],[Winter Items Other]]+Table_NFI[[#This Row],[Winter Blanket]]&gt;0,1,0)</f>
        <v>0</v>
      </c>
      <c r="AN625" s="439">
        <f>IF(NFI_Expiration=1,IF($A625&lt;VLOOKUP(V$5,NFI,5,0),1,0)*Table_NFI[[#This Row],[Jerry Can]],Table_NFI[Jerry Can])</f>
        <v>0</v>
      </c>
      <c r="AO625" s="771" t="str">
        <f>IFERROR(VLOOKUP(Table_NFI[[#This Row],[Camp Name]],CL,2,0),"")</f>
        <v>MMR001CMP029</v>
      </c>
      <c r="AP625" s="772">
        <f ca="1">IF(Table_NFI[[#This Row],[Pcode]]="","",IF(OFFSET(CampList[Opening Date],MATCH(Table_NFI[[#This Row],[Pcode]],CampList[CP_Pcode],0)-1,0,1,1)&gt;=NFI_Monitor_Date,1,0))</f>
        <v>0</v>
      </c>
      <c r="AQ625" s="771" t="str">
        <f>IFERROR(VLOOKUP(Table_NFI[[#This Row],[Camp Name]],CL,3,0),"")</f>
        <v>Open</v>
      </c>
      <c r="AR625" s="436" t="str">
        <f ca="1">IF(Table_NFI[[#This Row],[Pcode]]="","",OFFSET(CampList[Priority],MATCH(Table_NFI[[#This Row],[Pcode]],CampList[CP_Pcode],0)-1,0,1,1))</f>
        <v>P4</v>
      </c>
      <c r="AS625" s="438">
        <f>IFERROR(Table_NFI[[#This Row],[Kitchen Set]]/VLOOKUP(Table_NFI[[#This Row],[Camp Name]],CL,4,0),"")</f>
        <v>0</v>
      </c>
      <c r="AT625" s="769" t="s">
        <v>1099</v>
      </c>
      <c r="AU625" s="773"/>
    </row>
    <row r="626" spans="1:47" x14ac:dyDescent="0.25">
      <c r="A626" s="451">
        <f t="shared" si="9"/>
        <v>35.333333333333336</v>
      </c>
      <c r="B626" s="768">
        <v>41310</v>
      </c>
      <c r="C626" s="769" t="s">
        <v>454</v>
      </c>
      <c r="D626" s="770" t="s">
        <v>454</v>
      </c>
      <c r="E626" s="769" t="s">
        <v>380</v>
      </c>
      <c r="F626" s="435" t="s">
        <v>237</v>
      </c>
      <c r="G626" s="435" t="s">
        <v>265</v>
      </c>
      <c r="H626" s="436"/>
      <c r="I626" s="436"/>
      <c r="J626" s="436">
        <v>10</v>
      </c>
      <c r="K626" s="436">
        <v>16</v>
      </c>
      <c r="L626" s="437">
        <v>7</v>
      </c>
      <c r="M626" s="437">
        <v>16</v>
      </c>
      <c r="N626" s="437">
        <v>7</v>
      </c>
      <c r="O626" s="437">
        <v>7</v>
      </c>
      <c r="P626" s="437">
        <v>7</v>
      </c>
      <c r="Q626" s="437">
        <v>7</v>
      </c>
      <c r="R626" s="436"/>
      <c r="S626" s="436"/>
      <c r="T626" s="436"/>
      <c r="U626" s="436"/>
      <c r="V626" s="436"/>
      <c r="W626" s="436"/>
      <c r="X626" s="436"/>
      <c r="Y626" s="436">
        <f>IF(NFI_Expiration=1,IF($A626&lt;VLOOKUP(H$5,NFI,5,0),1,0)*Table_NFI[[#This Row],[Hygiene Kit]],Table_NFI[Hygiene Kit])</f>
        <v>0</v>
      </c>
      <c r="Z626" s="436">
        <f>IF(NFI_Expiration=1,IF($A626&lt;VLOOKUP(I$5,NFI,5,0),1,0)*Table_NFI[[#This Row],[NFI Core Kit]],Table_NFI[NFI Core Kit])</f>
        <v>0</v>
      </c>
      <c r="AA626" s="436">
        <f>IF(NFI_Expiration=1,IF($A626&lt;VLOOKUP(J$5,NFI,5,0),1,0)*Table_NFI[[#This Row],[Sanitary Kit]],Table_NFI[Sanitary Kit])</f>
        <v>0</v>
      </c>
      <c r="AB626" s="436">
        <f>IF(NFI_Expiration=1,IF($A626&lt;VLOOKUP(K$5,NFI,5,0),1,0)*Table_NFI[[#This Row],[Mosquito net]],Table_NFI[Mosquito net])</f>
        <v>0</v>
      </c>
      <c r="AC626" s="436">
        <f>IF(NFI_Expiration=1,IF($A626&lt;VLOOKUP(L$5,NFI,5,0),1,0)*Table_NFI[[#This Row],[Tarpaulin]],Table_NFI[[#This Row],[Tarpaulin]])</f>
        <v>0</v>
      </c>
      <c r="AD626" s="436">
        <f>IF(NFI_Expiration=1,IF($A626&lt;VLOOKUP(M$5,NFI,5,0),1,0)*Table_NFI[[#This Row],[Blanket]],Table_NFI[[#This Row],[Blanket]])</f>
        <v>0</v>
      </c>
      <c r="AE626" s="436">
        <f>IF(NFI_Expiration=1,IF($A626&lt;VLOOKUP(N$5,NFI,5,0),1,0)*Table_NFI[[#This Row],[Kitchen Set]],Table_NFI[Kitchen Set])</f>
        <v>0</v>
      </c>
      <c r="AF626" s="436">
        <f>IF(NFI_Expiration=1,IF($A626&lt;VLOOKUP(O$5,NFI,5,0),1,0)*Table_NFI[[#This Row],[Clothes Kit]],Table_NFI[Clothes Kit])</f>
        <v>0</v>
      </c>
      <c r="AG626" s="436">
        <f>IF(NFI_Expiration=1,IF($A626&lt;VLOOKUP(P$5,NFI,5,0),1,0)*Table_NFI[[#This Row],[Plastic Bucket]],Table_NFI[Plastic Bucket])</f>
        <v>0</v>
      </c>
      <c r="AH626" s="436">
        <f>IF(NFI_Expiration=1,IF($A626&lt;VLOOKUP(Q$5,NFI,5,0),1,0)*Table_NFI[[#This Row],[Plastic Mat]],Table_NFI[Plastic Mat])*IF(Table_NFI[[#This Row],[Distribution Date]]&gt;"2014-04-01",1,2.5)</f>
        <v>0</v>
      </c>
      <c r="AI626" s="436">
        <f>IF(NFI_Expiration=1,IF($A626&lt;VLOOKUP(R$5,NFI,5,0),1,0)*Table_NFI[[#This Row],[Winter Clothes Adult]],Table_NFI[Winter Clothes Adult])</f>
        <v>0</v>
      </c>
      <c r="AJ626" s="436">
        <f>IF(NFI_Expiration=1,IF($A626&lt;VLOOKUP(S$5,NFI,5,0),1,0)*Table_NFI[[#This Row],[Winter Clothes Children]],Table_NFI[Winter Clothes Children])</f>
        <v>0</v>
      </c>
      <c r="AK626" s="436">
        <f>IF(NFI_Expiration=1,IF($A626&lt;VLOOKUP(T$5,NFI,5,0),1,0)*Table_NFI[[#This Row],[Winter Items Other]],Table_NFI[Winter Items Other])</f>
        <v>0</v>
      </c>
      <c r="AL626" s="436">
        <f>IF(NFI_Expiration=1,IF($A626&lt;VLOOKUP(M$5,NFI,5,0),1,0)*Table_NFI[[#This Row],[Winter Blanket]],Table_NFI[[#This Row],[Winter Blanket]])</f>
        <v>0</v>
      </c>
      <c r="AM626" s="436">
        <f>IF(Table_NFI[[#This Row],[Winter Clothes Adult]]+Table_NFI[[#This Row],[Winter Clothes Children]]+Table_NFI[[#This Row],[Winter Items Other]]+Table_NFI[[#This Row],[Winter Blanket]]&gt;0,1,0)</f>
        <v>0</v>
      </c>
      <c r="AN626" s="439">
        <f>IF(NFI_Expiration=1,IF($A626&lt;VLOOKUP(V$5,NFI,5,0),1,0)*Table_NFI[[#This Row],[Jerry Can]],Table_NFI[Jerry Can])</f>
        <v>0</v>
      </c>
      <c r="AO626" s="771" t="str">
        <f>IFERROR(VLOOKUP(Table_NFI[[#This Row],[Camp Name]],CL,2,0),"")</f>
        <v>MMR001CMP021</v>
      </c>
      <c r="AP626" s="772">
        <f ca="1">IF(Table_NFI[[#This Row],[Pcode]]="","",IF(OFFSET(CampList[Opening Date],MATCH(Table_NFI[[#This Row],[Pcode]],CampList[CP_Pcode],0)-1,0,1,1)&gt;=NFI_Monitor_Date,1,0))</f>
        <v>0</v>
      </c>
      <c r="AQ626" s="781" t="str">
        <f>IFERROR(VLOOKUP(Table_NFI[[#This Row],[Camp Name]],CL,3,0),"")</f>
        <v>Open</v>
      </c>
      <c r="AR626" s="439" t="str">
        <f ca="1">IF(Table_NFI[[#This Row],[Pcode]]="","",OFFSET(CampList[Priority],MATCH(Table_NFI[[#This Row],[Pcode]],CampList[CP_Pcode],0)-1,0,1,1))</f>
        <v>P4</v>
      </c>
      <c r="AS626" s="438">
        <f>IFERROR(Table_NFI[[#This Row],[Kitchen Set]]/VLOOKUP(Table_NFI[[#This Row],[Camp Name]],CL,4,0),"")</f>
        <v>0.5</v>
      </c>
      <c r="AT626" s="769" t="s">
        <v>1099</v>
      </c>
      <c r="AU626" s="773"/>
    </row>
    <row r="627" spans="1:47" x14ac:dyDescent="0.25">
      <c r="A627" s="451">
        <f t="shared" si="9"/>
        <v>35.333333333333336</v>
      </c>
      <c r="B627" s="768">
        <v>41310</v>
      </c>
      <c r="C627" s="769" t="s">
        <v>907</v>
      </c>
      <c r="D627" s="769" t="s">
        <v>907</v>
      </c>
      <c r="E627" s="769" t="s">
        <v>380</v>
      </c>
      <c r="F627" s="435" t="s">
        <v>310</v>
      </c>
      <c r="G627" s="435" t="s">
        <v>351</v>
      </c>
      <c r="H627" s="436">
        <v>20</v>
      </c>
      <c r="I627" s="436"/>
      <c r="J627" s="436"/>
      <c r="K627" s="436"/>
      <c r="L627" s="437"/>
      <c r="M627" s="437"/>
      <c r="N627" s="437"/>
      <c r="O627" s="437"/>
      <c r="P627" s="439">
        <v>0</v>
      </c>
      <c r="Q627" s="439">
        <v>0</v>
      </c>
      <c r="R627" s="436"/>
      <c r="S627" s="436"/>
      <c r="T627" s="436"/>
      <c r="U627" s="436"/>
      <c r="V627" s="436"/>
      <c r="W627" s="436"/>
      <c r="X627" s="436"/>
      <c r="Y627" s="436">
        <f>IF(NFI_Expiration=1,IF($A627&lt;VLOOKUP(H$5,NFI,5,0),1,0)*Table_NFI[[#This Row],[Hygiene Kit]],Table_NFI[Hygiene Kit])</f>
        <v>0</v>
      </c>
      <c r="Z627" s="436">
        <f>IF(NFI_Expiration=1,IF($A627&lt;VLOOKUP(I$5,NFI,5,0),1,0)*Table_NFI[[#This Row],[NFI Core Kit]],Table_NFI[NFI Core Kit])</f>
        <v>0</v>
      </c>
      <c r="AA627" s="436">
        <f>IF(NFI_Expiration=1,IF($A627&lt;VLOOKUP(J$5,NFI,5,0),1,0)*Table_NFI[[#This Row],[Sanitary Kit]],Table_NFI[Sanitary Kit])</f>
        <v>0</v>
      </c>
      <c r="AB627" s="436">
        <f>IF(NFI_Expiration=1,IF($A627&lt;VLOOKUP(K$5,NFI,5,0),1,0)*Table_NFI[[#This Row],[Mosquito net]],Table_NFI[Mosquito net])</f>
        <v>0</v>
      </c>
      <c r="AC627" s="436">
        <f>IF(NFI_Expiration=1,IF($A627&lt;VLOOKUP(L$5,NFI,5,0),1,0)*Table_NFI[[#This Row],[Tarpaulin]],Table_NFI[[#This Row],[Tarpaulin]])</f>
        <v>0</v>
      </c>
      <c r="AD627" s="436">
        <f>IF(NFI_Expiration=1,IF($A627&lt;VLOOKUP(M$5,NFI,5,0),1,0)*Table_NFI[[#This Row],[Blanket]],Table_NFI[[#This Row],[Blanket]])</f>
        <v>0</v>
      </c>
      <c r="AE627" s="436">
        <f>IF(NFI_Expiration=1,IF($A627&lt;VLOOKUP(N$5,NFI,5,0),1,0)*Table_NFI[[#This Row],[Kitchen Set]],Table_NFI[Kitchen Set])</f>
        <v>0</v>
      </c>
      <c r="AF627" s="436">
        <f>IF(NFI_Expiration=1,IF($A627&lt;VLOOKUP(O$5,NFI,5,0),1,0)*Table_NFI[[#This Row],[Clothes Kit]],Table_NFI[Clothes Kit])</f>
        <v>0</v>
      </c>
      <c r="AG627" s="436">
        <f>IF(NFI_Expiration=1,IF($A627&lt;VLOOKUP(P$5,NFI,5,0),1,0)*Table_NFI[[#This Row],[Plastic Bucket]],Table_NFI[Plastic Bucket])</f>
        <v>0</v>
      </c>
      <c r="AH627" s="436">
        <f>IF(NFI_Expiration=1,IF($A627&lt;VLOOKUP(Q$5,NFI,5,0),1,0)*Table_NFI[[#This Row],[Plastic Mat]],Table_NFI[Plastic Mat])*IF(Table_NFI[[#This Row],[Distribution Date]]&gt;"2014-04-01",1,2.5)</f>
        <v>0</v>
      </c>
      <c r="AI627" s="436">
        <f>IF(NFI_Expiration=1,IF($A627&lt;VLOOKUP(R$5,NFI,5,0),1,0)*Table_NFI[[#This Row],[Winter Clothes Adult]],Table_NFI[Winter Clothes Adult])</f>
        <v>0</v>
      </c>
      <c r="AJ627" s="436">
        <f>IF(NFI_Expiration=1,IF($A627&lt;VLOOKUP(S$5,NFI,5,0),1,0)*Table_NFI[[#This Row],[Winter Clothes Children]],Table_NFI[Winter Clothes Children])</f>
        <v>0</v>
      </c>
      <c r="AK627" s="436">
        <f>IF(NFI_Expiration=1,IF($A627&lt;VLOOKUP(T$5,NFI,5,0),1,0)*Table_NFI[[#This Row],[Winter Items Other]],Table_NFI[Winter Items Other])</f>
        <v>0</v>
      </c>
      <c r="AL627" s="436">
        <f>IF(NFI_Expiration=1,IF($A627&lt;VLOOKUP(M$5,NFI,5,0),1,0)*Table_NFI[[#This Row],[Winter Blanket]],Table_NFI[[#This Row],[Winter Blanket]])</f>
        <v>0</v>
      </c>
      <c r="AM627" s="436">
        <f>IF(Table_NFI[[#This Row],[Winter Clothes Adult]]+Table_NFI[[#This Row],[Winter Clothes Children]]+Table_NFI[[#This Row],[Winter Items Other]]+Table_NFI[[#This Row],[Winter Blanket]]&gt;0,1,0)</f>
        <v>0</v>
      </c>
      <c r="AN627" s="439">
        <f>IF(NFI_Expiration=1,IF($A627&lt;VLOOKUP(V$5,NFI,5,0),1,0)*Table_NFI[[#This Row],[Jerry Can]],Table_NFI[Jerry Can])</f>
        <v>0</v>
      </c>
      <c r="AO627" s="771" t="str">
        <f>IFERROR(VLOOKUP(Table_NFI[[#This Row],[Camp Name]],CL,2,0),"")</f>
        <v>MMR001CMP026</v>
      </c>
      <c r="AP627" s="772">
        <f ca="1">IF(Table_NFI[[#This Row],[Pcode]]="","",IF(OFFSET(CampList[Opening Date],MATCH(Table_NFI[[#This Row],[Pcode]],CampList[CP_Pcode],0)-1,0,1,1)&gt;=NFI_Monitor_Date,1,0))</f>
        <v>0</v>
      </c>
      <c r="AQ627" s="771" t="str">
        <f>IFERROR(VLOOKUP(Table_NFI[[#This Row],[Camp Name]],CL,3,0),"")</f>
        <v>Open</v>
      </c>
      <c r="AR627" s="436" t="str">
        <f ca="1">IF(Table_NFI[[#This Row],[Pcode]]="","",OFFSET(CampList[Priority],MATCH(Table_NFI[[#This Row],[Pcode]],CampList[CP_Pcode],0)-1,0,1,1))</f>
        <v>P4</v>
      </c>
      <c r="AS627" s="438">
        <f>IFERROR(Table_NFI[[#This Row],[Kitchen Set]]/VLOOKUP(Table_NFI[[#This Row],[Camp Name]],CL,4,0),"")</f>
        <v>0</v>
      </c>
      <c r="AT627" s="769" t="s">
        <v>1099</v>
      </c>
      <c r="AU627" s="773"/>
    </row>
    <row r="628" spans="1:47" x14ac:dyDescent="0.25">
      <c r="A628" s="451">
        <f t="shared" si="9"/>
        <v>35.333333333333336</v>
      </c>
      <c r="B628" s="768">
        <v>41310</v>
      </c>
      <c r="C628" s="769" t="s">
        <v>907</v>
      </c>
      <c r="D628" s="769" t="s">
        <v>907</v>
      </c>
      <c r="E628" s="769" t="s">
        <v>380</v>
      </c>
      <c r="F628" s="435" t="s">
        <v>237</v>
      </c>
      <c r="G628" s="435" t="s">
        <v>277</v>
      </c>
      <c r="H628" s="436">
        <v>36</v>
      </c>
      <c r="I628" s="436"/>
      <c r="J628" s="436"/>
      <c r="K628" s="436"/>
      <c r="L628" s="437"/>
      <c r="M628" s="437"/>
      <c r="N628" s="437"/>
      <c r="O628" s="437"/>
      <c r="P628" s="439">
        <v>0</v>
      </c>
      <c r="Q628" s="439">
        <v>0</v>
      </c>
      <c r="R628" s="436"/>
      <c r="S628" s="436"/>
      <c r="T628" s="436"/>
      <c r="U628" s="436"/>
      <c r="V628" s="436"/>
      <c r="W628" s="436"/>
      <c r="X628" s="436"/>
      <c r="Y628" s="436">
        <f>IF(NFI_Expiration=1,IF($A628&lt;VLOOKUP(H$5,NFI,5,0),1,0)*Table_NFI[[#This Row],[Hygiene Kit]],Table_NFI[Hygiene Kit])</f>
        <v>0</v>
      </c>
      <c r="Z628" s="436">
        <f>IF(NFI_Expiration=1,IF($A628&lt;VLOOKUP(I$5,NFI,5,0),1,0)*Table_NFI[[#This Row],[NFI Core Kit]],Table_NFI[NFI Core Kit])</f>
        <v>0</v>
      </c>
      <c r="AA628" s="436">
        <f>IF(NFI_Expiration=1,IF($A628&lt;VLOOKUP(J$5,NFI,5,0),1,0)*Table_NFI[[#This Row],[Sanitary Kit]],Table_NFI[Sanitary Kit])</f>
        <v>0</v>
      </c>
      <c r="AB628" s="436">
        <f>IF(NFI_Expiration=1,IF($A628&lt;VLOOKUP(K$5,NFI,5,0),1,0)*Table_NFI[[#This Row],[Mosquito net]],Table_NFI[Mosquito net])</f>
        <v>0</v>
      </c>
      <c r="AC628" s="436">
        <f>IF(NFI_Expiration=1,IF($A628&lt;VLOOKUP(L$5,NFI,5,0),1,0)*Table_NFI[[#This Row],[Tarpaulin]],Table_NFI[[#This Row],[Tarpaulin]])</f>
        <v>0</v>
      </c>
      <c r="AD628" s="436">
        <f>IF(NFI_Expiration=1,IF($A628&lt;VLOOKUP(M$5,NFI,5,0),1,0)*Table_NFI[[#This Row],[Blanket]],Table_NFI[[#This Row],[Blanket]])</f>
        <v>0</v>
      </c>
      <c r="AE628" s="436">
        <f>IF(NFI_Expiration=1,IF($A628&lt;VLOOKUP(N$5,NFI,5,0),1,0)*Table_NFI[[#This Row],[Kitchen Set]],Table_NFI[Kitchen Set])</f>
        <v>0</v>
      </c>
      <c r="AF628" s="436">
        <f>IF(NFI_Expiration=1,IF($A628&lt;VLOOKUP(O$5,NFI,5,0),1,0)*Table_NFI[[#This Row],[Clothes Kit]],Table_NFI[Clothes Kit])</f>
        <v>0</v>
      </c>
      <c r="AG628" s="436">
        <f>IF(NFI_Expiration=1,IF($A628&lt;VLOOKUP(P$5,NFI,5,0),1,0)*Table_NFI[[#This Row],[Plastic Bucket]],Table_NFI[Plastic Bucket])</f>
        <v>0</v>
      </c>
      <c r="AH628" s="436">
        <f>IF(NFI_Expiration=1,IF($A628&lt;VLOOKUP(Q$5,NFI,5,0),1,0)*Table_NFI[[#This Row],[Plastic Mat]],Table_NFI[Plastic Mat])*IF(Table_NFI[[#This Row],[Distribution Date]]&gt;"2014-04-01",1,2.5)</f>
        <v>0</v>
      </c>
      <c r="AI628" s="436">
        <f>IF(NFI_Expiration=1,IF($A628&lt;VLOOKUP(R$5,NFI,5,0),1,0)*Table_NFI[[#This Row],[Winter Clothes Adult]],Table_NFI[Winter Clothes Adult])</f>
        <v>0</v>
      </c>
      <c r="AJ628" s="436">
        <f>IF(NFI_Expiration=1,IF($A628&lt;VLOOKUP(S$5,NFI,5,0),1,0)*Table_NFI[[#This Row],[Winter Clothes Children]],Table_NFI[Winter Clothes Children])</f>
        <v>0</v>
      </c>
      <c r="AK628" s="436">
        <f>IF(NFI_Expiration=1,IF($A628&lt;VLOOKUP(T$5,NFI,5,0),1,0)*Table_NFI[[#This Row],[Winter Items Other]],Table_NFI[Winter Items Other])</f>
        <v>0</v>
      </c>
      <c r="AL628" s="436">
        <f>IF(NFI_Expiration=1,IF($A628&lt;VLOOKUP(M$5,NFI,5,0),1,0)*Table_NFI[[#This Row],[Winter Blanket]],Table_NFI[[#This Row],[Winter Blanket]])</f>
        <v>0</v>
      </c>
      <c r="AM628" s="436">
        <f>IF(Table_NFI[[#This Row],[Winter Clothes Adult]]+Table_NFI[[#This Row],[Winter Clothes Children]]+Table_NFI[[#This Row],[Winter Items Other]]+Table_NFI[[#This Row],[Winter Blanket]]&gt;0,1,0)</f>
        <v>0</v>
      </c>
      <c r="AN628" s="439">
        <f>IF(NFI_Expiration=1,IF($A628&lt;VLOOKUP(V$5,NFI,5,0),1,0)*Table_NFI[[#This Row],[Jerry Can]],Table_NFI[Jerry Can])</f>
        <v>0</v>
      </c>
      <c r="AO628" s="771" t="str">
        <f>IFERROR(VLOOKUP(Table_NFI[[#This Row],[Camp Name]],CL,2,0),"")</f>
        <v>MMR001CMP006</v>
      </c>
      <c r="AP628" s="772">
        <f ca="1">IF(Table_NFI[[#This Row],[Pcode]]="","",IF(OFFSET(CampList[Opening Date],MATCH(Table_NFI[[#This Row],[Pcode]],CampList[CP_Pcode],0)-1,0,1,1)&gt;=NFI_Monitor_Date,1,0))</f>
        <v>0</v>
      </c>
      <c r="AQ628" s="771" t="str">
        <f>IFERROR(VLOOKUP(Table_NFI[[#This Row],[Camp Name]],CL,3,0),"")</f>
        <v>Open</v>
      </c>
      <c r="AR628" s="436" t="str">
        <f ca="1">IF(Table_NFI[[#This Row],[Pcode]]="","",OFFSET(CampList[Priority],MATCH(Table_NFI[[#This Row],[Pcode]],CampList[CP_Pcode],0)-1,0,1,1))</f>
        <v>P4</v>
      </c>
      <c r="AS628" s="438">
        <f>IFERROR(Table_NFI[[#This Row],[Kitchen Set]]/VLOOKUP(Table_NFI[[#This Row],[Camp Name]],CL,4,0),"")</f>
        <v>0</v>
      </c>
      <c r="AT628" s="769" t="s">
        <v>1099</v>
      </c>
      <c r="AU628" s="773"/>
    </row>
    <row r="629" spans="1:47" x14ac:dyDescent="0.25">
      <c r="A629" s="451">
        <f t="shared" si="9"/>
        <v>35.366666666666667</v>
      </c>
      <c r="B629" s="768">
        <v>41309</v>
      </c>
      <c r="C629" s="769" t="s">
        <v>907</v>
      </c>
      <c r="D629" s="769" t="s">
        <v>907</v>
      </c>
      <c r="E629" s="769" t="s">
        <v>380</v>
      </c>
      <c r="F629" s="769" t="s">
        <v>529</v>
      </c>
      <c r="G629" s="435" t="s">
        <v>62</v>
      </c>
      <c r="H629" s="436"/>
      <c r="I629" s="436"/>
      <c r="J629" s="436"/>
      <c r="K629" s="436"/>
      <c r="L629" s="437"/>
      <c r="M629" s="437"/>
      <c r="N629" s="437">
        <v>162</v>
      </c>
      <c r="O629" s="437"/>
      <c r="P629" s="437">
        <v>0</v>
      </c>
      <c r="Q629" s="437">
        <v>0</v>
      </c>
      <c r="R629" s="436"/>
      <c r="S629" s="436"/>
      <c r="T629" s="436"/>
      <c r="U629" s="436"/>
      <c r="V629" s="436"/>
      <c r="W629" s="436"/>
      <c r="X629" s="436"/>
      <c r="Y629" s="436">
        <f>IF(NFI_Expiration=1,IF($A629&lt;VLOOKUP(H$5,NFI,5,0),1,0)*Table_NFI[[#This Row],[Hygiene Kit]],Table_NFI[Hygiene Kit])</f>
        <v>0</v>
      </c>
      <c r="Z629" s="436">
        <f>IF(NFI_Expiration=1,IF($A629&lt;VLOOKUP(I$5,NFI,5,0),1,0)*Table_NFI[[#This Row],[NFI Core Kit]],Table_NFI[NFI Core Kit])</f>
        <v>0</v>
      </c>
      <c r="AA629" s="436">
        <f>IF(NFI_Expiration=1,IF($A629&lt;VLOOKUP(J$5,NFI,5,0),1,0)*Table_NFI[[#This Row],[Sanitary Kit]],Table_NFI[Sanitary Kit])</f>
        <v>0</v>
      </c>
      <c r="AB629" s="436">
        <f>IF(NFI_Expiration=1,IF($A629&lt;VLOOKUP(K$5,NFI,5,0),1,0)*Table_NFI[[#This Row],[Mosquito net]],Table_NFI[Mosquito net])</f>
        <v>0</v>
      </c>
      <c r="AC629" s="436">
        <f>IF(NFI_Expiration=1,IF($A629&lt;VLOOKUP(L$5,NFI,5,0),1,0)*Table_NFI[[#This Row],[Tarpaulin]],Table_NFI[[#This Row],[Tarpaulin]])</f>
        <v>0</v>
      </c>
      <c r="AD629" s="436">
        <f>IF(NFI_Expiration=1,IF($A629&lt;VLOOKUP(M$5,NFI,5,0),1,0)*Table_NFI[[#This Row],[Blanket]],Table_NFI[[#This Row],[Blanket]])</f>
        <v>0</v>
      </c>
      <c r="AE629" s="436">
        <f>IF(NFI_Expiration=1,IF($A629&lt;VLOOKUP(N$5,NFI,5,0),1,0)*Table_NFI[[#This Row],[Kitchen Set]],Table_NFI[Kitchen Set])</f>
        <v>0</v>
      </c>
      <c r="AF629" s="436">
        <f>IF(NFI_Expiration=1,IF($A629&lt;VLOOKUP(O$5,NFI,5,0),1,0)*Table_NFI[[#This Row],[Clothes Kit]],Table_NFI[Clothes Kit])</f>
        <v>0</v>
      </c>
      <c r="AG629" s="436">
        <f>IF(NFI_Expiration=1,IF($A629&lt;VLOOKUP(P$5,NFI,5,0),1,0)*Table_NFI[[#This Row],[Plastic Bucket]],Table_NFI[Plastic Bucket])</f>
        <v>0</v>
      </c>
      <c r="AH629" s="436">
        <f>IF(NFI_Expiration=1,IF($A629&lt;VLOOKUP(Q$5,NFI,5,0),1,0)*Table_NFI[[#This Row],[Plastic Mat]],Table_NFI[Plastic Mat])*IF(Table_NFI[[#This Row],[Distribution Date]]&gt;"2014-04-01",1,2.5)</f>
        <v>0</v>
      </c>
      <c r="AI629" s="436">
        <f>IF(NFI_Expiration=1,IF($A629&lt;VLOOKUP(R$5,NFI,5,0),1,0)*Table_NFI[[#This Row],[Winter Clothes Adult]],Table_NFI[Winter Clothes Adult])</f>
        <v>0</v>
      </c>
      <c r="AJ629" s="436">
        <f>IF(NFI_Expiration=1,IF($A629&lt;VLOOKUP(S$5,NFI,5,0),1,0)*Table_NFI[[#This Row],[Winter Clothes Children]],Table_NFI[Winter Clothes Children])</f>
        <v>0</v>
      </c>
      <c r="AK629" s="436">
        <f>IF(NFI_Expiration=1,IF($A629&lt;VLOOKUP(T$5,NFI,5,0),1,0)*Table_NFI[[#This Row],[Winter Items Other]],Table_NFI[Winter Items Other])</f>
        <v>0</v>
      </c>
      <c r="AL629" s="436">
        <f>IF(NFI_Expiration=1,IF($A629&lt;VLOOKUP(M$5,NFI,5,0),1,0)*Table_NFI[[#This Row],[Winter Blanket]],Table_NFI[[#This Row],[Winter Blanket]])</f>
        <v>0</v>
      </c>
      <c r="AM629" s="436">
        <f>IF(Table_NFI[[#This Row],[Winter Clothes Adult]]+Table_NFI[[#This Row],[Winter Clothes Children]]+Table_NFI[[#This Row],[Winter Items Other]]+Table_NFI[[#This Row],[Winter Blanket]]&gt;0,1,0)</f>
        <v>0</v>
      </c>
      <c r="AN629" s="439">
        <f>IF(NFI_Expiration=1,IF($A629&lt;VLOOKUP(V$5,NFI,5,0),1,0)*Table_NFI[[#This Row],[Jerry Can]],Table_NFI[Jerry Can])</f>
        <v>0</v>
      </c>
      <c r="AO629" s="771" t="str">
        <f>IFERROR(VLOOKUP(Table_NFI[[#This Row],[Camp Name]],CL,2,0),"")</f>
        <v>MMR001CMP179</v>
      </c>
      <c r="AP629" s="772">
        <f ca="1">IF(Table_NFI[[#This Row],[Pcode]]="","",IF(OFFSET(CampList[Opening Date],MATCH(Table_NFI[[#This Row],[Pcode]],CampList[CP_Pcode],0)-1,0,1,1)&gt;=NFI_Monitor_Date,1,0))</f>
        <v>0</v>
      </c>
      <c r="AQ629" s="771" t="str">
        <f>IFERROR(VLOOKUP(Table_NFI[[#This Row],[Camp Name]],CL,3,0),"")</f>
        <v>Open</v>
      </c>
      <c r="AR629" s="436" t="str">
        <f ca="1">IF(Table_NFI[[#This Row],[Pcode]]="","",OFFSET(CampList[Priority],MATCH(Table_NFI[[#This Row],[Pcode]],CampList[CP_Pcode],0)-1,0,1,1))</f>
        <v>P4</v>
      </c>
      <c r="AS629" s="438">
        <f>IFERROR(Table_NFI[[#This Row],[Kitchen Set]]/VLOOKUP(Table_NFI[[#This Row],[Camp Name]],CL,4,0),"")</f>
        <v>2.1315789473684212</v>
      </c>
      <c r="AT629" s="769" t="s">
        <v>1099</v>
      </c>
      <c r="AU629" s="773"/>
    </row>
    <row r="630" spans="1:47" x14ac:dyDescent="0.25">
      <c r="A630" s="451">
        <f t="shared" si="9"/>
        <v>35.366666666666667</v>
      </c>
      <c r="B630" s="768">
        <v>41309</v>
      </c>
      <c r="C630" s="769" t="s">
        <v>907</v>
      </c>
      <c r="D630" s="770" t="s">
        <v>907</v>
      </c>
      <c r="E630" s="769" t="s">
        <v>380</v>
      </c>
      <c r="F630" s="435" t="s">
        <v>529</v>
      </c>
      <c r="G630" s="435" t="s">
        <v>120</v>
      </c>
      <c r="H630" s="436"/>
      <c r="I630" s="436"/>
      <c r="J630" s="436"/>
      <c r="K630" s="436"/>
      <c r="L630" s="437"/>
      <c r="M630" s="437"/>
      <c r="N630" s="437">
        <v>117</v>
      </c>
      <c r="O630" s="437"/>
      <c r="P630" s="437">
        <v>0</v>
      </c>
      <c r="Q630" s="437">
        <v>0</v>
      </c>
      <c r="R630" s="436"/>
      <c r="S630" s="436"/>
      <c r="T630" s="436"/>
      <c r="U630" s="436"/>
      <c r="V630" s="436"/>
      <c r="W630" s="436"/>
      <c r="X630" s="436"/>
      <c r="Y630" s="436">
        <f>IF(NFI_Expiration=1,IF($A630&lt;VLOOKUP(H$5,NFI,5,0),1,0)*Table_NFI[[#This Row],[Hygiene Kit]],Table_NFI[Hygiene Kit])</f>
        <v>0</v>
      </c>
      <c r="Z630" s="436">
        <f>IF(NFI_Expiration=1,IF($A630&lt;VLOOKUP(I$5,NFI,5,0),1,0)*Table_NFI[[#This Row],[NFI Core Kit]],Table_NFI[NFI Core Kit])</f>
        <v>0</v>
      </c>
      <c r="AA630" s="436">
        <f>IF(NFI_Expiration=1,IF($A630&lt;VLOOKUP(J$5,NFI,5,0),1,0)*Table_NFI[[#This Row],[Sanitary Kit]],Table_NFI[Sanitary Kit])</f>
        <v>0</v>
      </c>
      <c r="AB630" s="436">
        <f>IF(NFI_Expiration=1,IF($A630&lt;VLOOKUP(K$5,NFI,5,0),1,0)*Table_NFI[[#This Row],[Mosquito net]],Table_NFI[Mosquito net])</f>
        <v>0</v>
      </c>
      <c r="AC630" s="436">
        <f>IF(NFI_Expiration=1,IF($A630&lt;VLOOKUP(L$5,NFI,5,0),1,0)*Table_NFI[[#This Row],[Tarpaulin]],Table_NFI[[#This Row],[Tarpaulin]])</f>
        <v>0</v>
      </c>
      <c r="AD630" s="436">
        <f>IF(NFI_Expiration=1,IF($A630&lt;VLOOKUP(M$5,NFI,5,0),1,0)*Table_NFI[[#This Row],[Blanket]],Table_NFI[[#This Row],[Blanket]])</f>
        <v>0</v>
      </c>
      <c r="AE630" s="436">
        <f>IF(NFI_Expiration=1,IF($A630&lt;VLOOKUP(N$5,NFI,5,0),1,0)*Table_NFI[[#This Row],[Kitchen Set]],Table_NFI[Kitchen Set])</f>
        <v>0</v>
      </c>
      <c r="AF630" s="436">
        <f>IF(NFI_Expiration=1,IF($A630&lt;VLOOKUP(O$5,NFI,5,0),1,0)*Table_NFI[[#This Row],[Clothes Kit]],Table_NFI[Clothes Kit])</f>
        <v>0</v>
      </c>
      <c r="AG630" s="436">
        <f>IF(NFI_Expiration=1,IF($A630&lt;VLOOKUP(P$5,NFI,5,0),1,0)*Table_NFI[[#This Row],[Plastic Bucket]],Table_NFI[Plastic Bucket])</f>
        <v>0</v>
      </c>
      <c r="AH630" s="436">
        <f>IF(NFI_Expiration=1,IF($A630&lt;VLOOKUP(Q$5,NFI,5,0),1,0)*Table_NFI[[#This Row],[Plastic Mat]],Table_NFI[Plastic Mat])*IF(Table_NFI[[#This Row],[Distribution Date]]&gt;"2014-04-01",1,2.5)</f>
        <v>0</v>
      </c>
      <c r="AI630" s="436">
        <f>IF(NFI_Expiration=1,IF($A630&lt;VLOOKUP(R$5,NFI,5,0),1,0)*Table_NFI[[#This Row],[Winter Clothes Adult]],Table_NFI[Winter Clothes Adult])</f>
        <v>0</v>
      </c>
      <c r="AJ630" s="436">
        <f>IF(NFI_Expiration=1,IF($A630&lt;VLOOKUP(S$5,NFI,5,0),1,0)*Table_NFI[[#This Row],[Winter Clothes Children]],Table_NFI[Winter Clothes Children])</f>
        <v>0</v>
      </c>
      <c r="AK630" s="436">
        <f>IF(NFI_Expiration=1,IF($A630&lt;VLOOKUP(T$5,NFI,5,0),1,0)*Table_NFI[[#This Row],[Winter Items Other]],Table_NFI[Winter Items Other])</f>
        <v>0</v>
      </c>
      <c r="AL630" s="436">
        <f>IF(NFI_Expiration=1,IF($A630&lt;VLOOKUP(M$5,NFI,5,0),1,0)*Table_NFI[[#This Row],[Winter Blanket]],Table_NFI[[#This Row],[Winter Blanket]])</f>
        <v>0</v>
      </c>
      <c r="AM630" s="436">
        <f>IF(Table_NFI[[#This Row],[Winter Clothes Adult]]+Table_NFI[[#This Row],[Winter Clothes Children]]+Table_NFI[[#This Row],[Winter Items Other]]+Table_NFI[[#This Row],[Winter Blanket]]&gt;0,1,0)</f>
        <v>0</v>
      </c>
      <c r="AN630" s="439">
        <f>IF(NFI_Expiration=1,IF($A630&lt;VLOOKUP(V$5,NFI,5,0),1,0)*Table_NFI[[#This Row],[Jerry Can]],Table_NFI[Jerry Can])</f>
        <v>0</v>
      </c>
      <c r="AO630" s="771" t="str">
        <f>IFERROR(VLOOKUP(Table_NFI[[#This Row],[Camp Name]],CL,2,0),"")</f>
        <v>MMR001CMP168</v>
      </c>
      <c r="AP630" s="772">
        <f ca="1">IF(Table_NFI[[#This Row],[Pcode]]="","",IF(OFFSET(CampList[Opening Date],MATCH(Table_NFI[[#This Row],[Pcode]],CampList[CP_Pcode],0)-1,0,1,1)&gt;=NFI_Monitor_Date,1,0))</f>
        <v>0</v>
      </c>
      <c r="AQ630" s="771" t="str">
        <f>IFERROR(VLOOKUP(Table_NFI[[#This Row],[Camp Name]],CL,3,0),"")</f>
        <v>Open</v>
      </c>
      <c r="AR630" s="436" t="str">
        <f ca="1">IF(Table_NFI[[#This Row],[Pcode]]="","",OFFSET(CampList[Priority],MATCH(Table_NFI[[#This Row],[Pcode]],CampList[CP_Pcode],0)-1,0,1,1))</f>
        <v>P4</v>
      </c>
      <c r="AS630" s="438">
        <f>IFERROR(Table_NFI[[#This Row],[Kitchen Set]]/VLOOKUP(Table_NFI[[#This Row],[Camp Name]],CL,4,0),"")</f>
        <v>1.56</v>
      </c>
      <c r="AT630" s="769" t="s">
        <v>1099</v>
      </c>
      <c r="AU630" s="773"/>
    </row>
    <row r="631" spans="1:47" x14ac:dyDescent="0.25">
      <c r="A631" s="451">
        <f t="shared" si="9"/>
        <v>35.366666666666667</v>
      </c>
      <c r="B631" s="768">
        <v>41309</v>
      </c>
      <c r="C631" s="769" t="s">
        <v>907</v>
      </c>
      <c r="D631" s="770" t="s">
        <v>907</v>
      </c>
      <c r="E631" s="769" t="s">
        <v>380</v>
      </c>
      <c r="F631" s="435" t="s">
        <v>529</v>
      </c>
      <c r="G631" s="435" t="s">
        <v>52</v>
      </c>
      <c r="H631" s="436"/>
      <c r="I631" s="436"/>
      <c r="J631" s="436"/>
      <c r="K631" s="436"/>
      <c r="L631" s="437"/>
      <c r="M631" s="437"/>
      <c r="N631" s="437">
        <v>106</v>
      </c>
      <c r="O631" s="437"/>
      <c r="P631" s="437">
        <v>0</v>
      </c>
      <c r="Q631" s="437">
        <v>0</v>
      </c>
      <c r="R631" s="436"/>
      <c r="S631" s="436"/>
      <c r="T631" s="436"/>
      <c r="U631" s="436"/>
      <c r="V631" s="436"/>
      <c r="W631" s="436"/>
      <c r="X631" s="436"/>
      <c r="Y631" s="436">
        <f>IF(NFI_Expiration=1,IF($A631&lt;VLOOKUP(H$5,NFI,5,0),1,0)*Table_NFI[[#This Row],[Hygiene Kit]],Table_NFI[Hygiene Kit])</f>
        <v>0</v>
      </c>
      <c r="Z631" s="436">
        <f>IF(NFI_Expiration=1,IF($A631&lt;VLOOKUP(I$5,NFI,5,0),1,0)*Table_NFI[[#This Row],[NFI Core Kit]],Table_NFI[NFI Core Kit])</f>
        <v>0</v>
      </c>
      <c r="AA631" s="436">
        <f>IF(NFI_Expiration=1,IF($A631&lt;VLOOKUP(J$5,NFI,5,0),1,0)*Table_NFI[[#This Row],[Sanitary Kit]],Table_NFI[Sanitary Kit])</f>
        <v>0</v>
      </c>
      <c r="AB631" s="436">
        <f>IF(NFI_Expiration=1,IF($A631&lt;VLOOKUP(K$5,NFI,5,0),1,0)*Table_NFI[[#This Row],[Mosquito net]],Table_NFI[Mosquito net])</f>
        <v>0</v>
      </c>
      <c r="AC631" s="436">
        <f>IF(NFI_Expiration=1,IF($A631&lt;VLOOKUP(L$5,NFI,5,0),1,0)*Table_NFI[[#This Row],[Tarpaulin]],Table_NFI[[#This Row],[Tarpaulin]])</f>
        <v>0</v>
      </c>
      <c r="AD631" s="436">
        <f>IF(NFI_Expiration=1,IF($A631&lt;VLOOKUP(M$5,NFI,5,0),1,0)*Table_NFI[[#This Row],[Blanket]],Table_NFI[[#This Row],[Blanket]])</f>
        <v>0</v>
      </c>
      <c r="AE631" s="436">
        <f>IF(NFI_Expiration=1,IF($A631&lt;VLOOKUP(N$5,NFI,5,0),1,0)*Table_NFI[[#This Row],[Kitchen Set]],Table_NFI[Kitchen Set])</f>
        <v>0</v>
      </c>
      <c r="AF631" s="436">
        <f>IF(NFI_Expiration=1,IF($A631&lt;VLOOKUP(O$5,NFI,5,0),1,0)*Table_NFI[[#This Row],[Clothes Kit]],Table_NFI[Clothes Kit])</f>
        <v>0</v>
      </c>
      <c r="AG631" s="436">
        <f>IF(NFI_Expiration=1,IF($A631&lt;VLOOKUP(P$5,NFI,5,0),1,0)*Table_NFI[[#This Row],[Plastic Bucket]],Table_NFI[Plastic Bucket])</f>
        <v>0</v>
      </c>
      <c r="AH631" s="436">
        <f>IF(NFI_Expiration=1,IF($A631&lt;VLOOKUP(Q$5,NFI,5,0),1,0)*Table_NFI[[#This Row],[Plastic Mat]],Table_NFI[Plastic Mat])*IF(Table_NFI[[#This Row],[Distribution Date]]&gt;"2014-04-01",1,2.5)</f>
        <v>0</v>
      </c>
      <c r="AI631" s="436">
        <f>IF(NFI_Expiration=1,IF($A631&lt;VLOOKUP(R$5,NFI,5,0),1,0)*Table_NFI[[#This Row],[Winter Clothes Adult]],Table_NFI[Winter Clothes Adult])</f>
        <v>0</v>
      </c>
      <c r="AJ631" s="436">
        <f>IF(NFI_Expiration=1,IF($A631&lt;VLOOKUP(S$5,NFI,5,0),1,0)*Table_NFI[[#This Row],[Winter Clothes Children]],Table_NFI[Winter Clothes Children])</f>
        <v>0</v>
      </c>
      <c r="AK631" s="436">
        <f>IF(NFI_Expiration=1,IF($A631&lt;VLOOKUP(T$5,NFI,5,0),1,0)*Table_NFI[[#This Row],[Winter Items Other]],Table_NFI[Winter Items Other])</f>
        <v>0</v>
      </c>
      <c r="AL631" s="436">
        <f>IF(NFI_Expiration=1,IF($A631&lt;VLOOKUP(M$5,NFI,5,0),1,0)*Table_NFI[[#This Row],[Winter Blanket]],Table_NFI[[#This Row],[Winter Blanket]])</f>
        <v>0</v>
      </c>
      <c r="AM631" s="436">
        <f>IF(Table_NFI[[#This Row],[Winter Clothes Adult]]+Table_NFI[[#This Row],[Winter Clothes Children]]+Table_NFI[[#This Row],[Winter Items Other]]+Table_NFI[[#This Row],[Winter Blanket]]&gt;0,1,0)</f>
        <v>0</v>
      </c>
      <c r="AN631" s="439">
        <f>IF(NFI_Expiration=1,IF($A631&lt;VLOOKUP(V$5,NFI,5,0),1,0)*Table_NFI[[#This Row],[Jerry Can]],Table_NFI[Jerry Can])</f>
        <v>0</v>
      </c>
      <c r="AO631" s="771" t="str">
        <f>IFERROR(VLOOKUP(Table_NFI[[#This Row],[Camp Name]],CL,2,0),"")</f>
        <v>MMR001CMP169</v>
      </c>
      <c r="AP631" s="772">
        <f ca="1">IF(Table_NFI[[#This Row],[Pcode]]="","",IF(OFFSET(CampList[Opening Date],MATCH(Table_NFI[[#This Row],[Pcode]],CampList[CP_Pcode],0)-1,0,1,1)&gt;=NFI_Monitor_Date,1,0))</f>
        <v>0</v>
      </c>
      <c r="AQ631" s="771" t="str">
        <f>IFERROR(VLOOKUP(Table_NFI[[#This Row],[Camp Name]],CL,3,0),"")</f>
        <v>Open</v>
      </c>
      <c r="AR631" s="436" t="str">
        <f ca="1">IF(Table_NFI[[#This Row],[Pcode]]="","",OFFSET(CampList[Priority],MATCH(Table_NFI[[#This Row],[Pcode]],CampList[CP_Pcode],0)-1,0,1,1))</f>
        <v>P4</v>
      </c>
      <c r="AS631" s="438">
        <f>IFERROR(Table_NFI[[#This Row],[Kitchen Set]]/VLOOKUP(Table_NFI[[#This Row],[Camp Name]],CL,4,0),"")</f>
        <v>3.0285714285714285</v>
      </c>
      <c r="AT631" s="769" t="s">
        <v>1099</v>
      </c>
      <c r="AU631" s="773"/>
    </row>
    <row r="632" spans="1:47" x14ac:dyDescent="0.25">
      <c r="A632" s="451">
        <f t="shared" si="9"/>
        <v>35.366666666666667</v>
      </c>
      <c r="B632" s="768">
        <v>41309</v>
      </c>
      <c r="C632" s="769" t="s">
        <v>907</v>
      </c>
      <c r="D632" s="769" t="s">
        <v>907</v>
      </c>
      <c r="E632" s="769" t="s">
        <v>380</v>
      </c>
      <c r="F632" s="769" t="s">
        <v>529</v>
      </c>
      <c r="G632" s="435" t="s">
        <v>76</v>
      </c>
      <c r="H632" s="436"/>
      <c r="I632" s="436"/>
      <c r="J632" s="436"/>
      <c r="K632" s="436"/>
      <c r="L632" s="437"/>
      <c r="M632" s="437"/>
      <c r="N632" s="437">
        <v>58</v>
      </c>
      <c r="O632" s="437"/>
      <c r="P632" s="437">
        <v>0</v>
      </c>
      <c r="Q632" s="437">
        <v>0</v>
      </c>
      <c r="R632" s="436"/>
      <c r="S632" s="436"/>
      <c r="T632" s="436"/>
      <c r="U632" s="436"/>
      <c r="V632" s="436"/>
      <c r="W632" s="436"/>
      <c r="X632" s="436"/>
      <c r="Y632" s="436">
        <f>IF(NFI_Expiration=1,IF($A632&lt;VLOOKUP(H$5,NFI,5,0),1,0)*Table_NFI[[#This Row],[Hygiene Kit]],Table_NFI[Hygiene Kit])</f>
        <v>0</v>
      </c>
      <c r="Z632" s="436">
        <f>IF(NFI_Expiration=1,IF($A632&lt;VLOOKUP(I$5,NFI,5,0),1,0)*Table_NFI[[#This Row],[NFI Core Kit]],Table_NFI[NFI Core Kit])</f>
        <v>0</v>
      </c>
      <c r="AA632" s="436">
        <f>IF(NFI_Expiration=1,IF($A632&lt;VLOOKUP(J$5,NFI,5,0),1,0)*Table_NFI[[#This Row],[Sanitary Kit]],Table_NFI[Sanitary Kit])</f>
        <v>0</v>
      </c>
      <c r="AB632" s="436">
        <f>IF(NFI_Expiration=1,IF($A632&lt;VLOOKUP(K$5,NFI,5,0),1,0)*Table_NFI[[#This Row],[Mosquito net]],Table_NFI[Mosquito net])</f>
        <v>0</v>
      </c>
      <c r="AC632" s="436">
        <f>IF(NFI_Expiration=1,IF($A632&lt;VLOOKUP(L$5,NFI,5,0),1,0)*Table_NFI[[#This Row],[Tarpaulin]],Table_NFI[[#This Row],[Tarpaulin]])</f>
        <v>0</v>
      </c>
      <c r="AD632" s="436">
        <f>IF(NFI_Expiration=1,IF($A632&lt;VLOOKUP(M$5,NFI,5,0),1,0)*Table_NFI[[#This Row],[Blanket]],Table_NFI[[#This Row],[Blanket]])</f>
        <v>0</v>
      </c>
      <c r="AE632" s="436">
        <f>IF(NFI_Expiration=1,IF($A632&lt;VLOOKUP(N$5,NFI,5,0),1,0)*Table_NFI[[#This Row],[Kitchen Set]],Table_NFI[Kitchen Set])</f>
        <v>0</v>
      </c>
      <c r="AF632" s="436">
        <f>IF(NFI_Expiration=1,IF($A632&lt;VLOOKUP(O$5,NFI,5,0),1,0)*Table_NFI[[#This Row],[Clothes Kit]],Table_NFI[Clothes Kit])</f>
        <v>0</v>
      </c>
      <c r="AG632" s="436">
        <f>IF(NFI_Expiration=1,IF($A632&lt;VLOOKUP(P$5,NFI,5,0),1,0)*Table_NFI[[#This Row],[Plastic Bucket]],Table_NFI[Plastic Bucket])</f>
        <v>0</v>
      </c>
      <c r="AH632" s="436">
        <f>IF(NFI_Expiration=1,IF($A632&lt;VLOOKUP(Q$5,NFI,5,0),1,0)*Table_NFI[[#This Row],[Plastic Mat]],Table_NFI[Plastic Mat])*IF(Table_NFI[[#This Row],[Distribution Date]]&gt;"2014-04-01",1,2.5)</f>
        <v>0</v>
      </c>
      <c r="AI632" s="436">
        <f>IF(NFI_Expiration=1,IF($A632&lt;VLOOKUP(R$5,NFI,5,0),1,0)*Table_NFI[[#This Row],[Winter Clothes Adult]],Table_NFI[Winter Clothes Adult])</f>
        <v>0</v>
      </c>
      <c r="AJ632" s="436">
        <f>IF(NFI_Expiration=1,IF($A632&lt;VLOOKUP(S$5,NFI,5,0),1,0)*Table_NFI[[#This Row],[Winter Clothes Children]],Table_NFI[Winter Clothes Children])</f>
        <v>0</v>
      </c>
      <c r="AK632" s="436">
        <f>IF(NFI_Expiration=1,IF($A632&lt;VLOOKUP(T$5,NFI,5,0),1,0)*Table_NFI[[#This Row],[Winter Items Other]],Table_NFI[Winter Items Other])</f>
        <v>0</v>
      </c>
      <c r="AL632" s="436">
        <f>IF(NFI_Expiration=1,IF($A632&lt;VLOOKUP(M$5,NFI,5,0),1,0)*Table_NFI[[#This Row],[Winter Blanket]],Table_NFI[[#This Row],[Winter Blanket]])</f>
        <v>0</v>
      </c>
      <c r="AM632" s="436">
        <f>IF(Table_NFI[[#This Row],[Winter Clothes Adult]]+Table_NFI[[#This Row],[Winter Clothes Children]]+Table_NFI[[#This Row],[Winter Items Other]]+Table_NFI[[#This Row],[Winter Blanket]]&gt;0,1,0)</f>
        <v>0</v>
      </c>
      <c r="AN632" s="439">
        <f>IF(NFI_Expiration=1,IF($A632&lt;VLOOKUP(V$5,NFI,5,0),1,0)*Table_NFI[[#This Row],[Jerry Can]],Table_NFI[Jerry Can])</f>
        <v>0</v>
      </c>
      <c r="AO632" s="771" t="str">
        <f>IFERROR(VLOOKUP(Table_NFI[[#This Row],[Camp Name]],CL,2,0),"")</f>
        <v>MMR001CMP174</v>
      </c>
      <c r="AP632" s="772">
        <f ca="1">IF(Table_NFI[[#This Row],[Pcode]]="","",IF(OFFSET(CampList[Opening Date],MATCH(Table_NFI[[#This Row],[Pcode]],CampList[CP_Pcode],0)-1,0,1,1)&gt;=NFI_Monitor_Date,1,0))</f>
        <v>0</v>
      </c>
      <c r="AQ632" s="771" t="str">
        <f>IFERROR(VLOOKUP(Table_NFI[[#This Row],[Camp Name]],CL,3,0),"")</f>
        <v>Open</v>
      </c>
      <c r="AR632" s="436" t="str">
        <f ca="1">IF(Table_NFI[[#This Row],[Pcode]]="","",OFFSET(CampList[Priority],MATCH(Table_NFI[[#This Row],[Pcode]],CampList[CP_Pcode],0)-1,0,1,1))</f>
        <v>P4</v>
      </c>
      <c r="AS632" s="438">
        <f>IFERROR(Table_NFI[[#This Row],[Kitchen Set]]/VLOOKUP(Table_NFI[[#This Row],[Camp Name]],CL,4,0),"")</f>
        <v>0.89230769230769236</v>
      </c>
      <c r="AT632" s="769" t="s">
        <v>1099</v>
      </c>
      <c r="AU632" s="773"/>
    </row>
    <row r="633" spans="1:47" x14ac:dyDescent="0.25">
      <c r="A633" s="451">
        <f t="shared" si="9"/>
        <v>35.366666666666667</v>
      </c>
      <c r="B633" s="768">
        <v>41309</v>
      </c>
      <c r="C633" s="769" t="s">
        <v>454</v>
      </c>
      <c r="D633" s="770" t="s">
        <v>454</v>
      </c>
      <c r="E633" s="769" t="s">
        <v>380</v>
      </c>
      <c r="F633" s="435" t="s">
        <v>237</v>
      </c>
      <c r="G633" s="435" t="s">
        <v>273</v>
      </c>
      <c r="H633" s="436"/>
      <c r="I633" s="436"/>
      <c r="J633" s="436">
        <v>5</v>
      </c>
      <c r="K633" s="436">
        <v>8</v>
      </c>
      <c r="L633" s="437">
        <v>5</v>
      </c>
      <c r="M633" s="437">
        <v>8</v>
      </c>
      <c r="N633" s="437">
        <v>5</v>
      </c>
      <c r="O633" s="437">
        <v>5</v>
      </c>
      <c r="P633" s="437">
        <v>5</v>
      </c>
      <c r="Q633" s="437">
        <v>5</v>
      </c>
      <c r="R633" s="436"/>
      <c r="S633" s="436"/>
      <c r="T633" s="436"/>
      <c r="U633" s="436"/>
      <c r="V633" s="436"/>
      <c r="W633" s="436"/>
      <c r="X633" s="436"/>
      <c r="Y633" s="436">
        <f>IF(NFI_Expiration=1,IF($A633&lt;VLOOKUP(H$5,NFI,5,0),1,0)*Table_NFI[[#This Row],[Hygiene Kit]],Table_NFI[Hygiene Kit])</f>
        <v>0</v>
      </c>
      <c r="Z633" s="436">
        <f>IF(NFI_Expiration=1,IF($A633&lt;VLOOKUP(I$5,NFI,5,0),1,0)*Table_NFI[[#This Row],[NFI Core Kit]],Table_NFI[NFI Core Kit])</f>
        <v>0</v>
      </c>
      <c r="AA633" s="436">
        <f>IF(NFI_Expiration=1,IF($A633&lt;VLOOKUP(J$5,NFI,5,0),1,0)*Table_NFI[[#This Row],[Sanitary Kit]],Table_NFI[Sanitary Kit])</f>
        <v>0</v>
      </c>
      <c r="AB633" s="436">
        <f>IF(NFI_Expiration=1,IF($A633&lt;VLOOKUP(K$5,NFI,5,0),1,0)*Table_NFI[[#This Row],[Mosquito net]],Table_NFI[Mosquito net])</f>
        <v>0</v>
      </c>
      <c r="AC633" s="436">
        <f>IF(NFI_Expiration=1,IF($A633&lt;VLOOKUP(L$5,NFI,5,0),1,0)*Table_NFI[[#This Row],[Tarpaulin]],Table_NFI[[#This Row],[Tarpaulin]])</f>
        <v>0</v>
      </c>
      <c r="AD633" s="436">
        <f>IF(NFI_Expiration=1,IF($A633&lt;VLOOKUP(M$5,NFI,5,0),1,0)*Table_NFI[[#This Row],[Blanket]],Table_NFI[[#This Row],[Blanket]])</f>
        <v>0</v>
      </c>
      <c r="AE633" s="436">
        <f>IF(NFI_Expiration=1,IF($A633&lt;VLOOKUP(N$5,NFI,5,0),1,0)*Table_NFI[[#This Row],[Kitchen Set]],Table_NFI[Kitchen Set])</f>
        <v>0</v>
      </c>
      <c r="AF633" s="436">
        <f>IF(NFI_Expiration=1,IF($A633&lt;VLOOKUP(O$5,NFI,5,0),1,0)*Table_NFI[[#This Row],[Clothes Kit]],Table_NFI[Clothes Kit])</f>
        <v>0</v>
      </c>
      <c r="AG633" s="436">
        <f>IF(NFI_Expiration=1,IF($A633&lt;VLOOKUP(P$5,NFI,5,0),1,0)*Table_NFI[[#This Row],[Plastic Bucket]],Table_NFI[Plastic Bucket])</f>
        <v>0</v>
      </c>
      <c r="AH633" s="436">
        <f>IF(NFI_Expiration=1,IF($A633&lt;VLOOKUP(Q$5,NFI,5,0),1,0)*Table_NFI[[#This Row],[Plastic Mat]],Table_NFI[Plastic Mat])*IF(Table_NFI[[#This Row],[Distribution Date]]&gt;"2014-04-01",1,2.5)</f>
        <v>0</v>
      </c>
      <c r="AI633" s="436">
        <f>IF(NFI_Expiration=1,IF($A633&lt;VLOOKUP(R$5,NFI,5,0),1,0)*Table_NFI[[#This Row],[Winter Clothes Adult]],Table_NFI[Winter Clothes Adult])</f>
        <v>0</v>
      </c>
      <c r="AJ633" s="436">
        <f>IF(NFI_Expiration=1,IF($A633&lt;VLOOKUP(S$5,NFI,5,0),1,0)*Table_NFI[[#This Row],[Winter Clothes Children]],Table_NFI[Winter Clothes Children])</f>
        <v>0</v>
      </c>
      <c r="AK633" s="436">
        <f>IF(NFI_Expiration=1,IF($A633&lt;VLOOKUP(T$5,NFI,5,0),1,0)*Table_NFI[[#This Row],[Winter Items Other]],Table_NFI[Winter Items Other])</f>
        <v>0</v>
      </c>
      <c r="AL633" s="436">
        <f>IF(NFI_Expiration=1,IF($A633&lt;VLOOKUP(M$5,NFI,5,0),1,0)*Table_NFI[[#This Row],[Winter Blanket]],Table_NFI[[#This Row],[Winter Blanket]])</f>
        <v>0</v>
      </c>
      <c r="AM633" s="436">
        <f>IF(Table_NFI[[#This Row],[Winter Clothes Adult]]+Table_NFI[[#This Row],[Winter Clothes Children]]+Table_NFI[[#This Row],[Winter Items Other]]+Table_NFI[[#This Row],[Winter Blanket]]&gt;0,1,0)</f>
        <v>0</v>
      </c>
      <c r="AN633" s="439">
        <f>IF(NFI_Expiration=1,IF($A633&lt;VLOOKUP(V$5,NFI,5,0),1,0)*Table_NFI[[#This Row],[Jerry Can]],Table_NFI[Jerry Can])</f>
        <v>0</v>
      </c>
      <c r="AO633" s="771" t="str">
        <f>IFERROR(VLOOKUP(Table_NFI[[#This Row],[Camp Name]],CL,2,0),"")</f>
        <v>MMR001CMP162</v>
      </c>
      <c r="AP633" s="772">
        <f ca="1">IF(Table_NFI[[#This Row],[Pcode]]="","",IF(OFFSET(CampList[Opening Date],MATCH(Table_NFI[[#This Row],[Pcode]],CampList[CP_Pcode],0)-1,0,1,1)&gt;=NFI_Monitor_Date,1,0))</f>
        <v>0</v>
      </c>
      <c r="AQ633" s="781" t="str">
        <f>IFERROR(VLOOKUP(Table_NFI[[#This Row],[Camp Name]],CL,3,0),"")</f>
        <v>Open</v>
      </c>
      <c r="AR633" s="439" t="str">
        <f ca="1">IF(Table_NFI[[#This Row],[Pcode]]="","",OFFSET(CampList[Priority],MATCH(Table_NFI[[#This Row],[Pcode]],CampList[CP_Pcode],0)-1,0,1,1))</f>
        <v>P4</v>
      </c>
      <c r="AS633" s="438">
        <f>IFERROR(Table_NFI[[#This Row],[Kitchen Set]]/VLOOKUP(Table_NFI[[#This Row],[Camp Name]],CL,4,0),"")</f>
        <v>0.1111111111111111</v>
      </c>
      <c r="AT633" s="769" t="s">
        <v>1099</v>
      </c>
      <c r="AU633" s="773"/>
    </row>
    <row r="634" spans="1:47" x14ac:dyDescent="0.25">
      <c r="A634" s="451">
        <f t="shared" si="9"/>
        <v>35.5</v>
      </c>
      <c r="B634" s="768">
        <v>41305</v>
      </c>
      <c r="C634" s="769" t="s">
        <v>571</v>
      </c>
      <c r="D634" s="442" t="s">
        <v>571</v>
      </c>
      <c r="E634" s="775" t="s">
        <v>380</v>
      </c>
      <c r="F634" s="775" t="s">
        <v>529</v>
      </c>
      <c r="G634" s="435" t="s">
        <v>58</v>
      </c>
      <c r="H634" s="442"/>
      <c r="I634" s="442"/>
      <c r="J634" s="442"/>
      <c r="K634" s="775"/>
      <c r="L634" s="776"/>
      <c r="M634" s="443">
        <v>26</v>
      </c>
      <c r="N634" s="443"/>
      <c r="O634" s="443"/>
      <c r="P634" s="776">
        <v>0</v>
      </c>
      <c r="Q634" s="443">
        <v>0</v>
      </c>
      <c r="R634" s="442"/>
      <c r="S634" s="442"/>
      <c r="T634" s="442"/>
      <c r="U634" s="442"/>
      <c r="V634" s="442"/>
      <c r="W634" s="442"/>
      <c r="X634" s="442"/>
      <c r="Y634" s="436">
        <f>IF(NFI_Expiration=1,IF($A634&lt;VLOOKUP(H$5,NFI,5,0),1,0)*Table_NFI[[#This Row],[Hygiene Kit]],Table_NFI[Hygiene Kit])</f>
        <v>0</v>
      </c>
      <c r="Z634" s="436">
        <f>IF(NFI_Expiration=1,IF($A634&lt;VLOOKUP(I$5,NFI,5,0),1,0)*Table_NFI[[#This Row],[NFI Core Kit]],Table_NFI[NFI Core Kit])</f>
        <v>0</v>
      </c>
      <c r="AA634" s="436">
        <f>IF(NFI_Expiration=1,IF($A634&lt;VLOOKUP(J$5,NFI,5,0),1,0)*Table_NFI[[#This Row],[Sanitary Kit]],Table_NFI[Sanitary Kit])</f>
        <v>0</v>
      </c>
      <c r="AB634" s="436">
        <f>IF(NFI_Expiration=1,IF($A634&lt;VLOOKUP(K$5,NFI,5,0),1,0)*Table_NFI[[#This Row],[Mosquito net]],Table_NFI[Mosquito net])</f>
        <v>0</v>
      </c>
      <c r="AC634" s="436">
        <f>IF(NFI_Expiration=1,IF($A634&lt;VLOOKUP(L$5,NFI,5,0),1,0)*Table_NFI[[#This Row],[Tarpaulin]],Table_NFI[[#This Row],[Tarpaulin]])</f>
        <v>0</v>
      </c>
      <c r="AD634" s="436">
        <f>IF(NFI_Expiration=1,IF($A634&lt;VLOOKUP(M$5,NFI,5,0),1,0)*Table_NFI[[#This Row],[Blanket]],Table_NFI[[#This Row],[Blanket]])</f>
        <v>0</v>
      </c>
      <c r="AE634" s="436">
        <f>IF(NFI_Expiration=1,IF($A634&lt;VLOOKUP(N$5,NFI,5,0),1,0)*Table_NFI[[#This Row],[Kitchen Set]],Table_NFI[Kitchen Set])</f>
        <v>0</v>
      </c>
      <c r="AF634" s="436">
        <f>IF(NFI_Expiration=1,IF($A634&lt;VLOOKUP(O$5,NFI,5,0),1,0)*Table_NFI[[#This Row],[Clothes Kit]],Table_NFI[Clothes Kit])</f>
        <v>0</v>
      </c>
      <c r="AG634" s="436">
        <f>IF(NFI_Expiration=1,IF($A634&lt;VLOOKUP(P$5,NFI,5,0),1,0)*Table_NFI[[#This Row],[Plastic Bucket]],Table_NFI[Plastic Bucket])</f>
        <v>0</v>
      </c>
      <c r="AH634" s="436">
        <f>IF(NFI_Expiration=1,IF($A634&lt;VLOOKUP(Q$5,NFI,5,0),1,0)*Table_NFI[[#This Row],[Plastic Mat]],Table_NFI[Plastic Mat])*IF(Table_NFI[[#This Row],[Distribution Date]]&gt;"2014-04-01",1,2.5)</f>
        <v>0</v>
      </c>
      <c r="AI634" s="436">
        <f>IF(NFI_Expiration=1,IF($A634&lt;VLOOKUP(R$5,NFI,5,0),1,0)*Table_NFI[[#This Row],[Winter Clothes Adult]],Table_NFI[Winter Clothes Adult])</f>
        <v>0</v>
      </c>
      <c r="AJ634" s="436">
        <f>IF(NFI_Expiration=1,IF($A634&lt;VLOOKUP(S$5,NFI,5,0),1,0)*Table_NFI[[#This Row],[Winter Clothes Children]],Table_NFI[Winter Clothes Children])</f>
        <v>0</v>
      </c>
      <c r="AK634" s="436">
        <f>IF(NFI_Expiration=1,IF($A634&lt;VLOOKUP(T$5,NFI,5,0),1,0)*Table_NFI[[#This Row],[Winter Items Other]],Table_NFI[Winter Items Other])</f>
        <v>0</v>
      </c>
      <c r="AL634" s="436">
        <f>IF(NFI_Expiration=1,IF($A634&lt;VLOOKUP(M$5,NFI,5,0),1,0)*Table_NFI[[#This Row],[Winter Blanket]],Table_NFI[[#This Row],[Winter Blanket]])</f>
        <v>0</v>
      </c>
      <c r="AM634" s="436">
        <f>IF(Table_NFI[[#This Row],[Winter Clothes Adult]]+Table_NFI[[#This Row],[Winter Clothes Children]]+Table_NFI[[#This Row],[Winter Items Other]]+Table_NFI[[#This Row],[Winter Blanket]]&gt;0,1,0)</f>
        <v>0</v>
      </c>
      <c r="AN634" s="439">
        <f>IF(NFI_Expiration=1,IF($A634&lt;VLOOKUP(V$5,NFI,5,0),1,0)*Table_NFI[[#This Row],[Jerry Can]],Table_NFI[Jerry Can])</f>
        <v>0</v>
      </c>
      <c r="AO634" s="771" t="str">
        <f>IFERROR(VLOOKUP(Table_NFI[[#This Row],[Camp Name]],CL,2,0),"")</f>
        <v>MMR001CMP188</v>
      </c>
      <c r="AP634" s="772">
        <f ca="1">IF(Table_NFI[[#This Row],[Pcode]]="","",IF(OFFSET(CampList[Opening Date],MATCH(Table_NFI[[#This Row],[Pcode]],CampList[CP_Pcode],0)-1,0,1,1)&gt;=NFI_Monitor_Date,1,0))</f>
        <v>0</v>
      </c>
      <c r="AQ634" s="771" t="str">
        <f>IFERROR(VLOOKUP(Table_NFI[[#This Row],[Camp Name]],CL,3,0),"")</f>
        <v>Closed</v>
      </c>
      <c r="AR634" s="436" t="str">
        <f ca="1">IF(Table_NFI[[#This Row],[Pcode]]="","",OFFSET(CampList[Priority],MATCH(Table_NFI[[#This Row],[Pcode]],CampList[CP_Pcode],0)-1,0,1,1))</f>
        <v>P4</v>
      </c>
      <c r="AS634" s="438" t="str">
        <f>IFERROR(Table_NFI[[#This Row],[Kitchen Set]]/VLOOKUP(Table_NFI[[#This Row],[Camp Name]],CL,4,0),"")</f>
        <v/>
      </c>
      <c r="AT634" s="769" t="s">
        <v>1099</v>
      </c>
      <c r="AU634" s="773"/>
    </row>
    <row r="635" spans="1:47" x14ac:dyDescent="0.25">
      <c r="A635" s="451">
        <f t="shared" si="9"/>
        <v>35.5</v>
      </c>
      <c r="B635" s="768">
        <v>41305</v>
      </c>
      <c r="C635" s="769" t="s">
        <v>571</v>
      </c>
      <c r="D635" s="442" t="s">
        <v>571</v>
      </c>
      <c r="E635" s="775" t="s">
        <v>380</v>
      </c>
      <c r="F635" s="769" t="s">
        <v>310</v>
      </c>
      <c r="G635" s="435" t="s">
        <v>313</v>
      </c>
      <c r="H635" s="442"/>
      <c r="I635" s="442"/>
      <c r="J635" s="442"/>
      <c r="K635" s="775"/>
      <c r="L635" s="776"/>
      <c r="M635" s="443">
        <v>256</v>
      </c>
      <c r="N635" s="443"/>
      <c r="O635" s="443"/>
      <c r="P635" s="776">
        <v>0</v>
      </c>
      <c r="Q635" s="443">
        <v>0</v>
      </c>
      <c r="R635" s="442"/>
      <c r="S635" s="442"/>
      <c r="T635" s="442"/>
      <c r="U635" s="442"/>
      <c r="V635" s="442"/>
      <c r="W635" s="442"/>
      <c r="X635" s="442"/>
      <c r="Y635" s="436">
        <f>IF(NFI_Expiration=1,IF($A635&lt;VLOOKUP(H$5,NFI,5,0),1,0)*Table_NFI[[#This Row],[Hygiene Kit]],Table_NFI[Hygiene Kit])</f>
        <v>0</v>
      </c>
      <c r="Z635" s="436">
        <f>IF(NFI_Expiration=1,IF($A635&lt;VLOOKUP(I$5,NFI,5,0),1,0)*Table_NFI[[#This Row],[NFI Core Kit]],Table_NFI[NFI Core Kit])</f>
        <v>0</v>
      </c>
      <c r="AA635" s="436">
        <f>IF(NFI_Expiration=1,IF($A635&lt;VLOOKUP(J$5,NFI,5,0),1,0)*Table_NFI[[#This Row],[Sanitary Kit]],Table_NFI[Sanitary Kit])</f>
        <v>0</v>
      </c>
      <c r="AB635" s="436">
        <f>IF(NFI_Expiration=1,IF($A635&lt;VLOOKUP(K$5,NFI,5,0),1,0)*Table_NFI[[#This Row],[Mosquito net]],Table_NFI[Mosquito net])</f>
        <v>0</v>
      </c>
      <c r="AC635" s="436">
        <f>IF(NFI_Expiration=1,IF($A635&lt;VLOOKUP(L$5,NFI,5,0),1,0)*Table_NFI[[#This Row],[Tarpaulin]],Table_NFI[[#This Row],[Tarpaulin]])</f>
        <v>0</v>
      </c>
      <c r="AD635" s="436">
        <f>IF(NFI_Expiration=1,IF($A635&lt;VLOOKUP(M$5,NFI,5,0),1,0)*Table_NFI[[#This Row],[Blanket]],Table_NFI[[#This Row],[Blanket]])</f>
        <v>0</v>
      </c>
      <c r="AE635" s="436">
        <f>IF(NFI_Expiration=1,IF($A635&lt;VLOOKUP(N$5,NFI,5,0),1,0)*Table_NFI[[#This Row],[Kitchen Set]],Table_NFI[Kitchen Set])</f>
        <v>0</v>
      </c>
      <c r="AF635" s="436">
        <f>IF(NFI_Expiration=1,IF($A635&lt;VLOOKUP(O$5,NFI,5,0),1,0)*Table_NFI[[#This Row],[Clothes Kit]],Table_NFI[Clothes Kit])</f>
        <v>0</v>
      </c>
      <c r="AG635" s="436">
        <f>IF(NFI_Expiration=1,IF($A635&lt;VLOOKUP(P$5,NFI,5,0),1,0)*Table_NFI[[#This Row],[Plastic Bucket]],Table_NFI[Plastic Bucket])</f>
        <v>0</v>
      </c>
      <c r="AH635" s="436">
        <f>IF(NFI_Expiration=1,IF($A635&lt;VLOOKUP(Q$5,NFI,5,0),1,0)*Table_NFI[[#This Row],[Plastic Mat]],Table_NFI[Plastic Mat])*IF(Table_NFI[[#This Row],[Distribution Date]]&gt;"2014-04-01",1,2.5)</f>
        <v>0</v>
      </c>
      <c r="AI635" s="436">
        <f>IF(NFI_Expiration=1,IF($A635&lt;VLOOKUP(R$5,NFI,5,0),1,0)*Table_NFI[[#This Row],[Winter Clothes Adult]],Table_NFI[Winter Clothes Adult])</f>
        <v>0</v>
      </c>
      <c r="AJ635" s="436">
        <f>IF(NFI_Expiration=1,IF($A635&lt;VLOOKUP(S$5,NFI,5,0),1,0)*Table_NFI[[#This Row],[Winter Clothes Children]],Table_NFI[Winter Clothes Children])</f>
        <v>0</v>
      </c>
      <c r="AK635" s="436">
        <f>IF(NFI_Expiration=1,IF($A635&lt;VLOOKUP(T$5,NFI,5,0),1,0)*Table_NFI[[#This Row],[Winter Items Other]],Table_NFI[Winter Items Other])</f>
        <v>0</v>
      </c>
      <c r="AL635" s="436">
        <f>IF(NFI_Expiration=1,IF($A635&lt;VLOOKUP(M$5,NFI,5,0),1,0)*Table_NFI[[#This Row],[Winter Blanket]],Table_NFI[[#This Row],[Winter Blanket]])</f>
        <v>0</v>
      </c>
      <c r="AM635" s="436">
        <f>IF(Table_NFI[[#This Row],[Winter Clothes Adult]]+Table_NFI[[#This Row],[Winter Clothes Children]]+Table_NFI[[#This Row],[Winter Items Other]]+Table_NFI[[#This Row],[Winter Blanket]]&gt;0,1,0)</f>
        <v>0</v>
      </c>
      <c r="AN635" s="439">
        <f>IF(NFI_Expiration=1,IF($A635&lt;VLOOKUP(V$5,NFI,5,0),1,0)*Table_NFI[[#This Row],[Jerry Can]],Table_NFI[Jerry Can])</f>
        <v>0</v>
      </c>
      <c r="AO635" s="771" t="str">
        <f>IFERROR(VLOOKUP(Table_NFI[[#This Row],[Camp Name]],CL,2,0),"")</f>
        <v>MMR001CMP028</v>
      </c>
      <c r="AP635" s="772">
        <f ca="1">IF(Table_NFI[[#This Row],[Pcode]]="","",IF(OFFSET(CampList[Opening Date],MATCH(Table_NFI[[#This Row],[Pcode]],CampList[CP_Pcode],0)-1,0,1,1)&gt;=NFI_Monitor_Date,1,0))</f>
        <v>0</v>
      </c>
      <c r="AQ635" s="771" t="str">
        <f>IFERROR(VLOOKUP(Table_NFI[[#This Row],[Camp Name]],CL,3,0),"")</f>
        <v>Open</v>
      </c>
      <c r="AR635" s="436" t="str">
        <f ca="1">IF(Table_NFI[[#This Row],[Pcode]]="","",OFFSET(CampList[Priority],MATCH(Table_NFI[[#This Row],[Pcode]],CampList[CP_Pcode],0)-1,0,1,1))</f>
        <v>P4</v>
      </c>
      <c r="AS635" s="438">
        <f>IFERROR(Table_NFI[[#This Row],[Kitchen Set]]/VLOOKUP(Table_NFI[[#This Row],[Camp Name]],CL,4,0),"")</f>
        <v>0</v>
      </c>
      <c r="AT635" s="769" t="s">
        <v>1099</v>
      </c>
      <c r="AU635" s="773"/>
    </row>
    <row r="636" spans="1:47" x14ac:dyDescent="0.25">
      <c r="A636" s="451">
        <f t="shared" si="9"/>
        <v>35.5</v>
      </c>
      <c r="B636" s="768">
        <v>41305</v>
      </c>
      <c r="C636" s="769" t="s">
        <v>571</v>
      </c>
      <c r="D636" s="442" t="s">
        <v>571</v>
      </c>
      <c r="E636" s="775" t="s">
        <v>380</v>
      </c>
      <c r="F636" s="435" t="s">
        <v>310</v>
      </c>
      <c r="G636" s="435" t="s">
        <v>320</v>
      </c>
      <c r="H636" s="442"/>
      <c r="I636" s="442"/>
      <c r="J636" s="442"/>
      <c r="K636" s="775"/>
      <c r="L636" s="776"/>
      <c r="M636" s="443">
        <v>42</v>
      </c>
      <c r="N636" s="443"/>
      <c r="O636" s="443"/>
      <c r="P636" s="776">
        <v>0</v>
      </c>
      <c r="Q636" s="443">
        <v>0</v>
      </c>
      <c r="R636" s="442"/>
      <c r="S636" s="442"/>
      <c r="T636" s="442"/>
      <c r="U636" s="442"/>
      <c r="V636" s="442"/>
      <c r="W636" s="442"/>
      <c r="X636" s="442"/>
      <c r="Y636" s="436">
        <f>IF(NFI_Expiration=1,IF($A636&lt;VLOOKUP(H$5,NFI,5,0),1,0)*Table_NFI[[#This Row],[Hygiene Kit]],Table_NFI[Hygiene Kit])</f>
        <v>0</v>
      </c>
      <c r="Z636" s="436">
        <f>IF(NFI_Expiration=1,IF($A636&lt;VLOOKUP(I$5,NFI,5,0),1,0)*Table_NFI[[#This Row],[NFI Core Kit]],Table_NFI[NFI Core Kit])</f>
        <v>0</v>
      </c>
      <c r="AA636" s="436">
        <f>IF(NFI_Expiration=1,IF($A636&lt;VLOOKUP(J$5,NFI,5,0),1,0)*Table_NFI[[#This Row],[Sanitary Kit]],Table_NFI[Sanitary Kit])</f>
        <v>0</v>
      </c>
      <c r="AB636" s="436">
        <f>IF(NFI_Expiration=1,IF($A636&lt;VLOOKUP(K$5,NFI,5,0),1,0)*Table_NFI[[#This Row],[Mosquito net]],Table_NFI[Mosquito net])</f>
        <v>0</v>
      </c>
      <c r="AC636" s="436">
        <f>IF(NFI_Expiration=1,IF($A636&lt;VLOOKUP(L$5,NFI,5,0),1,0)*Table_NFI[[#This Row],[Tarpaulin]],Table_NFI[[#This Row],[Tarpaulin]])</f>
        <v>0</v>
      </c>
      <c r="AD636" s="436">
        <f>IF(NFI_Expiration=1,IF($A636&lt;VLOOKUP(M$5,NFI,5,0),1,0)*Table_NFI[[#This Row],[Blanket]],Table_NFI[[#This Row],[Blanket]])</f>
        <v>0</v>
      </c>
      <c r="AE636" s="436">
        <f>IF(NFI_Expiration=1,IF($A636&lt;VLOOKUP(N$5,NFI,5,0),1,0)*Table_NFI[[#This Row],[Kitchen Set]],Table_NFI[Kitchen Set])</f>
        <v>0</v>
      </c>
      <c r="AF636" s="436">
        <f>IF(NFI_Expiration=1,IF($A636&lt;VLOOKUP(O$5,NFI,5,0),1,0)*Table_NFI[[#This Row],[Clothes Kit]],Table_NFI[Clothes Kit])</f>
        <v>0</v>
      </c>
      <c r="AG636" s="436">
        <f>IF(NFI_Expiration=1,IF($A636&lt;VLOOKUP(P$5,NFI,5,0),1,0)*Table_NFI[[#This Row],[Plastic Bucket]],Table_NFI[Plastic Bucket])</f>
        <v>0</v>
      </c>
      <c r="AH636" s="436">
        <f>IF(NFI_Expiration=1,IF($A636&lt;VLOOKUP(Q$5,NFI,5,0),1,0)*Table_NFI[[#This Row],[Plastic Mat]],Table_NFI[Plastic Mat])*IF(Table_NFI[[#This Row],[Distribution Date]]&gt;"2014-04-01",1,2.5)</f>
        <v>0</v>
      </c>
      <c r="AI636" s="436">
        <f>IF(NFI_Expiration=1,IF($A636&lt;VLOOKUP(R$5,NFI,5,0),1,0)*Table_NFI[[#This Row],[Winter Clothes Adult]],Table_NFI[Winter Clothes Adult])</f>
        <v>0</v>
      </c>
      <c r="AJ636" s="436">
        <f>IF(NFI_Expiration=1,IF($A636&lt;VLOOKUP(S$5,NFI,5,0),1,0)*Table_NFI[[#This Row],[Winter Clothes Children]],Table_NFI[Winter Clothes Children])</f>
        <v>0</v>
      </c>
      <c r="AK636" s="436">
        <f>IF(NFI_Expiration=1,IF($A636&lt;VLOOKUP(T$5,NFI,5,0),1,0)*Table_NFI[[#This Row],[Winter Items Other]],Table_NFI[Winter Items Other])</f>
        <v>0</v>
      </c>
      <c r="AL636" s="436">
        <f>IF(NFI_Expiration=1,IF($A636&lt;VLOOKUP(M$5,NFI,5,0),1,0)*Table_NFI[[#This Row],[Winter Blanket]],Table_NFI[[#This Row],[Winter Blanket]])</f>
        <v>0</v>
      </c>
      <c r="AM636" s="436">
        <f>IF(Table_NFI[[#This Row],[Winter Clothes Adult]]+Table_NFI[[#This Row],[Winter Clothes Children]]+Table_NFI[[#This Row],[Winter Items Other]]+Table_NFI[[#This Row],[Winter Blanket]]&gt;0,1,0)</f>
        <v>0</v>
      </c>
      <c r="AN636" s="439">
        <f>IF(NFI_Expiration=1,IF($A636&lt;VLOOKUP(V$5,NFI,5,0),1,0)*Table_NFI[[#This Row],[Jerry Can]],Table_NFI[Jerry Can])</f>
        <v>0</v>
      </c>
      <c r="AO636" s="771" t="str">
        <f>IFERROR(VLOOKUP(Table_NFI[[#This Row],[Camp Name]],CL,2,0),"")</f>
        <v>MMR001CMP027</v>
      </c>
      <c r="AP636" s="772">
        <f ca="1">IF(Table_NFI[[#This Row],[Pcode]]="","",IF(OFFSET(CampList[Opening Date],MATCH(Table_NFI[[#This Row],[Pcode]],CampList[CP_Pcode],0)-1,0,1,1)&gt;=NFI_Monitor_Date,1,0))</f>
        <v>0</v>
      </c>
      <c r="AQ636" s="771" t="str">
        <f>IFERROR(VLOOKUP(Table_NFI[[#This Row],[Camp Name]],CL,3,0),"")</f>
        <v>Open</v>
      </c>
      <c r="AR636" s="436" t="str">
        <f ca="1">IF(Table_NFI[[#This Row],[Pcode]]="","",OFFSET(CampList[Priority],MATCH(Table_NFI[[#This Row],[Pcode]],CampList[CP_Pcode],0)-1,0,1,1))</f>
        <v>P4</v>
      </c>
      <c r="AS636" s="438">
        <f>IFERROR(Table_NFI[[#This Row],[Kitchen Set]]/VLOOKUP(Table_NFI[[#This Row],[Camp Name]],CL,4,0),"")</f>
        <v>0</v>
      </c>
      <c r="AT636" s="769" t="s">
        <v>1099</v>
      </c>
      <c r="AU636" s="773"/>
    </row>
    <row r="637" spans="1:47" x14ac:dyDescent="0.25">
      <c r="A637" s="451">
        <f t="shared" si="9"/>
        <v>35.5</v>
      </c>
      <c r="B637" s="768">
        <v>41305</v>
      </c>
      <c r="C637" s="769" t="s">
        <v>571</v>
      </c>
      <c r="D637" s="442" t="s">
        <v>571</v>
      </c>
      <c r="E637" s="775" t="s">
        <v>380</v>
      </c>
      <c r="F637" s="435" t="s">
        <v>310</v>
      </c>
      <c r="G637" s="435" t="s">
        <v>328</v>
      </c>
      <c r="H637" s="442"/>
      <c r="I637" s="442"/>
      <c r="J637" s="442"/>
      <c r="K637" s="775"/>
      <c r="L637" s="776"/>
      <c r="M637" s="443">
        <v>128</v>
      </c>
      <c r="N637" s="443"/>
      <c r="O637" s="443"/>
      <c r="P637" s="776">
        <v>0</v>
      </c>
      <c r="Q637" s="443">
        <v>0</v>
      </c>
      <c r="R637" s="442"/>
      <c r="S637" s="442"/>
      <c r="T637" s="442"/>
      <c r="U637" s="442"/>
      <c r="V637" s="442"/>
      <c r="W637" s="442"/>
      <c r="X637" s="442"/>
      <c r="Y637" s="436">
        <f>IF(NFI_Expiration=1,IF($A637&lt;VLOOKUP(H$5,NFI,5,0),1,0)*Table_NFI[[#This Row],[Hygiene Kit]],Table_NFI[Hygiene Kit])</f>
        <v>0</v>
      </c>
      <c r="Z637" s="436">
        <f>IF(NFI_Expiration=1,IF($A637&lt;VLOOKUP(I$5,NFI,5,0),1,0)*Table_NFI[[#This Row],[NFI Core Kit]],Table_NFI[NFI Core Kit])</f>
        <v>0</v>
      </c>
      <c r="AA637" s="436">
        <f>IF(NFI_Expiration=1,IF($A637&lt;VLOOKUP(J$5,NFI,5,0),1,0)*Table_NFI[[#This Row],[Sanitary Kit]],Table_NFI[Sanitary Kit])</f>
        <v>0</v>
      </c>
      <c r="AB637" s="436">
        <f>IF(NFI_Expiration=1,IF($A637&lt;VLOOKUP(K$5,NFI,5,0),1,0)*Table_NFI[[#This Row],[Mosquito net]],Table_NFI[Mosquito net])</f>
        <v>0</v>
      </c>
      <c r="AC637" s="436">
        <f>IF(NFI_Expiration=1,IF($A637&lt;VLOOKUP(L$5,NFI,5,0),1,0)*Table_NFI[[#This Row],[Tarpaulin]],Table_NFI[[#This Row],[Tarpaulin]])</f>
        <v>0</v>
      </c>
      <c r="AD637" s="436">
        <f>IF(NFI_Expiration=1,IF($A637&lt;VLOOKUP(M$5,NFI,5,0),1,0)*Table_NFI[[#This Row],[Blanket]],Table_NFI[[#This Row],[Blanket]])</f>
        <v>0</v>
      </c>
      <c r="AE637" s="436">
        <f>IF(NFI_Expiration=1,IF($A637&lt;VLOOKUP(N$5,NFI,5,0),1,0)*Table_NFI[[#This Row],[Kitchen Set]],Table_NFI[Kitchen Set])</f>
        <v>0</v>
      </c>
      <c r="AF637" s="436">
        <f>IF(NFI_Expiration=1,IF($A637&lt;VLOOKUP(O$5,NFI,5,0),1,0)*Table_NFI[[#This Row],[Clothes Kit]],Table_NFI[Clothes Kit])</f>
        <v>0</v>
      </c>
      <c r="AG637" s="436">
        <f>IF(NFI_Expiration=1,IF($A637&lt;VLOOKUP(P$5,NFI,5,0),1,0)*Table_NFI[[#This Row],[Plastic Bucket]],Table_NFI[Plastic Bucket])</f>
        <v>0</v>
      </c>
      <c r="AH637" s="436">
        <f>IF(NFI_Expiration=1,IF($A637&lt;VLOOKUP(Q$5,NFI,5,0),1,0)*Table_NFI[[#This Row],[Plastic Mat]],Table_NFI[Plastic Mat])*IF(Table_NFI[[#This Row],[Distribution Date]]&gt;"2014-04-01",1,2.5)</f>
        <v>0</v>
      </c>
      <c r="AI637" s="436">
        <f>IF(NFI_Expiration=1,IF($A637&lt;VLOOKUP(R$5,NFI,5,0),1,0)*Table_NFI[[#This Row],[Winter Clothes Adult]],Table_NFI[Winter Clothes Adult])</f>
        <v>0</v>
      </c>
      <c r="AJ637" s="436">
        <f>IF(NFI_Expiration=1,IF($A637&lt;VLOOKUP(S$5,NFI,5,0),1,0)*Table_NFI[[#This Row],[Winter Clothes Children]],Table_NFI[Winter Clothes Children])</f>
        <v>0</v>
      </c>
      <c r="AK637" s="436">
        <f>IF(NFI_Expiration=1,IF($A637&lt;VLOOKUP(T$5,NFI,5,0),1,0)*Table_NFI[[#This Row],[Winter Items Other]],Table_NFI[Winter Items Other])</f>
        <v>0</v>
      </c>
      <c r="AL637" s="436">
        <f>IF(NFI_Expiration=1,IF($A637&lt;VLOOKUP(M$5,NFI,5,0),1,0)*Table_NFI[[#This Row],[Winter Blanket]],Table_NFI[[#This Row],[Winter Blanket]])</f>
        <v>0</v>
      </c>
      <c r="AM637" s="436">
        <f>IF(Table_NFI[[#This Row],[Winter Clothes Adult]]+Table_NFI[[#This Row],[Winter Clothes Children]]+Table_NFI[[#This Row],[Winter Items Other]]+Table_NFI[[#This Row],[Winter Blanket]]&gt;0,1,0)</f>
        <v>0</v>
      </c>
      <c r="AN637" s="439">
        <f>IF(NFI_Expiration=1,IF($A637&lt;VLOOKUP(V$5,NFI,5,0),1,0)*Table_NFI[[#This Row],[Jerry Can]],Table_NFI[Jerry Can])</f>
        <v>0</v>
      </c>
      <c r="AO637" s="771" t="str">
        <f>IFERROR(VLOOKUP(Table_NFI[[#This Row],[Camp Name]],CL,2,0),"")</f>
        <v>MMR001CMP031</v>
      </c>
      <c r="AP637" s="772">
        <f ca="1">IF(Table_NFI[[#This Row],[Pcode]]="","",IF(OFFSET(CampList[Opening Date],MATCH(Table_NFI[[#This Row],[Pcode]],CampList[CP_Pcode],0)-1,0,1,1)&gt;=NFI_Monitor_Date,1,0))</f>
        <v>0</v>
      </c>
      <c r="AQ637" s="771" t="str">
        <f>IFERROR(VLOOKUP(Table_NFI[[#This Row],[Camp Name]],CL,3,0),"")</f>
        <v>Open</v>
      </c>
      <c r="AR637" s="436" t="str">
        <f ca="1">IF(Table_NFI[[#This Row],[Pcode]]="","",OFFSET(CampList[Priority],MATCH(Table_NFI[[#This Row],[Pcode]],CampList[CP_Pcode],0)-1,0,1,1))</f>
        <v>P4</v>
      </c>
      <c r="AS637" s="438">
        <f>IFERROR(Table_NFI[[#This Row],[Kitchen Set]]/VLOOKUP(Table_NFI[[#This Row],[Camp Name]],CL,4,0),"")</f>
        <v>0</v>
      </c>
      <c r="AT637" s="769" t="s">
        <v>1099</v>
      </c>
      <c r="AU637" s="773"/>
    </row>
    <row r="638" spans="1:47" x14ac:dyDescent="0.25">
      <c r="A638" s="451">
        <f t="shared" si="9"/>
        <v>35.5</v>
      </c>
      <c r="B638" s="768">
        <v>41305</v>
      </c>
      <c r="C638" s="769" t="s">
        <v>571</v>
      </c>
      <c r="D638" s="442" t="s">
        <v>571</v>
      </c>
      <c r="E638" s="775" t="s">
        <v>380</v>
      </c>
      <c r="F638" s="435" t="s">
        <v>310</v>
      </c>
      <c r="G638" s="435" t="s">
        <v>330</v>
      </c>
      <c r="H638" s="442"/>
      <c r="I638" s="442"/>
      <c r="J638" s="442"/>
      <c r="K638" s="775"/>
      <c r="L638" s="776"/>
      <c r="M638" s="443">
        <v>442</v>
      </c>
      <c r="N638" s="443"/>
      <c r="O638" s="443"/>
      <c r="P638" s="776">
        <v>0</v>
      </c>
      <c r="Q638" s="443">
        <v>0</v>
      </c>
      <c r="R638" s="442"/>
      <c r="S638" s="442"/>
      <c r="T638" s="442"/>
      <c r="U638" s="442"/>
      <c r="V638" s="442"/>
      <c r="W638" s="442"/>
      <c r="X638" s="442"/>
      <c r="Y638" s="436">
        <f>IF(NFI_Expiration=1,IF($A638&lt;VLOOKUP(H$5,NFI,5,0),1,0)*Table_NFI[[#This Row],[Hygiene Kit]],Table_NFI[Hygiene Kit])</f>
        <v>0</v>
      </c>
      <c r="Z638" s="436">
        <f>IF(NFI_Expiration=1,IF($A638&lt;VLOOKUP(I$5,NFI,5,0),1,0)*Table_NFI[[#This Row],[NFI Core Kit]],Table_NFI[NFI Core Kit])</f>
        <v>0</v>
      </c>
      <c r="AA638" s="436">
        <f>IF(NFI_Expiration=1,IF($A638&lt;VLOOKUP(J$5,NFI,5,0),1,0)*Table_NFI[[#This Row],[Sanitary Kit]],Table_NFI[Sanitary Kit])</f>
        <v>0</v>
      </c>
      <c r="AB638" s="436">
        <f>IF(NFI_Expiration=1,IF($A638&lt;VLOOKUP(K$5,NFI,5,0),1,0)*Table_NFI[[#This Row],[Mosquito net]],Table_NFI[Mosquito net])</f>
        <v>0</v>
      </c>
      <c r="AC638" s="436">
        <f>IF(NFI_Expiration=1,IF($A638&lt;VLOOKUP(L$5,NFI,5,0),1,0)*Table_NFI[[#This Row],[Tarpaulin]],Table_NFI[[#This Row],[Tarpaulin]])</f>
        <v>0</v>
      </c>
      <c r="AD638" s="436">
        <f>IF(NFI_Expiration=1,IF($A638&lt;VLOOKUP(M$5,NFI,5,0),1,0)*Table_NFI[[#This Row],[Blanket]],Table_NFI[[#This Row],[Blanket]])</f>
        <v>0</v>
      </c>
      <c r="AE638" s="436">
        <f>IF(NFI_Expiration=1,IF($A638&lt;VLOOKUP(N$5,NFI,5,0),1,0)*Table_NFI[[#This Row],[Kitchen Set]],Table_NFI[Kitchen Set])</f>
        <v>0</v>
      </c>
      <c r="AF638" s="436">
        <f>IF(NFI_Expiration=1,IF($A638&lt;VLOOKUP(O$5,NFI,5,0),1,0)*Table_NFI[[#This Row],[Clothes Kit]],Table_NFI[Clothes Kit])</f>
        <v>0</v>
      </c>
      <c r="AG638" s="436">
        <f>IF(NFI_Expiration=1,IF($A638&lt;VLOOKUP(P$5,NFI,5,0),1,0)*Table_NFI[[#This Row],[Plastic Bucket]],Table_NFI[Plastic Bucket])</f>
        <v>0</v>
      </c>
      <c r="AH638" s="436">
        <f>IF(NFI_Expiration=1,IF($A638&lt;VLOOKUP(Q$5,NFI,5,0),1,0)*Table_NFI[[#This Row],[Plastic Mat]],Table_NFI[Plastic Mat])*IF(Table_NFI[[#This Row],[Distribution Date]]&gt;"2014-04-01",1,2.5)</f>
        <v>0</v>
      </c>
      <c r="AI638" s="436">
        <f>IF(NFI_Expiration=1,IF($A638&lt;VLOOKUP(R$5,NFI,5,0),1,0)*Table_NFI[[#This Row],[Winter Clothes Adult]],Table_NFI[Winter Clothes Adult])</f>
        <v>0</v>
      </c>
      <c r="AJ638" s="436">
        <f>IF(NFI_Expiration=1,IF($A638&lt;VLOOKUP(S$5,NFI,5,0),1,0)*Table_NFI[[#This Row],[Winter Clothes Children]],Table_NFI[Winter Clothes Children])</f>
        <v>0</v>
      </c>
      <c r="AK638" s="436">
        <f>IF(NFI_Expiration=1,IF($A638&lt;VLOOKUP(T$5,NFI,5,0),1,0)*Table_NFI[[#This Row],[Winter Items Other]],Table_NFI[Winter Items Other])</f>
        <v>0</v>
      </c>
      <c r="AL638" s="436">
        <f>IF(NFI_Expiration=1,IF($A638&lt;VLOOKUP(M$5,NFI,5,0),1,0)*Table_NFI[[#This Row],[Winter Blanket]],Table_NFI[[#This Row],[Winter Blanket]])</f>
        <v>0</v>
      </c>
      <c r="AM638" s="436">
        <f>IF(Table_NFI[[#This Row],[Winter Clothes Adult]]+Table_NFI[[#This Row],[Winter Clothes Children]]+Table_NFI[[#This Row],[Winter Items Other]]+Table_NFI[[#This Row],[Winter Blanket]]&gt;0,1,0)</f>
        <v>0</v>
      </c>
      <c r="AN638" s="439">
        <f>IF(NFI_Expiration=1,IF($A638&lt;VLOOKUP(V$5,NFI,5,0),1,0)*Table_NFI[[#This Row],[Jerry Can]],Table_NFI[Jerry Can])</f>
        <v>0</v>
      </c>
      <c r="AO638" s="771" t="str">
        <f>IFERROR(VLOOKUP(Table_NFI[[#This Row],[Camp Name]],CL,2,0),"")</f>
        <v>MMR001CMP029</v>
      </c>
      <c r="AP638" s="772">
        <f ca="1">IF(Table_NFI[[#This Row],[Pcode]]="","",IF(OFFSET(CampList[Opening Date],MATCH(Table_NFI[[#This Row],[Pcode]],CampList[CP_Pcode],0)-1,0,1,1)&gt;=NFI_Monitor_Date,1,0))</f>
        <v>0</v>
      </c>
      <c r="AQ638" s="771" t="str">
        <f>IFERROR(VLOOKUP(Table_NFI[[#This Row],[Camp Name]],CL,3,0),"")</f>
        <v>Open</v>
      </c>
      <c r="AR638" s="436" t="str">
        <f ca="1">IF(Table_NFI[[#This Row],[Pcode]]="","",OFFSET(CampList[Priority],MATCH(Table_NFI[[#This Row],[Pcode]],CampList[CP_Pcode],0)-1,0,1,1))</f>
        <v>P4</v>
      </c>
      <c r="AS638" s="438">
        <f>IFERROR(Table_NFI[[#This Row],[Kitchen Set]]/VLOOKUP(Table_NFI[[#This Row],[Camp Name]],CL,4,0),"")</f>
        <v>0</v>
      </c>
      <c r="AT638" s="769" t="s">
        <v>1099</v>
      </c>
      <c r="AU638" s="773"/>
    </row>
    <row r="639" spans="1:47" x14ac:dyDescent="0.25">
      <c r="A639" s="451">
        <f t="shared" si="9"/>
        <v>35.5</v>
      </c>
      <c r="B639" s="768">
        <v>41305</v>
      </c>
      <c r="C639" s="769" t="s">
        <v>571</v>
      </c>
      <c r="D639" s="442" t="s">
        <v>571</v>
      </c>
      <c r="E639" s="775" t="s">
        <v>380</v>
      </c>
      <c r="F639" s="435" t="s">
        <v>310</v>
      </c>
      <c r="G639" s="435" t="s">
        <v>324</v>
      </c>
      <c r="H639" s="442"/>
      <c r="I639" s="442"/>
      <c r="J639" s="442"/>
      <c r="K639" s="775"/>
      <c r="L639" s="776"/>
      <c r="M639" s="443">
        <v>324</v>
      </c>
      <c r="N639" s="443"/>
      <c r="O639" s="443"/>
      <c r="P639" s="776">
        <v>0</v>
      </c>
      <c r="Q639" s="443">
        <v>0</v>
      </c>
      <c r="R639" s="442"/>
      <c r="S639" s="442"/>
      <c r="T639" s="442"/>
      <c r="U639" s="442"/>
      <c r="V639" s="442"/>
      <c r="W639" s="442"/>
      <c r="X639" s="442"/>
      <c r="Y639" s="436">
        <f>IF(NFI_Expiration=1,IF($A639&lt;VLOOKUP(H$5,NFI,5,0),1,0)*Table_NFI[[#This Row],[Hygiene Kit]],Table_NFI[Hygiene Kit])</f>
        <v>0</v>
      </c>
      <c r="Z639" s="436">
        <f>IF(NFI_Expiration=1,IF($A639&lt;VLOOKUP(I$5,NFI,5,0),1,0)*Table_NFI[[#This Row],[NFI Core Kit]],Table_NFI[NFI Core Kit])</f>
        <v>0</v>
      </c>
      <c r="AA639" s="436">
        <f>IF(NFI_Expiration=1,IF($A639&lt;VLOOKUP(J$5,NFI,5,0),1,0)*Table_NFI[[#This Row],[Sanitary Kit]],Table_NFI[Sanitary Kit])</f>
        <v>0</v>
      </c>
      <c r="AB639" s="436">
        <f>IF(NFI_Expiration=1,IF($A639&lt;VLOOKUP(K$5,NFI,5,0),1,0)*Table_NFI[[#This Row],[Mosquito net]],Table_NFI[Mosquito net])</f>
        <v>0</v>
      </c>
      <c r="AC639" s="436">
        <f>IF(NFI_Expiration=1,IF($A639&lt;VLOOKUP(L$5,NFI,5,0),1,0)*Table_NFI[[#This Row],[Tarpaulin]],Table_NFI[[#This Row],[Tarpaulin]])</f>
        <v>0</v>
      </c>
      <c r="AD639" s="436">
        <f>IF(NFI_Expiration=1,IF($A639&lt;VLOOKUP(M$5,NFI,5,0),1,0)*Table_NFI[[#This Row],[Blanket]],Table_NFI[[#This Row],[Blanket]])</f>
        <v>0</v>
      </c>
      <c r="AE639" s="436">
        <f>IF(NFI_Expiration=1,IF($A639&lt;VLOOKUP(N$5,NFI,5,0),1,0)*Table_NFI[[#This Row],[Kitchen Set]],Table_NFI[Kitchen Set])</f>
        <v>0</v>
      </c>
      <c r="AF639" s="436">
        <f>IF(NFI_Expiration=1,IF($A639&lt;VLOOKUP(O$5,NFI,5,0),1,0)*Table_NFI[[#This Row],[Clothes Kit]],Table_NFI[Clothes Kit])</f>
        <v>0</v>
      </c>
      <c r="AG639" s="436">
        <f>IF(NFI_Expiration=1,IF($A639&lt;VLOOKUP(P$5,NFI,5,0),1,0)*Table_NFI[[#This Row],[Plastic Bucket]],Table_NFI[Plastic Bucket])</f>
        <v>0</v>
      </c>
      <c r="AH639" s="436">
        <f>IF(NFI_Expiration=1,IF($A639&lt;VLOOKUP(Q$5,NFI,5,0),1,0)*Table_NFI[[#This Row],[Plastic Mat]],Table_NFI[Plastic Mat])*IF(Table_NFI[[#This Row],[Distribution Date]]&gt;"2014-04-01",1,2.5)</f>
        <v>0</v>
      </c>
      <c r="AI639" s="436">
        <f>IF(NFI_Expiration=1,IF($A639&lt;VLOOKUP(R$5,NFI,5,0),1,0)*Table_NFI[[#This Row],[Winter Clothes Adult]],Table_NFI[Winter Clothes Adult])</f>
        <v>0</v>
      </c>
      <c r="AJ639" s="436">
        <f>IF(NFI_Expiration=1,IF($A639&lt;VLOOKUP(S$5,NFI,5,0),1,0)*Table_NFI[[#This Row],[Winter Clothes Children]],Table_NFI[Winter Clothes Children])</f>
        <v>0</v>
      </c>
      <c r="AK639" s="436">
        <f>IF(NFI_Expiration=1,IF($A639&lt;VLOOKUP(T$5,NFI,5,0),1,0)*Table_NFI[[#This Row],[Winter Items Other]],Table_NFI[Winter Items Other])</f>
        <v>0</v>
      </c>
      <c r="AL639" s="436">
        <f>IF(NFI_Expiration=1,IF($A639&lt;VLOOKUP(M$5,NFI,5,0),1,0)*Table_NFI[[#This Row],[Winter Blanket]],Table_NFI[[#This Row],[Winter Blanket]])</f>
        <v>0</v>
      </c>
      <c r="AM639" s="436">
        <f>IF(Table_NFI[[#This Row],[Winter Clothes Adult]]+Table_NFI[[#This Row],[Winter Clothes Children]]+Table_NFI[[#This Row],[Winter Items Other]]+Table_NFI[[#This Row],[Winter Blanket]]&gt;0,1,0)</f>
        <v>0</v>
      </c>
      <c r="AN639" s="439">
        <f>IF(NFI_Expiration=1,IF($A639&lt;VLOOKUP(V$5,NFI,5,0),1,0)*Table_NFI[[#This Row],[Jerry Can]],Table_NFI[Jerry Can])</f>
        <v>0</v>
      </c>
      <c r="AO639" s="771" t="str">
        <f>IFERROR(VLOOKUP(Table_NFI[[#This Row],[Camp Name]],CL,2,0),"")</f>
        <v>MMR001CMP040</v>
      </c>
      <c r="AP639" s="772">
        <f ca="1">IF(Table_NFI[[#This Row],[Pcode]]="","",IF(OFFSET(CampList[Opening Date],MATCH(Table_NFI[[#This Row],[Pcode]],CampList[CP_Pcode],0)-1,0,1,1)&gt;=NFI_Monitor_Date,1,0))</f>
        <v>0</v>
      </c>
      <c r="AQ639" s="771" t="str">
        <f>IFERROR(VLOOKUP(Table_NFI[[#This Row],[Camp Name]],CL,3,0),"")</f>
        <v>Open</v>
      </c>
      <c r="AR639" s="436" t="str">
        <f ca="1">IF(Table_NFI[[#This Row],[Pcode]]="","",OFFSET(CampList[Priority],MATCH(Table_NFI[[#This Row],[Pcode]],CampList[CP_Pcode],0)-1,0,1,1))</f>
        <v>P4</v>
      </c>
      <c r="AS639" s="438">
        <f>IFERROR(Table_NFI[[#This Row],[Kitchen Set]]/VLOOKUP(Table_NFI[[#This Row],[Camp Name]],CL,4,0),"")</f>
        <v>0</v>
      </c>
      <c r="AT639" s="769" t="s">
        <v>1099</v>
      </c>
      <c r="AU639" s="773"/>
    </row>
    <row r="640" spans="1:47" x14ac:dyDescent="0.25">
      <c r="A640" s="451">
        <f t="shared" si="9"/>
        <v>35.5</v>
      </c>
      <c r="B640" s="768">
        <v>41305</v>
      </c>
      <c r="C640" s="769" t="s">
        <v>571</v>
      </c>
      <c r="D640" s="442" t="s">
        <v>571</v>
      </c>
      <c r="E640" s="775" t="s">
        <v>380</v>
      </c>
      <c r="F640" s="435" t="s">
        <v>310</v>
      </c>
      <c r="G640" s="435" t="s">
        <v>326</v>
      </c>
      <c r="H640" s="442"/>
      <c r="I640" s="442"/>
      <c r="J640" s="442"/>
      <c r="K640" s="775"/>
      <c r="L640" s="776"/>
      <c r="M640" s="443">
        <v>94</v>
      </c>
      <c r="N640" s="443"/>
      <c r="O640" s="443"/>
      <c r="P640" s="776">
        <v>0</v>
      </c>
      <c r="Q640" s="443">
        <v>0</v>
      </c>
      <c r="R640" s="442"/>
      <c r="S640" s="442"/>
      <c r="T640" s="442"/>
      <c r="U640" s="442"/>
      <c r="V640" s="442"/>
      <c r="W640" s="442"/>
      <c r="X640" s="442"/>
      <c r="Y640" s="436">
        <f>IF(NFI_Expiration=1,IF($A640&lt;VLOOKUP(H$5,NFI,5,0),1,0)*Table_NFI[[#This Row],[Hygiene Kit]],Table_NFI[Hygiene Kit])</f>
        <v>0</v>
      </c>
      <c r="Z640" s="436">
        <f>IF(NFI_Expiration=1,IF($A640&lt;VLOOKUP(I$5,NFI,5,0),1,0)*Table_NFI[[#This Row],[NFI Core Kit]],Table_NFI[NFI Core Kit])</f>
        <v>0</v>
      </c>
      <c r="AA640" s="436">
        <f>IF(NFI_Expiration=1,IF($A640&lt;VLOOKUP(J$5,NFI,5,0),1,0)*Table_NFI[[#This Row],[Sanitary Kit]],Table_NFI[Sanitary Kit])</f>
        <v>0</v>
      </c>
      <c r="AB640" s="436">
        <f>IF(NFI_Expiration=1,IF($A640&lt;VLOOKUP(K$5,NFI,5,0),1,0)*Table_NFI[[#This Row],[Mosquito net]],Table_NFI[Mosquito net])</f>
        <v>0</v>
      </c>
      <c r="AC640" s="436">
        <f>IF(NFI_Expiration=1,IF($A640&lt;VLOOKUP(L$5,NFI,5,0),1,0)*Table_NFI[[#This Row],[Tarpaulin]],Table_NFI[[#This Row],[Tarpaulin]])</f>
        <v>0</v>
      </c>
      <c r="AD640" s="436">
        <f>IF(NFI_Expiration=1,IF($A640&lt;VLOOKUP(M$5,NFI,5,0),1,0)*Table_NFI[[#This Row],[Blanket]],Table_NFI[[#This Row],[Blanket]])</f>
        <v>0</v>
      </c>
      <c r="AE640" s="436">
        <f>IF(NFI_Expiration=1,IF($A640&lt;VLOOKUP(N$5,NFI,5,0),1,0)*Table_NFI[[#This Row],[Kitchen Set]],Table_NFI[Kitchen Set])</f>
        <v>0</v>
      </c>
      <c r="AF640" s="436">
        <f>IF(NFI_Expiration=1,IF($A640&lt;VLOOKUP(O$5,NFI,5,0),1,0)*Table_NFI[[#This Row],[Clothes Kit]],Table_NFI[Clothes Kit])</f>
        <v>0</v>
      </c>
      <c r="AG640" s="436">
        <f>IF(NFI_Expiration=1,IF($A640&lt;VLOOKUP(P$5,NFI,5,0),1,0)*Table_NFI[[#This Row],[Plastic Bucket]],Table_NFI[Plastic Bucket])</f>
        <v>0</v>
      </c>
      <c r="AH640" s="436">
        <f>IF(NFI_Expiration=1,IF($A640&lt;VLOOKUP(Q$5,NFI,5,0),1,0)*Table_NFI[[#This Row],[Plastic Mat]],Table_NFI[Plastic Mat])*IF(Table_NFI[[#This Row],[Distribution Date]]&gt;"2014-04-01",1,2.5)</f>
        <v>0</v>
      </c>
      <c r="AI640" s="436">
        <f>IF(NFI_Expiration=1,IF($A640&lt;VLOOKUP(R$5,NFI,5,0),1,0)*Table_NFI[[#This Row],[Winter Clothes Adult]],Table_NFI[Winter Clothes Adult])</f>
        <v>0</v>
      </c>
      <c r="AJ640" s="436">
        <f>IF(NFI_Expiration=1,IF($A640&lt;VLOOKUP(S$5,NFI,5,0),1,0)*Table_NFI[[#This Row],[Winter Clothes Children]],Table_NFI[Winter Clothes Children])</f>
        <v>0</v>
      </c>
      <c r="AK640" s="436">
        <f>IF(NFI_Expiration=1,IF($A640&lt;VLOOKUP(T$5,NFI,5,0),1,0)*Table_NFI[[#This Row],[Winter Items Other]],Table_NFI[Winter Items Other])</f>
        <v>0</v>
      </c>
      <c r="AL640" s="436">
        <f>IF(NFI_Expiration=1,IF($A640&lt;VLOOKUP(M$5,NFI,5,0),1,0)*Table_NFI[[#This Row],[Winter Blanket]],Table_NFI[[#This Row],[Winter Blanket]])</f>
        <v>0</v>
      </c>
      <c r="AM640" s="436">
        <f>IF(Table_NFI[[#This Row],[Winter Clothes Adult]]+Table_NFI[[#This Row],[Winter Clothes Children]]+Table_NFI[[#This Row],[Winter Items Other]]+Table_NFI[[#This Row],[Winter Blanket]]&gt;0,1,0)</f>
        <v>0</v>
      </c>
      <c r="AN640" s="439">
        <f>IF(NFI_Expiration=1,IF($A640&lt;VLOOKUP(V$5,NFI,5,0),1,0)*Table_NFI[[#This Row],[Jerry Can]],Table_NFI[Jerry Can])</f>
        <v>0</v>
      </c>
      <c r="AO640" s="771" t="str">
        <f>IFERROR(VLOOKUP(Table_NFI[[#This Row],[Camp Name]],CL,2,0),"")</f>
        <v>MMR001CMP039</v>
      </c>
      <c r="AP640" s="772">
        <f ca="1">IF(Table_NFI[[#This Row],[Pcode]]="","",IF(OFFSET(CampList[Opening Date],MATCH(Table_NFI[[#This Row],[Pcode]],CampList[CP_Pcode],0)-1,0,1,1)&gt;=NFI_Monitor_Date,1,0))</f>
        <v>0</v>
      </c>
      <c r="AQ640" s="771" t="str">
        <f>IFERROR(VLOOKUP(Table_NFI[[#This Row],[Camp Name]],CL,3,0),"")</f>
        <v>Open</v>
      </c>
      <c r="AR640" s="436" t="str">
        <f ca="1">IF(Table_NFI[[#This Row],[Pcode]]="","",OFFSET(CampList[Priority],MATCH(Table_NFI[[#This Row],[Pcode]],CampList[CP_Pcode],0)-1,0,1,1))</f>
        <v>P4</v>
      </c>
      <c r="AS640" s="438">
        <f>IFERROR(Table_NFI[[#This Row],[Kitchen Set]]/VLOOKUP(Table_NFI[[#This Row],[Camp Name]],CL,4,0),"")</f>
        <v>0</v>
      </c>
      <c r="AT640" s="769" t="s">
        <v>1099</v>
      </c>
      <c r="AU640" s="773"/>
    </row>
    <row r="641" spans="1:47" x14ac:dyDescent="0.25">
      <c r="A641" s="451">
        <f t="shared" si="9"/>
        <v>35.5</v>
      </c>
      <c r="B641" s="768">
        <v>41305</v>
      </c>
      <c r="C641" s="769" t="s">
        <v>571</v>
      </c>
      <c r="D641" s="442" t="s">
        <v>571</v>
      </c>
      <c r="E641" s="775" t="s">
        <v>380</v>
      </c>
      <c r="F641" s="435" t="s">
        <v>310</v>
      </c>
      <c r="G641" s="435" t="s">
        <v>318</v>
      </c>
      <c r="H641" s="442"/>
      <c r="I641" s="442"/>
      <c r="J641" s="442"/>
      <c r="K641" s="775"/>
      <c r="L641" s="776"/>
      <c r="M641" s="443">
        <v>184</v>
      </c>
      <c r="N641" s="443"/>
      <c r="O641" s="443"/>
      <c r="P641" s="776">
        <v>0</v>
      </c>
      <c r="Q641" s="443">
        <v>0</v>
      </c>
      <c r="R641" s="442"/>
      <c r="S641" s="442"/>
      <c r="T641" s="442"/>
      <c r="U641" s="442"/>
      <c r="V641" s="442"/>
      <c r="W641" s="442"/>
      <c r="X641" s="442"/>
      <c r="Y641" s="436">
        <f>IF(NFI_Expiration=1,IF($A641&lt;VLOOKUP(H$5,NFI,5,0),1,0)*Table_NFI[[#This Row],[Hygiene Kit]],Table_NFI[Hygiene Kit])</f>
        <v>0</v>
      </c>
      <c r="Z641" s="436">
        <f>IF(NFI_Expiration=1,IF($A641&lt;VLOOKUP(I$5,NFI,5,0),1,0)*Table_NFI[[#This Row],[NFI Core Kit]],Table_NFI[NFI Core Kit])</f>
        <v>0</v>
      </c>
      <c r="AA641" s="436">
        <f>IF(NFI_Expiration=1,IF($A641&lt;VLOOKUP(J$5,NFI,5,0),1,0)*Table_NFI[[#This Row],[Sanitary Kit]],Table_NFI[Sanitary Kit])</f>
        <v>0</v>
      </c>
      <c r="AB641" s="436">
        <f>IF(NFI_Expiration=1,IF($A641&lt;VLOOKUP(K$5,NFI,5,0),1,0)*Table_NFI[[#This Row],[Mosquito net]],Table_NFI[Mosquito net])</f>
        <v>0</v>
      </c>
      <c r="AC641" s="436">
        <f>IF(NFI_Expiration=1,IF($A641&lt;VLOOKUP(L$5,NFI,5,0),1,0)*Table_NFI[[#This Row],[Tarpaulin]],Table_NFI[[#This Row],[Tarpaulin]])</f>
        <v>0</v>
      </c>
      <c r="AD641" s="436">
        <f>IF(NFI_Expiration=1,IF($A641&lt;VLOOKUP(M$5,NFI,5,0),1,0)*Table_NFI[[#This Row],[Blanket]],Table_NFI[[#This Row],[Blanket]])</f>
        <v>0</v>
      </c>
      <c r="AE641" s="436">
        <f>IF(NFI_Expiration=1,IF($A641&lt;VLOOKUP(N$5,NFI,5,0),1,0)*Table_NFI[[#This Row],[Kitchen Set]],Table_NFI[Kitchen Set])</f>
        <v>0</v>
      </c>
      <c r="AF641" s="436">
        <f>IF(NFI_Expiration=1,IF($A641&lt;VLOOKUP(O$5,NFI,5,0),1,0)*Table_NFI[[#This Row],[Clothes Kit]],Table_NFI[Clothes Kit])</f>
        <v>0</v>
      </c>
      <c r="AG641" s="436">
        <f>IF(NFI_Expiration=1,IF($A641&lt;VLOOKUP(P$5,NFI,5,0),1,0)*Table_NFI[[#This Row],[Plastic Bucket]],Table_NFI[Plastic Bucket])</f>
        <v>0</v>
      </c>
      <c r="AH641" s="436">
        <f>IF(NFI_Expiration=1,IF($A641&lt;VLOOKUP(Q$5,NFI,5,0),1,0)*Table_NFI[[#This Row],[Plastic Mat]],Table_NFI[Plastic Mat])*IF(Table_NFI[[#This Row],[Distribution Date]]&gt;"2014-04-01",1,2.5)</f>
        <v>0</v>
      </c>
      <c r="AI641" s="436">
        <f>IF(NFI_Expiration=1,IF($A641&lt;VLOOKUP(R$5,NFI,5,0),1,0)*Table_NFI[[#This Row],[Winter Clothes Adult]],Table_NFI[Winter Clothes Adult])</f>
        <v>0</v>
      </c>
      <c r="AJ641" s="436">
        <f>IF(NFI_Expiration=1,IF($A641&lt;VLOOKUP(S$5,NFI,5,0),1,0)*Table_NFI[[#This Row],[Winter Clothes Children]],Table_NFI[Winter Clothes Children])</f>
        <v>0</v>
      </c>
      <c r="AK641" s="436">
        <f>IF(NFI_Expiration=1,IF($A641&lt;VLOOKUP(T$5,NFI,5,0),1,0)*Table_NFI[[#This Row],[Winter Items Other]],Table_NFI[Winter Items Other])</f>
        <v>0</v>
      </c>
      <c r="AL641" s="436">
        <f>IF(NFI_Expiration=1,IF($A641&lt;VLOOKUP(M$5,NFI,5,0),1,0)*Table_NFI[[#This Row],[Winter Blanket]],Table_NFI[[#This Row],[Winter Blanket]])</f>
        <v>0</v>
      </c>
      <c r="AM641" s="436">
        <f>IF(Table_NFI[[#This Row],[Winter Clothes Adult]]+Table_NFI[[#This Row],[Winter Clothes Children]]+Table_NFI[[#This Row],[Winter Items Other]]+Table_NFI[[#This Row],[Winter Blanket]]&gt;0,1,0)</f>
        <v>0</v>
      </c>
      <c r="AN641" s="439">
        <f>IF(NFI_Expiration=1,IF($A641&lt;VLOOKUP(V$5,NFI,5,0),1,0)*Table_NFI[[#This Row],[Jerry Can]],Table_NFI[Jerry Can])</f>
        <v>0</v>
      </c>
      <c r="AO641" s="771" t="str">
        <f>IFERROR(VLOOKUP(Table_NFI[[#This Row],[Camp Name]],CL,2,0),"")</f>
        <v>MMR001CMP032</v>
      </c>
      <c r="AP641" s="772">
        <f ca="1">IF(Table_NFI[[#This Row],[Pcode]]="","",IF(OFFSET(CampList[Opening Date],MATCH(Table_NFI[[#This Row],[Pcode]],CampList[CP_Pcode],0)-1,0,1,1)&gt;=NFI_Monitor_Date,1,0))</f>
        <v>0</v>
      </c>
      <c r="AQ641" s="771" t="str">
        <f>IFERROR(VLOOKUP(Table_NFI[[#This Row],[Camp Name]],CL,3,0),"")</f>
        <v>Open</v>
      </c>
      <c r="AR641" s="436" t="str">
        <f ca="1">IF(Table_NFI[[#This Row],[Pcode]]="","",OFFSET(CampList[Priority],MATCH(Table_NFI[[#This Row],[Pcode]],CampList[CP_Pcode],0)-1,0,1,1))</f>
        <v>P4</v>
      </c>
      <c r="AS641" s="438">
        <f>IFERROR(Table_NFI[[#This Row],[Kitchen Set]]/VLOOKUP(Table_NFI[[#This Row],[Camp Name]],CL,4,0),"")</f>
        <v>0</v>
      </c>
      <c r="AT641" s="769" t="s">
        <v>1099</v>
      </c>
      <c r="AU641" s="773"/>
    </row>
    <row r="642" spans="1:47" x14ac:dyDescent="0.25">
      <c r="A642" s="451">
        <f t="shared" si="9"/>
        <v>35.5</v>
      </c>
      <c r="B642" s="768">
        <v>41305</v>
      </c>
      <c r="C642" s="769" t="s">
        <v>571</v>
      </c>
      <c r="D642" s="442" t="s">
        <v>571</v>
      </c>
      <c r="E642" s="775" t="s">
        <v>380</v>
      </c>
      <c r="F642" s="435" t="s">
        <v>310</v>
      </c>
      <c r="G642" s="435" t="s">
        <v>342</v>
      </c>
      <c r="H642" s="442"/>
      <c r="I642" s="442"/>
      <c r="J642" s="442"/>
      <c r="K642" s="775"/>
      <c r="L642" s="776"/>
      <c r="M642" s="443">
        <v>242</v>
      </c>
      <c r="N642" s="443"/>
      <c r="O642" s="443"/>
      <c r="P642" s="776">
        <v>0</v>
      </c>
      <c r="Q642" s="443">
        <v>0</v>
      </c>
      <c r="R642" s="442"/>
      <c r="S642" s="442"/>
      <c r="T642" s="442"/>
      <c r="U642" s="442"/>
      <c r="V642" s="442"/>
      <c r="W642" s="442"/>
      <c r="X642" s="442"/>
      <c r="Y642" s="436">
        <f>IF(NFI_Expiration=1,IF($A642&lt;VLOOKUP(H$5,NFI,5,0),1,0)*Table_NFI[[#This Row],[Hygiene Kit]],Table_NFI[Hygiene Kit])</f>
        <v>0</v>
      </c>
      <c r="Z642" s="436">
        <f>IF(NFI_Expiration=1,IF($A642&lt;VLOOKUP(I$5,NFI,5,0),1,0)*Table_NFI[[#This Row],[NFI Core Kit]],Table_NFI[NFI Core Kit])</f>
        <v>0</v>
      </c>
      <c r="AA642" s="436">
        <f>IF(NFI_Expiration=1,IF($A642&lt;VLOOKUP(J$5,NFI,5,0),1,0)*Table_NFI[[#This Row],[Sanitary Kit]],Table_NFI[Sanitary Kit])</f>
        <v>0</v>
      </c>
      <c r="AB642" s="436">
        <f>IF(NFI_Expiration=1,IF($A642&lt;VLOOKUP(K$5,NFI,5,0),1,0)*Table_NFI[[#This Row],[Mosquito net]],Table_NFI[Mosquito net])</f>
        <v>0</v>
      </c>
      <c r="AC642" s="436">
        <f>IF(NFI_Expiration=1,IF($A642&lt;VLOOKUP(L$5,NFI,5,0),1,0)*Table_NFI[[#This Row],[Tarpaulin]],Table_NFI[[#This Row],[Tarpaulin]])</f>
        <v>0</v>
      </c>
      <c r="AD642" s="436">
        <f>IF(NFI_Expiration=1,IF($A642&lt;VLOOKUP(M$5,NFI,5,0),1,0)*Table_NFI[[#This Row],[Blanket]],Table_NFI[[#This Row],[Blanket]])</f>
        <v>0</v>
      </c>
      <c r="AE642" s="436">
        <f>IF(NFI_Expiration=1,IF($A642&lt;VLOOKUP(N$5,NFI,5,0),1,0)*Table_NFI[[#This Row],[Kitchen Set]],Table_NFI[Kitchen Set])</f>
        <v>0</v>
      </c>
      <c r="AF642" s="436">
        <f>IF(NFI_Expiration=1,IF($A642&lt;VLOOKUP(O$5,NFI,5,0),1,0)*Table_NFI[[#This Row],[Clothes Kit]],Table_NFI[Clothes Kit])</f>
        <v>0</v>
      </c>
      <c r="AG642" s="436">
        <f>IF(NFI_Expiration=1,IF($A642&lt;VLOOKUP(P$5,NFI,5,0),1,0)*Table_NFI[[#This Row],[Plastic Bucket]],Table_NFI[Plastic Bucket])</f>
        <v>0</v>
      </c>
      <c r="AH642" s="436">
        <f>IF(NFI_Expiration=1,IF($A642&lt;VLOOKUP(Q$5,NFI,5,0),1,0)*Table_NFI[[#This Row],[Plastic Mat]],Table_NFI[Plastic Mat])*IF(Table_NFI[[#This Row],[Distribution Date]]&gt;"2014-04-01",1,2.5)</f>
        <v>0</v>
      </c>
      <c r="AI642" s="436">
        <f>IF(NFI_Expiration=1,IF($A642&lt;VLOOKUP(R$5,NFI,5,0),1,0)*Table_NFI[[#This Row],[Winter Clothes Adult]],Table_NFI[Winter Clothes Adult])</f>
        <v>0</v>
      </c>
      <c r="AJ642" s="436">
        <f>IF(NFI_Expiration=1,IF($A642&lt;VLOOKUP(S$5,NFI,5,0),1,0)*Table_NFI[[#This Row],[Winter Clothes Children]],Table_NFI[Winter Clothes Children])</f>
        <v>0</v>
      </c>
      <c r="AK642" s="436">
        <f>IF(NFI_Expiration=1,IF($A642&lt;VLOOKUP(T$5,NFI,5,0),1,0)*Table_NFI[[#This Row],[Winter Items Other]],Table_NFI[Winter Items Other])</f>
        <v>0</v>
      </c>
      <c r="AL642" s="436">
        <f>IF(NFI_Expiration=1,IF($A642&lt;VLOOKUP(M$5,NFI,5,0),1,0)*Table_NFI[[#This Row],[Winter Blanket]],Table_NFI[[#This Row],[Winter Blanket]])</f>
        <v>0</v>
      </c>
      <c r="AM642" s="436">
        <f>IF(Table_NFI[[#This Row],[Winter Clothes Adult]]+Table_NFI[[#This Row],[Winter Clothes Children]]+Table_NFI[[#This Row],[Winter Items Other]]+Table_NFI[[#This Row],[Winter Blanket]]&gt;0,1,0)</f>
        <v>0</v>
      </c>
      <c r="AN642" s="439">
        <f>IF(NFI_Expiration=1,IF($A642&lt;VLOOKUP(V$5,NFI,5,0),1,0)*Table_NFI[[#This Row],[Jerry Can]],Table_NFI[Jerry Can])</f>
        <v>0</v>
      </c>
      <c r="AO642" s="771" t="str">
        <f>IFERROR(VLOOKUP(Table_NFI[[#This Row],[Camp Name]],CL,2,0),"")</f>
        <v>MMR001CMP025</v>
      </c>
      <c r="AP642" s="772">
        <f ca="1">IF(Table_NFI[[#This Row],[Pcode]]="","",IF(OFFSET(CampList[Opening Date],MATCH(Table_NFI[[#This Row],[Pcode]],CampList[CP_Pcode],0)-1,0,1,1)&gt;=NFI_Monitor_Date,1,0))</f>
        <v>0</v>
      </c>
      <c r="AQ642" s="771" t="str">
        <f>IFERROR(VLOOKUP(Table_NFI[[#This Row],[Camp Name]],CL,3,0),"")</f>
        <v>Open</v>
      </c>
      <c r="AR642" s="436" t="str">
        <f ca="1">IF(Table_NFI[[#This Row],[Pcode]]="","",OFFSET(CampList[Priority],MATCH(Table_NFI[[#This Row],[Pcode]],CampList[CP_Pcode],0)-1,0,1,1))</f>
        <v>P4</v>
      </c>
      <c r="AS642" s="438">
        <f>IFERROR(Table_NFI[[#This Row],[Kitchen Set]]/VLOOKUP(Table_NFI[[#This Row],[Camp Name]],CL,4,0),"")</f>
        <v>0</v>
      </c>
      <c r="AT642" s="769" t="s">
        <v>1099</v>
      </c>
      <c r="AU642" s="773"/>
    </row>
    <row r="643" spans="1:47" x14ac:dyDescent="0.25">
      <c r="A643" s="451">
        <f t="shared" si="9"/>
        <v>35.5</v>
      </c>
      <c r="B643" s="768">
        <v>41305</v>
      </c>
      <c r="C643" s="769" t="s">
        <v>571</v>
      </c>
      <c r="D643" s="442" t="s">
        <v>571</v>
      </c>
      <c r="E643" s="775" t="s">
        <v>380</v>
      </c>
      <c r="F643" s="435" t="s">
        <v>310</v>
      </c>
      <c r="G643" s="435" t="s">
        <v>338</v>
      </c>
      <c r="H643" s="442"/>
      <c r="I643" s="442"/>
      <c r="J643" s="442"/>
      <c r="K643" s="775"/>
      <c r="L643" s="776"/>
      <c r="M643" s="443">
        <v>54</v>
      </c>
      <c r="N643" s="443"/>
      <c r="O643" s="443"/>
      <c r="P643" s="776">
        <v>0</v>
      </c>
      <c r="Q643" s="443">
        <v>0</v>
      </c>
      <c r="R643" s="442"/>
      <c r="S643" s="442"/>
      <c r="T643" s="442"/>
      <c r="U643" s="442"/>
      <c r="V643" s="442"/>
      <c r="W643" s="442"/>
      <c r="X643" s="442"/>
      <c r="Y643" s="436">
        <f>IF(NFI_Expiration=1,IF($A643&lt;VLOOKUP(H$5,NFI,5,0),1,0)*Table_NFI[[#This Row],[Hygiene Kit]],Table_NFI[Hygiene Kit])</f>
        <v>0</v>
      </c>
      <c r="Z643" s="436">
        <f>IF(NFI_Expiration=1,IF($A643&lt;VLOOKUP(I$5,NFI,5,0),1,0)*Table_NFI[[#This Row],[NFI Core Kit]],Table_NFI[NFI Core Kit])</f>
        <v>0</v>
      </c>
      <c r="AA643" s="436">
        <f>IF(NFI_Expiration=1,IF($A643&lt;VLOOKUP(J$5,NFI,5,0),1,0)*Table_NFI[[#This Row],[Sanitary Kit]],Table_NFI[Sanitary Kit])</f>
        <v>0</v>
      </c>
      <c r="AB643" s="436">
        <f>IF(NFI_Expiration=1,IF($A643&lt;VLOOKUP(K$5,NFI,5,0),1,0)*Table_NFI[[#This Row],[Mosquito net]],Table_NFI[Mosquito net])</f>
        <v>0</v>
      </c>
      <c r="AC643" s="436">
        <f>IF(NFI_Expiration=1,IF($A643&lt;VLOOKUP(L$5,NFI,5,0),1,0)*Table_NFI[[#This Row],[Tarpaulin]],Table_NFI[[#This Row],[Tarpaulin]])</f>
        <v>0</v>
      </c>
      <c r="AD643" s="436">
        <f>IF(NFI_Expiration=1,IF($A643&lt;VLOOKUP(M$5,NFI,5,0),1,0)*Table_NFI[[#This Row],[Blanket]],Table_NFI[[#This Row],[Blanket]])</f>
        <v>0</v>
      </c>
      <c r="AE643" s="436">
        <f>IF(NFI_Expiration=1,IF($A643&lt;VLOOKUP(N$5,NFI,5,0),1,0)*Table_NFI[[#This Row],[Kitchen Set]],Table_NFI[Kitchen Set])</f>
        <v>0</v>
      </c>
      <c r="AF643" s="436">
        <f>IF(NFI_Expiration=1,IF($A643&lt;VLOOKUP(O$5,NFI,5,0),1,0)*Table_NFI[[#This Row],[Clothes Kit]],Table_NFI[Clothes Kit])</f>
        <v>0</v>
      </c>
      <c r="AG643" s="436">
        <f>IF(NFI_Expiration=1,IF($A643&lt;VLOOKUP(P$5,NFI,5,0),1,0)*Table_NFI[[#This Row],[Plastic Bucket]],Table_NFI[Plastic Bucket])</f>
        <v>0</v>
      </c>
      <c r="AH643" s="436">
        <f>IF(NFI_Expiration=1,IF($A643&lt;VLOOKUP(Q$5,NFI,5,0),1,0)*Table_NFI[[#This Row],[Plastic Mat]],Table_NFI[Plastic Mat])*IF(Table_NFI[[#This Row],[Distribution Date]]&gt;"2014-04-01",1,2.5)</f>
        <v>0</v>
      </c>
      <c r="AI643" s="436">
        <f>IF(NFI_Expiration=1,IF($A643&lt;VLOOKUP(R$5,NFI,5,0),1,0)*Table_NFI[[#This Row],[Winter Clothes Adult]],Table_NFI[Winter Clothes Adult])</f>
        <v>0</v>
      </c>
      <c r="AJ643" s="436">
        <f>IF(NFI_Expiration=1,IF($A643&lt;VLOOKUP(S$5,NFI,5,0),1,0)*Table_NFI[[#This Row],[Winter Clothes Children]],Table_NFI[Winter Clothes Children])</f>
        <v>0</v>
      </c>
      <c r="AK643" s="436">
        <f>IF(NFI_Expiration=1,IF($A643&lt;VLOOKUP(T$5,NFI,5,0),1,0)*Table_NFI[[#This Row],[Winter Items Other]],Table_NFI[Winter Items Other])</f>
        <v>0</v>
      </c>
      <c r="AL643" s="436">
        <f>IF(NFI_Expiration=1,IF($A643&lt;VLOOKUP(M$5,NFI,5,0),1,0)*Table_NFI[[#This Row],[Winter Blanket]],Table_NFI[[#This Row],[Winter Blanket]])</f>
        <v>0</v>
      </c>
      <c r="AM643" s="436">
        <f>IF(Table_NFI[[#This Row],[Winter Clothes Adult]]+Table_NFI[[#This Row],[Winter Clothes Children]]+Table_NFI[[#This Row],[Winter Items Other]]+Table_NFI[[#This Row],[Winter Blanket]]&gt;0,1,0)</f>
        <v>0</v>
      </c>
      <c r="AN643" s="439">
        <f>IF(NFI_Expiration=1,IF($A643&lt;VLOOKUP(V$5,NFI,5,0),1,0)*Table_NFI[[#This Row],[Jerry Can]],Table_NFI[Jerry Can])</f>
        <v>0</v>
      </c>
      <c r="AO643" s="771" t="str">
        <f>IFERROR(VLOOKUP(Table_NFI[[#This Row],[Camp Name]],CL,2,0),"")</f>
        <v>MMR001CMP030</v>
      </c>
      <c r="AP643" s="772">
        <f ca="1">IF(Table_NFI[[#This Row],[Pcode]]="","",IF(OFFSET(CampList[Opening Date],MATCH(Table_NFI[[#This Row],[Pcode]],CampList[CP_Pcode],0)-1,0,1,1)&gt;=NFI_Monitor_Date,1,0))</f>
        <v>0</v>
      </c>
      <c r="AQ643" s="771" t="str">
        <f>IFERROR(VLOOKUP(Table_NFI[[#This Row],[Camp Name]],CL,3,0),"")</f>
        <v>Open</v>
      </c>
      <c r="AR643" s="436" t="str">
        <f ca="1">IF(Table_NFI[[#This Row],[Pcode]]="","",OFFSET(CampList[Priority],MATCH(Table_NFI[[#This Row],[Pcode]],CampList[CP_Pcode],0)-1,0,1,1))</f>
        <v>P4</v>
      </c>
      <c r="AS643" s="438">
        <f>IFERROR(Table_NFI[[#This Row],[Kitchen Set]]/VLOOKUP(Table_NFI[[#This Row],[Camp Name]],CL,4,0),"")</f>
        <v>0</v>
      </c>
      <c r="AT643" s="769" t="s">
        <v>1099</v>
      </c>
      <c r="AU643" s="773"/>
    </row>
    <row r="644" spans="1:47" ht="16.149999999999999" customHeight="1" x14ac:dyDescent="0.25">
      <c r="A644" s="451">
        <f t="shared" si="9"/>
        <v>35.5</v>
      </c>
      <c r="B644" s="768">
        <v>41305</v>
      </c>
      <c r="C644" s="769" t="s">
        <v>571</v>
      </c>
      <c r="D644" s="442" t="s">
        <v>571</v>
      </c>
      <c r="E644" s="775" t="s">
        <v>380</v>
      </c>
      <c r="F644" s="435" t="s">
        <v>310</v>
      </c>
      <c r="G644" s="435" t="s">
        <v>351</v>
      </c>
      <c r="H644" s="442"/>
      <c r="I644" s="442"/>
      <c r="J644" s="442"/>
      <c r="K644" s="775"/>
      <c r="L644" s="776"/>
      <c r="M644" s="443">
        <v>188</v>
      </c>
      <c r="N644" s="443"/>
      <c r="O644" s="443"/>
      <c r="P644" s="776">
        <v>0</v>
      </c>
      <c r="Q644" s="443">
        <v>0</v>
      </c>
      <c r="R644" s="442"/>
      <c r="S644" s="442"/>
      <c r="T644" s="442"/>
      <c r="U644" s="442"/>
      <c r="V644" s="442"/>
      <c r="W644" s="442"/>
      <c r="X644" s="442"/>
      <c r="Y644" s="436">
        <f>IF(NFI_Expiration=1,IF($A644&lt;VLOOKUP(H$5,NFI,5,0),1,0)*Table_NFI[[#This Row],[Hygiene Kit]],Table_NFI[Hygiene Kit])</f>
        <v>0</v>
      </c>
      <c r="Z644" s="436">
        <f>IF(NFI_Expiration=1,IF($A644&lt;VLOOKUP(I$5,NFI,5,0),1,0)*Table_NFI[[#This Row],[NFI Core Kit]],Table_NFI[NFI Core Kit])</f>
        <v>0</v>
      </c>
      <c r="AA644" s="436">
        <f>IF(NFI_Expiration=1,IF($A644&lt;VLOOKUP(J$5,NFI,5,0),1,0)*Table_NFI[[#This Row],[Sanitary Kit]],Table_NFI[Sanitary Kit])</f>
        <v>0</v>
      </c>
      <c r="AB644" s="436">
        <f>IF(NFI_Expiration=1,IF($A644&lt;VLOOKUP(K$5,NFI,5,0),1,0)*Table_NFI[[#This Row],[Mosquito net]],Table_NFI[Mosquito net])</f>
        <v>0</v>
      </c>
      <c r="AC644" s="436">
        <f>IF(NFI_Expiration=1,IF($A644&lt;VLOOKUP(L$5,NFI,5,0),1,0)*Table_NFI[[#This Row],[Tarpaulin]],Table_NFI[[#This Row],[Tarpaulin]])</f>
        <v>0</v>
      </c>
      <c r="AD644" s="436">
        <f>IF(NFI_Expiration=1,IF($A644&lt;VLOOKUP(M$5,NFI,5,0),1,0)*Table_NFI[[#This Row],[Blanket]],Table_NFI[[#This Row],[Blanket]])</f>
        <v>0</v>
      </c>
      <c r="AE644" s="436">
        <f>IF(NFI_Expiration=1,IF($A644&lt;VLOOKUP(N$5,NFI,5,0),1,0)*Table_NFI[[#This Row],[Kitchen Set]],Table_NFI[Kitchen Set])</f>
        <v>0</v>
      </c>
      <c r="AF644" s="436">
        <f>IF(NFI_Expiration=1,IF($A644&lt;VLOOKUP(O$5,NFI,5,0),1,0)*Table_NFI[[#This Row],[Clothes Kit]],Table_NFI[Clothes Kit])</f>
        <v>0</v>
      </c>
      <c r="AG644" s="436">
        <f>IF(NFI_Expiration=1,IF($A644&lt;VLOOKUP(P$5,NFI,5,0),1,0)*Table_NFI[[#This Row],[Plastic Bucket]],Table_NFI[Plastic Bucket])</f>
        <v>0</v>
      </c>
      <c r="AH644" s="436">
        <f>IF(NFI_Expiration=1,IF($A644&lt;VLOOKUP(Q$5,NFI,5,0),1,0)*Table_NFI[[#This Row],[Plastic Mat]],Table_NFI[Plastic Mat])*IF(Table_NFI[[#This Row],[Distribution Date]]&gt;"2014-04-01",1,2.5)</f>
        <v>0</v>
      </c>
      <c r="AI644" s="436">
        <f>IF(NFI_Expiration=1,IF($A644&lt;VLOOKUP(R$5,NFI,5,0),1,0)*Table_NFI[[#This Row],[Winter Clothes Adult]],Table_NFI[Winter Clothes Adult])</f>
        <v>0</v>
      </c>
      <c r="AJ644" s="436">
        <f>IF(NFI_Expiration=1,IF($A644&lt;VLOOKUP(S$5,NFI,5,0),1,0)*Table_NFI[[#This Row],[Winter Clothes Children]],Table_NFI[Winter Clothes Children])</f>
        <v>0</v>
      </c>
      <c r="AK644" s="436">
        <f>IF(NFI_Expiration=1,IF($A644&lt;VLOOKUP(T$5,NFI,5,0),1,0)*Table_NFI[[#This Row],[Winter Items Other]],Table_NFI[Winter Items Other])</f>
        <v>0</v>
      </c>
      <c r="AL644" s="436">
        <f>IF(NFI_Expiration=1,IF($A644&lt;VLOOKUP(M$5,NFI,5,0),1,0)*Table_NFI[[#This Row],[Winter Blanket]],Table_NFI[[#This Row],[Winter Blanket]])</f>
        <v>0</v>
      </c>
      <c r="AM644" s="436">
        <f>IF(Table_NFI[[#This Row],[Winter Clothes Adult]]+Table_NFI[[#This Row],[Winter Clothes Children]]+Table_NFI[[#This Row],[Winter Items Other]]+Table_NFI[[#This Row],[Winter Blanket]]&gt;0,1,0)</f>
        <v>0</v>
      </c>
      <c r="AN644" s="439">
        <f>IF(NFI_Expiration=1,IF($A644&lt;VLOOKUP(V$5,NFI,5,0),1,0)*Table_NFI[[#This Row],[Jerry Can]],Table_NFI[Jerry Can])</f>
        <v>0</v>
      </c>
      <c r="AO644" s="771" t="str">
        <f>IFERROR(VLOOKUP(Table_NFI[[#This Row],[Camp Name]],CL,2,0),"")</f>
        <v>MMR001CMP026</v>
      </c>
      <c r="AP644" s="772">
        <f ca="1">IF(Table_NFI[[#This Row],[Pcode]]="","",IF(OFFSET(CampList[Opening Date],MATCH(Table_NFI[[#This Row],[Pcode]],CampList[CP_Pcode],0)-1,0,1,1)&gt;=NFI_Monitor_Date,1,0))</f>
        <v>0</v>
      </c>
      <c r="AQ644" s="771" t="str">
        <f>IFERROR(VLOOKUP(Table_NFI[[#This Row],[Camp Name]],CL,3,0),"")</f>
        <v>Open</v>
      </c>
      <c r="AR644" s="436" t="str">
        <f ca="1">IF(Table_NFI[[#This Row],[Pcode]]="","",OFFSET(CampList[Priority],MATCH(Table_NFI[[#This Row],[Pcode]],CampList[CP_Pcode],0)-1,0,1,1))</f>
        <v>P4</v>
      </c>
      <c r="AS644" s="438">
        <f>IFERROR(Table_NFI[[#This Row],[Kitchen Set]]/VLOOKUP(Table_NFI[[#This Row],[Camp Name]],CL,4,0),"")</f>
        <v>0</v>
      </c>
      <c r="AT644" s="769" t="s">
        <v>1099</v>
      </c>
      <c r="AU644" s="773"/>
    </row>
    <row r="645" spans="1:47" ht="13.9" customHeight="1" x14ac:dyDescent="0.25">
      <c r="A645" s="451">
        <f t="shared" si="9"/>
        <v>35.5</v>
      </c>
      <c r="B645" s="768">
        <v>41305</v>
      </c>
      <c r="C645" s="769" t="s">
        <v>571</v>
      </c>
      <c r="D645" s="442" t="s">
        <v>571</v>
      </c>
      <c r="E645" s="775" t="s">
        <v>380</v>
      </c>
      <c r="F645" s="435" t="s">
        <v>310</v>
      </c>
      <c r="G645" s="435" t="s">
        <v>347</v>
      </c>
      <c r="H645" s="442"/>
      <c r="I645" s="442"/>
      <c r="J645" s="442"/>
      <c r="K645" s="775"/>
      <c r="L645" s="776"/>
      <c r="M645" s="443">
        <v>358</v>
      </c>
      <c r="N645" s="443"/>
      <c r="O645" s="443"/>
      <c r="P645" s="776">
        <v>0</v>
      </c>
      <c r="Q645" s="443">
        <v>0</v>
      </c>
      <c r="R645" s="442"/>
      <c r="S645" s="442"/>
      <c r="T645" s="442"/>
      <c r="U645" s="442"/>
      <c r="V645" s="442"/>
      <c r="W645" s="442"/>
      <c r="X645" s="442"/>
      <c r="Y645" s="436">
        <f>IF(NFI_Expiration=1,IF($A645&lt;VLOOKUP(H$5,NFI,5,0),1,0)*Table_NFI[[#This Row],[Hygiene Kit]],Table_NFI[Hygiene Kit])</f>
        <v>0</v>
      </c>
      <c r="Z645" s="436">
        <f>IF(NFI_Expiration=1,IF($A645&lt;VLOOKUP(I$5,NFI,5,0),1,0)*Table_NFI[[#This Row],[NFI Core Kit]],Table_NFI[NFI Core Kit])</f>
        <v>0</v>
      </c>
      <c r="AA645" s="436">
        <f>IF(NFI_Expiration=1,IF($A645&lt;VLOOKUP(J$5,NFI,5,0),1,0)*Table_NFI[[#This Row],[Sanitary Kit]],Table_NFI[Sanitary Kit])</f>
        <v>0</v>
      </c>
      <c r="AB645" s="436">
        <f>IF(NFI_Expiration=1,IF($A645&lt;VLOOKUP(K$5,NFI,5,0),1,0)*Table_NFI[[#This Row],[Mosquito net]],Table_NFI[Mosquito net])</f>
        <v>0</v>
      </c>
      <c r="AC645" s="436">
        <f>IF(NFI_Expiration=1,IF($A645&lt;VLOOKUP(L$5,NFI,5,0),1,0)*Table_NFI[[#This Row],[Tarpaulin]],Table_NFI[[#This Row],[Tarpaulin]])</f>
        <v>0</v>
      </c>
      <c r="AD645" s="436">
        <f>IF(NFI_Expiration=1,IF($A645&lt;VLOOKUP(M$5,NFI,5,0),1,0)*Table_NFI[[#This Row],[Blanket]],Table_NFI[[#This Row],[Blanket]])</f>
        <v>0</v>
      </c>
      <c r="AE645" s="436">
        <f>IF(NFI_Expiration=1,IF($A645&lt;VLOOKUP(N$5,NFI,5,0),1,0)*Table_NFI[[#This Row],[Kitchen Set]],Table_NFI[Kitchen Set])</f>
        <v>0</v>
      </c>
      <c r="AF645" s="436">
        <f>IF(NFI_Expiration=1,IF($A645&lt;VLOOKUP(O$5,NFI,5,0),1,0)*Table_NFI[[#This Row],[Clothes Kit]],Table_NFI[Clothes Kit])</f>
        <v>0</v>
      </c>
      <c r="AG645" s="436">
        <f>IF(NFI_Expiration=1,IF($A645&lt;VLOOKUP(P$5,NFI,5,0),1,0)*Table_NFI[[#This Row],[Plastic Bucket]],Table_NFI[Plastic Bucket])</f>
        <v>0</v>
      </c>
      <c r="AH645" s="436">
        <f>IF(NFI_Expiration=1,IF($A645&lt;VLOOKUP(Q$5,NFI,5,0),1,0)*Table_NFI[[#This Row],[Plastic Mat]],Table_NFI[Plastic Mat])*IF(Table_NFI[[#This Row],[Distribution Date]]&gt;"2014-04-01",1,2.5)</f>
        <v>0</v>
      </c>
      <c r="AI645" s="436">
        <f>IF(NFI_Expiration=1,IF($A645&lt;VLOOKUP(R$5,NFI,5,0),1,0)*Table_NFI[[#This Row],[Winter Clothes Adult]],Table_NFI[Winter Clothes Adult])</f>
        <v>0</v>
      </c>
      <c r="AJ645" s="436">
        <f>IF(NFI_Expiration=1,IF($A645&lt;VLOOKUP(S$5,NFI,5,0),1,0)*Table_NFI[[#This Row],[Winter Clothes Children]],Table_NFI[Winter Clothes Children])</f>
        <v>0</v>
      </c>
      <c r="AK645" s="436">
        <f>IF(NFI_Expiration=1,IF($A645&lt;VLOOKUP(T$5,NFI,5,0),1,0)*Table_NFI[[#This Row],[Winter Items Other]],Table_NFI[Winter Items Other])</f>
        <v>0</v>
      </c>
      <c r="AL645" s="436">
        <f>IF(NFI_Expiration=1,IF($A645&lt;VLOOKUP(M$5,NFI,5,0),1,0)*Table_NFI[[#This Row],[Winter Blanket]],Table_NFI[[#This Row],[Winter Blanket]])</f>
        <v>0</v>
      </c>
      <c r="AM645" s="436">
        <f>IF(Table_NFI[[#This Row],[Winter Clothes Adult]]+Table_NFI[[#This Row],[Winter Clothes Children]]+Table_NFI[[#This Row],[Winter Items Other]]+Table_NFI[[#This Row],[Winter Blanket]]&gt;0,1,0)</f>
        <v>0</v>
      </c>
      <c r="AN645" s="439">
        <f>IF(NFI_Expiration=1,IF($A645&lt;VLOOKUP(V$5,NFI,5,0),1,0)*Table_NFI[[#This Row],[Jerry Can]],Table_NFI[Jerry Can])</f>
        <v>0</v>
      </c>
      <c r="AO645" s="771" t="str">
        <f>IFERROR(VLOOKUP(Table_NFI[[#This Row],[Camp Name]],CL,2,0),"")</f>
        <v>MMR001CMP041</v>
      </c>
      <c r="AP645" s="772">
        <f ca="1">IF(Table_NFI[[#This Row],[Pcode]]="","",IF(OFFSET(CampList[Opening Date],MATCH(Table_NFI[[#This Row],[Pcode]],CampList[CP_Pcode],0)-1,0,1,1)&gt;=NFI_Monitor_Date,1,0))</f>
        <v>0</v>
      </c>
      <c r="AQ645" s="771" t="str">
        <f>IFERROR(VLOOKUP(Table_NFI[[#This Row],[Camp Name]],CL,3,0),"")</f>
        <v>Open</v>
      </c>
      <c r="AR645" s="436" t="str">
        <f ca="1">IF(Table_NFI[[#This Row],[Pcode]]="","",OFFSET(CampList[Priority],MATCH(Table_NFI[[#This Row],[Pcode]],CampList[CP_Pcode],0)-1,0,1,1))</f>
        <v>P1</v>
      </c>
      <c r="AS645" s="438">
        <f>IFERROR(Table_NFI[[#This Row],[Kitchen Set]]/VLOOKUP(Table_NFI[[#This Row],[Camp Name]],CL,4,0),"")</f>
        <v>0</v>
      </c>
      <c r="AT645" s="769" t="s">
        <v>1099</v>
      </c>
      <c r="AU645" s="773"/>
    </row>
    <row r="646" spans="1:47" x14ac:dyDescent="0.25">
      <c r="A646" s="451">
        <f t="shared" ref="A646:A709" si="10">IF(ISBLANK(B646),"",(Report_Date-B646)/30)</f>
        <v>35.5</v>
      </c>
      <c r="B646" s="768">
        <v>41305</v>
      </c>
      <c r="C646" s="769" t="s">
        <v>571</v>
      </c>
      <c r="D646" s="442" t="s">
        <v>571</v>
      </c>
      <c r="E646" s="769" t="s">
        <v>380</v>
      </c>
      <c r="F646" s="435" t="s">
        <v>310</v>
      </c>
      <c r="G646" s="435" t="s">
        <v>349</v>
      </c>
      <c r="H646" s="442"/>
      <c r="I646" s="442"/>
      <c r="J646" s="442"/>
      <c r="K646" s="775"/>
      <c r="L646" s="776"/>
      <c r="M646" s="443">
        <v>122</v>
      </c>
      <c r="N646" s="443"/>
      <c r="O646" s="443"/>
      <c r="P646" s="776">
        <v>0</v>
      </c>
      <c r="Q646" s="443">
        <v>0</v>
      </c>
      <c r="R646" s="442"/>
      <c r="S646" s="442"/>
      <c r="T646" s="442"/>
      <c r="U646" s="442"/>
      <c r="V646" s="442"/>
      <c r="W646" s="442"/>
      <c r="X646" s="442"/>
      <c r="Y646" s="436">
        <f>IF(NFI_Expiration=1,IF($A646&lt;VLOOKUP(H$5,NFI,5,0),1,0)*Table_NFI[[#This Row],[Hygiene Kit]],Table_NFI[Hygiene Kit])</f>
        <v>0</v>
      </c>
      <c r="Z646" s="436">
        <f>IF(NFI_Expiration=1,IF($A646&lt;VLOOKUP(I$5,NFI,5,0),1,0)*Table_NFI[[#This Row],[NFI Core Kit]],Table_NFI[NFI Core Kit])</f>
        <v>0</v>
      </c>
      <c r="AA646" s="436">
        <f>IF(NFI_Expiration=1,IF($A646&lt;VLOOKUP(J$5,NFI,5,0),1,0)*Table_NFI[[#This Row],[Sanitary Kit]],Table_NFI[Sanitary Kit])</f>
        <v>0</v>
      </c>
      <c r="AB646" s="436">
        <f>IF(NFI_Expiration=1,IF($A646&lt;VLOOKUP(K$5,NFI,5,0),1,0)*Table_NFI[[#This Row],[Mosquito net]],Table_NFI[Mosquito net])</f>
        <v>0</v>
      </c>
      <c r="AC646" s="436">
        <f>IF(NFI_Expiration=1,IF($A646&lt;VLOOKUP(L$5,NFI,5,0),1,0)*Table_NFI[[#This Row],[Tarpaulin]],Table_NFI[[#This Row],[Tarpaulin]])</f>
        <v>0</v>
      </c>
      <c r="AD646" s="436">
        <f>IF(NFI_Expiration=1,IF($A646&lt;VLOOKUP(M$5,NFI,5,0),1,0)*Table_NFI[[#This Row],[Blanket]],Table_NFI[[#This Row],[Blanket]])</f>
        <v>0</v>
      </c>
      <c r="AE646" s="436">
        <f>IF(NFI_Expiration=1,IF($A646&lt;VLOOKUP(N$5,NFI,5,0),1,0)*Table_NFI[[#This Row],[Kitchen Set]],Table_NFI[Kitchen Set])</f>
        <v>0</v>
      </c>
      <c r="AF646" s="436">
        <f>IF(NFI_Expiration=1,IF($A646&lt;VLOOKUP(O$5,NFI,5,0),1,0)*Table_NFI[[#This Row],[Clothes Kit]],Table_NFI[Clothes Kit])</f>
        <v>0</v>
      </c>
      <c r="AG646" s="436">
        <f>IF(NFI_Expiration=1,IF($A646&lt;VLOOKUP(P$5,NFI,5,0),1,0)*Table_NFI[[#This Row],[Plastic Bucket]],Table_NFI[Plastic Bucket])</f>
        <v>0</v>
      </c>
      <c r="AH646" s="436">
        <f>IF(NFI_Expiration=1,IF($A646&lt;VLOOKUP(Q$5,NFI,5,0),1,0)*Table_NFI[[#This Row],[Plastic Mat]],Table_NFI[Plastic Mat])*IF(Table_NFI[[#This Row],[Distribution Date]]&gt;"2014-04-01",1,2.5)</f>
        <v>0</v>
      </c>
      <c r="AI646" s="436">
        <f>IF(NFI_Expiration=1,IF($A646&lt;VLOOKUP(R$5,NFI,5,0),1,0)*Table_NFI[[#This Row],[Winter Clothes Adult]],Table_NFI[Winter Clothes Adult])</f>
        <v>0</v>
      </c>
      <c r="AJ646" s="436">
        <f>IF(NFI_Expiration=1,IF($A646&lt;VLOOKUP(S$5,NFI,5,0),1,0)*Table_NFI[[#This Row],[Winter Clothes Children]],Table_NFI[Winter Clothes Children])</f>
        <v>0</v>
      </c>
      <c r="AK646" s="436">
        <f>IF(NFI_Expiration=1,IF($A646&lt;VLOOKUP(T$5,NFI,5,0),1,0)*Table_NFI[[#This Row],[Winter Items Other]],Table_NFI[Winter Items Other])</f>
        <v>0</v>
      </c>
      <c r="AL646" s="436">
        <f>IF(NFI_Expiration=1,IF($A646&lt;VLOOKUP(M$5,NFI,5,0),1,0)*Table_NFI[[#This Row],[Winter Blanket]],Table_NFI[[#This Row],[Winter Blanket]])</f>
        <v>0</v>
      </c>
      <c r="AM646" s="436">
        <f>IF(Table_NFI[[#This Row],[Winter Clothes Adult]]+Table_NFI[[#This Row],[Winter Clothes Children]]+Table_NFI[[#This Row],[Winter Items Other]]+Table_NFI[[#This Row],[Winter Blanket]]&gt;0,1,0)</f>
        <v>0</v>
      </c>
      <c r="AN646" s="439">
        <f>IF(NFI_Expiration=1,IF($A646&lt;VLOOKUP(V$5,NFI,5,0),1,0)*Table_NFI[[#This Row],[Jerry Can]],Table_NFI[Jerry Can])</f>
        <v>0</v>
      </c>
      <c r="AO646" s="771" t="str">
        <f>IFERROR(VLOOKUP(Table_NFI[[#This Row],[Camp Name]],CL,2,0),"")</f>
        <v>MMR001CMP037</v>
      </c>
      <c r="AP646" s="772">
        <f ca="1">IF(Table_NFI[[#This Row],[Pcode]]="","",IF(OFFSET(CampList[Opening Date],MATCH(Table_NFI[[#This Row],[Pcode]],CampList[CP_Pcode],0)-1,0,1,1)&gt;=NFI_Monitor_Date,1,0))</f>
        <v>0</v>
      </c>
      <c r="AQ646" s="771" t="str">
        <f>IFERROR(VLOOKUP(Table_NFI[[#This Row],[Camp Name]],CL,3,0),"")</f>
        <v>Open</v>
      </c>
      <c r="AR646" s="436" t="str">
        <f ca="1">IF(Table_NFI[[#This Row],[Pcode]]="","",OFFSET(CampList[Priority],MATCH(Table_NFI[[#This Row],[Pcode]],CampList[CP_Pcode],0)-1,0,1,1))</f>
        <v>P4</v>
      </c>
      <c r="AS646" s="438">
        <f>IFERROR(Table_NFI[[#This Row],[Kitchen Set]]/VLOOKUP(Table_NFI[[#This Row],[Camp Name]],CL,4,0),"")</f>
        <v>0</v>
      </c>
      <c r="AT646" s="769" t="s">
        <v>1099</v>
      </c>
      <c r="AU646" s="773"/>
    </row>
    <row r="647" spans="1:47" x14ac:dyDescent="0.25">
      <c r="A647" s="451">
        <f t="shared" si="10"/>
        <v>35.5</v>
      </c>
      <c r="B647" s="768">
        <v>41305</v>
      </c>
      <c r="C647" s="769" t="s">
        <v>571</v>
      </c>
      <c r="D647" s="442" t="s">
        <v>571</v>
      </c>
      <c r="E647" s="775" t="s">
        <v>380</v>
      </c>
      <c r="F647" s="435" t="s">
        <v>310</v>
      </c>
      <c r="G647" s="435" t="s">
        <v>316</v>
      </c>
      <c r="H647" s="442"/>
      <c r="I647" s="442"/>
      <c r="J647" s="442"/>
      <c r="K647" s="775"/>
      <c r="L647" s="776"/>
      <c r="M647" s="443">
        <v>104</v>
      </c>
      <c r="N647" s="443"/>
      <c r="O647" s="443"/>
      <c r="P647" s="776">
        <v>0</v>
      </c>
      <c r="Q647" s="443">
        <v>0</v>
      </c>
      <c r="R647" s="442"/>
      <c r="S647" s="442"/>
      <c r="T647" s="442"/>
      <c r="U647" s="442"/>
      <c r="V647" s="442"/>
      <c r="W647" s="442"/>
      <c r="X647" s="442"/>
      <c r="Y647" s="436">
        <f>IF(NFI_Expiration=1,IF($A647&lt;VLOOKUP(H$5,NFI,5,0),1,0)*Table_NFI[[#This Row],[Hygiene Kit]],Table_NFI[Hygiene Kit])</f>
        <v>0</v>
      </c>
      <c r="Z647" s="436">
        <f>IF(NFI_Expiration=1,IF($A647&lt;VLOOKUP(I$5,NFI,5,0),1,0)*Table_NFI[[#This Row],[NFI Core Kit]],Table_NFI[NFI Core Kit])</f>
        <v>0</v>
      </c>
      <c r="AA647" s="436">
        <f>IF(NFI_Expiration=1,IF($A647&lt;VLOOKUP(J$5,NFI,5,0),1,0)*Table_NFI[[#This Row],[Sanitary Kit]],Table_NFI[Sanitary Kit])</f>
        <v>0</v>
      </c>
      <c r="AB647" s="436">
        <f>IF(NFI_Expiration=1,IF($A647&lt;VLOOKUP(K$5,NFI,5,0),1,0)*Table_NFI[[#This Row],[Mosquito net]],Table_NFI[Mosquito net])</f>
        <v>0</v>
      </c>
      <c r="AC647" s="436">
        <f>IF(NFI_Expiration=1,IF($A647&lt;VLOOKUP(L$5,NFI,5,0),1,0)*Table_NFI[[#This Row],[Tarpaulin]],Table_NFI[[#This Row],[Tarpaulin]])</f>
        <v>0</v>
      </c>
      <c r="AD647" s="436">
        <f>IF(NFI_Expiration=1,IF($A647&lt;VLOOKUP(M$5,NFI,5,0),1,0)*Table_NFI[[#This Row],[Blanket]],Table_NFI[[#This Row],[Blanket]])</f>
        <v>0</v>
      </c>
      <c r="AE647" s="436">
        <f>IF(NFI_Expiration=1,IF($A647&lt;VLOOKUP(N$5,NFI,5,0),1,0)*Table_NFI[[#This Row],[Kitchen Set]],Table_NFI[Kitchen Set])</f>
        <v>0</v>
      </c>
      <c r="AF647" s="436">
        <f>IF(NFI_Expiration=1,IF($A647&lt;VLOOKUP(O$5,NFI,5,0),1,0)*Table_NFI[[#This Row],[Clothes Kit]],Table_NFI[Clothes Kit])</f>
        <v>0</v>
      </c>
      <c r="AG647" s="436">
        <f>IF(NFI_Expiration=1,IF($A647&lt;VLOOKUP(P$5,NFI,5,0),1,0)*Table_NFI[[#This Row],[Plastic Bucket]],Table_NFI[Plastic Bucket])</f>
        <v>0</v>
      </c>
      <c r="AH647" s="436">
        <f>IF(NFI_Expiration=1,IF($A647&lt;VLOOKUP(Q$5,NFI,5,0),1,0)*Table_NFI[[#This Row],[Plastic Mat]],Table_NFI[Plastic Mat])*IF(Table_NFI[[#This Row],[Distribution Date]]&gt;"2014-04-01",1,2.5)</f>
        <v>0</v>
      </c>
      <c r="AI647" s="436">
        <f>IF(NFI_Expiration=1,IF($A647&lt;VLOOKUP(R$5,NFI,5,0),1,0)*Table_NFI[[#This Row],[Winter Clothes Adult]],Table_NFI[Winter Clothes Adult])</f>
        <v>0</v>
      </c>
      <c r="AJ647" s="436">
        <f>IF(NFI_Expiration=1,IF($A647&lt;VLOOKUP(S$5,NFI,5,0),1,0)*Table_NFI[[#This Row],[Winter Clothes Children]],Table_NFI[Winter Clothes Children])</f>
        <v>0</v>
      </c>
      <c r="AK647" s="436">
        <f>IF(NFI_Expiration=1,IF($A647&lt;VLOOKUP(T$5,NFI,5,0),1,0)*Table_NFI[[#This Row],[Winter Items Other]],Table_NFI[Winter Items Other])</f>
        <v>0</v>
      </c>
      <c r="AL647" s="436">
        <f>IF(NFI_Expiration=1,IF($A647&lt;VLOOKUP(M$5,NFI,5,0),1,0)*Table_NFI[[#This Row],[Winter Blanket]],Table_NFI[[#This Row],[Winter Blanket]])</f>
        <v>0</v>
      </c>
      <c r="AM647" s="436">
        <f>IF(Table_NFI[[#This Row],[Winter Clothes Adult]]+Table_NFI[[#This Row],[Winter Clothes Children]]+Table_NFI[[#This Row],[Winter Items Other]]+Table_NFI[[#This Row],[Winter Blanket]]&gt;0,1,0)</f>
        <v>0</v>
      </c>
      <c r="AN647" s="439">
        <f>IF(NFI_Expiration=1,IF($A647&lt;VLOOKUP(V$5,NFI,5,0),1,0)*Table_NFI[[#This Row],[Jerry Can]],Table_NFI[Jerry Can])</f>
        <v>0</v>
      </c>
      <c r="AO647" s="771" t="str">
        <f>IFERROR(VLOOKUP(Table_NFI[[#This Row],[Camp Name]],CL,2,0),"")</f>
        <v>MMR001CMP038</v>
      </c>
      <c r="AP647" s="772">
        <f ca="1">IF(Table_NFI[[#This Row],[Pcode]]="","",IF(OFFSET(CampList[Opening Date],MATCH(Table_NFI[[#This Row],[Pcode]],CampList[CP_Pcode],0)-1,0,1,1)&gt;=NFI_Monitor_Date,1,0))</f>
        <v>0</v>
      </c>
      <c r="AQ647" s="771" t="str">
        <f>IFERROR(VLOOKUP(Table_NFI[[#This Row],[Camp Name]],CL,3,0),"")</f>
        <v>Open</v>
      </c>
      <c r="AR647" s="436" t="str">
        <f ca="1">IF(Table_NFI[[#This Row],[Pcode]]="","",OFFSET(CampList[Priority],MATCH(Table_NFI[[#This Row],[Pcode]],CampList[CP_Pcode],0)-1,0,1,1))</f>
        <v>P4</v>
      </c>
      <c r="AS647" s="438">
        <f>IFERROR(Table_NFI[[#This Row],[Kitchen Set]]/VLOOKUP(Table_NFI[[#This Row],[Camp Name]],CL,4,0),"")</f>
        <v>0</v>
      </c>
      <c r="AT647" s="769" t="s">
        <v>1099</v>
      </c>
      <c r="AU647" s="773"/>
    </row>
    <row r="648" spans="1:47" x14ac:dyDescent="0.25">
      <c r="A648" s="451">
        <f t="shared" si="10"/>
        <v>35.5</v>
      </c>
      <c r="B648" s="768">
        <v>41305</v>
      </c>
      <c r="C648" s="769" t="s">
        <v>571</v>
      </c>
      <c r="D648" s="442" t="s">
        <v>571</v>
      </c>
      <c r="E648" s="775" t="s">
        <v>380</v>
      </c>
      <c r="F648" s="775" t="s">
        <v>310</v>
      </c>
      <c r="G648" s="435" t="s">
        <v>311</v>
      </c>
      <c r="H648" s="442"/>
      <c r="I648" s="442"/>
      <c r="J648" s="442"/>
      <c r="K648" s="775"/>
      <c r="L648" s="776"/>
      <c r="M648" s="443">
        <v>224</v>
      </c>
      <c r="N648" s="443"/>
      <c r="O648" s="443"/>
      <c r="P648" s="776">
        <v>0</v>
      </c>
      <c r="Q648" s="443">
        <v>0</v>
      </c>
      <c r="R648" s="442"/>
      <c r="S648" s="442"/>
      <c r="T648" s="442"/>
      <c r="U648" s="442"/>
      <c r="V648" s="442"/>
      <c r="W648" s="442"/>
      <c r="X648" s="442"/>
      <c r="Y648" s="436">
        <f>IF(NFI_Expiration=1,IF($A648&lt;VLOOKUP(H$5,NFI,5,0),1,0)*Table_NFI[[#This Row],[Hygiene Kit]],Table_NFI[Hygiene Kit])</f>
        <v>0</v>
      </c>
      <c r="Z648" s="436">
        <f>IF(NFI_Expiration=1,IF($A648&lt;VLOOKUP(I$5,NFI,5,0),1,0)*Table_NFI[[#This Row],[NFI Core Kit]],Table_NFI[NFI Core Kit])</f>
        <v>0</v>
      </c>
      <c r="AA648" s="436">
        <f>IF(NFI_Expiration=1,IF($A648&lt;VLOOKUP(J$5,NFI,5,0),1,0)*Table_NFI[[#This Row],[Sanitary Kit]],Table_NFI[Sanitary Kit])</f>
        <v>0</v>
      </c>
      <c r="AB648" s="436">
        <f>IF(NFI_Expiration=1,IF($A648&lt;VLOOKUP(K$5,NFI,5,0),1,0)*Table_NFI[[#This Row],[Mosquito net]],Table_NFI[Mosquito net])</f>
        <v>0</v>
      </c>
      <c r="AC648" s="436">
        <f>IF(NFI_Expiration=1,IF($A648&lt;VLOOKUP(L$5,NFI,5,0),1,0)*Table_NFI[[#This Row],[Tarpaulin]],Table_NFI[[#This Row],[Tarpaulin]])</f>
        <v>0</v>
      </c>
      <c r="AD648" s="436">
        <f>IF(NFI_Expiration=1,IF($A648&lt;VLOOKUP(M$5,NFI,5,0),1,0)*Table_NFI[[#This Row],[Blanket]],Table_NFI[[#This Row],[Blanket]])</f>
        <v>0</v>
      </c>
      <c r="AE648" s="436">
        <f>IF(NFI_Expiration=1,IF($A648&lt;VLOOKUP(N$5,NFI,5,0),1,0)*Table_NFI[[#This Row],[Kitchen Set]],Table_NFI[Kitchen Set])</f>
        <v>0</v>
      </c>
      <c r="AF648" s="436">
        <f>IF(NFI_Expiration=1,IF($A648&lt;VLOOKUP(O$5,NFI,5,0),1,0)*Table_NFI[[#This Row],[Clothes Kit]],Table_NFI[Clothes Kit])</f>
        <v>0</v>
      </c>
      <c r="AG648" s="436">
        <f>IF(NFI_Expiration=1,IF($A648&lt;VLOOKUP(P$5,NFI,5,0),1,0)*Table_NFI[[#This Row],[Plastic Bucket]],Table_NFI[Plastic Bucket])</f>
        <v>0</v>
      </c>
      <c r="AH648" s="436">
        <f>IF(NFI_Expiration=1,IF($A648&lt;VLOOKUP(Q$5,NFI,5,0),1,0)*Table_NFI[[#This Row],[Plastic Mat]],Table_NFI[Plastic Mat])*IF(Table_NFI[[#This Row],[Distribution Date]]&gt;"2014-04-01",1,2.5)</f>
        <v>0</v>
      </c>
      <c r="AI648" s="436">
        <f>IF(NFI_Expiration=1,IF($A648&lt;VLOOKUP(R$5,NFI,5,0),1,0)*Table_NFI[[#This Row],[Winter Clothes Adult]],Table_NFI[Winter Clothes Adult])</f>
        <v>0</v>
      </c>
      <c r="AJ648" s="436">
        <f>IF(NFI_Expiration=1,IF($A648&lt;VLOOKUP(S$5,NFI,5,0),1,0)*Table_NFI[[#This Row],[Winter Clothes Children]],Table_NFI[Winter Clothes Children])</f>
        <v>0</v>
      </c>
      <c r="AK648" s="436">
        <f>IF(NFI_Expiration=1,IF($A648&lt;VLOOKUP(T$5,NFI,5,0),1,0)*Table_NFI[[#This Row],[Winter Items Other]],Table_NFI[Winter Items Other])</f>
        <v>0</v>
      </c>
      <c r="AL648" s="436">
        <f>IF(NFI_Expiration=1,IF($A648&lt;VLOOKUP(M$5,NFI,5,0),1,0)*Table_NFI[[#This Row],[Winter Blanket]],Table_NFI[[#This Row],[Winter Blanket]])</f>
        <v>0</v>
      </c>
      <c r="AM648" s="436">
        <f>IF(Table_NFI[[#This Row],[Winter Clothes Adult]]+Table_NFI[[#This Row],[Winter Clothes Children]]+Table_NFI[[#This Row],[Winter Items Other]]+Table_NFI[[#This Row],[Winter Blanket]]&gt;0,1,0)</f>
        <v>0</v>
      </c>
      <c r="AN648" s="439">
        <f>IF(NFI_Expiration=1,IF($A648&lt;VLOOKUP(V$5,NFI,5,0),1,0)*Table_NFI[[#This Row],[Jerry Can]],Table_NFI[Jerry Can])</f>
        <v>0</v>
      </c>
      <c r="AO648" s="771" t="str">
        <f>IFERROR(VLOOKUP(Table_NFI[[#This Row],[Camp Name]],CL,2,0),"")</f>
        <v>MMR001CMP036</v>
      </c>
      <c r="AP648" s="772">
        <f ca="1">IF(Table_NFI[[#This Row],[Pcode]]="","",IF(OFFSET(CampList[Opening Date],MATCH(Table_NFI[[#This Row],[Pcode]],CampList[CP_Pcode],0)-1,0,1,1)&gt;=NFI_Monitor_Date,1,0))</f>
        <v>0</v>
      </c>
      <c r="AQ648" s="771" t="str">
        <f>IFERROR(VLOOKUP(Table_NFI[[#This Row],[Camp Name]],CL,3,0),"")</f>
        <v>Closed</v>
      </c>
      <c r="AR648" s="436" t="str">
        <f ca="1">IF(Table_NFI[[#This Row],[Pcode]]="","",OFFSET(CampList[Priority],MATCH(Table_NFI[[#This Row],[Pcode]],CampList[CP_Pcode],0)-1,0,1,1))</f>
        <v>P4</v>
      </c>
      <c r="AS648" s="438" t="str">
        <f>IFERROR(Table_NFI[[#This Row],[Kitchen Set]]/VLOOKUP(Table_NFI[[#This Row],[Camp Name]],CL,4,0),"")</f>
        <v/>
      </c>
      <c r="AT648" s="769" t="s">
        <v>1099</v>
      </c>
      <c r="AU648" s="773"/>
    </row>
    <row r="649" spans="1:47" x14ac:dyDescent="0.25">
      <c r="A649" s="451">
        <f t="shared" si="10"/>
        <v>35.533333333333331</v>
      </c>
      <c r="B649" s="768">
        <v>41304</v>
      </c>
      <c r="C649" s="769" t="s">
        <v>912</v>
      </c>
      <c r="D649" s="769" t="s">
        <v>912</v>
      </c>
      <c r="E649" s="769" t="s">
        <v>380</v>
      </c>
      <c r="F649" s="435" t="s">
        <v>302</v>
      </c>
      <c r="G649" s="435" t="s">
        <v>306</v>
      </c>
      <c r="H649" s="436">
        <v>272</v>
      </c>
      <c r="I649" s="436"/>
      <c r="J649" s="436">
        <v>280</v>
      </c>
      <c r="K649" s="436"/>
      <c r="L649" s="437"/>
      <c r="M649" s="437"/>
      <c r="N649" s="437"/>
      <c r="O649" s="437"/>
      <c r="P649" s="439">
        <v>0</v>
      </c>
      <c r="Q649" s="439">
        <v>0</v>
      </c>
      <c r="R649" s="436"/>
      <c r="S649" s="436"/>
      <c r="T649" s="436"/>
      <c r="U649" s="436"/>
      <c r="V649" s="436"/>
      <c r="W649" s="436"/>
      <c r="X649" s="436"/>
      <c r="Y649" s="436">
        <f>IF(NFI_Expiration=1,IF($A649&lt;VLOOKUP(H$5,NFI,5,0),1,0)*Table_NFI[[#This Row],[Hygiene Kit]],Table_NFI[Hygiene Kit])</f>
        <v>0</v>
      </c>
      <c r="Z649" s="436">
        <f>IF(NFI_Expiration=1,IF($A649&lt;VLOOKUP(I$5,NFI,5,0),1,0)*Table_NFI[[#This Row],[NFI Core Kit]],Table_NFI[NFI Core Kit])</f>
        <v>0</v>
      </c>
      <c r="AA649" s="436">
        <f>IF(NFI_Expiration=1,IF($A649&lt;VLOOKUP(J$5,NFI,5,0),1,0)*Table_NFI[[#This Row],[Sanitary Kit]],Table_NFI[Sanitary Kit])</f>
        <v>0</v>
      </c>
      <c r="AB649" s="436">
        <f>IF(NFI_Expiration=1,IF($A649&lt;VLOOKUP(K$5,NFI,5,0),1,0)*Table_NFI[[#This Row],[Mosquito net]],Table_NFI[Mosquito net])</f>
        <v>0</v>
      </c>
      <c r="AC649" s="436">
        <f>IF(NFI_Expiration=1,IF($A649&lt;VLOOKUP(L$5,NFI,5,0),1,0)*Table_NFI[[#This Row],[Tarpaulin]],Table_NFI[[#This Row],[Tarpaulin]])</f>
        <v>0</v>
      </c>
      <c r="AD649" s="436">
        <f>IF(NFI_Expiration=1,IF($A649&lt;VLOOKUP(M$5,NFI,5,0),1,0)*Table_NFI[[#This Row],[Blanket]],Table_NFI[[#This Row],[Blanket]])</f>
        <v>0</v>
      </c>
      <c r="AE649" s="436">
        <f>IF(NFI_Expiration=1,IF($A649&lt;VLOOKUP(N$5,NFI,5,0),1,0)*Table_NFI[[#This Row],[Kitchen Set]],Table_NFI[Kitchen Set])</f>
        <v>0</v>
      </c>
      <c r="AF649" s="436">
        <f>IF(NFI_Expiration=1,IF($A649&lt;VLOOKUP(O$5,NFI,5,0),1,0)*Table_NFI[[#This Row],[Clothes Kit]],Table_NFI[Clothes Kit])</f>
        <v>0</v>
      </c>
      <c r="AG649" s="436">
        <f>IF(NFI_Expiration=1,IF($A649&lt;VLOOKUP(P$5,NFI,5,0),1,0)*Table_NFI[[#This Row],[Plastic Bucket]],Table_NFI[Plastic Bucket])</f>
        <v>0</v>
      </c>
      <c r="AH649" s="436">
        <f>IF(NFI_Expiration=1,IF($A649&lt;VLOOKUP(Q$5,NFI,5,0),1,0)*Table_NFI[[#This Row],[Plastic Mat]],Table_NFI[Plastic Mat])*IF(Table_NFI[[#This Row],[Distribution Date]]&gt;"2014-04-01",1,2.5)</f>
        <v>0</v>
      </c>
      <c r="AI649" s="436">
        <f>IF(NFI_Expiration=1,IF($A649&lt;VLOOKUP(R$5,NFI,5,0),1,0)*Table_NFI[[#This Row],[Winter Clothes Adult]],Table_NFI[Winter Clothes Adult])</f>
        <v>0</v>
      </c>
      <c r="AJ649" s="436">
        <f>IF(NFI_Expiration=1,IF($A649&lt;VLOOKUP(S$5,NFI,5,0),1,0)*Table_NFI[[#This Row],[Winter Clothes Children]],Table_NFI[Winter Clothes Children])</f>
        <v>0</v>
      </c>
      <c r="AK649" s="436">
        <f>IF(NFI_Expiration=1,IF($A649&lt;VLOOKUP(T$5,NFI,5,0),1,0)*Table_NFI[[#This Row],[Winter Items Other]],Table_NFI[Winter Items Other])</f>
        <v>0</v>
      </c>
      <c r="AL649" s="436">
        <f>IF(NFI_Expiration=1,IF($A649&lt;VLOOKUP(M$5,NFI,5,0),1,0)*Table_NFI[[#This Row],[Winter Blanket]],Table_NFI[[#This Row],[Winter Blanket]])</f>
        <v>0</v>
      </c>
      <c r="AM649" s="436">
        <f>IF(Table_NFI[[#This Row],[Winter Clothes Adult]]+Table_NFI[[#This Row],[Winter Clothes Children]]+Table_NFI[[#This Row],[Winter Items Other]]+Table_NFI[[#This Row],[Winter Blanket]]&gt;0,1,0)</f>
        <v>0</v>
      </c>
      <c r="AN649" s="439">
        <f>IF(NFI_Expiration=1,IF($A649&lt;VLOOKUP(V$5,NFI,5,0),1,0)*Table_NFI[[#This Row],[Jerry Can]],Table_NFI[Jerry Can])</f>
        <v>0</v>
      </c>
      <c r="AO649" s="771" t="str">
        <f>IFERROR(VLOOKUP(Table_NFI[[#This Row],[Camp Name]],CL,2,0),"")</f>
        <v>MMR001CMP067</v>
      </c>
      <c r="AP649" s="772">
        <f ca="1">IF(Table_NFI[[#This Row],[Pcode]]="","",IF(OFFSET(CampList[Opening Date],MATCH(Table_NFI[[#This Row],[Pcode]],CampList[CP_Pcode],0)-1,0,1,1)&gt;=NFI_Monitor_Date,1,0))</f>
        <v>0</v>
      </c>
      <c r="AQ649" s="771" t="str">
        <f>IFERROR(VLOOKUP(Table_NFI[[#This Row],[Camp Name]],CL,3,0),"")</f>
        <v>Open</v>
      </c>
      <c r="AR649" s="436" t="str">
        <f ca="1">IF(Table_NFI[[#This Row],[Pcode]]="","",OFFSET(CampList[Priority],MATCH(Table_NFI[[#This Row],[Pcode]],CampList[CP_Pcode],0)-1,0,1,1))</f>
        <v>P4</v>
      </c>
      <c r="AS649" s="438">
        <f>IFERROR(Table_NFI[[#This Row],[Kitchen Set]]/VLOOKUP(Table_NFI[[#This Row],[Camp Name]],CL,4,0),"")</f>
        <v>0</v>
      </c>
      <c r="AT649" s="769" t="s">
        <v>1099</v>
      </c>
      <c r="AU649" s="773"/>
    </row>
    <row r="650" spans="1:47" x14ac:dyDescent="0.25">
      <c r="A650" s="451">
        <f t="shared" si="10"/>
        <v>35.56666666666667</v>
      </c>
      <c r="B650" s="768">
        <v>41303</v>
      </c>
      <c r="C650" s="769" t="s">
        <v>912</v>
      </c>
      <c r="D650" s="770" t="s">
        <v>912</v>
      </c>
      <c r="E650" s="769" t="s">
        <v>380</v>
      </c>
      <c r="F650" s="435" t="s">
        <v>302</v>
      </c>
      <c r="G650" s="435" t="s">
        <v>308</v>
      </c>
      <c r="H650" s="436">
        <v>177</v>
      </c>
      <c r="I650" s="436"/>
      <c r="J650" s="436">
        <v>240</v>
      </c>
      <c r="K650" s="436"/>
      <c r="L650" s="437"/>
      <c r="M650" s="437"/>
      <c r="N650" s="437"/>
      <c r="O650" s="437"/>
      <c r="P650" s="437">
        <v>0</v>
      </c>
      <c r="Q650" s="437">
        <v>0</v>
      </c>
      <c r="R650" s="436"/>
      <c r="S650" s="436"/>
      <c r="T650" s="436"/>
      <c r="U650" s="436"/>
      <c r="V650" s="436"/>
      <c r="W650" s="436"/>
      <c r="X650" s="436"/>
      <c r="Y650" s="436">
        <f>IF(NFI_Expiration=1,IF($A650&lt;VLOOKUP(H$5,NFI,5,0),1,0)*Table_NFI[[#This Row],[Hygiene Kit]],Table_NFI[Hygiene Kit])</f>
        <v>0</v>
      </c>
      <c r="Z650" s="436">
        <f>IF(NFI_Expiration=1,IF($A650&lt;VLOOKUP(I$5,NFI,5,0),1,0)*Table_NFI[[#This Row],[NFI Core Kit]],Table_NFI[NFI Core Kit])</f>
        <v>0</v>
      </c>
      <c r="AA650" s="436">
        <f>IF(NFI_Expiration=1,IF($A650&lt;VLOOKUP(J$5,NFI,5,0),1,0)*Table_NFI[[#This Row],[Sanitary Kit]],Table_NFI[Sanitary Kit])</f>
        <v>0</v>
      </c>
      <c r="AB650" s="436">
        <f>IF(NFI_Expiration=1,IF($A650&lt;VLOOKUP(K$5,NFI,5,0),1,0)*Table_NFI[[#This Row],[Mosquito net]],Table_NFI[Mosquito net])</f>
        <v>0</v>
      </c>
      <c r="AC650" s="436">
        <f>IF(NFI_Expiration=1,IF($A650&lt;VLOOKUP(L$5,NFI,5,0),1,0)*Table_NFI[[#This Row],[Tarpaulin]],Table_NFI[[#This Row],[Tarpaulin]])</f>
        <v>0</v>
      </c>
      <c r="AD650" s="436">
        <f>IF(NFI_Expiration=1,IF($A650&lt;VLOOKUP(M$5,NFI,5,0),1,0)*Table_NFI[[#This Row],[Blanket]],Table_NFI[[#This Row],[Blanket]])</f>
        <v>0</v>
      </c>
      <c r="AE650" s="436">
        <f>IF(NFI_Expiration=1,IF($A650&lt;VLOOKUP(N$5,NFI,5,0),1,0)*Table_NFI[[#This Row],[Kitchen Set]],Table_NFI[Kitchen Set])</f>
        <v>0</v>
      </c>
      <c r="AF650" s="436">
        <f>IF(NFI_Expiration=1,IF($A650&lt;VLOOKUP(O$5,NFI,5,0),1,0)*Table_NFI[[#This Row],[Clothes Kit]],Table_NFI[Clothes Kit])</f>
        <v>0</v>
      </c>
      <c r="AG650" s="436">
        <f>IF(NFI_Expiration=1,IF($A650&lt;VLOOKUP(P$5,NFI,5,0),1,0)*Table_NFI[[#This Row],[Plastic Bucket]],Table_NFI[Plastic Bucket])</f>
        <v>0</v>
      </c>
      <c r="AH650" s="436">
        <f>IF(NFI_Expiration=1,IF($A650&lt;VLOOKUP(Q$5,NFI,5,0),1,0)*Table_NFI[[#This Row],[Plastic Mat]],Table_NFI[Plastic Mat])*IF(Table_NFI[[#This Row],[Distribution Date]]&gt;"2014-04-01",1,2.5)</f>
        <v>0</v>
      </c>
      <c r="AI650" s="436">
        <f>IF(NFI_Expiration=1,IF($A650&lt;VLOOKUP(R$5,NFI,5,0),1,0)*Table_NFI[[#This Row],[Winter Clothes Adult]],Table_NFI[Winter Clothes Adult])</f>
        <v>0</v>
      </c>
      <c r="AJ650" s="436">
        <f>IF(NFI_Expiration=1,IF($A650&lt;VLOOKUP(S$5,NFI,5,0),1,0)*Table_NFI[[#This Row],[Winter Clothes Children]],Table_NFI[Winter Clothes Children])</f>
        <v>0</v>
      </c>
      <c r="AK650" s="436">
        <f>IF(NFI_Expiration=1,IF($A650&lt;VLOOKUP(T$5,NFI,5,0),1,0)*Table_NFI[[#This Row],[Winter Items Other]],Table_NFI[Winter Items Other])</f>
        <v>0</v>
      </c>
      <c r="AL650" s="436">
        <f>IF(NFI_Expiration=1,IF($A650&lt;VLOOKUP(M$5,NFI,5,0),1,0)*Table_NFI[[#This Row],[Winter Blanket]],Table_NFI[[#This Row],[Winter Blanket]])</f>
        <v>0</v>
      </c>
      <c r="AM650" s="436">
        <f>IF(Table_NFI[[#This Row],[Winter Clothes Adult]]+Table_NFI[[#This Row],[Winter Clothes Children]]+Table_NFI[[#This Row],[Winter Items Other]]+Table_NFI[[#This Row],[Winter Blanket]]&gt;0,1,0)</f>
        <v>0</v>
      </c>
      <c r="AN650" s="439">
        <f>IF(NFI_Expiration=1,IF($A650&lt;VLOOKUP(V$5,NFI,5,0),1,0)*Table_NFI[[#This Row],[Jerry Can]],Table_NFI[Jerry Can])</f>
        <v>0</v>
      </c>
      <c r="AO650" s="771" t="str">
        <f>IFERROR(VLOOKUP(Table_NFI[[#This Row],[Camp Name]],CL,2,0),"")</f>
        <v>MMR001CMP068</v>
      </c>
      <c r="AP650" s="772">
        <f ca="1">IF(Table_NFI[[#This Row],[Pcode]]="","",IF(OFFSET(CampList[Opening Date],MATCH(Table_NFI[[#This Row],[Pcode]],CampList[CP_Pcode],0)-1,0,1,1)&gt;=NFI_Monitor_Date,1,0))</f>
        <v>0</v>
      </c>
      <c r="AQ650" s="771" t="str">
        <f>IFERROR(VLOOKUP(Table_NFI[[#This Row],[Camp Name]],CL,3,0),"")</f>
        <v>Open</v>
      </c>
      <c r="AR650" s="436" t="str">
        <f ca="1">IF(Table_NFI[[#This Row],[Pcode]]="","",OFFSET(CampList[Priority],MATCH(Table_NFI[[#This Row],[Pcode]],CampList[CP_Pcode],0)-1,0,1,1))</f>
        <v>P4</v>
      </c>
      <c r="AS650" s="438">
        <f>IFERROR(Table_NFI[[#This Row],[Kitchen Set]]/VLOOKUP(Table_NFI[[#This Row],[Camp Name]],CL,4,0),"")</f>
        <v>0</v>
      </c>
      <c r="AT650" s="769" t="s">
        <v>1099</v>
      </c>
      <c r="AU650" s="773"/>
    </row>
    <row r="651" spans="1:47" x14ac:dyDescent="0.25">
      <c r="A651" s="451">
        <f t="shared" si="10"/>
        <v>35.700000000000003</v>
      </c>
      <c r="B651" s="768">
        <v>41299</v>
      </c>
      <c r="C651" s="769" t="s">
        <v>912</v>
      </c>
      <c r="D651" s="769" t="s">
        <v>912</v>
      </c>
      <c r="E651" s="769" t="s">
        <v>380</v>
      </c>
      <c r="F651" s="769" t="s">
        <v>185</v>
      </c>
      <c r="G651" s="435" t="s">
        <v>217</v>
      </c>
      <c r="H651" s="436">
        <v>75</v>
      </c>
      <c r="I651" s="436"/>
      <c r="J651" s="436">
        <v>120</v>
      </c>
      <c r="K651" s="436"/>
      <c r="L651" s="437"/>
      <c r="M651" s="437"/>
      <c r="N651" s="437"/>
      <c r="O651" s="437"/>
      <c r="P651" s="437">
        <v>0</v>
      </c>
      <c r="Q651" s="437">
        <v>0</v>
      </c>
      <c r="R651" s="436"/>
      <c r="S651" s="436"/>
      <c r="T651" s="436"/>
      <c r="U651" s="436"/>
      <c r="V651" s="436"/>
      <c r="W651" s="436"/>
      <c r="X651" s="436"/>
      <c r="Y651" s="436">
        <f>IF(NFI_Expiration=1,IF($A651&lt;VLOOKUP(H$5,NFI,5,0),1,0)*Table_NFI[[#This Row],[Hygiene Kit]],Table_NFI[Hygiene Kit])</f>
        <v>0</v>
      </c>
      <c r="Z651" s="436">
        <f>IF(NFI_Expiration=1,IF($A651&lt;VLOOKUP(I$5,NFI,5,0),1,0)*Table_NFI[[#This Row],[NFI Core Kit]],Table_NFI[NFI Core Kit])</f>
        <v>0</v>
      </c>
      <c r="AA651" s="436">
        <f>IF(NFI_Expiration=1,IF($A651&lt;VLOOKUP(J$5,NFI,5,0),1,0)*Table_NFI[[#This Row],[Sanitary Kit]],Table_NFI[Sanitary Kit])</f>
        <v>0</v>
      </c>
      <c r="AB651" s="436">
        <f>IF(NFI_Expiration=1,IF($A651&lt;VLOOKUP(K$5,NFI,5,0),1,0)*Table_NFI[[#This Row],[Mosquito net]],Table_NFI[Mosquito net])</f>
        <v>0</v>
      </c>
      <c r="AC651" s="436">
        <f>IF(NFI_Expiration=1,IF($A651&lt;VLOOKUP(L$5,NFI,5,0),1,0)*Table_NFI[[#This Row],[Tarpaulin]],Table_NFI[[#This Row],[Tarpaulin]])</f>
        <v>0</v>
      </c>
      <c r="AD651" s="436">
        <f>IF(NFI_Expiration=1,IF($A651&lt;VLOOKUP(M$5,NFI,5,0),1,0)*Table_NFI[[#This Row],[Blanket]],Table_NFI[[#This Row],[Blanket]])</f>
        <v>0</v>
      </c>
      <c r="AE651" s="436">
        <f>IF(NFI_Expiration=1,IF($A651&lt;VLOOKUP(N$5,NFI,5,0),1,0)*Table_NFI[[#This Row],[Kitchen Set]],Table_NFI[Kitchen Set])</f>
        <v>0</v>
      </c>
      <c r="AF651" s="436">
        <f>IF(NFI_Expiration=1,IF($A651&lt;VLOOKUP(O$5,NFI,5,0),1,0)*Table_NFI[[#This Row],[Clothes Kit]],Table_NFI[Clothes Kit])</f>
        <v>0</v>
      </c>
      <c r="AG651" s="436">
        <f>IF(NFI_Expiration=1,IF($A651&lt;VLOOKUP(P$5,NFI,5,0),1,0)*Table_NFI[[#This Row],[Plastic Bucket]],Table_NFI[Plastic Bucket])</f>
        <v>0</v>
      </c>
      <c r="AH651" s="436">
        <f>IF(NFI_Expiration=1,IF($A651&lt;VLOOKUP(Q$5,NFI,5,0),1,0)*Table_NFI[[#This Row],[Plastic Mat]],Table_NFI[Plastic Mat])*IF(Table_NFI[[#This Row],[Distribution Date]]&gt;"2014-04-01",1,2.5)</f>
        <v>0</v>
      </c>
      <c r="AI651" s="436">
        <f>IF(NFI_Expiration=1,IF($A651&lt;VLOOKUP(R$5,NFI,5,0),1,0)*Table_NFI[[#This Row],[Winter Clothes Adult]],Table_NFI[Winter Clothes Adult])</f>
        <v>0</v>
      </c>
      <c r="AJ651" s="436">
        <f>IF(NFI_Expiration=1,IF($A651&lt;VLOOKUP(S$5,NFI,5,0),1,0)*Table_NFI[[#This Row],[Winter Clothes Children]],Table_NFI[Winter Clothes Children])</f>
        <v>0</v>
      </c>
      <c r="AK651" s="436">
        <f>IF(NFI_Expiration=1,IF($A651&lt;VLOOKUP(T$5,NFI,5,0),1,0)*Table_NFI[[#This Row],[Winter Items Other]],Table_NFI[Winter Items Other])</f>
        <v>0</v>
      </c>
      <c r="AL651" s="436">
        <f>IF(NFI_Expiration=1,IF($A651&lt;VLOOKUP(M$5,NFI,5,0),1,0)*Table_NFI[[#This Row],[Winter Blanket]],Table_NFI[[#This Row],[Winter Blanket]])</f>
        <v>0</v>
      </c>
      <c r="AM651" s="436">
        <f>IF(Table_NFI[[#This Row],[Winter Clothes Adult]]+Table_NFI[[#This Row],[Winter Clothes Children]]+Table_NFI[[#This Row],[Winter Items Other]]+Table_NFI[[#This Row],[Winter Blanket]]&gt;0,1,0)</f>
        <v>0</v>
      </c>
      <c r="AN651" s="439">
        <f>IF(NFI_Expiration=1,IF($A651&lt;VLOOKUP(V$5,NFI,5,0),1,0)*Table_NFI[[#This Row],[Jerry Can]],Table_NFI[Jerry Can])</f>
        <v>0</v>
      </c>
      <c r="AO651" s="771" t="str">
        <f>IFERROR(VLOOKUP(Table_NFI[[#This Row],[Camp Name]],CL,2,0),"")</f>
        <v>MMR001CMP059</v>
      </c>
      <c r="AP651" s="772">
        <f ca="1">IF(Table_NFI[[#This Row],[Pcode]]="","",IF(OFFSET(CampList[Opening Date],MATCH(Table_NFI[[#This Row],[Pcode]],CampList[CP_Pcode],0)-1,0,1,1)&gt;=NFI_Monitor_Date,1,0))</f>
        <v>0</v>
      </c>
      <c r="AQ651" s="771" t="str">
        <f>IFERROR(VLOOKUP(Table_NFI[[#This Row],[Camp Name]],CL,3,0),"")</f>
        <v>Open</v>
      </c>
      <c r="AR651" s="436" t="str">
        <f ca="1">IF(Table_NFI[[#This Row],[Pcode]]="","",OFFSET(CampList[Priority],MATCH(Table_NFI[[#This Row],[Pcode]],CampList[CP_Pcode],0)-1,0,1,1))</f>
        <v>P4</v>
      </c>
      <c r="AS651" s="438">
        <f>IFERROR(Table_NFI[[#This Row],[Kitchen Set]]/VLOOKUP(Table_NFI[[#This Row],[Camp Name]],CL,4,0),"")</f>
        <v>0</v>
      </c>
      <c r="AT651" s="769" t="s">
        <v>1099</v>
      </c>
      <c r="AU651" s="773"/>
    </row>
    <row r="652" spans="1:47" x14ac:dyDescent="0.25">
      <c r="A652" s="451">
        <f t="shared" si="10"/>
        <v>35.733333333333334</v>
      </c>
      <c r="B652" s="768">
        <v>41298</v>
      </c>
      <c r="C652" s="769" t="s">
        <v>912</v>
      </c>
      <c r="D652" s="770" t="s">
        <v>912</v>
      </c>
      <c r="E652" s="769" t="s">
        <v>380</v>
      </c>
      <c r="F652" s="435" t="s">
        <v>185</v>
      </c>
      <c r="G652" s="435" t="s">
        <v>202</v>
      </c>
      <c r="H652" s="436">
        <v>200</v>
      </c>
      <c r="I652" s="436"/>
      <c r="J652" s="436">
        <v>250</v>
      </c>
      <c r="K652" s="436"/>
      <c r="L652" s="437"/>
      <c r="M652" s="437"/>
      <c r="N652" s="437"/>
      <c r="O652" s="437"/>
      <c r="P652" s="437">
        <v>0</v>
      </c>
      <c r="Q652" s="437">
        <v>0</v>
      </c>
      <c r="R652" s="436"/>
      <c r="S652" s="436"/>
      <c r="T652" s="436"/>
      <c r="U652" s="436"/>
      <c r="V652" s="436"/>
      <c r="W652" s="436"/>
      <c r="X652" s="436"/>
      <c r="Y652" s="436">
        <f>IF(NFI_Expiration=1,IF($A652&lt;VLOOKUP(H$5,NFI,5,0),1,0)*Table_NFI[[#This Row],[Hygiene Kit]],Table_NFI[Hygiene Kit])</f>
        <v>0</v>
      </c>
      <c r="Z652" s="436">
        <f>IF(NFI_Expiration=1,IF($A652&lt;VLOOKUP(I$5,NFI,5,0),1,0)*Table_NFI[[#This Row],[NFI Core Kit]],Table_NFI[NFI Core Kit])</f>
        <v>0</v>
      </c>
      <c r="AA652" s="436">
        <f>IF(NFI_Expiration=1,IF($A652&lt;VLOOKUP(J$5,NFI,5,0),1,0)*Table_NFI[[#This Row],[Sanitary Kit]],Table_NFI[Sanitary Kit])</f>
        <v>0</v>
      </c>
      <c r="AB652" s="436">
        <f>IF(NFI_Expiration=1,IF($A652&lt;VLOOKUP(K$5,NFI,5,0),1,0)*Table_NFI[[#This Row],[Mosquito net]],Table_NFI[Mosquito net])</f>
        <v>0</v>
      </c>
      <c r="AC652" s="436">
        <f>IF(NFI_Expiration=1,IF($A652&lt;VLOOKUP(L$5,NFI,5,0),1,0)*Table_NFI[[#This Row],[Tarpaulin]],Table_NFI[[#This Row],[Tarpaulin]])</f>
        <v>0</v>
      </c>
      <c r="AD652" s="436">
        <f>IF(NFI_Expiration=1,IF($A652&lt;VLOOKUP(M$5,NFI,5,0),1,0)*Table_NFI[[#This Row],[Blanket]],Table_NFI[[#This Row],[Blanket]])</f>
        <v>0</v>
      </c>
      <c r="AE652" s="436">
        <f>IF(NFI_Expiration=1,IF($A652&lt;VLOOKUP(N$5,NFI,5,0),1,0)*Table_NFI[[#This Row],[Kitchen Set]],Table_NFI[Kitchen Set])</f>
        <v>0</v>
      </c>
      <c r="AF652" s="436">
        <f>IF(NFI_Expiration=1,IF($A652&lt;VLOOKUP(O$5,NFI,5,0),1,0)*Table_NFI[[#This Row],[Clothes Kit]],Table_NFI[Clothes Kit])</f>
        <v>0</v>
      </c>
      <c r="AG652" s="436">
        <f>IF(NFI_Expiration=1,IF($A652&lt;VLOOKUP(P$5,NFI,5,0),1,0)*Table_NFI[[#This Row],[Plastic Bucket]],Table_NFI[Plastic Bucket])</f>
        <v>0</v>
      </c>
      <c r="AH652" s="436">
        <f>IF(NFI_Expiration=1,IF($A652&lt;VLOOKUP(Q$5,NFI,5,0),1,0)*Table_NFI[[#This Row],[Plastic Mat]],Table_NFI[Plastic Mat])*IF(Table_NFI[[#This Row],[Distribution Date]]&gt;"2014-04-01",1,2.5)</f>
        <v>0</v>
      </c>
      <c r="AI652" s="436">
        <f>IF(NFI_Expiration=1,IF($A652&lt;VLOOKUP(R$5,NFI,5,0),1,0)*Table_NFI[[#This Row],[Winter Clothes Adult]],Table_NFI[Winter Clothes Adult])</f>
        <v>0</v>
      </c>
      <c r="AJ652" s="436">
        <f>IF(NFI_Expiration=1,IF($A652&lt;VLOOKUP(S$5,NFI,5,0),1,0)*Table_NFI[[#This Row],[Winter Clothes Children]],Table_NFI[Winter Clothes Children])</f>
        <v>0</v>
      </c>
      <c r="AK652" s="436">
        <f>IF(NFI_Expiration=1,IF($A652&lt;VLOOKUP(T$5,NFI,5,0),1,0)*Table_NFI[[#This Row],[Winter Items Other]],Table_NFI[Winter Items Other])</f>
        <v>0</v>
      </c>
      <c r="AL652" s="436">
        <f>IF(NFI_Expiration=1,IF($A652&lt;VLOOKUP(M$5,NFI,5,0),1,0)*Table_NFI[[#This Row],[Winter Blanket]],Table_NFI[[#This Row],[Winter Blanket]])</f>
        <v>0</v>
      </c>
      <c r="AM652" s="436">
        <f>IF(Table_NFI[[#This Row],[Winter Clothes Adult]]+Table_NFI[[#This Row],[Winter Clothes Children]]+Table_NFI[[#This Row],[Winter Items Other]]+Table_NFI[[#This Row],[Winter Blanket]]&gt;0,1,0)</f>
        <v>0</v>
      </c>
      <c r="AN652" s="439">
        <f>IF(NFI_Expiration=1,IF($A652&lt;VLOOKUP(V$5,NFI,5,0),1,0)*Table_NFI[[#This Row],[Jerry Can]],Table_NFI[Jerry Can])</f>
        <v>0</v>
      </c>
      <c r="AO652" s="771" t="str">
        <f>IFERROR(VLOOKUP(Table_NFI[[#This Row],[Camp Name]],CL,2,0),"")</f>
        <v>MMR001CMP062</v>
      </c>
      <c r="AP652" s="772">
        <f ca="1">IF(Table_NFI[[#This Row],[Pcode]]="","",IF(OFFSET(CampList[Opening Date],MATCH(Table_NFI[[#This Row],[Pcode]],CampList[CP_Pcode],0)-1,0,1,1)&gt;=NFI_Monitor_Date,1,0))</f>
        <v>0</v>
      </c>
      <c r="AQ652" s="771" t="str">
        <f>IFERROR(VLOOKUP(Table_NFI[[#This Row],[Camp Name]],CL,3,0),"")</f>
        <v>Open</v>
      </c>
      <c r="AR652" s="436" t="str">
        <f ca="1">IF(Table_NFI[[#This Row],[Pcode]]="","",OFFSET(CampList[Priority],MATCH(Table_NFI[[#This Row],[Pcode]],CampList[CP_Pcode],0)-1,0,1,1))</f>
        <v>P4</v>
      </c>
      <c r="AS652" s="438">
        <f>IFERROR(Table_NFI[[#This Row],[Kitchen Set]]/VLOOKUP(Table_NFI[[#This Row],[Camp Name]],CL,4,0),"")</f>
        <v>0</v>
      </c>
      <c r="AT652" s="769" t="s">
        <v>1099</v>
      </c>
      <c r="AU652" s="773"/>
    </row>
    <row r="653" spans="1:47" x14ac:dyDescent="0.25">
      <c r="A653" s="451">
        <f t="shared" si="10"/>
        <v>35.733333333333334</v>
      </c>
      <c r="B653" s="768">
        <v>41298</v>
      </c>
      <c r="C653" s="769" t="s">
        <v>912</v>
      </c>
      <c r="D653" s="770" t="s">
        <v>912</v>
      </c>
      <c r="E653" s="769" t="s">
        <v>380</v>
      </c>
      <c r="F653" s="435" t="s">
        <v>185</v>
      </c>
      <c r="G653" s="435" t="s">
        <v>211</v>
      </c>
      <c r="H653" s="436">
        <v>793</v>
      </c>
      <c r="I653" s="436"/>
      <c r="J653" s="436">
        <v>1125</v>
      </c>
      <c r="K653" s="436"/>
      <c r="L653" s="437"/>
      <c r="M653" s="437"/>
      <c r="N653" s="437"/>
      <c r="O653" s="437"/>
      <c r="P653" s="437">
        <v>0</v>
      </c>
      <c r="Q653" s="437">
        <v>0</v>
      </c>
      <c r="R653" s="436"/>
      <c r="S653" s="436"/>
      <c r="T653" s="436"/>
      <c r="U653" s="436"/>
      <c r="V653" s="436"/>
      <c r="W653" s="436"/>
      <c r="X653" s="436"/>
      <c r="Y653" s="436">
        <f>IF(NFI_Expiration=1,IF($A653&lt;VLOOKUP(H$5,NFI,5,0),1,0)*Table_NFI[[#This Row],[Hygiene Kit]],Table_NFI[Hygiene Kit])</f>
        <v>0</v>
      </c>
      <c r="Z653" s="436">
        <f>IF(NFI_Expiration=1,IF($A653&lt;VLOOKUP(I$5,NFI,5,0),1,0)*Table_NFI[[#This Row],[NFI Core Kit]],Table_NFI[NFI Core Kit])</f>
        <v>0</v>
      </c>
      <c r="AA653" s="436">
        <f>IF(NFI_Expiration=1,IF($A653&lt;VLOOKUP(J$5,NFI,5,0),1,0)*Table_NFI[[#This Row],[Sanitary Kit]],Table_NFI[Sanitary Kit])</f>
        <v>0</v>
      </c>
      <c r="AB653" s="436">
        <f>IF(NFI_Expiration=1,IF($A653&lt;VLOOKUP(K$5,NFI,5,0),1,0)*Table_NFI[[#This Row],[Mosquito net]],Table_NFI[Mosquito net])</f>
        <v>0</v>
      </c>
      <c r="AC653" s="436">
        <f>IF(NFI_Expiration=1,IF($A653&lt;VLOOKUP(L$5,NFI,5,0),1,0)*Table_NFI[[#This Row],[Tarpaulin]],Table_NFI[[#This Row],[Tarpaulin]])</f>
        <v>0</v>
      </c>
      <c r="AD653" s="436">
        <f>IF(NFI_Expiration=1,IF($A653&lt;VLOOKUP(M$5,NFI,5,0),1,0)*Table_NFI[[#This Row],[Blanket]],Table_NFI[[#This Row],[Blanket]])</f>
        <v>0</v>
      </c>
      <c r="AE653" s="436">
        <f>IF(NFI_Expiration=1,IF($A653&lt;VLOOKUP(N$5,NFI,5,0),1,0)*Table_NFI[[#This Row],[Kitchen Set]],Table_NFI[Kitchen Set])</f>
        <v>0</v>
      </c>
      <c r="AF653" s="436">
        <f>IF(NFI_Expiration=1,IF($A653&lt;VLOOKUP(O$5,NFI,5,0),1,0)*Table_NFI[[#This Row],[Clothes Kit]],Table_NFI[Clothes Kit])</f>
        <v>0</v>
      </c>
      <c r="AG653" s="436">
        <f>IF(NFI_Expiration=1,IF($A653&lt;VLOOKUP(P$5,NFI,5,0),1,0)*Table_NFI[[#This Row],[Plastic Bucket]],Table_NFI[Plastic Bucket])</f>
        <v>0</v>
      </c>
      <c r="AH653" s="436">
        <f>IF(NFI_Expiration=1,IF($A653&lt;VLOOKUP(Q$5,NFI,5,0),1,0)*Table_NFI[[#This Row],[Plastic Mat]],Table_NFI[Plastic Mat])*IF(Table_NFI[[#This Row],[Distribution Date]]&gt;"2014-04-01",1,2.5)</f>
        <v>0</v>
      </c>
      <c r="AI653" s="436">
        <f>IF(NFI_Expiration=1,IF($A653&lt;VLOOKUP(R$5,NFI,5,0),1,0)*Table_NFI[[#This Row],[Winter Clothes Adult]],Table_NFI[Winter Clothes Adult])</f>
        <v>0</v>
      </c>
      <c r="AJ653" s="436">
        <f>IF(NFI_Expiration=1,IF($A653&lt;VLOOKUP(S$5,NFI,5,0),1,0)*Table_NFI[[#This Row],[Winter Clothes Children]],Table_NFI[Winter Clothes Children])</f>
        <v>0</v>
      </c>
      <c r="AK653" s="436">
        <f>IF(NFI_Expiration=1,IF($A653&lt;VLOOKUP(T$5,NFI,5,0),1,0)*Table_NFI[[#This Row],[Winter Items Other]],Table_NFI[Winter Items Other])</f>
        <v>0</v>
      </c>
      <c r="AL653" s="436">
        <f>IF(NFI_Expiration=1,IF($A653&lt;VLOOKUP(M$5,NFI,5,0),1,0)*Table_NFI[[#This Row],[Winter Blanket]],Table_NFI[[#This Row],[Winter Blanket]])</f>
        <v>0</v>
      </c>
      <c r="AM653" s="436">
        <f>IF(Table_NFI[[#This Row],[Winter Clothes Adult]]+Table_NFI[[#This Row],[Winter Clothes Children]]+Table_NFI[[#This Row],[Winter Items Other]]+Table_NFI[[#This Row],[Winter Blanket]]&gt;0,1,0)</f>
        <v>0</v>
      </c>
      <c r="AN653" s="439">
        <f>IF(NFI_Expiration=1,IF($A653&lt;VLOOKUP(V$5,NFI,5,0),1,0)*Table_NFI[[#This Row],[Jerry Can]],Table_NFI[Jerry Can])</f>
        <v>0</v>
      </c>
      <c r="AO653" s="771" t="str">
        <f>IFERROR(VLOOKUP(Table_NFI[[#This Row],[Camp Name]],CL,2,0),"")</f>
        <v>MMR001CMP057</v>
      </c>
      <c r="AP653" s="772">
        <f ca="1">IF(Table_NFI[[#This Row],[Pcode]]="","",IF(OFFSET(CampList[Opening Date],MATCH(Table_NFI[[#This Row],[Pcode]],CampList[CP_Pcode],0)-1,0,1,1)&gt;=NFI_Monitor_Date,1,0))</f>
        <v>0</v>
      </c>
      <c r="AQ653" s="771" t="str">
        <f>IFERROR(VLOOKUP(Table_NFI[[#This Row],[Camp Name]],CL,3,0),"")</f>
        <v>Closed</v>
      </c>
      <c r="AR653" s="436" t="str">
        <f ca="1">IF(Table_NFI[[#This Row],[Pcode]]="","",OFFSET(CampList[Priority],MATCH(Table_NFI[[#This Row],[Pcode]],CampList[CP_Pcode],0)-1,0,1,1))</f>
        <v>P4</v>
      </c>
      <c r="AS653" s="438" t="str">
        <f>IFERROR(Table_NFI[[#This Row],[Kitchen Set]]/VLOOKUP(Table_NFI[[#This Row],[Camp Name]],CL,4,0),"")</f>
        <v/>
      </c>
      <c r="AT653" s="769" t="s">
        <v>1099</v>
      </c>
      <c r="AU653" s="773"/>
    </row>
    <row r="654" spans="1:47" x14ac:dyDescent="0.25">
      <c r="A654" s="451">
        <f t="shared" si="10"/>
        <v>35.799999999999997</v>
      </c>
      <c r="B654" s="768">
        <v>41296</v>
      </c>
      <c r="C654" s="769" t="s">
        <v>912</v>
      </c>
      <c r="D654" s="770" t="s">
        <v>912</v>
      </c>
      <c r="E654" s="769" t="s">
        <v>380</v>
      </c>
      <c r="F654" s="435" t="s">
        <v>5</v>
      </c>
      <c r="G654" s="435" t="s">
        <v>22</v>
      </c>
      <c r="H654" s="436">
        <v>1824</v>
      </c>
      <c r="I654" s="436"/>
      <c r="J654" s="436">
        <v>2090</v>
      </c>
      <c r="K654" s="436"/>
      <c r="L654" s="437"/>
      <c r="M654" s="437"/>
      <c r="N654" s="437"/>
      <c r="O654" s="437"/>
      <c r="P654" s="437">
        <v>0</v>
      </c>
      <c r="Q654" s="437">
        <v>0</v>
      </c>
      <c r="R654" s="436"/>
      <c r="S654" s="436"/>
      <c r="T654" s="436"/>
      <c r="U654" s="436"/>
      <c r="V654" s="436"/>
      <c r="W654" s="436"/>
      <c r="X654" s="436"/>
      <c r="Y654" s="436">
        <f>IF(NFI_Expiration=1,IF($A654&lt;VLOOKUP(H$5,NFI,5,0),1,0)*Table_NFI[[#This Row],[Hygiene Kit]],Table_NFI[Hygiene Kit])</f>
        <v>0</v>
      </c>
      <c r="Z654" s="436">
        <f>IF(NFI_Expiration=1,IF($A654&lt;VLOOKUP(I$5,NFI,5,0),1,0)*Table_NFI[[#This Row],[NFI Core Kit]],Table_NFI[NFI Core Kit])</f>
        <v>0</v>
      </c>
      <c r="AA654" s="436">
        <f>IF(NFI_Expiration=1,IF($A654&lt;VLOOKUP(J$5,NFI,5,0),1,0)*Table_NFI[[#This Row],[Sanitary Kit]],Table_NFI[Sanitary Kit])</f>
        <v>0</v>
      </c>
      <c r="AB654" s="436">
        <f>IF(NFI_Expiration=1,IF($A654&lt;VLOOKUP(K$5,NFI,5,0),1,0)*Table_NFI[[#This Row],[Mosquito net]],Table_NFI[Mosquito net])</f>
        <v>0</v>
      </c>
      <c r="AC654" s="436">
        <f>IF(NFI_Expiration=1,IF($A654&lt;VLOOKUP(L$5,NFI,5,0),1,0)*Table_NFI[[#This Row],[Tarpaulin]],Table_NFI[[#This Row],[Tarpaulin]])</f>
        <v>0</v>
      </c>
      <c r="AD654" s="436">
        <f>IF(NFI_Expiration=1,IF($A654&lt;VLOOKUP(M$5,NFI,5,0),1,0)*Table_NFI[[#This Row],[Blanket]],Table_NFI[[#This Row],[Blanket]])</f>
        <v>0</v>
      </c>
      <c r="AE654" s="436">
        <f>IF(NFI_Expiration=1,IF($A654&lt;VLOOKUP(N$5,NFI,5,0),1,0)*Table_NFI[[#This Row],[Kitchen Set]],Table_NFI[Kitchen Set])</f>
        <v>0</v>
      </c>
      <c r="AF654" s="436">
        <f>IF(NFI_Expiration=1,IF($A654&lt;VLOOKUP(O$5,NFI,5,0),1,0)*Table_NFI[[#This Row],[Clothes Kit]],Table_NFI[Clothes Kit])</f>
        <v>0</v>
      </c>
      <c r="AG654" s="436">
        <f>IF(NFI_Expiration=1,IF($A654&lt;VLOOKUP(P$5,NFI,5,0),1,0)*Table_NFI[[#This Row],[Plastic Bucket]],Table_NFI[Plastic Bucket])</f>
        <v>0</v>
      </c>
      <c r="AH654" s="436">
        <f>IF(NFI_Expiration=1,IF($A654&lt;VLOOKUP(Q$5,NFI,5,0),1,0)*Table_NFI[[#This Row],[Plastic Mat]],Table_NFI[Plastic Mat])*IF(Table_NFI[[#This Row],[Distribution Date]]&gt;"2014-04-01",1,2.5)</f>
        <v>0</v>
      </c>
      <c r="AI654" s="436">
        <f>IF(NFI_Expiration=1,IF($A654&lt;VLOOKUP(R$5,NFI,5,0),1,0)*Table_NFI[[#This Row],[Winter Clothes Adult]],Table_NFI[Winter Clothes Adult])</f>
        <v>0</v>
      </c>
      <c r="AJ654" s="436">
        <f>IF(NFI_Expiration=1,IF($A654&lt;VLOOKUP(S$5,NFI,5,0),1,0)*Table_NFI[[#This Row],[Winter Clothes Children]],Table_NFI[Winter Clothes Children])</f>
        <v>0</v>
      </c>
      <c r="AK654" s="436">
        <f>IF(NFI_Expiration=1,IF($A654&lt;VLOOKUP(T$5,NFI,5,0),1,0)*Table_NFI[[#This Row],[Winter Items Other]],Table_NFI[Winter Items Other])</f>
        <v>0</v>
      </c>
      <c r="AL654" s="436">
        <f>IF(NFI_Expiration=1,IF($A654&lt;VLOOKUP(M$5,NFI,5,0),1,0)*Table_NFI[[#This Row],[Winter Blanket]],Table_NFI[[#This Row],[Winter Blanket]])</f>
        <v>0</v>
      </c>
      <c r="AM654" s="436">
        <f>IF(Table_NFI[[#This Row],[Winter Clothes Adult]]+Table_NFI[[#This Row],[Winter Clothes Children]]+Table_NFI[[#This Row],[Winter Items Other]]+Table_NFI[[#This Row],[Winter Blanket]]&gt;0,1,0)</f>
        <v>0</v>
      </c>
      <c r="AN654" s="439">
        <f>IF(NFI_Expiration=1,IF($A654&lt;VLOOKUP(V$5,NFI,5,0),1,0)*Table_NFI[[#This Row],[Jerry Can]],Table_NFI[Jerry Can])</f>
        <v>0</v>
      </c>
      <c r="AO654" s="771" t="str">
        <f>IFERROR(VLOOKUP(Table_NFI[[#This Row],[Camp Name]],CL,2,0),"")</f>
        <v>MMR001CMP047</v>
      </c>
      <c r="AP654" s="772">
        <f ca="1">IF(Table_NFI[[#This Row],[Pcode]]="","",IF(OFFSET(CampList[Opening Date],MATCH(Table_NFI[[#This Row],[Pcode]],CampList[CP_Pcode],0)-1,0,1,1)&gt;=NFI_Monitor_Date,1,0))</f>
        <v>0</v>
      </c>
      <c r="AQ654" s="771" t="str">
        <f>IFERROR(VLOOKUP(Table_NFI[[#This Row],[Camp Name]],CL,3,0),"")</f>
        <v>Open</v>
      </c>
      <c r="AR654" s="436" t="str">
        <f ca="1">IF(Table_NFI[[#This Row],[Pcode]]="","",OFFSET(CampList[Priority],MATCH(Table_NFI[[#This Row],[Pcode]],CampList[CP_Pcode],0)-1,0,1,1))</f>
        <v>P4</v>
      </c>
      <c r="AS654" s="438">
        <f>IFERROR(Table_NFI[[#This Row],[Kitchen Set]]/VLOOKUP(Table_NFI[[#This Row],[Camp Name]],CL,4,0),"")</f>
        <v>0</v>
      </c>
      <c r="AT654" s="769" t="s">
        <v>1099</v>
      </c>
      <c r="AU654" s="773"/>
    </row>
    <row r="655" spans="1:47" x14ac:dyDescent="0.25">
      <c r="A655" s="451">
        <f t="shared" si="10"/>
        <v>35.833333333333336</v>
      </c>
      <c r="B655" s="768">
        <v>41295</v>
      </c>
      <c r="C655" s="769" t="s">
        <v>912</v>
      </c>
      <c r="D655" s="769" t="s">
        <v>912</v>
      </c>
      <c r="E655" s="769" t="s">
        <v>380</v>
      </c>
      <c r="F655" s="435" t="s">
        <v>5</v>
      </c>
      <c r="G655" s="435" t="s">
        <v>20</v>
      </c>
      <c r="H655" s="436">
        <v>85</v>
      </c>
      <c r="I655" s="436"/>
      <c r="J655" s="436">
        <v>105</v>
      </c>
      <c r="K655" s="436"/>
      <c r="L655" s="437"/>
      <c r="M655" s="437"/>
      <c r="N655" s="437"/>
      <c r="O655" s="437"/>
      <c r="P655" s="439">
        <v>0</v>
      </c>
      <c r="Q655" s="439">
        <v>0</v>
      </c>
      <c r="R655" s="436"/>
      <c r="S655" s="436"/>
      <c r="T655" s="436"/>
      <c r="U655" s="436"/>
      <c r="V655" s="436"/>
      <c r="W655" s="436"/>
      <c r="X655" s="436"/>
      <c r="Y655" s="436">
        <f>IF(NFI_Expiration=1,IF($A655&lt;VLOOKUP(H$5,NFI,5,0),1,0)*Table_NFI[[#This Row],[Hygiene Kit]],Table_NFI[Hygiene Kit])</f>
        <v>0</v>
      </c>
      <c r="Z655" s="436">
        <f>IF(NFI_Expiration=1,IF($A655&lt;VLOOKUP(I$5,NFI,5,0),1,0)*Table_NFI[[#This Row],[NFI Core Kit]],Table_NFI[NFI Core Kit])</f>
        <v>0</v>
      </c>
      <c r="AA655" s="436">
        <f>IF(NFI_Expiration=1,IF($A655&lt;VLOOKUP(J$5,NFI,5,0),1,0)*Table_NFI[[#This Row],[Sanitary Kit]],Table_NFI[Sanitary Kit])</f>
        <v>0</v>
      </c>
      <c r="AB655" s="436">
        <f>IF(NFI_Expiration=1,IF($A655&lt;VLOOKUP(K$5,NFI,5,0),1,0)*Table_NFI[[#This Row],[Mosquito net]],Table_NFI[Mosquito net])</f>
        <v>0</v>
      </c>
      <c r="AC655" s="436">
        <f>IF(NFI_Expiration=1,IF($A655&lt;VLOOKUP(L$5,NFI,5,0),1,0)*Table_NFI[[#This Row],[Tarpaulin]],Table_NFI[[#This Row],[Tarpaulin]])</f>
        <v>0</v>
      </c>
      <c r="AD655" s="436">
        <f>IF(NFI_Expiration=1,IF($A655&lt;VLOOKUP(M$5,NFI,5,0),1,0)*Table_NFI[[#This Row],[Blanket]],Table_NFI[[#This Row],[Blanket]])</f>
        <v>0</v>
      </c>
      <c r="AE655" s="436">
        <f>IF(NFI_Expiration=1,IF($A655&lt;VLOOKUP(N$5,NFI,5,0),1,0)*Table_NFI[[#This Row],[Kitchen Set]],Table_NFI[Kitchen Set])</f>
        <v>0</v>
      </c>
      <c r="AF655" s="436">
        <f>IF(NFI_Expiration=1,IF($A655&lt;VLOOKUP(O$5,NFI,5,0),1,0)*Table_NFI[[#This Row],[Clothes Kit]],Table_NFI[Clothes Kit])</f>
        <v>0</v>
      </c>
      <c r="AG655" s="436">
        <f>IF(NFI_Expiration=1,IF($A655&lt;VLOOKUP(P$5,NFI,5,0),1,0)*Table_NFI[[#This Row],[Plastic Bucket]],Table_NFI[Plastic Bucket])</f>
        <v>0</v>
      </c>
      <c r="AH655" s="436">
        <f>IF(NFI_Expiration=1,IF($A655&lt;VLOOKUP(Q$5,NFI,5,0),1,0)*Table_NFI[[#This Row],[Plastic Mat]],Table_NFI[Plastic Mat])*IF(Table_NFI[[#This Row],[Distribution Date]]&gt;"2014-04-01",1,2.5)</f>
        <v>0</v>
      </c>
      <c r="AI655" s="436">
        <f>IF(NFI_Expiration=1,IF($A655&lt;VLOOKUP(R$5,NFI,5,0),1,0)*Table_NFI[[#This Row],[Winter Clothes Adult]],Table_NFI[Winter Clothes Adult])</f>
        <v>0</v>
      </c>
      <c r="AJ655" s="436">
        <f>IF(NFI_Expiration=1,IF($A655&lt;VLOOKUP(S$5,NFI,5,0),1,0)*Table_NFI[[#This Row],[Winter Clothes Children]],Table_NFI[Winter Clothes Children])</f>
        <v>0</v>
      </c>
      <c r="AK655" s="436">
        <f>IF(NFI_Expiration=1,IF($A655&lt;VLOOKUP(T$5,NFI,5,0),1,0)*Table_NFI[[#This Row],[Winter Items Other]],Table_NFI[Winter Items Other])</f>
        <v>0</v>
      </c>
      <c r="AL655" s="436">
        <f>IF(NFI_Expiration=1,IF($A655&lt;VLOOKUP(M$5,NFI,5,0),1,0)*Table_NFI[[#This Row],[Winter Blanket]],Table_NFI[[#This Row],[Winter Blanket]])</f>
        <v>0</v>
      </c>
      <c r="AM655" s="436">
        <f>IF(Table_NFI[[#This Row],[Winter Clothes Adult]]+Table_NFI[[#This Row],[Winter Clothes Children]]+Table_NFI[[#This Row],[Winter Items Other]]+Table_NFI[[#This Row],[Winter Blanket]]&gt;0,1,0)</f>
        <v>0</v>
      </c>
      <c r="AN655" s="439">
        <f>IF(NFI_Expiration=1,IF($A655&lt;VLOOKUP(V$5,NFI,5,0),1,0)*Table_NFI[[#This Row],[Jerry Can]],Table_NFI[Jerry Can])</f>
        <v>0</v>
      </c>
      <c r="AO655" s="771" t="str">
        <f>IFERROR(VLOOKUP(Table_NFI[[#This Row],[Camp Name]],CL,2,0),"")</f>
        <v>MMR001CMP054</v>
      </c>
      <c r="AP655" s="772">
        <f ca="1">IF(Table_NFI[[#This Row],[Pcode]]="","",IF(OFFSET(CampList[Opening Date],MATCH(Table_NFI[[#This Row],[Pcode]],CampList[CP_Pcode],0)-1,0,1,1)&gt;=NFI_Monitor_Date,1,0))</f>
        <v>0</v>
      </c>
      <c r="AQ655" s="771" t="str">
        <f>IFERROR(VLOOKUP(Table_NFI[[#This Row],[Camp Name]],CL,3,0),"")</f>
        <v>Open</v>
      </c>
      <c r="AR655" s="436" t="str">
        <f ca="1">IF(Table_NFI[[#This Row],[Pcode]]="","",OFFSET(CampList[Priority],MATCH(Table_NFI[[#This Row],[Pcode]],CampList[CP_Pcode],0)-1,0,1,1))</f>
        <v>P4</v>
      </c>
      <c r="AS655" s="438">
        <f>IFERROR(Table_NFI[[#This Row],[Kitchen Set]]/VLOOKUP(Table_NFI[[#This Row],[Camp Name]],CL,4,0),"")</f>
        <v>0</v>
      </c>
      <c r="AT655" s="769" t="s">
        <v>1099</v>
      </c>
      <c r="AU655" s="773"/>
    </row>
    <row r="656" spans="1:47" x14ac:dyDescent="0.25">
      <c r="A656" s="451">
        <f t="shared" si="10"/>
        <v>36</v>
      </c>
      <c r="B656" s="768">
        <v>41290</v>
      </c>
      <c r="C656" s="769" t="s">
        <v>912</v>
      </c>
      <c r="D656" s="770" t="s">
        <v>912</v>
      </c>
      <c r="E656" s="769" t="s">
        <v>380</v>
      </c>
      <c r="F656" s="435" t="s">
        <v>185</v>
      </c>
      <c r="G656" s="435" t="s">
        <v>209</v>
      </c>
      <c r="H656" s="436">
        <v>1215</v>
      </c>
      <c r="I656" s="436"/>
      <c r="J656" s="436">
        <v>1735</v>
      </c>
      <c r="K656" s="436"/>
      <c r="L656" s="437"/>
      <c r="M656" s="437"/>
      <c r="N656" s="437"/>
      <c r="O656" s="437"/>
      <c r="P656" s="437">
        <v>0</v>
      </c>
      <c r="Q656" s="437">
        <v>0</v>
      </c>
      <c r="R656" s="436"/>
      <c r="S656" s="436"/>
      <c r="T656" s="436"/>
      <c r="U656" s="436"/>
      <c r="V656" s="436"/>
      <c r="W656" s="436"/>
      <c r="X656" s="436"/>
      <c r="Y656" s="436">
        <f>IF(NFI_Expiration=1,IF($A656&lt;VLOOKUP(H$5,NFI,5,0),1,0)*Table_NFI[[#This Row],[Hygiene Kit]],Table_NFI[Hygiene Kit])</f>
        <v>0</v>
      </c>
      <c r="Z656" s="436">
        <f>IF(NFI_Expiration=1,IF($A656&lt;VLOOKUP(I$5,NFI,5,0),1,0)*Table_NFI[[#This Row],[NFI Core Kit]],Table_NFI[NFI Core Kit])</f>
        <v>0</v>
      </c>
      <c r="AA656" s="436">
        <f>IF(NFI_Expiration=1,IF($A656&lt;VLOOKUP(J$5,NFI,5,0),1,0)*Table_NFI[[#This Row],[Sanitary Kit]],Table_NFI[Sanitary Kit])</f>
        <v>0</v>
      </c>
      <c r="AB656" s="436">
        <f>IF(NFI_Expiration=1,IF($A656&lt;VLOOKUP(K$5,NFI,5,0),1,0)*Table_NFI[[#This Row],[Mosquito net]],Table_NFI[Mosquito net])</f>
        <v>0</v>
      </c>
      <c r="AC656" s="436">
        <f>IF(NFI_Expiration=1,IF($A656&lt;VLOOKUP(L$5,NFI,5,0),1,0)*Table_NFI[[#This Row],[Tarpaulin]],Table_NFI[[#This Row],[Tarpaulin]])</f>
        <v>0</v>
      </c>
      <c r="AD656" s="436">
        <f>IF(NFI_Expiration=1,IF($A656&lt;VLOOKUP(M$5,NFI,5,0),1,0)*Table_NFI[[#This Row],[Blanket]],Table_NFI[[#This Row],[Blanket]])</f>
        <v>0</v>
      </c>
      <c r="AE656" s="436">
        <f>IF(NFI_Expiration=1,IF($A656&lt;VLOOKUP(N$5,NFI,5,0),1,0)*Table_NFI[[#This Row],[Kitchen Set]],Table_NFI[Kitchen Set])</f>
        <v>0</v>
      </c>
      <c r="AF656" s="436">
        <f>IF(NFI_Expiration=1,IF($A656&lt;VLOOKUP(O$5,NFI,5,0),1,0)*Table_NFI[[#This Row],[Clothes Kit]],Table_NFI[Clothes Kit])</f>
        <v>0</v>
      </c>
      <c r="AG656" s="436">
        <f>IF(NFI_Expiration=1,IF($A656&lt;VLOOKUP(P$5,NFI,5,0),1,0)*Table_NFI[[#This Row],[Plastic Bucket]],Table_NFI[Plastic Bucket])</f>
        <v>0</v>
      </c>
      <c r="AH656" s="436">
        <f>IF(NFI_Expiration=1,IF($A656&lt;VLOOKUP(Q$5,NFI,5,0),1,0)*Table_NFI[[#This Row],[Plastic Mat]],Table_NFI[Plastic Mat])*IF(Table_NFI[[#This Row],[Distribution Date]]&gt;"2014-04-01",1,2.5)</f>
        <v>0</v>
      </c>
      <c r="AI656" s="436">
        <f>IF(NFI_Expiration=1,IF($A656&lt;VLOOKUP(R$5,NFI,5,0),1,0)*Table_NFI[[#This Row],[Winter Clothes Adult]],Table_NFI[Winter Clothes Adult])</f>
        <v>0</v>
      </c>
      <c r="AJ656" s="436">
        <f>IF(NFI_Expiration=1,IF($A656&lt;VLOOKUP(S$5,NFI,5,0),1,0)*Table_NFI[[#This Row],[Winter Clothes Children]],Table_NFI[Winter Clothes Children])</f>
        <v>0</v>
      </c>
      <c r="AK656" s="436">
        <f>IF(NFI_Expiration=1,IF($A656&lt;VLOOKUP(T$5,NFI,5,0),1,0)*Table_NFI[[#This Row],[Winter Items Other]],Table_NFI[Winter Items Other])</f>
        <v>0</v>
      </c>
      <c r="AL656" s="436">
        <f>IF(NFI_Expiration=1,IF($A656&lt;VLOOKUP(M$5,NFI,5,0),1,0)*Table_NFI[[#This Row],[Winter Blanket]],Table_NFI[[#This Row],[Winter Blanket]])</f>
        <v>0</v>
      </c>
      <c r="AM656" s="436">
        <f>IF(Table_NFI[[#This Row],[Winter Clothes Adult]]+Table_NFI[[#This Row],[Winter Clothes Children]]+Table_NFI[[#This Row],[Winter Items Other]]+Table_NFI[[#This Row],[Winter Blanket]]&gt;0,1,0)</f>
        <v>0</v>
      </c>
      <c r="AN656" s="439">
        <f>IF(NFI_Expiration=1,IF($A656&lt;VLOOKUP(V$5,NFI,5,0),1,0)*Table_NFI[[#This Row],[Jerry Can]],Table_NFI[Jerry Can])</f>
        <v>0</v>
      </c>
      <c r="AO656" s="771" t="str">
        <f>IFERROR(VLOOKUP(Table_NFI[[#This Row],[Camp Name]],CL,2,0),"")</f>
        <v>MMR001CMP056</v>
      </c>
      <c r="AP656" s="772">
        <f ca="1">IF(Table_NFI[[#This Row],[Pcode]]="","",IF(OFFSET(CampList[Opening Date],MATCH(Table_NFI[[#This Row],[Pcode]],CampList[CP_Pcode],0)-1,0,1,1)&gt;=NFI_Monitor_Date,1,0))</f>
        <v>0</v>
      </c>
      <c r="AQ656" s="771" t="str">
        <f>IFERROR(VLOOKUP(Table_NFI[[#This Row],[Camp Name]],CL,3,0),"")</f>
        <v>Open</v>
      </c>
      <c r="AR656" s="436" t="str">
        <f ca="1">IF(Table_NFI[[#This Row],[Pcode]]="","",OFFSET(CampList[Priority],MATCH(Table_NFI[[#This Row],[Pcode]],CampList[CP_Pcode],0)-1,0,1,1))</f>
        <v>P4</v>
      </c>
      <c r="AS656" s="438">
        <f>IFERROR(Table_NFI[[#This Row],[Kitchen Set]]/VLOOKUP(Table_NFI[[#This Row],[Camp Name]],CL,4,0),"")</f>
        <v>0</v>
      </c>
      <c r="AT656" s="769" t="s">
        <v>1099</v>
      </c>
      <c r="AU656" s="773"/>
    </row>
    <row r="657" spans="1:47" x14ac:dyDescent="0.25">
      <c r="A657" s="451">
        <f t="shared" si="10"/>
        <v>36.06666666666667</v>
      </c>
      <c r="B657" s="768">
        <v>41288</v>
      </c>
      <c r="C657" s="769" t="s">
        <v>912</v>
      </c>
      <c r="D657" s="769" t="s">
        <v>912</v>
      </c>
      <c r="E657" s="769" t="s">
        <v>380</v>
      </c>
      <c r="F657" s="435" t="s">
        <v>5</v>
      </c>
      <c r="G657" s="435" t="s">
        <v>6</v>
      </c>
      <c r="H657" s="436">
        <v>940</v>
      </c>
      <c r="I657" s="436"/>
      <c r="J657" s="436">
        <v>1310</v>
      </c>
      <c r="K657" s="436"/>
      <c r="L657" s="437"/>
      <c r="M657" s="437"/>
      <c r="N657" s="437"/>
      <c r="O657" s="437"/>
      <c r="P657" s="439">
        <v>0</v>
      </c>
      <c r="Q657" s="439">
        <v>0</v>
      </c>
      <c r="R657" s="436"/>
      <c r="S657" s="436"/>
      <c r="T657" s="436"/>
      <c r="U657" s="436"/>
      <c r="V657" s="436"/>
      <c r="W657" s="436"/>
      <c r="X657" s="436"/>
      <c r="Y657" s="436">
        <f>IF(NFI_Expiration=1,IF($A657&lt;VLOOKUP(H$5,NFI,5,0),1,0)*Table_NFI[[#This Row],[Hygiene Kit]],Table_NFI[Hygiene Kit])</f>
        <v>0</v>
      </c>
      <c r="Z657" s="436">
        <f>IF(NFI_Expiration=1,IF($A657&lt;VLOOKUP(I$5,NFI,5,0),1,0)*Table_NFI[[#This Row],[NFI Core Kit]],Table_NFI[NFI Core Kit])</f>
        <v>0</v>
      </c>
      <c r="AA657" s="436">
        <f>IF(NFI_Expiration=1,IF($A657&lt;VLOOKUP(J$5,NFI,5,0),1,0)*Table_NFI[[#This Row],[Sanitary Kit]],Table_NFI[Sanitary Kit])</f>
        <v>0</v>
      </c>
      <c r="AB657" s="436">
        <f>IF(NFI_Expiration=1,IF($A657&lt;VLOOKUP(K$5,NFI,5,0),1,0)*Table_NFI[[#This Row],[Mosquito net]],Table_NFI[Mosquito net])</f>
        <v>0</v>
      </c>
      <c r="AC657" s="436">
        <f>IF(NFI_Expiration=1,IF($A657&lt;VLOOKUP(L$5,NFI,5,0),1,0)*Table_NFI[[#This Row],[Tarpaulin]],Table_NFI[[#This Row],[Tarpaulin]])</f>
        <v>0</v>
      </c>
      <c r="AD657" s="436">
        <f>IF(NFI_Expiration=1,IF($A657&lt;VLOOKUP(M$5,NFI,5,0),1,0)*Table_NFI[[#This Row],[Blanket]],Table_NFI[[#This Row],[Blanket]])</f>
        <v>0</v>
      </c>
      <c r="AE657" s="436">
        <f>IF(NFI_Expiration=1,IF($A657&lt;VLOOKUP(N$5,NFI,5,0),1,0)*Table_NFI[[#This Row],[Kitchen Set]],Table_NFI[Kitchen Set])</f>
        <v>0</v>
      </c>
      <c r="AF657" s="436">
        <f>IF(NFI_Expiration=1,IF($A657&lt;VLOOKUP(O$5,NFI,5,0),1,0)*Table_NFI[[#This Row],[Clothes Kit]],Table_NFI[Clothes Kit])</f>
        <v>0</v>
      </c>
      <c r="AG657" s="436">
        <f>IF(NFI_Expiration=1,IF($A657&lt;VLOOKUP(P$5,NFI,5,0),1,0)*Table_NFI[[#This Row],[Plastic Bucket]],Table_NFI[Plastic Bucket])</f>
        <v>0</v>
      </c>
      <c r="AH657" s="436">
        <f>IF(NFI_Expiration=1,IF($A657&lt;VLOOKUP(Q$5,NFI,5,0),1,0)*Table_NFI[[#This Row],[Plastic Mat]],Table_NFI[Plastic Mat])*IF(Table_NFI[[#This Row],[Distribution Date]]&gt;"2014-04-01",1,2.5)</f>
        <v>0</v>
      </c>
      <c r="AI657" s="436">
        <f>IF(NFI_Expiration=1,IF($A657&lt;VLOOKUP(R$5,NFI,5,0),1,0)*Table_NFI[[#This Row],[Winter Clothes Adult]],Table_NFI[Winter Clothes Adult])</f>
        <v>0</v>
      </c>
      <c r="AJ657" s="436">
        <f>IF(NFI_Expiration=1,IF($A657&lt;VLOOKUP(S$5,NFI,5,0),1,0)*Table_NFI[[#This Row],[Winter Clothes Children]],Table_NFI[Winter Clothes Children])</f>
        <v>0</v>
      </c>
      <c r="AK657" s="436">
        <f>IF(NFI_Expiration=1,IF($A657&lt;VLOOKUP(T$5,NFI,5,0),1,0)*Table_NFI[[#This Row],[Winter Items Other]],Table_NFI[Winter Items Other])</f>
        <v>0</v>
      </c>
      <c r="AL657" s="436">
        <f>IF(NFI_Expiration=1,IF($A657&lt;VLOOKUP(M$5,NFI,5,0),1,0)*Table_NFI[[#This Row],[Winter Blanket]],Table_NFI[[#This Row],[Winter Blanket]])</f>
        <v>0</v>
      </c>
      <c r="AM657" s="436">
        <f>IF(Table_NFI[[#This Row],[Winter Clothes Adult]]+Table_NFI[[#This Row],[Winter Clothes Children]]+Table_NFI[[#This Row],[Winter Items Other]]+Table_NFI[[#This Row],[Winter Blanket]]&gt;0,1,0)</f>
        <v>0</v>
      </c>
      <c r="AN657" s="439">
        <f>IF(NFI_Expiration=1,IF($A657&lt;VLOOKUP(V$5,NFI,5,0),1,0)*Table_NFI[[#This Row],[Jerry Can]],Table_NFI[Jerry Can])</f>
        <v>0</v>
      </c>
      <c r="AO657" s="771" t="str">
        <f>IFERROR(VLOOKUP(Table_NFI[[#This Row],[Camp Name]],CL,2,0),"")</f>
        <v>MMR001CMP050</v>
      </c>
      <c r="AP657" s="772">
        <f ca="1">IF(Table_NFI[[#This Row],[Pcode]]="","",IF(OFFSET(CampList[Opening Date],MATCH(Table_NFI[[#This Row],[Pcode]],CampList[CP_Pcode],0)-1,0,1,1)&gt;=NFI_Monitor_Date,1,0))</f>
        <v>0</v>
      </c>
      <c r="AQ657" s="771" t="str">
        <f>IFERROR(VLOOKUP(Table_NFI[[#This Row],[Camp Name]],CL,3,0),"")</f>
        <v>Open</v>
      </c>
      <c r="AR657" s="436" t="str">
        <f ca="1">IF(Table_NFI[[#This Row],[Pcode]]="","",OFFSET(CampList[Priority],MATCH(Table_NFI[[#This Row],[Pcode]],CampList[CP_Pcode],0)-1,0,1,1))</f>
        <v>P4</v>
      </c>
      <c r="AS657" s="438">
        <f>IFERROR(Table_NFI[[#This Row],[Kitchen Set]]/VLOOKUP(Table_NFI[[#This Row],[Camp Name]],CL,4,0),"")</f>
        <v>0</v>
      </c>
      <c r="AT657" s="769" t="s">
        <v>1099</v>
      </c>
      <c r="AU657" s="773"/>
    </row>
    <row r="658" spans="1:47" x14ac:dyDescent="0.25">
      <c r="A658" s="451">
        <f t="shared" si="10"/>
        <v>36.200000000000003</v>
      </c>
      <c r="B658" s="768">
        <v>41284</v>
      </c>
      <c r="C658" s="769" t="s">
        <v>912</v>
      </c>
      <c r="D658" s="770" t="s">
        <v>912</v>
      </c>
      <c r="E658" s="769" t="s">
        <v>380</v>
      </c>
      <c r="F658" s="435" t="s">
        <v>5</v>
      </c>
      <c r="G658" s="435" t="s">
        <v>14</v>
      </c>
      <c r="H658" s="436">
        <v>212</v>
      </c>
      <c r="I658" s="436"/>
      <c r="J658" s="436">
        <v>240</v>
      </c>
      <c r="K658" s="436"/>
      <c r="L658" s="437"/>
      <c r="M658" s="437"/>
      <c r="N658" s="437"/>
      <c r="O658" s="437"/>
      <c r="P658" s="437">
        <v>0</v>
      </c>
      <c r="Q658" s="437">
        <v>0</v>
      </c>
      <c r="R658" s="436"/>
      <c r="S658" s="436"/>
      <c r="T658" s="436"/>
      <c r="U658" s="436"/>
      <c r="V658" s="436"/>
      <c r="W658" s="436"/>
      <c r="X658" s="436"/>
      <c r="Y658" s="436">
        <f>IF(NFI_Expiration=1,IF($A658&lt;VLOOKUP(H$5,NFI,5,0),1,0)*Table_NFI[[#This Row],[Hygiene Kit]],Table_NFI[Hygiene Kit])</f>
        <v>0</v>
      </c>
      <c r="Z658" s="436">
        <f>IF(NFI_Expiration=1,IF($A658&lt;VLOOKUP(I$5,NFI,5,0),1,0)*Table_NFI[[#This Row],[NFI Core Kit]],Table_NFI[NFI Core Kit])</f>
        <v>0</v>
      </c>
      <c r="AA658" s="436">
        <f>IF(NFI_Expiration=1,IF($A658&lt;VLOOKUP(J$5,NFI,5,0),1,0)*Table_NFI[[#This Row],[Sanitary Kit]],Table_NFI[Sanitary Kit])</f>
        <v>0</v>
      </c>
      <c r="AB658" s="436">
        <f>IF(NFI_Expiration=1,IF($A658&lt;VLOOKUP(K$5,NFI,5,0),1,0)*Table_NFI[[#This Row],[Mosquito net]],Table_NFI[Mosquito net])</f>
        <v>0</v>
      </c>
      <c r="AC658" s="436">
        <f>IF(NFI_Expiration=1,IF($A658&lt;VLOOKUP(L$5,NFI,5,0),1,0)*Table_NFI[[#This Row],[Tarpaulin]],Table_NFI[[#This Row],[Tarpaulin]])</f>
        <v>0</v>
      </c>
      <c r="AD658" s="436">
        <f>IF(NFI_Expiration=1,IF($A658&lt;VLOOKUP(M$5,NFI,5,0),1,0)*Table_NFI[[#This Row],[Blanket]],Table_NFI[[#This Row],[Blanket]])</f>
        <v>0</v>
      </c>
      <c r="AE658" s="436">
        <f>IF(NFI_Expiration=1,IF($A658&lt;VLOOKUP(N$5,NFI,5,0),1,0)*Table_NFI[[#This Row],[Kitchen Set]],Table_NFI[Kitchen Set])</f>
        <v>0</v>
      </c>
      <c r="AF658" s="436">
        <f>IF(NFI_Expiration=1,IF($A658&lt;VLOOKUP(O$5,NFI,5,0),1,0)*Table_NFI[[#This Row],[Clothes Kit]],Table_NFI[Clothes Kit])</f>
        <v>0</v>
      </c>
      <c r="AG658" s="436">
        <f>IF(NFI_Expiration=1,IF($A658&lt;VLOOKUP(P$5,NFI,5,0),1,0)*Table_NFI[[#This Row],[Plastic Bucket]],Table_NFI[Plastic Bucket])</f>
        <v>0</v>
      </c>
      <c r="AH658" s="436">
        <f>IF(NFI_Expiration=1,IF($A658&lt;VLOOKUP(Q$5,NFI,5,0),1,0)*Table_NFI[[#This Row],[Plastic Mat]],Table_NFI[Plastic Mat])*IF(Table_NFI[[#This Row],[Distribution Date]]&gt;"2014-04-01",1,2.5)</f>
        <v>0</v>
      </c>
      <c r="AI658" s="436">
        <f>IF(NFI_Expiration=1,IF($A658&lt;VLOOKUP(R$5,NFI,5,0),1,0)*Table_NFI[[#This Row],[Winter Clothes Adult]],Table_NFI[Winter Clothes Adult])</f>
        <v>0</v>
      </c>
      <c r="AJ658" s="436">
        <f>IF(NFI_Expiration=1,IF($A658&lt;VLOOKUP(S$5,NFI,5,0),1,0)*Table_NFI[[#This Row],[Winter Clothes Children]],Table_NFI[Winter Clothes Children])</f>
        <v>0</v>
      </c>
      <c r="AK658" s="436">
        <f>IF(NFI_Expiration=1,IF($A658&lt;VLOOKUP(T$5,NFI,5,0),1,0)*Table_NFI[[#This Row],[Winter Items Other]],Table_NFI[Winter Items Other])</f>
        <v>0</v>
      </c>
      <c r="AL658" s="436">
        <f>IF(NFI_Expiration=1,IF($A658&lt;VLOOKUP(M$5,NFI,5,0),1,0)*Table_NFI[[#This Row],[Winter Blanket]],Table_NFI[[#This Row],[Winter Blanket]])</f>
        <v>0</v>
      </c>
      <c r="AM658" s="436">
        <f>IF(Table_NFI[[#This Row],[Winter Clothes Adult]]+Table_NFI[[#This Row],[Winter Clothes Children]]+Table_NFI[[#This Row],[Winter Items Other]]+Table_NFI[[#This Row],[Winter Blanket]]&gt;0,1,0)</f>
        <v>0</v>
      </c>
      <c r="AN658" s="439">
        <f>IF(NFI_Expiration=1,IF($A658&lt;VLOOKUP(V$5,NFI,5,0),1,0)*Table_NFI[[#This Row],[Jerry Can]],Table_NFI[Jerry Can])</f>
        <v>0</v>
      </c>
      <c r="AO658" s="771" t="str">
        <f>IFERROR(VLOOKUP(Table_NFI[[#This Row],[Camp Name]],CL,2,0),"")</f>
        <v>MMR001CMP052</v>
      </c>
      <c r="AP658" s="772">
        <f ca="1">IF(Table_NFI[[#This Row],[Pcode]]="","",IF(OFFSET(CampList[Opening Date],MATCH(Table_NFI[[#This Row],[Pcode]],CampList[CP_Pcode],0)-1,0,1,1)&gt;=NFI_Monitor_Date,1,0))</f>
        <v>0</v>
      </c>
      <c r="AQ658" s="771" t="str">
        <f>IFERROR(VLOOKUP(Table_NFI[[#This Row],[Camp Name]],CL,3,0),"")</f>
        <v>Open</v>
      </c>
      <c r="AR658" s="436" t="str">
        <f ca="1">IF(Table_NFI[[#This Row],[Pcode]]="","",OFFSET(CampList[Priority],MATCH(Table_NFI[[#This Row],[Pcode]],CampList[CP_Pcode],0)-1,0,1,1))</f>
        <v>P4</v>
      </c>
      <c r="AS658" s="438">
        <f>IFERROR(Table_NFI[[#This Row],[Kitchen Set]]/VLOOKUP(Table_NFI[[#This Row],[Camp Name]],CL,4,0),"")</f>
        <v>0</v>
      </c>
      <c r="AT658" s="769" t="s">
        <v>1099</v>
      </c>
      <c r="AU658" s="773"/>
    </row>
    <row r="659" spans="1:47" x14ac:dyDescent="0.25">
      <c r="A659" s="451">
        <f t="shared" si="10"/>
        <v>36.233333333333334</v>
      </c>
      <c r="B659" s="768">
        <v>41283</v>
      </c>
      <c r="C659" s="769" t="s">
        <v>912</v>
      </c>
      <c r="D659" s="770" t="s">
        <v>912</v>
      </c>
      <c r="E659" s="769" t="s">
        <v>380</v>
      </c>
      <c r="F659" s="435" t="s">
        <v>5</v>
      </c>
      <c r="G659" s="435" t="s">
        <v>18</v>
      </c>
      <c r="H659" s="436">
        <v>205</v>
      </c>
      <c r="I659" s="436"/>
      <c r="J659" s="436">
        <v>200</v>
      </c>
      <c r="K659" s="436"/>
      <c r="L659" s="437"/>
      <c r="M659" s="437"/>
      <c r="N659" s="437"/>
      <c r="O659" s="437"/>
      <c r="P659" s="437">
        <v>0</v>
      </c>
      <c r="Q659" s="437">
        <v>0</v>
      </c>
      <c r="R659" s="436"/>
      <c r="S659" s="436"/>
      <c r="T659" s="436"/>
      <c r="U659" s="436"/>
      <c r="V659" s="436"/>
      <c r="W659" s="436"/>
      <c r="X659" s="436"/>
      <c r="Y659" s="436">
        <f>IF(NFI_Expiration=1,IF($A659&lt;VLOOKUP(H$5,NFI,5,0),1,0)*Table_NFI[[#This Row],[Hygiene Kit]],Table_NFI[Hygiene Kit])</f>
        <v>0</v>
      </c>
      <c r="Z659" s="436">
        <f>IF(NFI_Expiration=1,IF($A659&lt;VLOOKUP(I$5,NFI,5,0),1,0)*Table_NFI[[#This Row],[NFI Core Kit]],Table_NFI[NFI Core Kit])</f>
        <v>0</v>
      </c>
      <c r="AA659" s="436">
        <f>IF(NFI_Expiration=1,IF($A659&lt;VLOOKUP(J$5,NFI,5,0),1,0)*Table_NFI[[#This Row],[Sanitary Kit]],Table_NFI[Sanitary Kit])</f>
        <v>0</v>
      </c>
      <c r="AB659" s="436">
        <f>IF(NFI_Expiration=1,IF($A659&lt;VLOOKUP(K$5,NFI,5,0),1,0)*Table_NFI[[#This Row],[Mosquito net]],Table_NFI[Mosquito net])</f>
        <v>0</v>
      </c>
      <c r="AC659" s="436">
        <f>IF(NFI_Expiration=1,IF($A659&lt;VLOOKUP(L$5,NFI,5,0),1,0)*Table_NFI[[#This Row],[Tarpaulin]],Table_NFI[[#This Row],[Tarpaulin]])</f>
        <v>0</v>
      </c>
      <c r="AD659" s="436">
        <f>IF(NFI_Expiration=1,IF($A659&lt;VLOOKUP(M$5,NFI,5,0),1,0)*Table_NFI[[#This Row],[Blanket]],Table_NFI[[#This Row],[Blanket]])</f>
        <v>0</v>
      </c>
      <c r="AE659" s="436">
        <f>IF(NFI_Expiration=1,IF($A659&lt;VLOOKUP(N$5,NFI,5,0),1,0)*Table_NFI[[#This Row],[Kitchen Set]],Table_NFI[Kitchen Set])</f>
        <v>0</v>
      </c>
      <c r="AF659" s="436">
        <f>IF(NFI_Expiration=1,IF($A659&lt;VLOOKUP(O$5,NFI,5,0),1,0)*Table_NFI[[#This Row],[Clothes Kit]],Table_NFI[Clothes Kit])</f>
        <v>0</v>
      </c>
      <c r="AG659" s="436">
        <f>IF(NFI_Expiration=1,IF($A659&lt;VLOOKUP(P$5,NFI,5,0),1,0)*Table_NFI[[#This Row],[Plastic Bucket]],Table_NFI[Plastic Bucket])</f>
        <v>0</v>
      </c>
      <c r="AH659" s="436">
        <f>IF(NFI_Expiration=1,IF($A659&lt;VLOOKUP(Q$5,NFI,5,0),1,0)*Table_NFI[[#This Row],[Plastic Mat]],Table_NFI[Plastic Mat])*IF(Table_NFI[[#This Row],[Distribution Date]]&gt;"2014-04-01",1,2.5)</f>
        <v>0</v>
      </c>
      <c r="AI659" s="436">
        <f>IF(NFI_Expiration=1,IF($A659&lt;VLOOKUP(R$5,NFI,5,0),1,0)*Table_NFI[[#This Row],[Winter Clothes Adult]],Table_NFI[Winter Clothes Adult])</f>
        <v>0</v>
      </c>
      <c r="AJ659" s="436">
        <f>IF(NFI_Expiration=1,IF($A659&lt;VLOOKUP(S$5,NFI,5,0),1,0)*Table_NFI[[#This Row],[Winter Clothes Children]],Table_NFI[Winter Clothes Children])</f>
        <v>0</v>
      </c>
      <c r="AK659" s="436">
        <f>IF(NFI_Expiration=1,IF($A659&lt;VLOOKUP(T$5,NFI,5,0),1,0)*Table_NFI[[#This Row],[Winter Items Other]],Table_NFI[Winter Items Other])</f>
        <v>0</v>
      </c>
      <c r="AL659" s="436">
        <f>IF(NFI_Expiration=1,IF($A659&lt;VLOOKUP(M$5,NFI,5,0),1,0)*Table_NFI[[#This Row],[Winter Blanket]],Table_NFI[[#This Row],[Winter Blanket]])</f>
        <v>0</v>
      </c>
      <c r="AM659" s="436">
        <f>IF(Table_NFI[[#This Row],[Winter Clothes Adult]]+Table_NFI[[#This Row],[Winter Clothes Children]]+Table_NFI[[#This Row],[Winter Items Other]]+Table_NFI[[#This Row],[Winter Blanket]]&gt;0,1,0)</f>
        <v>0</v>
      </c>
      <c r="AN659" s="439">
        <f>IF(NFI_Expiration=1,IF($A659&lt;VLOOKUP(V$5,NFI,5,0),1,0)*Table_NFI[[#This Row],[Jerry Can]],Table_NFI[Jerry Can])</f>
        <v>0</v>
      </c>
      <c r="AO659" s="771" t="str">
        <f>IFERROR(VLOOKUP(Table_NFI[[#This Row],[Camp Name]],CL,2,0),"")</f>
        <v>MMR001CMP049</v>
      </c>
      <c r="AP659" s="772">
        <f ca="1">IF(Table_NFI[[#This Row],[Pcode]]="","",IF(OFFSET(CampList[Opening Date],MATCH(Table_NFI[[#This Row],[Pcode]],CampList[CP_Pcode],0)-1,0,1,1)&gt;=NFI_Monitor_Date,1,0))</f>
        <v>0</v>
      </c>
      <c r="AQ659" s="771" t="str">
        <f>IFERROR(VLOOKUP(Table_NFI[[#This Row],[Camp Name]],CL,3,0),"")</f>
        <v>Open</v>
      </c>
      <c r="AR659" s="436" t="str">
        <f ca="1">IF(Table_NFI[[#This Row],[Pcode]]="","",OFFSET(CampList[Priority],MATCH(Table_NFI[[#This Row],[Pcode]],CampList[CP_Pcode],0)-1,0,1,1))</f>
        <v>P4</v>
      </c>
      <c r="AS659" s="438">
        <f>IFERROR(Table_NFI[[#This Row],[Kitchen Set]]/VLOOKUP(Table_NFI[[#This Row],[Camp Name]],CL,4,0),"")</f>
        <v>0</v>
      </c>
      <c r="AT659" s="769" t="s">
        <v>1099</v>
      </c>
      <c r="AU659" s="773"/>
    </row>
    <row r="660" spans="1:47" x14ac:dyDescent="0.25">
      <c r="A660" s="451">
        <f t="shared" si="10"/>
        <v>36.266666666666666</v>
      </c>
      <c r="B660" s="768">
        <v>41282</v>
      </c>
      <c r="C660" s="769" t="s">
        <v>912</v>
      </c>
      <c r="D660" s="769" t="s">
        <v>912</v>
      </c>
      <c r="E660" s="769" t="s">
        <v>380</v>
      </c>
      <c r="F660" s="769" t="s">
        <v>185</v>
      </c>
      <c r="G660" s="435" t="s">
        <v>223</v>
      </c>
      <c r="H660" s="436">
        <v>353</v>
      </c>
      <c r="I660" s="436"/>
      <c r="J660" s="436">
        <v>435</v>
      </c>
      <c r="K660" s="436"/>
      <c r="L660" s="437"/>
      <c r="M660" s="437"/>
      <c r="N660" s="437"/>
      <c r="O660" s="437"/>
      <c r="P660" s="437">
        <v>0</v>
      </c>
      <c r="Q660" s="437">
        <v>0</v>
      </c>
      <c r="R660" s="436"/>
      <c r="S660" s="436"/>
      <c r="T660" s="436"/>
      <c r="U660" s="436"/>
      <c r="V660" s="436"/>
      <c r="W660" s="436"/>
      <c r="X660" s="436"/>
      <c r="Y660" s="436">
        <f>IF(NFI_Expiration=1,IF($A660&lt;VLOOKUP(H$5,NFI,5,0),1,0)*Table_NFI[[#This Row],[Hygiene Kit]],Table_NFI[Hygiene Kit])</f>
        <v>0</v>
      </c>
      <c r="Z660" s="436">
        <f>IF(NFI_Expiration=1,IF($A660&lt;VLOOKUP(I$5,NFI,5,0),1,0)*Table_NFI[[#This Row],[NFI Core Kit]],Table_NFI[NFI Core Kit])</f>
        <v>0</v>
      </c>
      <c r="AA660" s="436">
        <f>IF(NFI_Expiration=1,IF($A660&lt;VLOOKUP(J$5,NFI,5,0),1,0)*Table_NFI[[#This Row],[Sanitary Kit]],Table_NFI[Sanitary Kit])</f>
        <v>0</v>
      </c>
      <c r="AB660" s="436">
        <f>IF(NFI_Expiration=1,IF($A660&lt;VLOOKUP(K$5,NFI,5,0),1,0)*Table_NFI[[#This Row],[Mosquito net]],Table_NFI[Mosquito net])</f>
        <v>0</v>
      </c>
      <c r="AC660" s="436">
        <f>IF(NFI_Expiration=1,IF($A660&lt;VLOOKUP(L$5,NFI,5,0),1,0)*Table_NFI[[#This Row],[Tarpaulin]],Table_NFI[[#This Row],[Tarpaulin]])</f>
        <v>0</v>
      </c>
      <c r="AD660" s="436">
        <f>IF(NFI_Expiration=1,IF($A660&lt;VLOOKUP(M$5,NFI,5,0),1,0)*Table_NFI[[#This Row],[Blanket]],Table_NFI[[#This Row],[Blanket]])</f>
        <v>0</v>
      </c>
      <c r="AE660" s="436">
        <f>IF(NFI_Expiration=1,IF($A660&lt;VLOOKUP(N$5,NFI,5,0),1,0)*Table_NFI[[#This Row],[Kitchen Set]],Table_NFI[Kitchen Set])</f>
        <v>0</v>
      </c>
      <c r="AF660" s="436">
        <f>IF(NFI_Expiration=1,IF($A660&lt;VLOOKUP(O$5,NFI,5,0),1,0)*Table_NFI[[#This Row],[Clothes Kit]],Table_NFI[Clothes Kit])</f>
        <v>0</v>
      </c>
      <c r="AG660" s="436">
        <f>IF(NFI_Expiration=1,IF($A660&lt;VLOOKUP(P$5,NFI,5,0),1,0)*Table_NFI[[#This Row],[Plastic Bucket]],Table_NFI[Plastic Bucket])</f>
        <v>0</v>
      </c>
      <c r="AH660" s="436">
        <f>IF(NFI_Expiration=1,IF($A660&lt;VLOOKUP(Q$5,NFI,5,0),1,0)*Table_NFI[[#This Row],[Plastic Mat]],Table_NFI[Plastic Mat])*IF(Table_NFI[[#This Row],[Distribution Date]]&gt;"2014-04-01",1,2.5)</f>
        <v>0</v>
      </c>
      <c r="AI660" s="436">
        <f>IF(NFI_Expiration=1,IF($A660&lt;VLOOKUP(R$5,NFI,5,0),1,0)*Table_NFI[[#This Row],[Winter Clothes Adult]],Table_NFI[Winter Clothes Adult])</f>
        <v>0</v>
      </c>
      <c r="AJ660" s="436">
        <f>IF(NFI_Expiration=1,IF($A660&lt;VLOOKUP(S$5,NFI,5,0),1,0)*Table_NFI[[#This Row],[Winter Clothes Children]],Table_NFI[Winter Clothes Children])</f>
        <v>0</v>
      </c>
      <c r="AK660" s="436">
        <f>IF(NFI_Expiration=1,IF($A660&lt;VLOOKUP(T$5,NFI,5,0),1,0)*Table_NFI[[#This Row],[Winter Items Other]],Table_NFI[Winter Items Other])</f>
        <v>0</v>
      </c>
      <c r="AL660" s="436">
        <f>IF(NFI_Expiration=1,IF($A660&lt;VLOOKUP(M$5,NFI,5,0),1,0)*Table_NFI[[#This Row],[Winter Blanket]],Table_NFI[[#This Row],[Winter Blanket]])</f>
        <v>0</v>
      </c>
      <c r="AM660" s="436">
        <f>IF(Table_NFI[[#This Row],[Winter Clothes Adult]]+Table_NFI[[#This Row],[Winter Clothes Children]]+Table_NFI[[#This Row],[Winter Items Other]]+Table_NFI[[#This Row],[Winter Blanket]]&gt;0,1,0)</f>
        <v>0</v>
      </c>
      <c r="AN660" s="439">
        <f>IF(NFI_Expiration=1,IF($A660&lt;VLOOKUP(V$5,NFI,5,0),1,0)*Table_NFI[[#This Row],[Jerry Can]],Table_NFI[Jerry Can])</f>
        <v>0</v>
      </c>
      <c r="AO660" s="771" t="str">
        <f>IFERROR(VLOOKUP(Table_NFI[[#This Row],[Camp Name]],CL,2,0),"")</f>
        <v>MMR001CMP069</v>
      </c>
      <c r="AP660" s="772">
        <f ca="1">IF(Table_NFI[[#This Row],[Pcode]]="","",IF(OFFSET(CampList[Opening Date],MATCH(Table_NFI[[#This Row],[Pcode]],CampList[CP_Pcode],0)-1,0,1,1)&gt;=NFI_Monitor_Date,1,0))</f>
        <v>0</v>
      </c>
      <c r="AQ660" s="771" t="str">
        <f>IFERROR(VLOOKUP(Table_NFI[[#This Row],[Camp Name]],CL,3,0),"")</f>
        <v>Open</v>
      </c>
      <c r="AR660" s="436" t="str">
        <f ca="1">IF(Table_NFI[[#This Row],[Pcode]]="","",OFFSET(CampList[Priority],MATCH(Table_NFI[[#This Row],[Pcode]],CampList[CP_Pcode],0)-1,0,1,1))</f>
        <v>P3</v>
      </c>
      <c r="AS660" s="438">
        <f>IFERROR(Table_NFI[[#This Row],[Kitchen Set]]/VLOOKUP(Table_NFI[[#This Row],[Camp Name]],CL,4,0),"")</f>
        <v>0</v>
      </c>
      <c r="AT660" s="769" t="s">
        <v>1099</v>
      </c>
      <c r="AU660" s="773"/>
    </row>
    <row r="661" spans="1:47" x14ac:dyDescent="0.25">
      <c r="A661" s="451">
        <f t="shared" si="10"/>
        <v>36.266666666666666</v>
      </c>
      <c r="B661" s="768">
        <v>41282</v>
      </c>
      <c r="C661" s="769" t="s">
        <v>912</v>
      </c>
      <c r="D661" s="769" t="s">
        <v>912</v>
      </c>
      <c r="E661" s="769" t="s">
        <v>380</v>
      </c>
      <c r="F661" s="769" t="s">
        <v>5</v>
      </c>
      <c r="G661" s="435" t="s">
        <v>26</v>
      </c>
      <c r="H661" s="436">
        <v>132</v>
      </c>
      <c r="I661" s="436"/>
      <c r="J661" s="436">
        <v>180</v>
      </c>
      <c r="K661" s="436"/>
      <c r="L661" s="437"/>
      <c r="M661" s="437"/>
      <c r="N661" s="437"/>
      <c r="O661" s="437"/>
      <c r="P661" s="439">
        <v>0</v>
      </c>
      <c r="Q661" s="439">
        <v>0</v>
      </c>
      <c r="R661" s="436"/>
      <c r="S661" s="436"/>
      <c r="T661" s="436"/>
      <c r="U661" s="436"/>
      <c r="V661" s="436"/>
      <c r="W661" s="436"/>
      <c r="X661" s="436"/>
      <c r="Y661" s="436">
        <f>IF(NFI_Expiration=1,IF($A661&lt;VLOOKUP(H$5,NFI,5,0),1,0)*Table_NFI[[#This Row],[Hygiene Kit]],Table_NFI[Hygiene Kit])</f>
        <v>0</v>
      </c>
      <c r="Z661" s="436">
        <f>IF(NFI_Expiration=1,IF($A661&lt;VLOOKUP(I$5,NFI,5,0),1,0)*Table_NFI[[#This Row],[NFI Core Kit]],Table_NFI[NFI Core Kit])</f>
        <v>0</v>
      </c>
      <c r="AA661" s="436">
        <f>IF(NFI_Expiration=1,IF($A661&lt;VLOOKUP(J$5,NFI,5,0),1,0)*Table_NFI[[#This Row],[Sanitary Kit]],Table_NFI[Sanitary Kit])</f>
        <v>0</v>
      </c>
      <c r="AB661" s="436">
        <f>IF(NFI_Expiration=1,IF($A661&lt;VLOOKUP(K$5,NFI,5,0),1,0)*Table_NFI[[#This Row],[Mosquito net]],Table_NFI[Mosquito net])</f>
        <v>0</v>
      </c>
      <c r="AC661" s="436">
        <f>IF(NFI_Expiration=1,IF($A661&lt;VLOOKUP(L$5,NFI,5,0),1,0)*Table_NFI[[#This Row],[Tarpaulin]],Table_NFI[[#This Row],[Tarpaulin]])</f>
        <v>0</v>
      </c>
      <c r="AD661" s="436">
        <f>IF(NFI_Expiration=1,IF($A661&lt;VLOOKUP(M$5,NFI,5,0),1,0)*Table_NFI[[#This Row],[Blanket]],Table_NFI[[#This Row],[Blanket]])</f>
        <v>0</v>
      </c>
      <c r="AE661" s="436">
        <f>IF(NFI_Expiration=1,IF($A661&lt;VLOOKUP(N$5,NFI,5,0),1,0)*Table_NFI[[#This Row],[Kitchen Set]],Table_NFI[Kitchen Set])</f>
        <v>0</v>
      </c>
      <c r="AF661" s="436">
        <f>IF(NFI_Expiration=1,IF($A661&lt;VLOOKUP(O$5,NFI,5,0),1,0)*Table_NFI[[#This Row],[Clothes Kit]],Table_NFI[Clothes Kit])</f>
        <v>0</v>
      </c>
      <c r="AG661" s="436">
        <f>IF(NFI_Expiration=1,IF($A661&lt;VLOOKUP(P$5,NFI,5,0),1,0)*Table_NFI[[#This Row],[Plastic Bucket]],Table_NFI[Plastic Bucket])</f>
        <v>0</v>
      </c>
      <c r="AH661" s="436">
        <f>IF(NFI_Expiration=1,IF($A661&lt;VLOOKUP(Q$5,NFI,5,0),1,0)*Table_NFI[[#This Row],[Plastic Mat]],Table_NFI[Plastic Mat])*IF(Table_NFI[[#This Row],[Distribution Date]]&gt;"2014-04-01",1,2.5)</f>
        <v>0</v>
      </c>
      <c r="AI661" s="436">
        <f>IF(NFI_Expiration=1,IF($A661&lt;VLOOKUP(R$5,NFI,5,0),1,0)*Table_NFI[[#This Row],[Winter Clothes Adult]],Table_NFI[Winter Clothes Adult])</f>
        <v>0</v>
      </c>
      <c r="AJ661" s="436">
        <f>IF(NFI_Expiration=1,IF($A661&lt;VLOOKUP(S$5,NFI,5,0),1,0)*Table_NFI[[#This Row],[Winter Clothes Children]],Table_NFI[Winter Clothes Children])</f>
        <v>0</v>
      </c>
      <c r="AK661" s="436">
        <f>IF(NFI_Expiration=1,IF($A661&lt;VLOOKUP(T$5,NFI,5,0),1,0)*Table_NFI[[#This Row],[Winter Items Other]],Table_NFI[Winter Items Other])</f>
        <v>0</v>
      </c>
      <c r="AL661" s="436">
        <f>IF(NFI_Expiration=1,IF($A661&lt;VLOOKUP(M$5,NFI,5,0),1,0)*Table_NFI[[#This Row],[Winter Blanket]],Table_NFI[[#This Row],[Winter Blanket]])</f>
        <v>0</v>
      </c>
      <c r="AM661" s="436">
        <f>IF(Table_NFI[[#This Row],[Winter Clothes Adult]]+Table_NFI[[#This Row],[Winter Clothes Children]]+Table_NFI[[#This Row],[Winter Items Other]]+Table_NFI[[#This Row],[Winter Blanket]]&gt;0,1,0)</f>
        <v>0</v>
      </c>
      <c r="AN661" s="439">
        <f>IF(NFI_Expiration=1,IF($A661&lt;VLOOKUP(V$5,NFI,5,0),1,0)*Table_NFI[[#This Row],[Jerry Can]],Table_NFI[Jerry Can])</f>
        <v>0</v>
      </c>
      <c r="AO661" s="771" t="str">
        <f>IFERROR(VLOOKUP(Table_NFI[[#This Row],[Camp Name]],CL,2,0),"")</f>
        <v>MMR001CMP053</v>
      </c>
      <c r="AP661" s="772">
        <f ca="1">IF(Table_NFI[[#This Row],[Pcode]]="","",IF(OFFSET(CampList[Opening Date],MATCH(Table_NFI[[#This Row],[Pcode]],CampList[CP_Pcode],0)-1,0,1,1)&gt;=NFI_Monitor_Date,1,0))</f>
        <v>0</v>
      </c>
      <c r="AQ661" s="771" t="str">
        <f>IFERROR(VLOOKUP(Table_NFI[[#This Row],[Camp Name]],CL,3,0),"")</f>
        <v>Open</v>
      </c>
      <c r="AR661" s="436" t="str">
        <f ca="1">IF(Table_NFI[[#This Row],[Pcode]]="","",OFFSET(CampList[Priority],MATCH(Table_NFI[[#This Row],[Pcode]],CampList[CP_Pcode],0)-1,0,1,1))</f>
        <v>P4</v>
      </c>
      <c r="AS661" s="438">
        <f>IFERROR(Table_NFI[[#This Row],[Kitchen Set]]/VLOOKUP(Table_NFI[[#This Row],[Camp Name]],CL,4,0),"")</f>
        <v>0</v>
      </c>
      <c r="AT661" s="769" t="s">
        <v>1099</v>
      </c>
      <c r="AU661" s="773"/>
    </row>
    <row r="662" spans="1:47" x14ac:dyDescent="0.25">
      <c r="A662" s="451">
        <f t="shared" si="10"/>
        <v>36.333333333333336</v>
      </c>
      <c r="B662" s="768">
        <v>41280</v>
      </c>
      <c r="C662" s="769" t="s">
        <v>912</v>
      </c>
      <c r="D662" s="770" t="s">
        <v>912</v>
      </c>
      <c r="E662" s="769" t="s">
        <v>380</v>
      </c>
      <c r="F662" s="435" t="s">
        <v>151</v>
      </c>
      <c r="G662" s="435" t="s">
        <v>152</v>
      </c>
      <c r="H662" s="436">
        <v>351</v>
      </c>
      <c r="I662" s="436"/>
      <c r="J662" s="436">
        <v>415</v>
      </c>
      <c r="K662" s="436"/>
      <c r="L662" s="437"/>
      <c r="M662" s="437"/>
      <c r="N662" s="437"/>
      <c r="O662" s="437"/>
      <c r="P662" s="437">
        <v>0</v>
      </c>
      <c r="Q662" s="437">
        <v>0</v>
      </c>
      <c r="R662" s="436"/>
      <c r="S662" s="436"/>
      <c r="T662" s="436"/>
      <c r="U662" s="436"/>
      <c r="V662" s="436"/>
      <c r="W662" s="436"/>
      <c r="X662" s="436"/>
      <c r="Y662" s="436">
        <f>IF(NFI_Expiration=1,IF($A662&lt;VLOOKUP(H$5,NFI,5,0),1,0)*Table_NFI[[#This Row],[Hygiene Kit]],Table_NFI[Hygiene Kit])</f>
        <v>0</v>
      </c>
      <c r="Z662" s="436">
        <f>IF(NFI_Expiration=1,IF($A662&lt;VLOOKUP(I$5,NFI,5,0),1,0)*Table_NFI[[#This Row],[NFI Core Kit]],Table_NFI[NFI Core Kit])</f>
        <v>0</v>
      </c>
      <c r="AA662" s="436">
        <f>IF(NFI_Expiration=1,IF($A662&lt;VLOOKUP(J$5,NFI,5,0),1,0)*Table_NFI[[#This Row],[Sanitary Kit]],Table_NFI[Sanitary Kit])</f>
        <v>0</v>
      </c>
      <c r="AB662" s="436">
        <f>IF(NFI_Expiration=1,IF($A662&lt;VLOOKUP(K$5,NFI,5,0),1,0)*Table_NFI[[#This Row],[Mosquito net]],Table_NFI[Mosquito net])</f>
        <v>0</v>
      </c>
      <c r="AC662" s="436">
        <f>IF(NFI_Expiration=1,IF($A662&lt;VLOOKUP(L$5,NFI,5,0),1,0)*Table_NFI[[#This Row],[Tarpaulin]],Table_NFI[[#This Row],[Tarpaulin]])</f>
        <v>0</v>
      </c>
      <c r="AD662" s="436">
        <f>IF(NFI_Expiration=1,IF($A662&lt;VLOOKUP(M$5,NFI,5,0),1,0)*Table_NFI[[#This Row],[Blanket]],Table_NFI[[#This Row],[Blanket]])</f>
        <v>0</v>
      </c>
      <c r="AE662" s="436">
        <f>IF(NFI_Expiration=1,IF($A662&lt;VLOOKUP(N$5,NFI,5,0),1,0)*Table_NFI[[#This Row],[Kitchen Set]],Table_NFI[Kitchen Set])</f>
        <v>0</v>
      </c>
      <c r="AF662" s="436">
        <f>IF(NFI_Expiration=1,IF($A662&lt;VLOOKUP(O$5,NFI,5,0),1,0)*Table_NFI[[#This Row],[Clothes Kit]],Table_NFI[Clothes Kit])</f>
        <v>0</v>
      </c>
      <c r="AG662" s="436">
        <f>IF(NFI_Expiration=1,IF($A662&lt;VLOOKUP(P$5,NFI,5,0),1,0)*Table_NFI[[#This Row],[Plastic Bucket]],Table_NFI[Plastic Bucket])</f>
        <v>0</v>
      </c>
      <c r="AH662" s="436">
        <f>IF(NFI_Expiration=1,IF($A662&lt;VLOOKUP(Q$5,NFI,5,0),1,0)*Table_NFI[[#This Row],[Plastic Mat]],Table_NFI[Plastic Mat])*IF(Table_NFI[[#This Row],[Distribution Date]]&gt;"2014-04-01",1,2.5)</f>
        <v>0</v>
      </c>
      <c r="AI662" s="436">
        <f>IF(NFI_Expiration=1,IF($A662&lt;VLOOKUP(R$5,NFI,5,0),1,0)*Table_NFI[[#This Row],[Winter Clothes Adult]],Table_NFI[Winter Clothes Adult])</f>
        <v>0</v>
      </c>
      <c r="AJ662" s="436">
        <f>IF(NFI_Expiration=1,IF($A662&lt;VLOOKUP(S$5,NFI,5,0),1,0)*Table_NFI[[#This Row],[Winter Clothes Children]],Table_NFI[Winter Clothes Children])</f>
        <v>0</v>
      </c>
      <c r="AK662" s="436">
        <f>IF(NFI_Expiration=1,IF($A662&lt;VLOOKUP(T$5,NFI,5,0),1,0)*Table_NFI[[#This Row],[Winter Items Other]],Table_NFI[Winter Items Other])</f>
        <v>0</v>
      </c>
      <c r="AL662" s="436">
        <f>IF(NFI_Expiration=1,IF($A662&lt;VLOOKUP(M$5,NFI,5,0),1,0)*Table_NFI[[#This Row],[Winter Blanket]],Table_NFI[[#This Row],[Winter Blanket]])</f>
        <v>0</v>
      </c>
      <c r="AM662" s="436">
        <f>IF(Table_NFI[[#This Row],[Winter Clothes Adult]]+Table_NFI[[#This Row],[Winter Clothes Children]]+Table_NFI[[#This Row],[Winter Items Other]]+Table_NFI[[#This Row],[Winter Blanket]]&gt;0,1,0)</f>
        <v>0</v>
      </c>
      <c r="AN662" s="439">
        <f>IF(NFI_Expiration=1,IF($A662&lt;VLOOKUP(V$5,NFI,5,0),1,0)*Table_NFI[[#This Row],[Jerry Can]],Table_NFI[Jerry Can])</f>
        <v>0</v>
      </c>
      <c r="AO662" s="771" t="str">
        <f>IFERROR(VLOOKUP(Table_NFI[[#This Row],[Camp Name]],CL,2,0),"")</f>
        <v>MMR001CMP066</v>
      </c>
      <c r="AP662" s="772">
        <f ca="1">IF(Table_NFI[[#This Row],[Pcode]]="","",IF(OFFSET(CampList[Opening Date],MATCH(Table_NFI[[#This Row],[Pcode]],CampList[CP_Pcode],0)-1,0,1,1)&gt;=NFI_Monitor_Date,1,0))</f>
        <v>0</v>
      </c>
      <c r="AQ662" s="771" t="str">
        <f>IFERROR(VLOOKUP(Table_NFI[[#This Row],[Camp Name]],CL,3,0),"")</f>
        <v>Open</v>
      </c>
      <c r="AR662" s="436" t="str">
        <f ca="1">IF(Table_NFI[[#This Row],[Pcode]]="","",OFFSET(CampList[Priority],MATCH(Table_NFI[[#This Row],[Pcode]],CampList[CP_Pcode],0)-1,0,1,1))</f>
        <v>P4</v>
      </c>
      <c r="AS662" s="438">
        <f>IFERROR(Table_NFI[[#This Row],[Kitchen Set]]/VLOOKUP(Table_NFI[[#This Row],[Camp Name]],CL,4,0),"")</f>
        <v>0</v>
      </c>
      <c r="AT662" s="769" t="s">
        <v>1099</v>
      </c>
      <c r="AU662" s="773"/>
    </row>
    <row r="663" spans="1:47" x14ac:dyDescent="0.25">
      <c r="A663" s="451">
        <f t="shared" si="10"/>
        <v>36.533333333333331</v>
      </c>
      <c r="B663" s="768">
        <v>41274</v>
      </c>
      <c r="C663" s="769" t="s">
        <v>455</v>
      </c>
      <c r="D663" s="770" t="s">
        <v>455</v>
      </c>
      <c r="E663" s="769" t="s">
        <v>380</v>
      </c>
      <c r="F663" s="435" t="s">
        <v>529</v>
      </c>
      <c r="G663" s="435" t="s">
        <v>62</v>
      </c>
      <c r="H663" s="436">
        <v>12</v>
      </c>
      <c r="I663" s="436"/>
      <c r="J663" s="436"/>
      <c r="K663" s="436"/>
      <c r="L663" s="437"/>
      <c r="M663" s="437"/>
      <c r="N663" s="437"/>
      <c r="O663" s="437"/>
      <c r="P663" s="437">
        <v>0</v>
      </c>
      <c r="Q663" s="437">
        <v>0</v>
      </c>
      <c r="R663" s="436"/>
      <c r="S663" s="436"/>
      <c r="T663" s="436"/>
      <c r="U663" s="436"/>
      <c r="V663" s="436"/>
      <c r="W663" s="436"/>
      <c r="X663" s="436"/>
      <c r="Y663" s="436">
        <f>IF(NFI_Expiration=1,IF($A663&lt;VLOOKUP(H$5,NFI,5,0),1,0)*Table_NFI[[#This Row],[Hygiene Kit]],Table_NFI[Hygiene Kit])</f>
        <v>0</v>
      </c>
      <c r="Z663" s="436">
        <f>IF(NFI_Expiration=1,IF($A663&lt;VLOOKUP(I$5,NFI,5,0),1,0)*Table_NFI[[#This Row],[NFI Core Kit]],Table_NFI[NFI Core Kit])</f>
        <v>0</v>
      </c>
      <c r="AA663" s="436">
        <f>IF(NFI_Expiration=1,IF($A663&lt;VLOOKUP(J$5,NFI,5,0),1,0)*Table_NFI[[#This Row],[Sanitary Kit]],Table_NFI[Sanitary Kit])</f>
        <v>0</v>
      </c>
      <c r="AB663" s="436">
        <f>IF(NFI_Expiration=1,IF($A663&lt;VLOOKUP(K$5,NFI,5,0),1,0)*Table_NFI[[#This Row],[Mosquito net]],Table_NFI[Mosquito net])</f>
        <v>0</v>
      </c>
      <c r="AC663" s="436">
        <f>IF(NFI_Expiration=1,IF($A663&lt;VLOOKUP(L$5,NFI,5,0),1,0)*Table_NFI[[#This Row],[Tarpaulin]],Table_NFI[[#This Row],[Tarpaulin]])</f>
        <v>0</v>
      </c>
      <c r="AD663" s="436">
        <f>IF(NFI_Expiration=1,IF($A663&lt;VLOOKUP(M$5,NFI,5,0),1,0)*Table_NFI[[#This Row],[Blanket]],Table_NFI[[#This Row],[Blanket]])</f>
        <v>0</v>
      </c>
      <c r="AE663" s="436">
        <f>IF(NFI_Expiration=1,IF($A663&lt;VLOOKUP(N$5,NFI,5,0),1,0)*Table_NFI[[#This Row],[Kitchen Set]],Table_NFI[Kitchen Set])</f>
        <v>0</v>
      </c>
      <c r="AF663" s="436">
        <f>IF(NFI_Expiration=1,IF($A663&lt;VLOOKUP(O$5,NFI,5,0),1,0)*Table_NFI[[#This Row],[Clothes Kit]],Table_NFI[Clothes Kit])</f>
        <v>0</v>
      </c>
      <c r="AG663" s="436">
        <f>IF(NFI_Expiration=1,IF($A663&lt;VLOOKUP(P$5,NFI,5,0),1,0)*Table_NFI[[#This Row],[Plastic Bucket]],Table_NFI[Plastic Bucket])</f>
        <v>0</v>
      </c>
      <c r="AH663" s="436">
        <f>IF(NFI_Expiration=1,IF($A663&lt;VLOOKUP(Q$5,NFI,5,0),1,0)*Table_NFI[[#This Row],[Plastic Mat]],Table_NFI[Plastic Mat])*IF(Table_NFI[[#This Row],[Distribution Date]]&gt;"2014-04-01",1,2.5)</f>
        <v>0</v>
      </c>
      <c r="AI663" s="436">
        <f>IF(NFI_Expiration=1,IF($A663&lt;VLOOKUP(R$5,NFI,5,0),1,0)*Table_NFI[[#This Row],[Winter Clothes Adult]],Table_NFI[Winter Clothes Adult])</f>
        <v>0</v>
      </c>
      <c r="AJ663" s="436">
        <f>IF(NFI_Expiration=1,IF($A663&lt;VLOOKUP(S$5,NFI,5,0),1,0)*Table_NFI[[#This Row],[Winter Clothes Children]],Table_NFI[Winter Clothes Children])</f>
        <v>0</v>
      </c>
      <c r="AK663" s="436">
        <f>IF(NFI_Expiration=1,IF($A663&lt;VLOOKUP(T$5,NFI,5,0),1,0)*Table_NFI[[#This Row],[Winter Items Other]],Table_NFI[Winter Items Other])</f>
        <v>0</v>
      </c>
      <c r="AL663" s="436">
        <f>IF(NFI_Expiration=1,IF($A663&lt;VLOOKUP(M$5,NFI,5,0),1,0)*Table_NFI[[#This Row],[Winter Blanket]],Table_NFI[[#This Row],[Winter Blanket]])</f>
        <v>0</v>
      </c>
      <c r="AM663" s="436">
        <f>IF(Table_NFI[[#This Row],[Winter Clothes Adult]]+Table_NFI[[#This Row],[Winter Clothes Children]]+Table_NFI[[#This Row],[Winter Items Other]]+Table_NFI[[#This Row],[Winter Blanket]]&gt;0,1,0)</f>
        <v>0</v>
      </c>
      <c r="AN663" s="439">
        <f>IF(NFI_Expiration=1,IF($A663&lt;VLOOKUP(V$5,NFI,5,0),1,0)*Table_NFI[[#This Row],[Jerry Can]],Table_NFI[Jerry Can])</f>
        <v>0</v>
      </c>
      <c r="AO663" s="771" t="str">
        <f>IFERROR(VLOOKUP(Table_NFI[[#This Row],[Camp Name]],CL,2,0),"")</f>
        <v>MMR001CMP179</v>
      </c>
      <c r="AP663" s="772">
        <f ca="1">IF(Table_NFI[[#This Row],[Pcode]]="","",IF(OFFSET(CampList[Opening Date],MATCH(Table_NFI[[#This Row],[Pcode]],CampList[CP_Pcode],0)-1,0,1,1)&gt;=NFI_Monitor_Date,1,0))</f>
        <v>0</v>
      </c>
      <c r="AQ663" s="771" t="str">
        <f>IFERROR(VLOOKUP(Table_NFI[[#This Row],[Camp Name]],CL,3,0),"")</f>
        <v>Open</v>
      </c>
      <c r="AR663" s="436" t="str">
        <f ca="1">IF(Table_NFI[[#This Row],[Pcode]]="","",OFFSET(CampList[Priority],MATCH(Table_NFI[[#This Row],[Pcode]],CampList[CP_Pcode],0)-1,0,1,1))</f>
        <v>P4</v>
      </c>
      <c r="AS663" s="438">
        <f>IFERROR(Table_NFI[[#This Row],[Kitchen Set]]/VLOOKUP(Table_NFI[[#This Row],[Camp Name]],CL,4,0),"")</f>
        <v>0</v>
      </c>
      <c r="AT663" s="769" t="s">
        <v>1099</v>
      </c>
      <c r="AU663" s="773"/>
    </row>
    <row r="664" spans="1:47" x14ac:dyDescent="0.25">
      <c r="A664" s="451">
        <f t="shared" si="10"/>
        <v>36.533333333333331</v>
      </c>
      <c r="B664" s="768">
        <v>41274</v>
      </c>
      <c r="C664" s="769" t="s">
        <v>455</v>
      </c>
      <c r="D664" s="770" t="s">
        <v>455</v>
      </c>
      <c r="E664" s="769" t="s">
        <v>380</v>
      </c>
      <c r="F664" s="435" t="s">
        <v>529</v>
      </c>
      <c r="G664" s="435" t="s">
        <v>120</v>
      </c>
      <c r="H664" s="436">
        <v>19</v>
      </c>
      <c r="I664" s="436"/>
      <c r="J664" s="436"/>
      <c r="K664" s="436"/>
      <c r="L664" s="437"/>
      <c r="M664" s="437"/>
      <c r="N664" s="437"/>
      <c r="O664" s="437"/>
      <c r="P664" s="437">
        <v>0</v>
      </c>
      <c r="Q664" s="437">
        <v>0</v>
      </c>
      <c r="R664" s="436"/>
      <c r="S664" s="436"/>
      <c r="T664" s="436"/>
      <c r="U664" s="436"/>
      <c r="V664" s="436"/>
      <c r="W664" s="436"/>
      <c r="X664" s="436"/>
      <c r="Y664" s="436">
        <f>IF(NFI_Expiration=1,IF($A664&lt;VLOOKUP(H$5,NFI,5,0),1,0)*Table_NFI[[#This Row],[Hygiene Kit]],Table_NFI[Hygiene Kit])</f>
        <v>0</v>
      </c>
      <c r="Z664" s="436">
        <f>IF(NFI_Expiration=1,IF($A664&lt;VLOOKUP(I$5,NFI,5,0),1,0)*Table_NFI[[#This Row],[NFI Core Kit]],Table_NFI[NFI Core Kit])</f>
        <v>0</v>
      </c>
      <c r="AA664" s="436">
        <f>IF(NFI_Expiration=1,IF($A664&lt;VLOOKUP(J$5,NFI,5,0),1,0)*Table_NFI[[#This Row],[Sanitary Kit]],Table_NFI[Sanitary Kit])</f>
        <v>0</v>
      </c>
      <c r="AB664" s="436">
        <f>IF(NFI_Expiration=1,IF($A664&lt;VLOOKUP(K$5,NFI,5,0),1,0)*Table_NFI[[#This Row],[Mosquito net]],Table_NFI[Mosquito net])</f>
        <v>0</v>
      </c>
      <c r="AC664" s="436">
        <f>IF(NFI_Expiration=1,IF($A664&lt;VLOOKUP(L$5,NFI,5,0),1,0)*Table_NFI[[#This Row],[Tarpaulin]],Table_NFI[[#This Row],[Tarpaulin]])</f>
        <v>0</v>
      </c>
      <c r="AD664" s="436">
        <f>IF(NFI_Expiration=1,IF($A664&lt;VLOOKUP(M$5,NFI,5,0),1,0)*Table_NFI[[#This Row],[Blanket]],Table_NFI[[#This Row],[Blanket]])</f>
        <v>0</v>
      </c>
      <c r="AE664" s="436">
        <f>IF(NFI_Expiration=1,IF($A664&lt;VLOOKUP(N$5,NFI,5,0),1,0)*Table_NFI[[#This Row],[Kitchen Set]],Table_NFI[Kitchen Set])</f>
        <v>0</v>
      </c>
      <c r="AF664" s="436">
        <f>IF(NFI_Expiration=1,IF($A664&lt;VLOOKUP(O$5,NFI,5,0),1,0)*Table_NFI[[#This Row],[Clothes Kit]],Table_NFI[Clothes Kit])</f>
        <v>0</v>
      </c>
      <c r="AG664" s="436">
        <f>IF(NFI_Expiration=1,IF($A664&lt;VLOOKUP(P$5,NFI,5,0),1,0)*Table_NFI[[#This Row],[Plastic Bucket]],Table_NFI[Plastic Bucket])</f>
        <v>0</v>
      </c>
      <c r="AH664" s="436">
        <f>IF(NFI_Expiration=1,IF($A664&lt;VLOOKUP(Q$5,NFI,5,0),1,0)*Table_NFI[[#This Row],[Plastic Mat]],Table_NFI[Plastic Mat])*IF(Table_NFI[[#This Row],[Distribution Date]]&gt;"2014-04-01",1,2.5)</f>
        <v>0</v>
      </c>
      <c r="AI664" s="436">
        <f>IF(NFI_Expiration=1,IF($A664&lt;VLOOKUP(R$5,NFI,5,0),1,0)*Table_NFI[[#This Row],[Winter Clothes Adult]],Table_NFI[Winter Clothes Adult])</f>
        <v>0</v>
      </c>
      <c r="AJ664" s="436">
        <f>IF(NFI_Expiration=1,IF($A664&lt;VLOOKUP(S$5,NFI,5,0),1,0)*Table_NFI[[#This Row],[Winter Clothes Children]],Table_NFI[Winter Clothes Children])</f>
        <v>0</v>
      </c>
      <c r="AK664" s="436">
        <f>IF(NFI_Expiration=1,IF($A664&lt;VLOOKUP(T$5,NFI,5,0),1,0)*Table_NFI[[#This Row],[Winter Items Other]],Table_NFI[Winter Items Other])</f>
        <v>0</v>
      </c>
      <c r="AL664" s="436">
        <f>IF(NFI_Expiration=1,IF($A664&lt;VLOOKUP(M$5,NFI,5,0),1,0)*Table_NFI[[#This Row],[Winter Blanket]],Table_NFI[[#This Row],[Winter Blanket]])</f>
        <v>0</v>
      </c>
      <c r="AM664" s="436">
        <f>IF(Table_NFI[[#This Row],[Winter Clothes Adult]]+Table_NFI[[#This Row],[Winter Clothes Children]]+Table_NFI[[#This Row],[Winter Items Other]]+Table_NFI[[#This Row],[Winter Blanket]]&gt;0,1,0)</f>
        <v>0</v>
      </c>
      <c r="AN664" s="439">
        <f>IF(NFI_Expiration=1,IF($A664&lt;VLOOKUP(V$5,NFI,5,0),1,0)*Table_NFI[[#This Row],[Jerry Can]],Table_NFI[Jerry Can])</f>
        <v>0</v>
      </c>
      <c r="AO664" s="771" t="str">
        <f>IFERROR(VLOOKUP(Table_NFI[[#This Row],[Camp Name]],CL,2,0),"")</f>
        <v>MMR001CMP168</v>
      </c>
      <c r="AP664" s="772">
        <f ca="1">IF(Table_NFI[[#This Row],[Pcode]]="","",IF(OFFSET(CampList[Opening Date],MATCH(Table_NFI[[#This Row],[Pcode]],CampList[CP_Pcode],0)-1,0,1,1)&gt;=NFI_Monitor_Date,1,0))</f>
        <v>0</v>
      </c>
      <c r="AQ664" s="771" t="str">
        <f>IFERROR(VLOOKUP(Table_NFI[[#This Row],[Camp Name]],CL,3,0),"")</f>
        <v>Open</v>
      </c>
      <c r="AR664" s="436" t="str">
        <f ca="1">IF(Table_NFI[[#This Row],[Pcode]]="","",OFFSET(CampList[Priority],MATCH(Table_NFI[[#This Row],[Pcode]],CampList[CP_Pcode],0)-1,0,1,1))</f>
        <v>P4</v>
      </c>
      <c r="AS664" s="438">
        <f>IFERROR(Table_NFI[[#This Row],[Kitchen Set]]/VLOOKUP(Table_NFI[[#This Row],[Camp Name]],CL,4,0),"")</f>
        <v>0</v>
      </c>
      <c r="AT664" s="769" t="s">
        <v>1099</v>
      </c>
      <c r="AU664" s="773"/>
    </row>
    <row r="665" spans="1:47" s="774" customFormat="1" x14ac:dyDescent="0.25">
      <c r="A665" s="451">
        <f t="shared" si="10"/>
        <v>36.533333333333331</v>
      </c>
      <c r="B665" s="768">
        <v>41274</v>
      </c>
      <c r="C665" s="769" t="s">
        <v>455</v>
      </c>
      <c r="D665" s="769" t="s">
        <v>455</v>
      </c>
      <c r="E665" s="769" t="s">
        <v>380</v>
      </c>
      <c r="F665" s="769" t="s">
        <v>529</v>
      </c>
      <c r="G665" s="435" t="s">
        <v>41</v>
      </c>
      <c r="H665" s="436">
        <v>7</v>
      </c>
      <c r="I665" s="436"/>
      <c r="J665" s="436"/>
      <c r="K665" s="436"/>
      <c r="L665" s="437"/>
      <c r="M665" s="437"/>
      <c r="N665" s="437"/>
      <c r="O665" s="437"/>
      <c r="P665" s="439">
        <v>0</v>
      </c>
      <c r="Q665" s="439">
        <v>0</v>
      </c>
      <c r="R665" s="436"/>
      <c r="S665" s="436"/>
      <c r="T665" s="436"/>
      <c r="U665" s="436"/>
      <c r="V665" s="436"/>
      <c r="W665" s="436"/>
      <c r="X665" s="436"/>
      <c r="Y665" s="436">
        <f>IF(NFI_Expiration=1,IF($A665&lt;VLOOKUP(H$5,NFI,5,0),1,0)*Table_NFI[[#This Row],[Hygiene Kit]],Table_NFI[Hygiene Kit])</f>
        <v>0</v>
      </c>
      <c r="Z665" s="436">
        <f>IF(NFI_Expiration=1,IF($A665&lt;VLOOKUP(I$5,NFI,5,0),1,0)*Table_NFI[[#This Row],[NFI Core Kit]],Table_NFI[NFI Core Kit])</f>
        <v>0</v>
      </c>
      <c r="AA665" s="436">
        <f>IF(NFI_Expiration=1,IF($A665&lt;VLOOKUP(J$5,NFI,5,0),1,0)*Table_NFI[[#This Row],[Sanitary Kit]],Table_NFI[Sanitary Kit])</f>
        <v>0</v>
      </c>
      <c r="AB665" s="436">
        <f>IF(NFI_Expiration=1,IF($A665&lt;VLOOKUP(K$5,NFI,5,0),1,0)*Table_NFI[[#This Row],[Mosquito net]],Table_NFI[Mosquito net])</f>
        <v>0</v>
      </c>
      <c r="AC665" s="436">
        <f>IF(NFI_Expiration=1,IF($A665&lt;VLOOKUP(L$5,NFI,5,0),1,0)*Table_NFI[[#This Row],[Tarpaulin]],Table_NFI[[#This Row],[Tarpaulin]])</f>
        <v>0</v>
      </c>
      <c r="AD665" s="436">
        <f>IF(NFI_Expiration=1,IF($A665&lt;VLOOKUP(M$5,NFI,5,0),1,0)*Table_NFI[[#This Row],[Blanket]],Table_NFI[[#This Row],[Blanket]])</f>
        <v>0</v>
      </c>
      <c r="AE665" s="436">
        <f>IF(NFI_Expiration=1,IF($A665&lt;VLOOKUP(N$5,NFI,5,0),1,0)*Table_NFI[[#This Row],[Kitchen Set]],Table_NFI[Kitchen Set])</f>
        <v>0</v>
      </c>
      <c r="AF665" s="436">
        <f>IF(NFI_Expiration=1,IF($A665&lt;VLOOKUP(O$5,NFI,5,0),1,0)*Table_NFI[[#This Row],[Clothes Kit]],Table_NFI[Clothes Kit])</f>
        <v>0</v>
      </c>
      <c r="AG665" s="436">
        <f>IF(NFI_Expiration=1,IF($A665&lt;VLOOKUP(P$5,NFI,5,0),1,0)*Table_NFI[[#This Row],[Plastic Bucket]],Table_NFI[Plastic Bucket])</f>
        <v>0</v>
      </c>
      <c r="AH665" s="436">
        <f>IF(NFI_Expiration=1,IF($A665&lt;VLOOKUP(Q$5,NFI,5,0),1,0)*Table_NFI[[#This Row],[Plastic Mat]],Table_NFI[Plastic Mat])*IF(Table_NFI[[#This Row],[Distribution Date]]&gt;"2014-04-01",1,2.5)</f>
        <v>0</v>
      </c>
      <c r="AI665" s="436">
        <f>IF(NFI_Expiration=1,IF($A665&lt;VLOOKUP(R$5,NFI,5,0),1,0)*Table_NFI[[#This Row],[Winter Clothes Adult]],Table_NFI[Winter Clothes Adult])</f>
        <v>0</v>
      </c>
      <c r="AJ665" s="436">
        <f>IF(NFI_Expiration=1,IF($A665&lt;VLOOKUP(S$5,NFI,5,0),1,0)*Table_NFI[[#This Row],[Winter Clothes Children]],Table_NFI[Winter Clothes Children])</f>
        <v>0</v>
      </c>
      <c r="AK665" s="436">
        <f>IF(NFI_Expiration=1,IF($A665&lt;VLOOKUP(T$5,NFI,5,0),1,0)*Table_NFI[[#This Row],[Winter Items Other]],Table_NFI[Winter Items Other])</f>
        <v>0</v>
      </c>
      <c r="AL665" s="436">
        <f>IF(NFI_Expiration=1,IF($A665&lt;VLOOKUP(M$5,NFI,5,0),1,0)*Table_NFI[[#This Row],[Winter Blanket]],Table_NFI[[#This Row],[Winter Blanket]])</f>
        <v>0</v>
      </c>
      <c r="AM665" s="436">
        <f>IF(Table_NFI[[#This Row],[Winter Clothes Adult]]+Table_NFI[[#This Row],[Winter Clothes Children]]+Table_NFI[[#This Row],[Winter Items Other]]+Table_NFI[[#This Row],[Winter Blanket]]&gt;0,1,0)</f>
        <v>0</v>
      </c>
      <c r="AN665" s="439">
        <f>IF(NFI_Expiration=1,IF($A665&lt;VLOOKUP(V$5,NFI,5,0),1,0)*Table_NFI[[#This Row],[Jerry Can]],Table_NFI[Jerry Can])</f>
        <v>0</v>
      </c>
      <c r="AO665" s="771" t="str">
        <f>IFERROR(VLOOKUP(Table_NFI[[#This Row],[Camp Name]],CL,2,0),"")</f>
        <v>MMR001CMP176</v>
      </c>
      <c r="AP665" s="772">
        <f ca="1">IF(Table_NFI[[#This Row],[Pcode]]="","",IF(OFFSET(CampList[Opening Date],MATCH(Table_NFI[[#This Row],[Pcode]],CampList[CP_Pcode],0)-1,0,1,1)&gt;=NFI_Monitor_Date,1,0))</f>
        <v>0</v>
      </c>
      <c r="AQ665" s="771" t="str">
        <f>IFERROR(VLOOKUP(Table_NFI[[#This Row],[Camp Name]],CL,3,0),"")</f>
        <v>Open</v>
      </c>
      <c r="AR665" s="436" t="str">
        <f ca="1">IF(Table_NFI[[#This Row],[Pcode]]="","",OFFSET(CampList[Priority],MATCH(Table_NFI[[#This Row],[Pcode]],CampList[CP_Pcode],0)-1,0,1,1))</f>
        <v>P4</v>
      </c>
      <c r="AS665" s="438">
        <f>IFERROR(Table_NFI[[#This Row],[Kitchen Set]]/VLOOKUP(Table_NFI[[#This Row],[Camp Name]],CL,4,0),"")</f>
        <v>0</v>
      </c>
      <c r="AT665" s="769" t="s">
        <v>1099</v>
      </c>
      <c r="AU665" s="773"/>
    </row>
    <row r="666" spans="1:47" s="774" customFormat="1" x14ac:dyDescent="0.25">
      <c r="A666" s="451">
        <f t="shared" si="10"/>
        <v>36.533333333333331</v>
      </c>
      <c r="B666" s="768">
        <v>41274</v>
      </c>
      <c r="C666" s="769" t="s">
        <v>455</v>
      </c>
      <c r="D666" s="770" t="s">
        <v>455</v>
      </c>
      <c r="E666" s="769" t="s">
        <v>380</v>
      </c>
      <c r="F666" s="435" t="s">
        <v>529</v>
      </c>
      <c r="G666" s="435" t="s">
        <v>43</v>
      </c>
      <c r="H666" s="436">
        <v>4</v>
      </c>
      <c r="I666" s="436"/>
      <c r="J666" s="436"/>
      <c r="K666" s="436"/>
      <c r="L666" s="437"/>
      <c r="M666" s="437"/>
      <c r="N666" s="437"/>
      <c r="O666" s="437"/>
      <c r="P666" s="437">
        <v>0</v>
      </c>
      <c r="Q666" s="437">
        <v>0</v>
      </c>
      <c r="R666" s="436"/>
      <c r="S666" s="436"/>
      <c r="T666" s="436"/>
      <c r="U666" s="436"/>
      <c r="V666" s="436"/>
      <c r="W666" s="436"/>
      <c r="X666" s="436"/>
      <c r="Y666" s="436">
        <f>IF(NFI_Expiration=1,IF($A666&lt;VLOOKUP(H$5,NFI,5,0),1,0)*Table_NFI[[#This Row],[Hygiene Kit]],Table_NFI[Hygiene Kit])</f>
        <v>0</v>
      </c>
      <c r="Z666" s="436">
        <f>IF(NFI_Expiration=1,IF($A666&lt;VLOOKUP(I$5,NFI,5,0),1,0)*Table_NFI[[#This Row],[NFI Core Kit]],Table_NFI[NFI Core Kit])</f>
        <v>0</v>
      </c>
      <c r="AA666" s="436">
        <f>IF(NFI_Expiration=1,IF($A666&lt;VLOOKUP(J$5,NFI,5,0),1,0)*Table_NFI[[#This Row],[Sanitary Kit]],Table_NFI[Sanitary Kit])</f>
        <v>0</v>
      </c>
      <c r="AB666" s="436">
        <f>IF(NFI_Expiration=1,IF($A666&lt;VLOOKUP(K$5,NFI,5,0),1,0)*Table_NFI[[#This Row],[Mosquito net]],Table_NFI[Mosquito net])</f>
        <v>0</v>
      </c>
      <c r="AC666" s="436">
        <f>IF(NFI_Expiration=1,IF($A666&lt;VLOOKUP(L$5,NFI,5,0),1,0)*Table_NFI[[#This Row],[Tarpaulin]],Table_NFI[[#This Row],[Tarpaulin]])</f>
        <v>0</v>
      </c>
      <c r="AD666" s="436">
        <f>IF(NFI_Expiration=1,IF($A666&lt;VLOOKUP(M$5,NFI,5,0),1,0)*Table_NFI[[#This Row],[Blanket]],Table_NFI[[#This Row],[Blanket]])</f>
        <v>0</v>
      </c>
      <c r="AE666" s="436">
        <f>IF(NFI_Expiration=1,IF($A666&lt;VLOOKUP(N$5,NFI,5,0),1,0)*Table_NFI[[#This Row],[Kitchen Set]],Table_NFI[Kitchen Set])</f>
        <v>0</v>
      </c>
      <c r="AF666" s="436">
        <f>IF(NFI_Expiration=1,IF($A666&lt;VLOOKUP(O$5,NFI,5,0),1,0)*Table_NFI[[#This Row],[Clothes Kit]],Table_NFI[Clothes Kit])</f>
        <v>0</v>
      </c>
      <c r="AG666" s="436">
        <f>IF(NFI_Expiration=1,IF($A666&lt;VLOOKUP(P$5,NFI,5,0),1,0)*Table_NFI[[#This Row],[Plastic Bucket]],Table_NFI[Plastic Bucket])</f>
        <v>0</v>
      </c>
      <c r="AH666" s="436">
        <f>IF(NFI_Expiration=1,IF($A666&lt;VLOOKUP(Q$5,NFI,5,0),1,0)*Table_NFI[[#This Row],[Plastic Mat]],Table_NFI[Plastic Mat])*IF(Table_NFI[[#This Row],[Distribution Date]]&gt;"2014-04-01",1,2.5)</f>
        <v>0</v>
      </c>
      <c r="AI666" s="436">
        <f>IF(NFI_Expiration=1,IF($A666&lt;VLOOKUP(R$5,NFI,5,0),1,0)*Table_NFI[[#This Row],[Winter Clothes Adult]],Table_NFI[Winter Clothes Adult])</f>
        <v>0</v>
      </c>
      <c r="AJ666" s="436">
        <f>IF(NFI_Expiration=1,IF($A666&lt;VLOOKUP(S$5,NFI,5,0),1,0)*Table_NFI[[#This Row],[Winter Clothes Children]],Table_NFI[Winter Clothes Children])</f>
        <v>0</v>
      </c>
      <c r="AK666" s="436">
        <f>IF(NFI_Expiration=1,IF($A666&lt;VLOOKUP(T$5,NFI,5,0),1,0)*Table_NFI[[#This Row],[Winter Items Other]],Table_NFI[Winter Items Other])</f>
        <v>0</v>
      </c>
      <c r="AL666" s="436">
        <f>IF(NFI_Expiration=1,IF($A666&lt;VLOOKUP(M$5,NFI,5,0),1,0)*Table_NFI[[#This Row],[Winter Blanket]],Table_NFI[[#This Row],[Winter Blanket]])</f>
        <v>0</v>
      </c>
      <c r="AM666" s="436">
        <f>IF(Table_NFI[[#This Row],[Winter Clothes Adult]]+Table_NFI[[#This Row],[Winter Clothes Children]]+Table_NFI[[#This Row],[Winter Items Other]]+Table_NFI[[#This Row],[Winter Blanket]]&gt;0,1,0)</f>
        <v>0</v>
      </c>
      <c r="AN666" s="439">
        <f>IF(NFI_Expiration=1,IF($A666&lt;VLOOKUP(V$5,NFI,5,0),1,0)*Table_NFI[[#This Row],[Jerry Can]],Table_NFI[Jerry Can])</f>
        <v>0</v>
      </c>
      <c r="AO666" s="771" t="str">
        <f>IFERROR(VLOOKUP(Table_NFI[[#This Row],[Camp Name]],CL,2,0),"")</f>
        <v>MMR001CMP190</v>
      </c>
      <c r="AP666" s="772">
        <f ca="1">IF(Table_NFI[[#This Row],[Pcode]]="","",IF(OFFSET(CampList[Opening Date],MATCH(Table_NFI[[#This Row],[Pcode]],CampList[CP_Pcode],0)-1,0,1,1)&gt;=NFI_Monitor_Date,1,0))</f>
        <v>0</v>
      </c>
      <c r="AQ666" s="771" t="str">
        <f>IFERROR(VLOOKUP(Table_NFI[[#This Row],[Camp Name]],CL,3,0),"")</f>
        <v>Open</v>
      </c>
      <c r="AR666" s="436" t="str">
        <f ca="1">IF(Table_NFI[[#This Row],[Pcode]]="","",OFFSET(CampList[Priority],MATCH(Table_NFI[[#This Row],[Pcode]],CampList[CP_Pcode],0)-1,0,1,1))</f>
        <v>P4</v>
      </c>
      <c r="AS666" s="438">
        <f>IFERROR(Table_NFI[[#This Row],[Kitchen Set]]/VLOOKUP(Table_NFI[[#This Row],[Camp Name]],CL,4,0),"")</f>
        <v>0</v>
      </c>
      <c r="AT666" s="769" t="s">
        <v>1099</v>
      </c>
      <c r="AU666" s="773"/>
    </row>
    <row r="667" spans="1:47" s="774" customFormat="1" x14ac:dyDescent="0.25">
      <c r="A667" s="451">
        <f t="shared" si="10"/>
        <v>36.533333333333331</v>
      </c>
      <c r="B667" s="768">
        <v>41274</v>
      </c>
      <c r="C667" s="769" t="s">
        <v>455</v>
      </c>
      <c r="D667" s="769" t="s">
        <v>455</v>
      </c>
      <c r="E667" s="769" t="s">
        <v>380</v>
      </c>
      <c r="F667" s="435" t="s">
        <v>529</v>
      </c>
      <c r="G667" s="435" t="s">
        <v>50</v>
      </c>
      <c r="H667" s="436">
        <v>16</v>
      </c>
      <c r="I667" s="436"/>
      <c r="J667" s="436"/>
      <c r="K667" s="436"/>
      <c r="L667" s="437"/>
      <c r="M667" s="437"/>
      <c r="N667" s="437"/>
      <c r="O667" s="437"/>
      <c r="P667" s="439">
        <v>0</v>
      </c>
      <c r="Q667" s="439">
        <v>0</v>
      </c>
      <c r="R667" s="436"/>
      <c r="S667" s="436"/>
      <c r="T667" s="436"/>
      <c r="U667" s="436"/>
      <c r="V667" s="436"/>
      <c r="W667" s="436"/>
      <c r="X667" s="436"/>
      <c r="Y667" s="436">
        <f>IF(NFI_Expiration=1,IF($A667&lt;VLOOKUP(H$5,NFI,5,0),1,0)*Table_NFI[[#This Row],[Hygiene Kit]],Table_NFI[Hygiene Kit])</f>
        <v>0</v>
      </c>
      <c r="Z667" s="436">
        <f>IF(NFI_Expiration=1,IF($A667&lt;VLOOKUP(I$5,NFI,5,0),1,0)*Table_NFI[[#This Row],[NFI Core Kit]],Table_NFI[NFI Core Kit])</f>
        <v>0</v>
      </c>
      <c r="AA667" s="436">
        <f>IF(NFI_Expiration=1,IF($A667&lt;VLOOKUP(J$5,NFI,5,0),1,0)*Table_NFI[[#This Row],[Sanitary Kit]],Table_NFI[Sanitary Kit])</f>
        <v>0</v>
      </c>
      <c r="AB667" s="436">
        <f>IF(NFI_Expiration=1,IF($A667&lt;VLOOKUP(K$5,NFI,5,0),1,0)*Table_NFI[[#This Row],[Mosquito net]],Table_NFI[Mosquito net])</f>
        <v>0</v>
      </c>
      <c r="AC667" s="436">
        <f>IF(NFI_Expiration=1,IF($A667&lt;VLOOKUP(L$5,NFI,5,0),1,0)*Table_NFI[[#This Row],[Tarpaulin]],Table_NFI[[#This Row],[Tarpaulin]])</f>
        <v>0</v>
      </c>
      <c r="AD667" s="436">
        <f>IF(NFI_Expiration=1,IF($A667&lt;VLOOKUP(M$5,NFI,5,0),1,0)*Table_NFI[[#This Row],[Blanket]],Table_NFI[[#This Row],[Blanket]])</f>
        <v>0</v>
      </c>
      <c r="AE667" s="436">
        <f>IF(NFI_Expiration=1,IF($A667&lt;VLOOKUP(N$5,NFI,5,0),1,0)*Table_NFI[[#This Row],[Kitchen Set]],Table_NFI[Kitchen Set])</f>
        <v>0</v>
      </c>
      <c r="AF667" s="436">
        <f>IF(NFI_Expiration=1,IF($A667&lt;VLOOKUP(O$5,NFI,5,0),1,0)*Table_NFI[[#This Row],[Clothes Kit]],Table_NFI[Clothes Kit])</f>
        <v>0</v>
      </c>
      <c r="AG667" s="436">
        <f>IF(NFI_Expiration=1,IF($A667&lt;VLOOKUP(P$5,NFI,5,0),1,0)*Table_NFI[[#This Row],[Plastic Bucket]],Table_NFI[Plastic Bucket])</f>
        <v>0</v>
      </c>
      <c r="AH667" s="436">
        <f>IF(NFI_Expiration=1,IF($A667&lt;VLOOKUP(Q$5,NFI,5,0),1,0)*Table_NFI[[#This Row],[Plastic Mat]],Table_NFI[Plastic Mat])*IF(Table_NFI[[#This Row],[Distribution Date]]&gt;"2014-04-01",1,2.5)</f>
        <v>0</v>
      </c>
      <c r="AI667" s="436">
        <f>IF(NFI_Expiration=1,IF($A667&lt;VLOOKUP(R$5,NFI,5,0),1,0)*Table_NFI[[#This Row],[Winter Clothes Adult]],Table_NFI[Winter Clothes Adult])</f>
        <v>0</v>
      </c>
      <c r="AJ667" s="436">
        <f>IF(NFI_Expiration=1,IF($A667&lt;VLOOKUP(S$5,NFI,5,0),1,0)*Table_NFI[[#This Row],[Winter Clothes Children]],Table_NFI[Winter Clothes Children])</f>
        <v>0</v>
      </c>
      <c r="AK667" s="436">
        <f>IF(NFI_Expiration=1,IF($A667&lt;VLOOKUP(T$5,NFI,5,0),1,0)*Table_NFI[[#This Row],[Winter Items Other]],Table_NFI[Winter Items Other])</f>
        <v>0</v>
      </c>
      <c r="AL667" s="436">
        <f>IF(NFI_Expiration=1,IF($A667&lt;VLOOKUP(M$5,NFI,5,0),1,0)*Table_NFI[[#This Row],[Winter Blanket]],Table_NFI[[#This Row],[Winter Blanket]])</f>
        <v>0</v>
      </c>
      <c r="AM667" s="436">
        <f>IF(Table_NFI[[#This Row],[Winter Clothes Adult]]+Table_NFI[[#This Row],[Winter Clothes Children]]+Table_NFI[[#This Row],[Winter Items Other]]+Table_NFI[[#This Row],[Winter Blanket]]&gt;0,1,0)</f>
        <v>0</v>
      </c>
      <c r="AN667" s="439">
        <f>IF(NFI_Expiration=1,IF($A667&lt;VLOOKUP(V$5,NFI,5,0),1,0)*Table_NFI[[#This Row],[Jerry Can]],Table_NFI[Jerry Can])</f>
        <v>0</v>
      </c>
      <c r="AO667" s="771" t="str">
        <f>IFERROR(VLOOKUP(Table_NFI[[#This Row],[Camp Name]],CL,2,0),"")</f>
        <v>MMR001CMP092</v>
      </c>
      <c r="AP667" s="772">
        <f ca="1">IF(Table_NFI[[#This Row],[Pcode]]="","",IF(OFFSET(CampList[Opening Date],MATCH(Table_NFI[[#This Row],[Pcode]],CampList[CP_Pcode],0)-1,0,1,1)&gt;=NFI_Monitor_Date,1,0))</f>
        <v>0</v>
      </c>
      <c r="AQ667" s="771" t="str">
        <f>IFERROR(VLOOKUP(Table_NFI[[#This Row],[Camp Name]],CL,3,0),"")</f>
        <v>Closed</v>
      </c>
      <c r="AR667" s="436" t="str">
        <f ca="1">IF(Table_NFI[[#This Row],[Pcode]]="","",OFFSET(CampList[Priority],MATCH(Table_NFI[[#This Row],[Pcode]],CampList[CP_Pcode],0)-1,0,1,1))</f>
        <v/>
      </c>
      <c r="AS667" s="438" t="str">
        <f>IFERROR(Table_NFI[[#This Row],[Kitchen Set]]/VLOOKUP(Table_NFI[[#This Row],[Camp Name]],CL,4,0),"")</f>
        <v/>
      </c>
      <c r="AT667" s="769" t="s">
        <v>1099</v>
      </c>
      <c r="AU667" s="773"/>
    </row>
    <row r="668" spans="1:47" s="774" customFormat="1" x14ac:dyDescent="0.25">
      <c r="A668" s="451">
        <f t="shared" si="10"/>
        <v>36.533333333333331</v>
      </c>
      <c r="B668" s="768">
        <v>41274</v>
      </c>
      <c r="C668" s="769" t="s">
        <v>455</v>
      </c>
      <c r="D668" s="770" t="s">
        <v>455</v>
      </c>
      <c r="E668" s="769" t="s">
        <v>380</v>
      </c>
      <c r="F668" s="435" t="s">
        <v>529</v>
      </c>
      <c r="G668" s="435" t="s">
        <v>52</v>
      </c>
      <c r="H668" s="436">
        <v>20</v>
      </c>
      <c r="I668" s="436"/>
      <c r="J668" s="436"/>
      <c r="K668" s="436"/>
      <c r="L668" s="437"/>
      <c r="M668" s="437"/>
      <c r="N668" s="437"/>
      <c r="O668" s="437"/>
      <c r="P668" s="437">
        <v>0</v>
      </c>
      <c r="Q668" s="437">
        <v>0</v>
      </c>
      <c r="R668" s="436"/>
      <c r="S668" s="436"/>
      <c r="T668" s="436"/>
      <c r="U668" s="436"/>
      <c r="V668" s="436"/>
      <c r="W668" s="436"/>
      <c r="X668" s="436"/>
      <c r="Y668" s="436">
        <f>IF(NFI_Expiration=1,IF($A668&lt;VLOOKUP(H$5,NFI,5,0),1,0)*Table_NFI[[#This Row],[Hygiene Kit]],Table_NFI[Hygiene Kit])</f>
        <v>0</v>
      </c>
      <c r="Z668" s="436">
        <f>IF(NFI_Expiration=1,IF($A668&lt;VLOOKUP(I$5,NFI,5,0),1,0)*Table_NFI[[#This Row],[NFI Core Kit]],Table_NFI[NFI Core Kit])</f>
        <v>0</v>
      </c>
      <c r="AA668" s="436">
        <f>IF(NFI_Expiration=1,IF($A668&lt;VLOOKUP(J$5,NFI,5,0),1,0)*Table_NFI[[#This Row],[Sanitary Kit]],Table_NFI[Sanitary Kit])</f>
        <v>0</v>
      </c>
      <c r="AB668" s="436">
        <f>IF(NFI_Expiration=1,IF($A668&lt;VLOOKUP(K$5,NFI,5,0),1,0)*Table_NFI[[#This Row],[Mosquito net]],Table_NFI[Mosquito net])</f>
        <v>0</v>
      </c>
      <c r="AC668" s="436">
        <f>IF(NFI_Expiration=1,IF($A668&lt;VLOOKUP(L$5,NFI,5,0),1,0)*Table_NFI[[#This Row],[Tarpaulin]],Table_NFI[[#This Row],[Tarpaulin]])</f>
        <v>0</v>
      </c>
      <c r="AD668" s="436">
        <f>IF(NFI_Expiration=1,IF($A668&lt;VLOOKUP(M$5,NFI,5,0),1,0)*Table_NFI[[#This Row],[Blanket]],Table_NFI[[#This Row],[Blanket]])</f>
        <v>0</v>
      </c>
      <c r="AE668" s="436">
        <f>IF(NFI_Expiration=1,IF($A668&lt;VLOOKUP(N$5,NFI,5,0),1,0)*Table_NFI[[#This Row],[Kitchen Set]],Table_NFI[Kitchen Set])</f>
        <v>0</v>
      </c>
      <c r="AF668" s="436">
        <f>IF(NFI_Expiration=1,IF($A668&lt;VLOOKUP(O$5,NFI,5,0),1,0)*Table_NFI[[#This Row],[Clothes Kit]],Table_NFI[Clothes Kit])</f>
        <v>0</v>
      </c>
      <c r="AG668" s="436">
        <f>IF(NFI_Expiration=1,IF($A668&lt;VLOOKUP(P$5,NFI,5,0),1,0)*Table_NFI[[#This Row],[Plastic Bucket]],Table_NFI[Plastic Bucket])</f>
        <v>0</v>
      </c>
      <c r="AH668" s="436">
        <f>IF(NFI_Expiration=1,IF($A668&lt;VLOOKUP(Q$5,NFI,5,0),1,0)*Table_NFI[[#This Row],[Plastic Mat]],Table_NFI[Plastic Mat])*IF(Table_NFI[[#This Row],[Distribution Date]]&gt;"2014-04-01",1,2.5)</f>
        <v>0</v>
      </c>
      <c r="AI668" s="436">
        <f>IF(NFI_Expiration=1,IF($A668&lt;VLOOKUP(R$5,NFI,5,0),1,0)*Table_NFI[[#This Row],[Winter Clothes Adult]],Table_NFI[Winter Clothes Adult])</f>
        <v>0</v>
      </c>
      <c r="AJ668" s="436">
        <f>IF(NFI_Expiration=1,IF($A668&lt;VLOOKUP(S$5,NFI,5,0),1,0)*Table_NFI[[#This Row],[Winter Clothes Children]],Table_NFI[Winter Clothes Children])</f>
        <v>0</v>
      </c>
      <c r="AK668" s="436">
        <f>IF(NFI_Expiration=1,IF($A668&lt;VLOOKUP(T$5,NFI,5,0),1,0)*Table_NFI[[#This Row],[Winter Items Other]],Table_NFI[Winter Items Other])</f>
        <v>0</v>
      </c>
      <c r="AL668" s="436">
        <f>IF(NFI_Expiration=1,IF($A668&lt;VLOOKUP(M$5,NFI,5,0),1,0)*Table_NFI[[#This Row],[Winter Blanket]],Table_NFI[[#This Row],[Winter Blanket]])</f>
        <v>0</v>
      </c>
      <c r="AM668" s="436">
        <f>IF(Table_NFI[[#This Row],[Winter Clothes Adult]]+Table_NFI[[#This Row],[Winter Clothes Children]]+Table_NFI[[#This Row],[Winter Items Other]]+Table_NFI[[#This Row],[Winter Blanket]]&gt;0,1,0)</f>
        <v>0</v>
      </c>
      <c r="AN668" s="439">
        <f>IF(NFI_Expiration=1,IF($A668&lt;VLOOKUP(V$5,NFI,5,0),1,0)*Table_NFI[[#This Row],[Jerry Can]],Table_NFI[Jerry Can])</f>
        <v>0</v>
      </c>
      <c r="AO668" s="771" t="str">
        <f>IFERROR(VLOOKUP(Table_NFI[[#This Row],[Camp Name]],CL,2,0),"")</f>
        <v>MMR001CMP169</v>
      </c>
      <c r="AP668" s="772">
        <f ca="1">IF(Table_NFI[[#This Row],[Pcode]]="","",IF(OFFSET(CampList[Opening Date],MATCH(Table_NFI[[#This Row],[Pcode]],CampList[CP_Pcode],0)-1,0,1,1)&gt;=NFI_Monitor_Date,1,0))</f>
        <v>0</v>
      </c>
      <c r="AQ668" s="771" t="str">
        <f>IFERROR(VLOOKUP(Table_NFI[[#This Row],[Camp Name]],CL,3,0),"")</f>
        <v>Open</v>
      </c>
      <c r="AR668" s="436" t="str">
        <f ca="1">IF(Table_NFI[[#This Row],[Pcode]]="","",OFFSET(CampList[Priority],MATCH(Table_NFI[[#This Row],[Pcode]],CampList[CP_Pcode],0)-1,0,1,1))</f>
        <v>P4</v>
      </c>
      <c r="AS668" s="438">
        <f>IFERROR(Table_NFI[[#This Row],[Kitchen Set]]/VLOOKUP(Table_NFI[[#This Row],[Camp Name]],CL,4,0),"")</f>
        <v>0</v>
      </c>
      <c r="AT668" s="769" t="s">
        <v>1099</v>
      </c>
      <c r="AU668" s="773"/>
    </row>
    <row r="669" spans="1:47" s="774" customFormat="1" x14ac:dyDescent="0.25">
      <c r="A669" s="451">
        <f t="shared" si="10"/>
        <v>36.533333333333331</v>
      </c>
      <c r="B669" s="768">
        <v>41274</v>
      </c>
      <c r="C669" s="769" t="s">
        <v>455</v>
      </c>
      <c r="D669" s="770" t="s">
        <v>455</v>
      </c>
      <c r="E669" s="769" t="s">
        <v>380</v>
      </c>
      <c r="F669" s="435" t="s">
        <v>529</v>
      </c>
      <c r="G669" s="435" t="s">
        <v>60</v>
      </c>
      <c r="H669" s="436">
        <v>3</v>
      </c>
      <c r="I669" s="436"/>
      <c r="J669" s="436"/>
      <c r="K669" s="436"/>
      <c r="L669" s="437"/>
      <c r="M669" s="437"/>
      <c r="N669" s="437"/>
      <c r="O669" s="437"/>
      <c r="P669" s="437">
        <v>0</v>
      </c>
      <c r="Q669" s="437">
        <v>0</v>
      </c>
      <c r="R669" s="436"/>
      <c r="S669" s="436"/>
      <c r="T669" s="436"/>
      <c r="U669" s="436"/>
      <c r="V669" s="436"/>
      <c r="W669" s="436"/>
      <c r="X669" s="436"/>
      <c r="Y669" s="436">
        <f>IF(NFI_Expiration=1,IF($A669&lt;VLOOKUP(H$5,NFI,5,0),1,0)*Table_NFI[[#This Row],[Hygiene Kit]],Table_NFI[Hygiene Kit])</f>
        <v>0</v>
      </c>
      <c r="Z669" s="436">
        <f>IF(NFI_Expiration=1,IF($A669&lt;VLOOKUP(I$5,NFI,5,0),1,0)*Table_NFI[[#This Row],[NFI Core Kit]],Table_NFI[NFI Core Kit])</f>
        <v>0</v>
      </c>
      <c r="AA669" s="436">
        <f>IF(NFI_Expiration=1,IF($A669&lt;VLOOKUP(J$5,NFI,5,0),1,0)*Table_NFI[[#This Row],[Sanitary Kit]],Table_NFI[Sanitary Kit])</f>
        <v>0</v>
      </c>
      <c r="AB669" s="436">
        <f>IF(NFI_Expiration=1,IF($A669&lt;VLOOKUP(K$5,NFI,5,0),1,0)*Table_NFI[[#This Row],[Mosquito net]],Table_NFI[Mosquito net])</f>
        <v>0</v>
      </c>
      <c r="AC669" s="436">
        <f>IF(NFI_Expiration=1,IF($A669&lt;VLOOKUP(L$5,NFI,5,0),1,0)*Table_NFI[[#This Row],[Tarpaulin]],Table_NFI[[#This Row],[Tarpaulin]])</f>
        <v>0</v>
      </c>
      <c r="AD669" s="436">
        <f>IF(NFI_Expiration=1,IF($A669&lt;VLOOKUP(M$5,NFI,5,0),1,0)*Table_NFI[[#This Row],[Blanket]],Table_NFI[[#This Row],[Blanket]])</f>
        <v>0</v>
      </c>
      <c r="AE669" s="436">
        <f>IF(NFI_Expiration=1,IF($A669&lt;VLOOKUP(N$5,NFI,5,0),1,0)*Table_NFI[[#This Row],[Kitchen Set]],Table_NFI[Kitchen Set])</f>
        <v>0</v>
      </c>
      <c r="AF669" s="436">
        <f>IF(NFI_Expiration=1,IF($A669&lt;VLOOKUP(O$5,NFI,5,0),1,0)*Table_NFI[[#This Row],[Clothes Kit]],Table_NFI[Clothes Kit])</f>
        <v>0</v>
      </c>
      <c r="AG669" s="436">
        <f>IF(NFI_Expiration=1,IF($A669&lt;VLOOKUP(P$5,NFI,5,0),1,0)*Table_NFI[[#This Row],[Plastic Bucket]],Table_NFI[Plastic Bucket])</f>
        <v>0</v>
      </c>
      <c r="AH669" s="436">
        <f>IF(NFI_Expiration=1,IF($A669&lt;VLOOKUP(Q$5,NFI,5,0),1,0)*Table_NFI[[#This Row],[Plastic Mat]],Table_NFI[Plastic Mat])*IF(Table_NFI[[#This Row],[Distribution Date]]&gt;"2014-04-01",1,2.5)</f>
        <v>0</v>
      </c>
      <c r="AI669" s="436">
        <f>IF(NFI_Expiration=1,IF($A669&lt;VLOOKUP(R$5,NFI,5,0),1,0)*Table_NFI[[#This Row],[Winter Clothes Adult]],Table_NFI[Winter Clothes Adult])</f>
        <v>0</v>
      </c>
      <c r="AJ669" s="436">
        <f>IF(NFI_Expiration=1,IF($A669&lt;VLOOKUP(S$5,NFI,5,0),1,0)*Table_NFI[[#This Row],[Winter Clothes Children]],Table_NFI[Winter Clothes Children])</f>
        <v>0</v>
      </c>
      <c r="AK669" s="436">
        <f>IF(NFI_Expiration=1,IF($A669&lt;VLOOKUP(T$5,NFI,5,0),1,0)*Table_NFI[[#This Row],[Winter Items Other]],Table_NFI[Winter Items Other])</f>
        <v>0</v>
      </c>
      <c r="AL669" s="436">
        <f>IF(NFI_Expiration=1,IF($A669&lt;VLOOKUP(M$5,NFI,5,0),1,0)*Table_NFI[[#This Row],[Winter Blanket]],Table_NFI[[#This Row],[Winter Blanket]])</f>
        <v>0</v>
      </c>
      <c r="AM669" s="436">
        <f>IF(Table_NFI[[#This Row],[Winter Clothes Adult]]+Table_NFI[[#This Row],[Winter Clothes Children]]+Table_NFI[[#This Row],[Winter Items Other]]+Table_NFI[[#This Row],[Winter Blanket]]&gt;0,1,0)</f>
        <v>0</v>
      </c>
      <c r="AN669" s="439">
        <f>IF(NFI_Expiration=1,IF($A669&lt;VLOOKUP(V$5,NFI,5,0),1,0)*Table_NFI[[#This Row],[Jerry Can]],Table_NFI[Jerry Can])</f>
        <v>0</v>
      </c>
      <c r="AO669" s="771" t="str">
        <f>IFERROR(VLOOKUP(Table_NFI[[#This Row],[Camp Name]],CL,2,0),"")</f>
        <v>MMR001CMP172</v>
      </c>
      <c r="AP669" s="772">
        <f ca="1">IF(Table_NFI[[#This Row],[Pcode]]="","",IF(OFFSET(CampList[Opening Date],MATCH(Table_NFI[[#This Row],[Pcode]],CampList[CP_Pcode],0)-1,0,1,1)&gt;=NFI_Monitor_Date,1,0))</f>
        <v>0</v>
      </c>
      <c r="AQ669" s="771" t="str">
        <f>IFERROR(VLOOKUP(Table_NFI[[#This Row],[Camp Name]],CL,3,0),"")</f>
        <v>Closed</v>
      </c>
      <c r="AR669" s="436" t="str">
        <f ca="1">IF(Table_NFI[[#This Row],[Pcode]]="","",OFFSET(CampList[Priority],MATCH(Table_NFI[[#This Row],[Pcode]],CampList[CP_Pcode],0)-1,0,1,1))</f>
        <v/>
      </c>
      <c r="AS669" s="438" t="str">
        <f>IFERROR(Table_NFI[[#This Row],[Kitchen Set]]/VLOOKUP(Table_NFI[[#This Row],[Camp Name]],CL,4,0),"")</f>
        <v/>
      </c>
      <c r="AT669" s="769" t="s">
        <v>1099</v>
      </c>
      <c r="AU669" s="773"/>
    </row>
    <row r="670" spans="1:47" s="774" customFormat="1" x14ac:dyDescent="0.25">
      <c r="A670" s="451">
        <f t="shared" si="10"/>
        <v>36.533333333333331</v>
      </c>
      <c r="B670" s="768">
        <v>41274</v>
      </c>
      <c r="C670" s="769" t="s">
        <v>455</v>
      </c>
      <c r="D670" s="770" t="s">
        <v>455</v>
      </c>
      <c r="E670" s="769" t="s">
        <v>380</v>
      </c>
      <c r="F670" s="435" t="s">
        <v>529</v>
      </c>
      <c r="G670" s="435" t="s">
        <v>76</v>
      </c>
      <c r="H670" s="436">
        <v>6</v>
      </c>
      <c r="I670" s="436"/>
      <c r="J670" s="436"/>
      <c r="K670" s="436"/>
      <c r="L670" s="437"/>
      <c r="M670" s="437"/>
      <c r="N670" s="437"/>
      <c r="O670" s="437"/>
      <c r="P670" s="437">
        <v>0</v>
      </c>
      <c r="Q670" s="437">
        <v>0</v>
      </c>
      <c r="R670" s="436"/>
      <c r="S670" s="436"/>
      <c r="T670" s="436"/>
      <c r="U670" s="436"/>
      <c r="V670" s="436"/>
      <c r="W670" s="436"/>
      <c r="X670" s="436"/>
      <c r="Y670" s="436">
        <f>IF(NFI_Expiration=1,IF($A670&lt;VLOOKUP(H$5,NFI,5,0),1,0)*Table_NFI[[#This Row],[Hygiene Kit]],Table_NFI[Hygiene Kit])</f>
        <v>0</v>
      </c>
      <c r="Z670" s="436">
        <f>IF(NFI_Expiration=1,IF($A670&lt;VLOOKUP(I$5,NFI,5,0),1,0)*Table_NFI[[#This Row],[NFI Core Kit]],Table_NFI[NFI Core Kit])</f>
        <v>0</v>
      </c>
      <c r="AA670" s="436">
        <f>IF(NFI_Expiration=1,IF($A670&lt;VLOOKUP(J$5,NFI,5,0),1,0)*Table_NFI[[#This Row],[Sanitary Kit]],Table_NFI[Sanitary Kit])</f>
        <v>0</v>
      </c>
      <c r="AB670" s="436">
        <f>IF(NFI_Expiration=1,IF($A670&lt;VLOOKUP(K$5,NFI,5,0),1,0)*Table_NFI[[#This Row],[Mosquito net]],Table_NFI[Mosquito net])</f>
        <v>0</v>
      </c>
      <c r="AC670" s="436">
        <f>IF(NFI_Expiration=1,IF($A670&lt;VLOOKUP(L$5,NFI,5,0),1,0)*Table_NFI[[#This Row],[Tarpaulin]],Table_NFI[[#This Row],[Tarpaulin]])</f>
        <v>0</v>
      </c>
      <c r="AD670" s="436">
        <f>IF(NFI_Expiration=1,IF($A670&lt;VLOOKUP(M$5,NFI,5,0),1,0)*Table_NFI[[#This Row],[Blanket]],Table_NFI[[#This Row],[Blanket]])</f>
        <v>0</v>
      </c>
      <c r="AE670" s="436">
        <f>IF(NFI_Expiration=1,IF($A670&lt;VLOOKUP(N$5,NFI,5,0),1,0)*Table_NFI[[#This Row],[Kitchen Set]],Table_NFI[Kitchen Set])</f>
        <v>0</v>
      </c>
      <c r="AF670" s="436">
        <f>IF(NFI_Expiration=1,IF($A670&lt;VLOOKUP(O$5,NFI,5,0),1,0)*Table_NFI[[#This Row],[Clothes Kit]],Table_NFI[Clothes Kit])</f>
        <v>0</v>
      </c>
      <c r="AG670" s="436">
        <f>IF(NFI_Expiration=1,IF($A670&lt;VLOOKUP(P$5,NFI,5,0),1,0)*Table_NFI[[#This Row],[Plastic Bucket]],Table_NFI[Plastic Bucket])</f>
        <v>0</v>
      </c>
      <c r="AH670" s="436">
        <f>IF(NFI_Expiration=1,IF($A670&lt;VLOOKUP(Q$5,NFI,5,0),1,0)*Table_NFI[[#This Row],[Plastic Mat]],Table_NFI[Plastic Mat])*IF(Table_NFI[[#This Row],[Distribution Date]]&gt;"2014-04-01",1,2.5)</f>
        <v>0</v>
      </c>
      <c r="AI670" s="436">
        <f>IF(NFI_Expiration=1,IF($A670&lt;VLOOKUP(R$5,NFI,5,0),1,0)*Table_NFI[[#This Row],[Winter Clothes Adult]],Table_NFI[Winter Clothes Adult])</f>
        <v>0</v>
      </c>
      <c r="AJ670" s="436">
        <f>IF(NFI_Expiration=1,IF($A670&lt;VLOOKUP(S$5,NFI,5,0),1,0)*Table_NFI[[#This Row],[Winter Clothes Children]],Table_NFI[Winter Clothes Children])</f>
        <v>0</v>
      </c>
      <c r="AK670" s="436">
        <f>IF(NFI_Expiration=1,IF($A670&lt;VLOOKUP(T$5,NFI,5,0),1,0)*Table_NFI[[#This Row],[Winter Items Other]],Table_NFI[Winter Items Other])</f>
        <v>0</v>
      </c>
      <c r="AL670" s="436">
        <f>IF(NFI_Expiration=1,IF($A670&lt;VLOOKUP(M$5,NFI,5,0),1,0)*Table_NFI[[#This Row],[Winter Blanket]],Table_NFI[[#This Row],[Winter Blanket]])</f>
        <v>0</v>
      </c>
      <c r="AM670" s="436">
        <f>IF(Table_NFI[[#This Row],[Winter Clothes Adult]]+Table_NFI[[#This Row],[Winter Clothes Children]]+Table_NFI[[#This Row],[Winter Items Other]]+Table_NFI[[#This Row],[Winter Blanket]]&gt;0,1,0)</f>
        <v>0</v>
      </c>
      <c r="AN670" s="439">
        <f>IF(NFI_Expiration=1,IF($A670&lt;VLOOKUP(V$5,NFI,5,0),1,0)*Table_NFI[[#This Row],[Jerry Can]],Table_NFI[Jerry Can])</f>
        <v>0</v>
      </c>
      <c r="AO670" s="771" t="str">
        <f>IFERROR(VLOOKUP(Table_NFI[[#This Row],[Camp Name]],CL,2,0),"")</f>
        <v>MMR001CMP174</v>
      </c>
      <c r="AP670" s="772">
        <f ca="1">IF(Table_NFI[[#This Row],[Pcode]]="","",IF(OFFSET(CampList[Opening Date],MATCH(Table_NFI[[#This Row],[Pcode]],CampList[CP_Pcode],0)-1,0,1,1)&gt;=NFI_Monitor_Date,1,0))</f>
        <v>0</v>
      </c>
      <c r="AQ670" s="771" t="str">
        <f>IFERROR(VLOOKUP(Table_NFI[[#This Row],[Camp Name]],CL,3,0),"")</f>
        <v>Open</v>
      </c>
      <c r="AR670" s="436" t="str">
        <f ca="1">IF(Table_NFI[[#This Row],[Pcode]]="","",OFFSET(CampList[Priority],MATCH(Table_NFI[[#This Row],[Pcode]],CampList[CP_Pcode],0)-1,0,1,1))</f>
        <v>P4</v>
      </c>
      <c r="AS670" s="438">
        <f>IFERROR(Table_NFI[[#This Row],[Kitchen Set]]/VLOOKUP(Table_NFI[[#This Row],[Camp Name]],CL,4,0),"")</f>
        <v>0</v>
      </c>
      <c r="AT670" s="769" t="s">
        <v>1099</v>
      </c>
      <c r="AU670" s="773"/>
    </row>
    <row r="671" spans="1:47" s="774" customFormat="1" x14ac:dyDescent="0.25">
      <c r="A671" s="451">
        <f t="shared" si="10"/>
        <v>36.533333333333331</v>
      </c>
      <c r="B671" s="768">
        <v>41274</v>
      </c>
      <c r="C671" s="769" t="s">
        <v>455</v>
      </c>
      <c r="D671" s="770" t="s">
        <v>455</v>
      </c>
      <c r="E671" s="769" t="s">
        <v>380</v>
      </c>
      <c r="F671" s="769" t="s">
        <v>310</v>
      </c>
      <c r="G671" s="435" t="s">
        <v>313</v>
      </c>
      <c r="H671" s="436">
        <v>136</v>
      </c>
      <c r="I671" s="436"/>
      <c r="J671" s="436"/>
      <c r="K671" s="436"/>
      <c r="L671" s="437"/>
      <c r="M671" s="437"/>
      <c r="N671" s="437"/>
      <c r="O671" s="437"/>
      <c r="P671" s="437">
        <v>0</v>
      </c>
      <c r="Q671" s="437">
        <v>0</v>
      </c>
      <c r="R671" s="436"/>
      <c r="S671" s="436"/>
      <c r="T671" s="436"/>
      <c r="U671" s="436"/>
      <c r="V671" s="436"/>
      <c r="W671" s="436"/>
      <c r="X671" s="436"/>
      <c r="Y671" s="436">
        <f>IF(NFI_Expiration=1,IF($A671&lt;VLOOKUP(H$5,NFI,5,0),1,0)*Table_NFI[[#This Row],[Hygiene Kit]],Table_NFI[Hygiene Kit])</f>
        <v>0</v>
      </c>
      <c r="Z671" s="436">
        <f>IF(NFI_Expiration=1,IF($A671&lt;VLOOKUP(I$5,NFI,5,0),1,0)*Table_NFI[[#This Row],[NFI Core Kit]],Table_NFI[NFI Core Kit])</f>
        <v>0</v>
      </c>
      <c r="AA671" s="436">
        <f>IF(NFI_Expiration=1,IF($A671&lt;VLOOKUP(J$5,NFI,5,0),1,0)*Table_NFI[[#This Row],[Sanitary Kit]],Table_NFI[Sanitary Kit])</f>
        <v>0</v>
      </c>
      <c r="AB671" s="436">
        <f>IF(NFI_Expiration=1,IF($A671&lt;VLOOKUP(K$5,NFI,5,0),1,0)*Table_NFI[[#This Row],[Mosquito net]],Table_NFI[Mosquito net])</f>
        <v>0</v>
      </c>
      <c r="AC671" s="436">
        <f>IF(NFI_Expiration=1,IF($A671&lt;VLOOKUP(L$5,NFI,5,0),1,0)*Table_NFI[[#This Row],[Tarpaulin]],Table_NFI[[#This Row],[Tarpaulin]])</f>
        <v>0</v>
      </c>
      <c r="AD671" s="436">
        <f>IF(NFI_Expiration=1,IF($A671&lt;VLOOKUP(M$5,NFI,5,0),1,0)*Table_NFI[[#This Row],[Blanket]],Table_NFI[[#This Row],[Blanket]])</f>
        <v>0</v>
      </c>
      <c r="AE671" s="436">
        <f>IF(NFI_Expiration=1,IF($A671&lt;VLOOKUP(N$5,NFI,5,0),1,0)*Table_NFI[[#This Row],[Kitchen Set]],Table_NFI[Kitchen Set])</f>
        <v>0</v>
      </c>
      <c r="AF671" s="436">
        <f>IF(NFI_Expiration=1,IF($A671&lt;VLOOKUP(O$5,NFI,5,0),1,0)*Table_NFI[[#This Row],[Clothes Kit]],Table_NFI[Clothes Kit])</f>
        <v>0</v>
      </c>
      <c r="AG671" s="436">
        <f>IF(NFI_Expiration=1,IF($A671&lt;VLOOKUP(P$5,NFI,5,0),1,0)*Table_NFI[[#This Row],[Plastic Bucket]],Table_NFI[Plastic Bucket])</f>
        <v>0</v>
      </c>
      <c r="AH671" s="436">
        <f>IF(NFI_Expiration=1,IF($A671&lt;VLOOKUP(Q$5,NFI,5,0),1,0)*Table_NFI[[#This Row],[Plastic Mat]],Table_NFI[Plastic Mat])*IF(Table_NFI[[#This Row],[Distribution Date]]&gt;"2014-04-01",1,2.5)</f>
        <v>0</v>
      </c>
      <c r="AI671" s="436">
        <f>IF(NFI_Expiration=1,IF($A671&lt;VLOOKUP(R$5,NFI,5,0),1,0)*Table_NFI[[#This Row],[Winter Clothes Adult]],Table_NFI[Winter Clothes Adult])</f>
        <v>0</v>
      </c>
      <c r="AJ671" s="436">
        <f>IF(NFI_Expiration=1,IF($A671&lt;VLOOKUP(S$5,NFI,5,0),1,0)*Table_NFI[[#This Row],[Winter Clothes Children]],Table_NFI[Winter Clothes Children])</f>
        <v>0</v>
      </c>
      <c r="AK671" s="436">
        <f>IF(NFI_Expiration=1,IF($A671&lt;VLOOKUP(T$5,NFI,5,0),1,0)*Table_NFI[[#This Row],[Winter Items Other]],Table_NFI[Winter Items Other])</f>
        <v>0</v>
      </c>
      <c r="AL671" s="436">
        <f>IF(NFI_Expiration=1,IF($A671&lt;VLOOKUP(M$5,NFI,5,0),1,0)*Table_NFI[[#This Row],[Winter Blanket]],Table_NFI[[#This Row],[Winter Blanket]])</f>
        <v>0</v>
      </c>
      <c r="AM671" s="436">
        <f>IF(Table_NFI[[#This Row],[Winter Clothes Adult]]+Table_NFI[[#This Row],[Winter Clothes Children]]+Table_NFI[[#This Row],[Winter Items Other]]+Table_NFI[[#This Row],[Winter Blanket]]&gt;0,1,0)</f>
        <v>0</v>
      </c>
      <c r="AN671" s="439">
        <f>IF(NFI_Expiration=1,IF($A671&lt;VLOOKUP(V$5,NFI,5,0),1,0)*Table_NFI[[#This Row],[Jerry Can]],Table_NFI[Jerry Can])</f>
        <v>0</v>
      </c>
      <c r="AO671" s="771" t="str">
        <f>IFERROR(VLOOKUP(Table_NFI[[#This Row],[Camp Name]],CL,2,0),"")</f>
        <v>MMR001CMP028</v>
      </c>
      <c r="AP671" s="772">
        <f ca="1">IF(Table_NFI[[#This Row],[Pcode]]="","",IF(OFFSET(CampList[Opening Date],MATCH(Table_NFI[[#This Row],[Pcode]],CampList[CP_Pcode],0)-1,0,1,1)&gt;=NFI_Monitor_Date,1,0))</f>
        <v>0</v>
      </c>
      <c r="AQ671" s="771" t="str">
        <f>IFERROR(VLOOKUP(Table_NFI[[#This Row],[Camp Name]],CL,3,0),"")</f>
        <v>Open</v>
      </c>
      <c r="AR671" s="436" t="str">
        <f ca="1">IF(Table_NFI[[#This Row],[Pcode]]="","",OFFSET(CampList[Priority],MATCH(Table_NFI[[#This Row],[Pcode]],CampList[CP_Pcode],0)-1,0,1,1))</f>
        <v>P4</v>
      </c>
      <c r="AS671" s="438">
        <f>IFERROR(Table_NFI[[#This Row],[Kitchen Set]]/VLOOKUP(Table_NFI[[#This Row],[Camp Name]],CL,4,0),"")</f>
        <v>0</v>
      </c>
      <c r="AT671" s="769" t="s">
        <v>1099</v>
      </c>
      <c r="AU671" s="773"/>
    </row>
    <row r="672" spans="1:47" s="774" customFormat="1" x14ac:dyDescent="0.25">
      <c r="A672" s="451">
        <f t="shared" si="10"/>
        <v>36.533333333333331</v>
      </c>
      <c r="B672" s="768">
        <v>41274</v>
      </c>
      <c r="C672" s="769" t="s">
        <v>455</v>
      </c>
      <c r="D672" s="769" t="s">
        <v>455</v>
      </c>
      <c r="E672" s="769" t="s">
        <v>380</v>
      </c>
      <c r="F672" s="769" t="s">
        <v>529</v>
      </c>
      <c r="G672" s="435" t="s">
        <v>88</v>
      </c>
      <c r="H672" s="436">
        <v>4</v>
      </c>
      <c r="I672" s="436"/>
      <c r="J672" s="436"/>
      <c r="K672" s="436"/>
      <c r="L672" s="437"/>
      <c r="M672" s="437"/>
      <c r="N672" s="437"/>
      <c r="O672" s="437"/>
      <c r="P672" s="437">
        <v>0</v>
      </c>
      <c r="Q672" s="437">
        <v>0</v>
      </c>
      <c r="R672" s="436"/>
      <c r="S672" s="436"/>
      <c r="T672" s="436"/>
      <c r="U672" s="436"/>
      <c r="V672" s="436"/>
      <c r="W672" s="436"/>
      <c r="X672" s="436"/>
      <c r="Y672" s="436">
        <f>IF(NFI_Expiration=1,IF($A672&lt;VLOOKUP(H$5,NFI,5,0),1,0)*Table_NFI[[#This Row],[Hygiene Kit]],Table_NFI[Hygiene Kit])</f>
        <v>0</v>
      </c>
      <c r="Z672" s="436">
        <f>IF(NFI_Expiration=1,IF($A672&lt;VLOOKUP(I$5,NFI,5,0),1,0)*Table_NFI[[#This Row],[NFI Core Kit]],Table_NFI[NFI Core Kit])</f>
        <v>0</v>
      </c>
      <c r="AA672" s="436">
        <f>IF(NFI_Expiration=1,IF($A672&lt;VLOOKUP(J$5,NFI,5,0),1,0)*Table_NFI[[#This Row],[Sanitary Kit]],Table_NFI[Sanitary Kit])</f>
        <v>0</v>
      </c>
      <c r="AB672" s="436">
        <f>IF(NFI_Expiration=1,IF($A672&lt;VLOOKUP(K$5,NFI,5,0),1,0)*Table_NFI[[#This Row],[Mosquito net]],Table_NFI[Mosquito net])</f>
        <v>0</v>
      </c>
      <c r="AC672" s="436">
        <f>IF(NFI_Expiration=1,IF($A672&lt;VLOOKUP(L$5,NFI,5,0),1,0)*Table_NFI[[#This Row],[Tarpaulin]],Table_NFI[[#This Row],[Tarpaulin]])</f>
        <v>0</v>
      </c>
      <c r="AD672" s="436">
        <f>IF(NFI_Expiration=1,IF($A672&lt;VLOOKUP(M$5,NFI,5,0),1,0)*Table_NFI[[#This Row],[Blanket]],Table_NFI[[#This Row],[Blanket]])</f>
        <v>0</v>
      </c>
      <c r="AE672" s="436">
        <f>IF(NFI_Expiration=1,IF($A672&lt;VLOOKUP(N$5,NFI,5,0),1,0)*Table_NFI[[#This Row],[Kitchen Set]],Table_NFI[Kitchen Set])</f>
        <v>0</v>
      </c>
      <c r="AF672" s="436">
        <f>IF(NFI_Expiration=1,IF($A672&lt;VLOOKUP(O$5,NFI,5,0),1,0)*Table_NFI[[#This Row],[Clothes Kit]],Table_NFI[Clothes Kit])</f>
        <v>0</v>
      </c>
      <c r="AG672" s="436">
        <f>IF(NFI_Expiration=1,IF($A672&lt;VLOOKUP(P$5,NFI,5,0),1,0)*Table_NFI[[#This Row],[Plastic Bucket]],Table_NFI[Plastic Bucket])</f>
        <v>0</v>
      </c>
      <c r="AH672" s="436">
        <f>IF(NFI_Expiration=1,IF($A672&lt;VLOOKUP(Q$5,NFI,5,0),1,0)*Table_NFI[[#This Row],[Plastic Mat]],Table_NFI[Plastic Mat])*IF(Table_NFI[[#This Row],[Distribution Date]]&gt;"2014-04-01",1,2.5)</f>
        <v>0</v>
      </c>
      <c r="AI672" s="436">
        <f>IF(NFI_Expiration=1,IF($A672&lt;VLOOKUP(R$5,NFI,5,0),1,0)*Table_NFI[[#This Row],[Winter Clothes Adult]],Table_NFI[Winter Clothes Adult])</f>
        <v>0</v>
      </c>
      <c r="AJ672" s="436">
        <f>IF(NFI_Expiration=1,IF($A672&lt;VLOOKUP(S$5,NFI,5,0),1,0)*Table_NFI[[#This Row],[Winter Clothes Children]],Table_NFI[Winter Clothes Children])</f>
        <v>0</v>
      </c>
      <c r="AK672" s="436">
        <f>IF(NFI_Expiration=1,IF($A672&lt;VLOOKUP(T$5,NFI,5,0),1,0)*Table_NFI[[#This Row],[Winter Items Other]],Table_NFI[Winter Items Other])</f>
        <v>0</v>
      </c>
      <c r="AL672" s="436">
        <f>IF(NFI_Expiration=1,IF($A672&lt;VLOOKUP(M$5,NFI,5,0),1,0)*Table_NFI[[#This Row],[Winter Blanket]],Table_NFI[[#This Row],[Winter Blanket]])</f>
        <v>0</v>
      </c>
      <c r="AM672" s="436">
        <f>IF(Table_NFI[[#This Row],[Winter Clothes Adult]]+Table_NFI[[#This Row],[Winter Clothes Children]]+Table_NFI[[#This Row],[Winter Items Other]]+Table_NFI[[#This Row],[Winter Blanket]]&gt;0,1,0)</f>
        <v>0</v>
      </c>
      <c r="AN672" s="439">
        <f>IF(NFI_Expiration=1,IF($A672&lt;VLOOKUP(V$5,NFI,5,0),1,0)*Table_NFI[[#This Row],[Jerry Can]],Table_NFI[Jerry Can])</f>
        <v>0</v>
      </c>
      <c r="AO672" s="771" t="str">
        <f>IFERROR(VLOOKUP(Table_NFI[[#This Row],[Camp Name]],CL,2,0),"")</f>
        <v>MMR001CMP148</v>
      </c>
      <c r="AP672" s="772">
        <f ca="1">IF(Table_NFI[[#This Row],[Pcode]]="","",IF(OFFSET(CampList[Opening Date],MATCH(Table_NFI[[#This Row],[Pcode]],CampList[CP_Pcode],0)-1,0,1,1)&gt;=NFI_Monitor_Date,1,0))</f>
        <v>0</v>
      </c>
      <c r="AQ672" s="771" t="str">
        <f>IFERROR(VLOOKUP(Table_NFI[[#This Row],[Camp Name]],CL,3,0),"")</f>
        <v>Open</v>
      </c>
      <c r="AR672" s="436" t="str">
        <f ca="1">IF(Table_NFI[[#This Row],[Pcode]]="","",OFFSET(CampList[Priority],MATCH(Table_NFI[[#This Row],[Pcode]],CampList[CP_Pcode],0)-1,0,1,1))</f>
        <v>P4</v>
      </c>
      <c r="AS672" s="438">
        <f>IFERROR(Table_NFI[[#This Row],[Kitchen Set]]/VLOOKUP(Table_NFI[[#This Row],[Camp Name]],CL,4,0),"")</f>
        <v>0</v>
      </c>
      <c r="AT672" s="769" t="s">
        <v>1099</v>
      </c>
      <c r="AU672" s="773"/>
    </row>
    <row r="673" spans="1:47" s="774" customFormat="1" x14ac:dyDescent="0.25">
      <c r="A673" s="451">
        <f t="shared" si="10"/>
        <v>36.533333333333331</v>
      </c>
      <c r="B673" s="768">
        <v>41274</v>
      </c>
      <c r="C673" s="769" t="s">
        <v>455</v>
      </c>
      <c r="D673" s="770" t="s">
        <v>455</v>
      </c>
      <c r="E673" s="769" t="s">
        <v>380</v>
      </c>
      <c r="F673" s="435" t="s">
        <v>529</v>
      </c>
      <c r="G673" s="435" t="s">
        <v>44</v>
      </c>
      <c r="H673" s="436">
        <v>3</v>
      </c>
      <c r="I673" s="436"/>
      <c r="J673" s="436"/>
      <c r="K673" s="436"/>
      <c r="L673" s="437"/>
      <c r="M673" s="437"/>
      <c r="N673" s="437"/>
      <c r="O673" s="437"/>
      <c r="P673" s="437">
        <v>0</v>
      </c>
      <c r="Q673" s="437">
        <v>0</v>
      </c>
      <c r="R673" s="436"/>
      <c r="S673" s="436"/>
      <c r="T673" s="436"/>
      <c r="U673" s="436"/>
      <c r="V673" s="436"/>
      <c r="W673" s="436"/>
      <c r="X673" s="436"/>
      <c r="Y673" s="436">
        <f>IF(NFI_Expiration=1,IF($A673&lt;VLOOKUP(H$5,NFI,5,0),1,0)*Table_NFI[[#This Row],[Hygiene Kit]],Table_NFI[Hygiene Kit])</f>
        <v>0</v>
      </c>
      <c r="Z673" s="436">
        <f>IF(NFI_Expiration=1,IF($A673&lt;VLOOKUP(I$5,NFI,5,0),1,0)*Table_NFI[[#This Row],[NFI Core Kit]],Table_NFI[NFI Core Kit])</f>
        <v>0</v>
      </c>
      <c r="AA673" s="436">
        <f>IF(NFI_Expiration=1,IF($A673&lt;VLOOKUP(J$5,NFI,5,0),1,0)*Table_NFI[[#This Row],[Sanitary Kit]],Table_NFI[Sanitary Kit])</f>
        <v>0</v>
      </c>
      <c r="AB673" s="436">
        <f>IF(NFI_Expiration=1,IF($A673&lt;VLOOKUP(K$5,NFI,5,0),1,0)*Table_NFI[[#This Row],[Mosquito net]],Table_NFI[Mosquito net])</f>
        <v>0</v>
      </c>
      <c r="AC673" s="436">
        <f>IF(NFI_Expiration=1,IF($A673&lt;VLOOKUP(L$5,NFI,5,0),1,0)*Table_NFI[[#This Row],[Tarpaulin]],Table_NFI[[#This Row],[Tarpaulin]])</f>
        <v>0</v>
      </c>
      <c r="AD673" s="436">
        <f>IF(NFI_Expiration=1,IF($A673&lt;VLOOKUP(M$5,NFI,5,0),1,0)*Table_NFI[[#This Row],[Blanket]],Table_NFI[[#This Row],[Blanket]])</f>
        <v>0</v>
      </c>
      <c r="AE673" s="436">
        <f>IF(NFI_Expiration=1,IF($A673&lt;VLOOKUP(N$5,NFI,5,0),1,0)*Table_NFI[[#This Row],[Kitchen Set]],Table_NFI[Kitchen Set])</f>
        <v>0</v>
      </c>
      <c r="AF673" s="436">
        <f>IF(NFI_Expiration=1,IF($A673&lt;VLOOKUP(O$5,NFI,5,0),1,0)*Table_NFI[[#This Row],[Clothes Kit]],Table_NFI[Clothes Kit])</f>
        <v>0</v>
      </c>
      <c r="AG673" s="436">
        <f>IF(NFI_Expiration=1,IF($A673&lt;VLOOKUP(P$5,NFI,5,0),1,0)*Table_NFI[[#This Row],[Plastic Bucket]],Table_NFI[Plastic Bucket])</f>
        <v>0</v>
      </c>
      <c r="AH673" s="436">
        <f>IF(NFI_Expiration=1,IF($A673&lt;VLOOKUP(Q$5,NFI,5,0),1,0)*Table_NFI[[#This Row],[Plastic Mat]],Table_NFI[Plastic Mat])*IF(Table_NFI[[#This Row],[Distribution Date]]&gt;"2014-04-01",1,2.5)</f>
        <v>0</v>
      </c>
      <c r="AI673" s="436">
        <f>IF(NFI_Expiration=1,IF($A673&lt;VLOOKUP(R$5,NFI,5,0),1,0)*Table_NFI[[#This Row],[Winter Clothes Adult]],Table_NFI[Winter Clothes Adult])</f>
        <v>0</v>
      </c>
      <c r="AJ673" s="436">
        <f>IF(NFI_Expiration=1,IF($A673&lt;VLOOKUP(S$5,NFI,5,0),1,0)*Table_NFI[[#This Row],[Winter Clothes Children]],Table_NFI[Winter Clothes Children])</f>
        <v>0</v>
      </c>
      <c r="AK673" s="436">
        <f>IF(NFI_Expiration=1,IF($A673&lt;VLOOKUP(T$5,NFI,5,0),1,0)*Table_NFI[[#This Row],[Winter Items Other]],Table_NFI[Winter Items Other])</f>
        <v>0</v>
      </c>
      <c r="AL673" s="436">
        <f>IF(NFI_Expiration=1,IF($A673&lt;VLOOKUP(M$5,NFI,5,0),1,0)*Table_NFI[[#This Row],[Winter Blanket]],Table_NFI[[#This Row],[Winter Blanket]])</f>
        <v>0</v>
      </c>
      <c r="AM673" s="436">
        <f>IF(Table_NFI[[#This Row],[Winter Clothes Adult]]+Table_NFI[[#This Row],[Winter Clothes Children]]+Table_NFI[[#This Row],[Winter Items Other]]+Table_NFI[[#This Row],[Winter Blanket]]&gt;0,1,0)</f>
        <v>0</v>
      </c>
      <c r="AN673" s="439">
        <f>IF(NFI_Expiration=1,IF($A673&lt;VLOOKUP(V$5,NFI,5,0),1,0)*Table_NFI[[#This Row],[Jerry Can]],Table_NFI[Jerry Can])</f>
        <v>0</v>
      </c>
      <c r="AO673" s="771" t="str">
        <f>IFERROR(VLOOKUP(Table_NFI[[#This Row],[Camp Name]],CL,2,0),"")</f>
        <v>MMR001CMP191</v>
      </c>
      <c r="AP673" s="772">
        <f ca="1">IF(Table_NFI[[#This Row],[Pcode]]="","",IF(OFFSET(CampList[Opening Date],MATCH(Table_NFI[[#This Row],[Pcode]],CampList[CP_Pcode],0)-1,0,1,1)&gt;=NFI_Monitor_Date,1,0))</f>
        <v>0</v>
      </c>
      <c r="AQ673" s="771" t="str">
        <f>IFERROR(VLOOKUP(Table_NFI[[#This Row],[Camp Name]],CL,3,0),"")</f>
        <v>Open</v>
      </c>
      <c r="AR673" s="436" t="str">
        <f ca="1">IF(Table_NFI[[#This Row],[Pcode]]="","",OFFSET(CampList[Priority],MATCH(Table_NFI[[#This Row],[Pcode]],CampList[CP_Pcode],0)-1,0,1,1))</f>
        <v>P4</v>
      </c>
      <c r="AS673" s="438">
        <f>IFERROR(Table_NFI[[#This Row],[Kitchen Set]]/VLOOKUP(Table_NFI[[#This Row],[Camp Name]],CL,4,0),"")</f>
        <v>0</v>
      </c>
      <c r="AT673" s="769" t="s">
        <v>1099</v>
      </c>
      <c r="AU673" s="773"/>
    </row>
    <row r="674" spans="1:47" s="774" customFormat="1" x14ac:dyDescent="0.25">
      <c r="A674" s="451">
        <f t="shared" si="10"/>
        <v>36.533333333333331</v>
      </c>
      <c r="B674" s="768">
        <v>41274</v>
      </c>
      <c r="C674" s="769" t="s">
        <v>455</v>
      </c>
      <c r="D674" s="770" t="s">
        <v>455</v>
      </c>
      <c r="E674" s="769" t="s">
        <v>380</v>
      </c>
      <c r="F674" s="435" t="s">
        <v>529</v>
      </c>
      <c r="G674" s="435" t="s">
        <v>92</v>
      </c>
      <c r="H674" s="436">
        <v>1</v>
      </c>
      <c r="I674" s="436"/>
      <c r="J674" s="436"/>
      <c r="K674" s="436"/>
      <c r="L674" s="437"/>
      <c r="M674" s="437"/>
      <c r="N674" s="437"/>
      <c r="O674" s="437"/>
      <c r="P674" s="437">
        <v>0</v>
      </c>
      <c r="Q674" s="437">
        <v>0</v>
      </c>
      <c r="R674" s="436"/>
      <c r="S674" s="436"/>
      <c r="T674" s="436"/>
      <c r="U674" s="436"/>
      <c r="V674" s="436"/>
      <c r="W674" s="436"/>
      <c r="X674" s="436"/>
      <c r="Y674" s="436">
        <f>IF(NFI_Expiration=1,IF($A674&lt;VLOOKUP(H$5,NFI,5,0),1,0)*Table_NFI[[#This Row],[Hygiene Kit]],Table_NFI[Hygiene Kit])</f>
        <v>0</v>
      </c>
      <c r="Z674" s="436">
        <f>IF(NFI_Expiration=1,IF($A674&lt;VLOOKUP(I$5,NFI,5,0),1,0)*Table_NFI[[#This Row],[NFI Core Kit]],Table_NFI[NFI Core Kit])</f>
        <v>0</v>
      </c>
      <c r="AA674" s="436">
        <f>IF(NFI_Expiration=1,IF($A674&lt;VLOOKUP(J$5,NFI,5,0),1,0)*Table_NFI[[#This Row],[Sanitary Kit]],Table_NFI[Sanitary Kit])</f>
        <v>0</v>
      </c>
      <c r="AB674" s="436">
        <f>IF(NFI_Expiration=1,IF($A674&lt;VLOOKUP(K$5,NFI,5,0),1,0)*Table_NFI[[#This Row],[Mosquito net]],Table_NFI[Mosquito net])</f>
        <v>0</v>
      </c>
      <c r="AC674" s="436">
        <f>IF(NFI_Expiration=1,IF($A674&lt;VLOOKUP(L$5,NFI,5,0),1,0)*Table_NFI[[#This Row],[Tarpaulin]],Table_NFI[[#This Row],[Tarpaulin]])</f>
        <v>0</v>
      </c>
      <c r="AD674" s="436">
        <f>IF(NFI_Expiration=1,IF($A674&lt;VLOOKUP(M$5,NFI,5,0),1,0)*Table_NFI[[#This Row],[Blanket]],Table_NFI[[#This Row],[Blanket]])</f>
        <v>0</v>
      </c>
      <c r="AE674" s="436">
        <f>IF(NFI_Expiration=1,IF($A674&lt;VLOOKUP(N$5,NFI,5,0),1,0)*Table_NFI[[#This Row],[Kitchen Set]],Table_NFI[Kitchen Set])</f>
        <v>0</v>
      </c>
      <c r="AF674" s="436">
        <f>IF(NFI_Expiration=1,IF($A674&lt;VLOOKUP(O$5,NFI,5,0),1,0)*Table_NFI[[#This Row],[Clothes Kit]],Table_NFI[Clothes Kit])</f>
        <v>0</v>
      </c>
      <c r="AG674" s="436">
        <f>IF(NFI_Expiration=1,IF($A674&lt;VLOOKUP(P$5,NFI,5,0),1,0)*Table_NFI[[#This Row],[Plastic Bucket]],Table_NFI[Plastic Bucket])</f>
        <v>0</v>
      </c>
      <c r="AH674" s="436">
        <f>IF(NFI_Expiration=1,IF($A674&lt;VLOOKUP(Q$5,NFI,5,0),1,0)*Table_NFI[[#This Row],[Plastic Mat]],Table_NFI[Plastic Mat])*IF(Table_NFI[[#This Row],[Distribution Date]]&gt;"2014-04-01",1,2.5)</f>
        <v>0</v>
      </c>
      <c r="AI674" s="436">
        <f>IF(NFI_Expiration=1,IF($A674&lt;VLOOKUP(R$5,NFI,5,0),1,0)*Table_NFI[[#This Row],[Winter Clothes Adult]],Table_NFI[Winter Clothes Adult])</f>
        <v>0</v>
      </c>
      <c r="AJ674" s="436">
        <f>IF(NFI_Expiration=1,IF($A674&lt;VLOOKUP(S$5,NFI,5,0),1,0)*Table_NFI[[#This Row],[Winter Clothes Children]],Table_NFI[Winter Clothes Children])</f>
        <v>0</v>
      </c>
      <c r="AK674" s="436">
        <f>IF(NFI_Expiration=1,IF($A674&lt;VLOOKUP(T$5,NFI,5,0),1,0)*Table_NFI[[#This Row],[Winter Items Other]],Table_NFI[Winter Items Other])</f>
        <v>0</v>
      </c>
      <c r="AL674" s="436">
        <f>IF(NFI_Expiration=1,IF($A674&lt;VLOOKUP(M$5,NFI,5,0),1,0)*Table_NFI[[#This Row],[Winter Blanket]],Table_NFI[[#This Row],[Winter Blanket]])</f>
        <v>0</v>
      </c>
      <c r="AM674" s="436">
        <f>IF(Table_NFI[[#This Row],[Winter Clothes Adult]]+Table_NFI[[#This Row],[Winter Clothes Children]]+Table_NFI[[#This Row],[Winter Items Other]]+Table_NFI[[#This Row],[Winter Blanket]]&gt;0,1,0)</f>
        <v>0</v>
      </c>
      <c r="AN674" s="439">
        <f>IF(NFI_Expiration=1,IF($A674&lt;VLOOKUP(V$5,NFI,5,0),1,0)*Table_NFI[[#This Row],[Jerry Can]],Table_NFI[Jerry Can])</f>
        <v>0</v>
      </c>
      <c r="AO674" s="771" t="str">
        <f>IFERROR(VLOOKUP(Table_NFI[[#This Row],[Camp Name]],CL,2,0),"")</f>
        <v>MMR001CMP167</v>
      </c>
      <c r="AP674" s="772">
        <f ca="1">IF(Table_NFI[[#This Row],[Pcode]]="","",IF(OFFSET(CampList[Opening Date],MATCH(Table_NFI[[#This Row],[Pcode]],CampList[CP_Pcode],0)-1,0,1,1)&gt;=NFI_Monitor_Date,1,0))</f>
        <v>0</v>
      </c>
      <c r="AQ674" s="771" t="str">
        <f>IFERROR(VLOOKUP(Table_NFI[[#This Row],[Camp Name]],CL,3,0),"")</f>
        <v>Open</v>
      </c>
      <c r="AR674" s="436" t="str">
        <f ca="1">IF(Table_NFI[[#This Row],[Pcode]]="","",OFFSET(CampList[Priority],MATCH(Table_NFI[[#This Row],[Pcode]],CampList[CP_Pcode],0)-1,0,1,1))</f>
        <v>P4</v>
      </c>
      <c r="AS674" s="438">
        <f>IFERROR(Table_NFI[[#This Row],[Kitchen Set]]/VLOOKUP(Table_NFI[[#This Row],[Camp Name]],CL,4,0),"")</f>
        <v>0</v>
      </c>
      <c r="AT674" s="769" t="s">
        <v>1099</v>
      </c>
      <c r="AU674" s="773"/>
    </row>
    <row r="675" spans="1:47" s="774" customFormat="1" x14ac:dyDescent="0.25">
      <c r="A675" s="451">
        <f t="shared" si="10"/>
        <v>36.533333333333331</v>
      </c>
      <c r="B675" s="768">
        <v>41274</v>
      </c>
      <c r="C675" s="769" t="s">
        <v>455</v>
      </c>
      <c r="D675" s="769" t="s">
        <v>455</v>
      </c>
      <c r="E675" s="769" t="s">
        <v>380</v>
      </c>
      <c r="F675" s="435" t="s">
        <v>310</v>
      </c>
      <c r="G675" s="435" t="s">
        <v>320</v>
      </c>
      <c r="H675" s="436">
        <v>23</v>
      </c>
      <c r="I675" s="436"/>
      <c r="J675" s="436"/>
      <c r="K675" s="436"/>
      <c r="L675" s="437"/>
      <c r="M675" s="437"/>
      <c r="N675" s="437"/>
      <c r="O675" s="437"/>
      <c r="P675" s="439">
        <v>0</v>
      </c>
      <c r="Q675" s="439">
        <v>0</v>
      </c>
      <c r="R675" s="436"/>
      <c r="S675" s="436"/>
      <c r="T675" s="436"/>
      <c r="U675" s="436"/>
      <c r="V675" s="436"/>
      <c r="W675" s="436"/>
      <c r="X675" s="436"/>
      <c r="Y675" s="436">
        <f>IF(NFI_Expiration=1,IF($A675&lt;VLOOKUP(H$5,NFI,5,0),1,0)*Table_NFI[[#This Row],[Hygiene Kit]],Table_NFI[Hygiene Kit])</f>
        <v>0</v>
      </c>
      <c r="Z675" s="436">
        <f>IF(NFI_Expiration=1,IF($A675&lt;VLOOKUP(I$5,NFI,5,0),1,0)*Table_NFI[[#This Row],[NFI Core Kit]],Table_NFI[NFI Core Kit])</f>
        <v>0</v>
      </c>
      <c r="AA675" s="436">
        <f>IF(NFI_Expiration=1,IF($A675&lt;VLOOKUP(J$5,NFI,5,0),1,0)*Table_NFI[[#This Row],[Sanitary Kit]],Table_NFI[Sanitary Kit])</f>
        <v>0</v>
      </c>
      <c r="AB675" s="436">
        <f>IF(NFI_Expiration=1,IF($A675&lt;VLOOKUP(K$5,NFI,5,0),1,0)*Table_NFI[[#This Row],[Mosquito net]],Table_NFI[Mosquito net])</f>
        <v>0</v>
      </c>
      <c r="AC675" s="436">
        <f>IF(NFI_Expiration=1,IF($A675&lt;VLOOKUP(L$5,NFI,5,0),1,0)*Table_NFI[[#This Row],[Tarpaulin]],Table_NFI[[#This Row],[Tarpaulin]])</f>
        <v>0</v>
      </c>
      <c r="AD675" s="436">
        <f>IF(NFI_Expiration=1,IF($A675&lt;VLOOKUP(M$5,NFI,5,0),1,0)*Table_NFI[[#This Row],[Blanket]],Table_NFI[[#This Row],[Blanket]])</f>
        <v>0</v>
      </c>
      <c r="AE675" s="436">
        <f>IF(NFI_Expiration=1,IF($A675&lt;VLOOKUP(N$5,NFI,5,0),1,0)*Table_NFI[[#This Row],[Kitchen Set]],Table_NFI[Kitchen Set])</f>
        <v>0</v>
      </c>
      <c r="AF675" s="436">
        <f>IF(NFI_Expiration=1,IF($A675&lt;VLOOKUP(O$5,NFI,5,0),1,0)*Table_NFI[[#This Row],[Clothes Kit]],Table_NFI[Clothes Kit])</f>
        <v>0</v>
      </c>
      <c r="AG675" s="436">
        <f>IF(NFI_Expiration=1,IF($A675&lt;VLOOKUP(P$5,NFI,5,0),1,0)*Table_NFI[[#This Row],[Plastic Bucket]],Table_NFI[Plastic Bucket])</f>
        <v>0</v>
      </c>
      <c r="AH675" s="436">
        <f>IF(NFI_Expiration=1,IF($A675&lt;VLOOKUP(Q$5,NFI,5,0),1,0)*Table_NFI[[#This Row],[Plastic Mat]],Table_NFI[Plastic Mat])*IF(Table_NFI[[#This Row],[Distribution Date]]&gt;"2014-04-01",1,2.5)</f>
        <v>0</v>
      </c>
      <c r="AI675" s="436">
        <f>IF(NFI_Expiration=1,IF($A675&lt;VLOOKUP(R$5,NFI,5,0),1,0)*Table_NFI[[#This Row],[Winter Clothes Adult]],Table_NFI[Winter Clothes Adult])</f>
        <v>0</v>
      </c>
      <c r="AJ675" s="436">
        <f>IF(NFI_Expiration=1,IF($A675&lt;VLOOKUP(S$5,NFI,5,0),1,0)*Table_NFI[[#This Row],[Winter Clothes Children]],Table_NFI[Winter Clothes Children])</f>
        <v>0</v>
      </c>
      <c r="AK675" s="436">
        <f>IF(NFI_Expiration=1,IF($A675&lt;VLOOKUP(T$5,NFI,5,0),1,0)*Table_NFI[[#This Row],[Winter Items Other]],Table_NFI[Winter Items Other])</f>
        <v>0</v>
      </c>
      <c r="AL675" s="436">
        <f>IF(NFI_Expiration=1,IF($A675&lt;VLOOKUP(M$5,NFI,5,0),1,0)*Table_NFI[[#This Row],[Winter Blanket]],Table_NFI[[#This Row],[Winter Blanket]])</f>
        <v>0</v>
      </c>
      <c r="AM675" s="436">
        <f>IF(Table_NFI[[#This Row],[Winter Clothes Adult]]+Table_NFI[[#This Row],[Winter Clothes Children]]+Table_NFI[[#This Row],[Winter Items Other]]+Table_NFI[[#This Row],[Winter Blanket]]&gt;0,1,0)</f>
        <v>0</v>
      </c>
      <c r="AN675" s="439">
        <f>IF(NFI_Expiration=1,IF($A675&lt;VLOOKUP(V$5,NFI,5,0),1,0)*Table_NFI[[#This Row],[Jerry Can]],Table_NFI[Jerry Can])</f>
        <v>0</v>
      </c>
      <c r="AO675" s="771" t="str">
        <f>IFERROR(VLOOKUP(Table_NFI[[#This Row],[Camp Name]],CL,2,0),"")</f>
        <v>MMR001CMP027</v>
      </c>
      <c r="AP675" s="772">
        <f ca="1">IF(Table_NFI[[#This Row],[Pcode]]="","",IF(OFFSET(CampList[Opening Date],MATCH(Table_NFI[[#This Row],[Pcode]],CampList[CP_Pcode],0)-1,0,1,1)&gt;=NFI_Monitor_Date,1,0))</f>
        <v>0</v>
      </c>
      <c r="AQ675" s="771" t="str">
        <f>IFERROR(VLOOKUP(Table_NFI[[#This Row],[Camp Name]],CL,3,0),"")</f>
        <v>Open</v>
      </c>
      <c r="AR675" s="436" t="str">
        <f ca="1">IF(Table_NFI[[#This Row],[Pcode]]="","",OFFSET(CampList[Priority],MATCH(Table_NFI[[#This Row],[Pcode]],CampList[CP_Pcode],0)-1,0,1,1))</f>
        <v>P4</v>
      </c>
      <c r="AS675" s="438">
        <f>IFERROR(Table_NFI[[#This Row],[Kitchen Set]]/VLOOKUP(Table_NFI[[#This Row],[Camp Name]],CL,4,0),"")</f>
        <v>0</v>
      </c>
      <c r="AT675" s="769" t="s">
        <v>1099</v>
      </c>
      <c r="AU675" s="773"/>
    </row>
    <row r="676" spans="1:47" x14ac:dyDescent="0.25">
      <c r="A676" s="451">
        <f t="shared" si="10"/>
        <v>36.533333333333331</v>
      </c>
      <c r="B676" s="768">
        <v>41274</v>
      </c>
      <c r="C676" s="769" t="s">
        <v>455</v>
      </c>
      <c r="D676" s="770" t="s">
        <v>455</v>
      </c>
      <c r="E676" s="769" t="s">
        <v>380</v>
      </c>
      <c r="F676" s="435" t="s">
        <v>310</v>
      </c>
      <c r="G676" s="435" t="s">
        <v>328</v>
      </c>
      <c r="H676" s="436">
        <v>79</v>
      </c>
      <c r="I676" s="436"/>
      <c r="J676" s="436"/>
      <c r="K676" s="436"/>
      <c r="L676" s="437"/>
      <c r="M676" s="437"/>
      <c r="N676" s="437"/>
      <c r="O676" s="437"/>
      <c r="P676" s="437">
        <v>0</v>
      </c>
      <c r="Q676" s="437">
        <v>0</v>
      </c>
      <c r="R676" s="436"/>
      <c r="S676" s="436"/>
      <c r="T676" s="436"/>
      <c r="U676" s="436"/>
      <c r="V676" s="436"/>
      <c r="W676" s="436"/>
      <c r="X676" s="436"/>
      <c r="Y676" s="436">
        <f>IF(NFI_Expiration=1,IF($A676&lt;VLOOKUP(H$5,NFI,5,0),1,0)*Table_NFI[[#This Row],[Hygiene Kit]],Table_NFI[Hygiene Kit])</f>
        <v>0</v>
      </c>
      <c r="Z676" s="436">
        <f>IF(NFI_Expiration=1,IF($A676&lt;VLOOKUP(I$5,NFI,5,0),1,0)*Table_NFI[[#This Row],[NFI Core Kit]],Table_NFI[NFI Core Kit])</f>
        <v>0</v>
      </c>
      <c r="AA676" s="436">
        <f>IF(NFI_Expiration=1,IF($A676&lt;VLOOKUP(J$5,NFI,5,0),1,0)*Table_NFI[[#This Row],[Sanitary Kit]],Table_NFI[Sanitary Kit])</f>
        <v>0</v>
      </c>
      <c r="AB676" s="436">
        <f>IF(NFI_Expiration=1,IF($A676&lt;VLOOKUP(K$5,NFI,5,0),1,0)*Table_NFI[[#This Row],[Mosquito net]],Table_NFI[Mosquito net])</f>
        <v>0</v>
      </c>
      <c r="AC676" s="436">
        <f>IF(NFI_Expiration=1,IF($A676&lt;VLOOKUP(L$5,NFI,5,0),1,0)*Table_NFI[[#This Row],[Tarpaulin]],Table_NFI[[#This Row],[Tarpaulin]])</f>
        <v>0</v>
      </c>
      <c r="AD676" s="436">
        <f>IF(NFI_Expiration=1,IF($A676&lt;VLOOKUP(M$5,NFI,5,0),1,0)*Table_NFI[[#This Row],[Blanket]],Table_NFI[[#This Row],[Blanket]])</f>
        <v>0</v>
      </c>
      <c r="AE676" s="436">
        <f>IF(NFI_Expiration=1,IF($A676&lt;VLOOKUP(N$5,NFI,5,0),1,0)*Table_NFI[[#This Row],[Kitchen Set]],Table_NFI[Kitchen Set])</f>
        <v>0</v>
      </c>
      <c r="AF676" s="436">
        <f>IF(NFI_Expiration=1,IF($A676&lt;VLOOKUP(O$5,NFI,5,0),1,0)*Table_NFI[[#This Row],[Clothes Kit]],Table_NFI[Clothes Kit])</f>
        <v>0</v>
      </c>
      <c r="AG676" s="436">
        <f>IF(NFI_Expiration=1,IF($A676&lt;VLOOKUP(P$5,NFI,5,0),1,0)*Table_NFI[[#This Row],[Plastic Bucket]],Table_NFI[Plastic Bucket])</f>
        <v>0</v>
      </c>
      <c r="AH676" s="436">
        <f>IF(NFI_Expiration=1,IF($A676&lt;VLOOKUP(Q$5,NFI,5,0),1,0)*Table_NFI[[#This Row],[Plastic Mat]],Table_NFI[Plastic Mat])*IF(Table_NFI[[#This Row],[Distribution Date]]&gt;"2014-04-01",1,2.5)</f>
        <v>0</v>
      </c>
      <c r="AI676" s="436">
        <f>IF(NFI_Expiration=1,IF($A676&lt;VLOOKUP(R$5,NFI,5,0),1,0)*Table_NFI[[#This Row],[Winter Clothes Adult]],Table_NFI[Winter Clothes Adult])</f>
        <v>0</v>
      </c>
      <c r="AJ676" s="436">
        <f>IF(NFI_Expiration=1,IF($A676&lt;VLOOKUP(S$5,NFI,5,0),1,0)*Table_NFI[[#This Row],[Winter Clothes Children]],Table_NFI[Winter Clothes Children])</f>
        <v>0</v>
      </c>
      <c r="AK676" s="436">
        <f>IF(NFI_Expiration=1,IF($A676&lt;VLOOKUP(T$5,NFI,5,0),1,0)*Table_NFI[[#This Row],[Winter Items Other]],Table_NFI[Winter Items Other])</f>
        <v>0</v>
      </c>
      <c r="AL676" s="436">
        <f>IF(NFI_Expiration=1,IF($A676&lt;VLOOKUP(M$5,NFI,5,0),1,0)*Table_NFI[[#This Row],[Winter Blanket]],Table_NFI[[#This Row],[Winter Blanket]])</f>
        <v>0</v>
      </c>
      <c r="AM676" s="436">
        <f>IF(Table_NFI[[#This Row],[Winter Clothes Adult]]+Table_NFI[[#This Row],[Winter Clothes Children]]+Table_NFI[[#This Row],[Winter Items Other]]+Table_NFI[[#This Row],[Winter Blanket]]&gt;0,1,0)</f>
        <v>0</v>
      </c>
      <c r="AN676" s="439">
        <f>IF(NFI_Expiration=1,IF($A676&lt;VLOOKUP(V$5,NFI,5,0),1,0)*Table_NFI[[#This Row],[Jerry Can]],Table_NFI[Jerry Can])</f>
        <v>0</v>
      </c>
      <c r="AO676" s="771" t="str">
        <f>IFERROR(VLOOKUP(Table_NFI[[#This Row],[Camp Name]],CL,2,0),"")</f>
        <v>MMR001CMP031</v>
      </c>
      <c r="AP676" s="772">
        <f ca="1">IF(Table_NFI[[#This Row],[Pcode]]="","",IF(OFFSET(CampList[Opening Date],MATCH(Table_NFI[[#This Row],[Pcode]],CampList[CP_Pcode],0)-1,0,1,1)&gt;=NFI_Monitor_Date,1,0))</f>
        <v>0</v>
      </c>
      <c r="AQ676" s="771" t="str">
        <f>IFERROR(VLOOKUP(Table_NFI[[#This Row],[Camp Name]],CL,3,0),"")</f>
        <v>Open</v>
      </c>
      <c r="AR676" s="436" t="str">
        <f ca="1">IF(Table_NFI[[#This Row],[Pcode]]="","",OFFSET(CampList[Priority],MATCH(Table_NFI[[#This Row],[Pcode]],CampList[CP_Pcode],0)-1,0,1,1))</f>
        <v>P4</v>
      </c>
      <c r="AS676" s="438">
        <f>IFERROR(Table_NFI[[#This Row],[Kitchen Set]]/VLOOKUP(Table_NFI[[#This Row],[Camp Name]],CL,4,0),"")</f>
        <v>0</v>
      </c>
      <c r="AT676" s="769" t="s">
        <v>1099</v>
      </c>
      <c r="AU676" s="773"/>
    </row>
    <row r="677" spans="1:47" x14ac:dyDescent="0.25">
      <c r="A677" s="451">
        <f t="shared" si="10"/>
        <v>36.533333333333331</v>
      </c>
      <c r="B677" s="768">
        <v>41274</v>
      </c>
      <c r="C677" s="769" t="s">
        <v>455</v>
      </c>
      <c r="D677" s="770" t="s">
        <v>455</v>
      </c>
      <c r="E677" s="769" t="s">
        <v>380</v>
      </c>
      <c r="F677" s="435" t="s">
        <v>529</v>
      </c>
      <c r="G677" s="435" t="s">
        <v>54</v>
      </c>
      <c r="H677" s="436">
        <v>57</v>
      </c>
      <c r="I677" s="436"/>
      <c r="J677" s="436"/>
      <c r="K677" s="436"/>
      <c r="L677" s="437"/>
      <c r="M677" s="437"/>
      <c r="N677" s="437"/>
      <c r="O677" s="437"/>
      <c r="P677" s="437">
        <v>0</v>
      </c>
      <c r="Q677" s="437">
        <v>0</v>
      </c>
      <c r="R677" s="436"/>
      <c r="S677" s="436"/>
      <c r="T677" s="436"/>
      <c r="U677" s="436"/>
      <c r="V677" s="436"/>
      <c r="W677" s="436"/>
      <c r="X677" s="436"/>
      <c r="Y677" s="436">
        <f>IF(NFI_Expiration=1,IF($A677&lt;VLOOKUP(H$5,NFI,5,0),1,0)*Table_NFI[[#This Row],[Hygiene Kit]],Table_NFI[Hygiene Kit])</f>
        <v>0</v>
      </c>
      <c r="Z677" s="436">
        <f>IF(NFI_Expiration=1,IF($A677&lt;VLOOKUP(I$5,NFI,5,0),1,0)*Table_NFI[[#This Row],[NFI Core Kit]],Table_NFI[NFI Core Kit])</f>
        <v>0</v>
      </c>
      <c r="AA677" s="436">
        <f>IF(NFI_Expiration=1,IF($A677&lt;VLOOKUP(J$5,NFI,5,0),1,0)*Table_NFI[[#This Row],[Sanitary Kit]],Table_NFI[Sanitary Kit])</f>
        <v>0</v>
      </c>
      <c r="AB677" s="436">
        <f>IF(NFI_Expiration=1,IF($A677&lt;VLOOKUP(K$5,NFI,5,0),1,0)*Table_NFI[[#This Row],[Mosquito net]],Table_NFI[Mosquito net])</f>
        <v>0</v>
      </c>
      <c r="AC677" s="436">
        <f>IF(NFI_Expiration=1,IF($A677&lt;VLOOKUP(L$5,NFI,5,0),1,0)*Table_NFI[[#This Row],[Tarpaulin]],Table_NFI[[#This Row],[Tarpaulin]])</f>
        <v>0</v>
      </c>
      <c r="AD677" s="436">
        <f>IF(NFI_Expiration=1,IF($A677&lt;VLOOKUP(M$5,NFI,5,0),1,0)*Table_NFI[[#This Row],[Blanket]],Table_NFI[[#This Row],[Blanket]])</f>
        <v>0</v>
      </c>
      <c r="AE677" s="436">
        <f>IF(NFI_Expiration=1,IF($A677&lt;VLOOKUP(N$5,NFI,5,0),1,0)*Table_NFI[[#This Row],[Kitchen Set]],Table_NFI[Kitchen Set])</f>
        <v>0</v>
      </c>
      <c r="AF677" s="436">
        <f>IF(NFI_Expiration=1,IF($A677&lt;VLOOKUP(O$5,NFI,5,0),1,0)*Table_NFI[[#This Row],[Clothes Kit]],Table_NFI[Clothes Kit])</f>
        <v>0</v>
      </c>
      <c r="AG677" s="436">
        <f>IF(NFI_Expiration=1,IF($A677&lt;VLOOKUP(P$5,NFI,5,0),1,0)*Table_NFI[[#This Row],[Plastic Bucket]],Table_NFI[Plastic Bucket])</f>
        <v>0</v>
      </c>
      <c r="AH677" s="436">
        <f>IF(NFI_Expiration=1,IF($A677&lt;VLOOKUP(Q$5,NFI,5,0),1,0)*Table_NFI[[#This Row],[Plastic Mat]],Table_NFI[Plastic Mat])*IF(Table_NFI[[#This Row],[Distribution Date]]&gt;"2014-04-01",1,2.5)</f>
        <v>0</v>
      </c>
      <c r="AI677" s="436">
        <f>IF(NFI_Expiration=1,IF($A677&lt;VLOOKUP(R$5,NFI,5,0),1,0)*Table_NFI[[#This Row],[Winter Clothes Adult]],Table_NFI[Winter Clothes Adult])</f>
        <v>0</v>
      </c>
      <c r="AJ677" s="436">
        <f>IF(NFI_Expiration=1,IF($A677&lt;VLOOKUP(S$5,NFI,5,0),1,0)*Table_NFI[[#This Row],[Winter Clothes Children]],Table_NFI[Winter Clothes Children])</f>
        <v>0</v>
      </c>
      <c r="AK677" s="436">
        <f>IF(NFI_Expiration=1,IF($A677&lt;VLOOKUP(T$5,NFI,5,0),1,0)*Table_NFI[[#This Row],[Winter Items Other]],Table_NFI[Winter Items Other])</f>
        <v>0</v>
      </c>
      <c r="AL677" s="436">
        <f>IF(NFI_Expiration=1,IF($A677&lt;VLOOKUP(M$5,NFI,5,0),1,0)*Table_NFI[[#This Row],[Winter Blanket]],Table_NFI[[#This Row],[Winter Blanket]])</f>
        <v>0</v>
      </c>
      <c r="AM677" s="436">
        <f>IF(Table_NFI[[#This Row],[Winter Clothes Adult]]+Table_NFI[[#This Row],[Winter Clothes Children]]+Table_NFI[[#This Row],[Winter Items Other]]+Table_NFI[[#This Row],[Winter Blanket]]&gt;0,1,0)</f>
        <v>0</v>
      </c>
      <c r="AN677" s="439">
        <f>IF(NFI_Expiration=1,IF($A677&lt;VLOOKUP(V$5,NFI,5,0),1,0)*Table_NFI[[#This Row],[Jerry Can]],Table_NFI[Jerry Can])</f>
        <v>0</v>
      </c>
      <c r="AO677" s="771" t="str">
        <f>IFERROR(VLOOKUP(Table_NFI[[#This Row],[Camp Name]],CL,2,0),"")</f>
        <v>MMR001CMP094</v>
      </c>
      <c r="AP677" s="772">
        <f ca="1">IF(Table_NFI[[#This Row],[Pcode]]="","",IF(OFFSET(CampList[Opening Date],MATCH(Table_NFI[[#This Row],[Pcode]],CampList[CP_Pcode],0)-1,0,1,1)&gt;=NFI_Monitor_Date,1,0))</f>
        <v>0</v>
      </c>
      <c r="AQ677" s="771" t="str">
        <f>IFERROR(VLOOKUP(Table_NFI[[#This Row],[Camp Name]],CL,3,0),"")</f>
        <v>Closed</v>
      </c>
      <c r="AR677" s="436" t="str">
        <f ca="1">IF(Table_NFI[[#This Row],[Pcode]]="","",OFFSET(CampList[Priority],MATCH(Table_NFI[[#This Row],[Pcode]],CampList[CP_Pcode],0)-1,0,1,1))</f>
        <v/>
      </c>
      <c r="AS677" s="438" t="str">
        <f>IFERROR(Table_NFI[[#This Row],[Kitchen Set]]/VLOOKUP(Table_NFI[[#This Row],[Camp Name]],CL,4,0),"")</f>
        <v/>
      </c>
      <c r="AT677" s="769" t="s">
        <v>1099</v>
      </c>
      <c r="AU677" s="773"/>
    </row>
    <row r="678" spans="1:47" x14ac:dyDescent="0.25">
      <c r="A678" s="451">
        <f t="shared" si="10"/>
        <v>36.533333333333331</v>
      </c>
      <c r="B678" s="768">
        <v>41274</v>
      </c>
      <c r="C678" s="769" t="s">
        <v>455</v>
      </c>
      <c r="D678" s="770" t="s">
        <v>455</v>
      </c>
      <c r="E678" s="769" t="s">
        <v>380</v>
      </c>
      <c r="F678" s="435" t="s">
        <v>529</v>
      </c>
      <c r="G678" s="435" t="s">
        <v>66</v>
      </c>
      <c r="H678" s="436">
        <v>2</v>
      </c>
      <c r="I678" s="436"/>
      <c r="J678" s="436"/>
      <c r="K678" s="436"/>
      <c r="L678" s="437"/>
      <c r="M678" s="437"/>
      <c r="N678" s="437"/>
      <c r="O678" s="437"/>
      <c r="P678" s="437">
        <v>0</v>
      </c>
      <c r="Q678" s="437">
        <v>0</v>
      </c>
      <c r="R678" s="436"/>
      <c r="S678" s="436"/>
      <c r="T678" s="436"/>
      <c r="U678" s="436"/>
      <c r="V678" s="436"/>
      <c r="W678" s="436"/>
      <c r="X678" s="436"/>
      <c r="Y678" s="436">
        <f>IF(NFI_Expiration=1,IF($A678&lt;VLOOKUP(H$5,NFI,5,0),1,0)*Table_NFI[[#This Row],[Hygiene Kit]],Table_NFI[Hygiene Kit])</f>
        <v>0</v>
      </c>
      <c r="Z678" s="436">
        <f>IF(NFI_Expiration=1,IF($A678&lt;VLOOKUP(I$5,NFI,5,0),1,0)*Table_NFI[[#This Row],[NFI Core Kit]],Table_NFI[NFI Core Kit])</f>
        <v>0</v>
      </c>
      <c r="AA678" s="436">
        <f>IF(NFI_Expiration=1,IF($A678&lt;VLOOKUP(J$5,NFI,5,0),1,0)*Table_NFI[[#This Row],[Sanitary Kit]],Table_NFI[Sanitary Kit])</f>
        <v>0</v>
      </c>
      <c r="AB678" s="436">
        <f>IF(NFI_Expiration=1,IF($A678&lt;VLOOKUP(K$5,NFI,5,0),1,0)*Table_NFI[[#This Row],[Mosquito net]],Table_NFI[Mosquito net])</f>
        <v>0</v>
      </c>
      <c r="AC678" s="436">
        <f>IF(NFI_Expiration=1,IF($A678&lt;VLOOKUP(L$5,NFI,5,0),1,0)*Table_NFI[[#This Row],[Tarpaulin]],Table_NFI[[#This Row],[Tarpaulin]])</f>
        <v>0</v>
      </c>
      <c r="AD678" s="436">
        <f>IF(NFI_Expiration=1,IF($A678&lt;VLOOKUP(M$5,NFI,5,0),1,0)*Table_NFI[[#This Row],[Blanket]],Table_NFI[[#This Row],[Blanket]])</f>
        <v>0</v>
      </c>
      <c r="AE678" s="436">
        <f>IF(NFI_Expiration=1,IF($A678&lt;VLOOKUP(N$5,NFI,5,0),1,0)*Table_NFI[[#This Row],[Kitchen Set]],Table_NFI[Kitchen Set])</f>
        <v>0</v>
      </c>
      <c r="AF678" s="436">
        <f>IF(NFI_Expiration=1,IF($A678&lt;VLOOKUP(O$5,NFI,5,0),1,0)*Table_NFI[[#This Row],[Clothes Kit]],Table_NFI[Clothes Kit])</f>
        <v>0</v>
      </c>
      <c r="AG678" s="436">
        <f>IF(NFI_Expiration=1,IF($A678&lt;VLOOKUP(P$5,NFI,5,0),1,0)*Table_NFI[[#This Row],[Plastic Bucket]],Table_NFI[Plastic Bucket])</f>
        <v>0</v>
      </c>
      <c r="AH678" s="436">
        <f>IF(NFI_Expiration=1,IF($A678&lt;VLOOKUP(Q$5,NFI,5,0),1,0)*Table_NFI[[#This Row],[Plastic Mat]],Table_NFI[Plastic Mat])*IF(Table_NFI[[#This Row],[Distribution Date]]&gt;"2014-04-01",1,2.5)</f>
        <v>0</v>
      </c>
      <c r="AI678" s="436">
        <f>IF(NFI_Expiration=1,IF($A678&lt;VLOOKUP(R$5,NFI,5,0),1,0)*Table_NFI[[#This Row],[Winter Clothes Adult]],Table_NFI[Winter Clothes Adult])</f>
        <v>0</v>
      </c>
      <c r="AJ678" s="436">
        <f>IF(NFI_Expiration=1,IF($A678&lt;VLOOKUP(S$5,NFI,5,0),1,0)*Table_NFI[[#This Row],[Winter Clothes Children]],Table_NFI[Winter Clothes Children])</f>
        <v>0</v>
      </c>
      <c r="AK678" s="436">
        <f>IF(NFI_Expiration=1,IF($A678&lt;VLOOKUP(T$5,NFI,5,0),1,0)*Table_NFI[[#This Row],[Winter Items Other]],Table_NFI[Winter Items Other])</f>
        <v>0</v>
      </c>
      <c r="AL678" s="436">
        <f>IF(NFI_Expiration=1,IF($A678&lt;VLOOKUP(M$5,NFI,5,0),1,0)*Table_NFI[[#This Row],[Winter Blanket]],Table_NFI[[#This Row],[Winter Blanket]])</f>
        <v>0</v>
      </c>
      <c r="AM678" s="436">
        <f>IF(Table_NFI[[#This Row],[Winter Clothes Adult]]+Table_NFI[[#This Row],[Winter Clothes Children]]+Table_NFI[[#This Row],[Winter Items Other]]+Table_NFI[[#This Row],[Winter Blanket]]&gt;0,1,0)</f>
        <v>0</v>
      </c>
      <c r="AN678" s="439">
        <f>IF(NFI_Expiration=1,IF($A678&lt;VLOOKUP(V$5,NFI,5,0),1,0)*Table_NFI[[#This Row],[Jerry Can]],Table_NFI[Jerry Can])</f>
        <v>0</v>
      </c>
      <c r="AO678" s="771" t="str">
        <f>IFERROR(VLOOKUP(Table_NFI[[#This Row],[Camp Name]],CL,2,0),"")</f>
        <v>MMR001CMP093</v>
      </c>
      <c r="AP678" s="772">
        <f ca="1">IF(Table_NFI[[#This Row],[Pcode]]="","",IF(OFFSET(CampList[Opening Date],MATCH(Table_NFI[[#This Row],[Pcode]],CampList[CP_Pcode],0)-1,0,1,1)&gt;=NFI_Monitor_Date,1,0))</f>
        <v>0</v>
      </c>
      <c r="AQ678" s="771" t="str">
        <f>IFERROR(VLOOKUP(Table_NFI[[#This Row],[Camp Name]],CL,3,0),"")</f>
        <v>Closed</v>
      </c>
      <c r="AR678" s="436" t="str">
        <f ca="1">IF(Table_NFI[[#This Row],[Pcode]]="","",OFFSET(CampList[Priority],MATCH(Table_NFI[[#This Row],[Pcode]],CampList[CP_Pcode],0)-1,0,1,1))</f>
        <v/>
      </c>
      <c r="AS678" s="438" t="str">
        <f>IFERROR(Table_NFI[[#This Row],[Kitchen Set]]/VLOOKUP(Table_NFI[[#This Row],[Camp Name]],CL,4,0),"")</f>
        <v/>
      </c>
      <c r="AT678" s="769" t="s">
        <v>1099</v>
      </c>
      <c r="AU678" s="773"/>
    </row>
    <row r="679" spans="1:47" x14ac:dyDescent="0.25">
      <c r="A679" s="451">
        <f t="shared" si="10"/>
        <v>36.533333333333331</v>
      </c>
      <c r="B679" s="768">
        <v>41274</v>
      </c>
      <c r="C679" s="769" t="s">
        <v>455</v>
      </c>
      <c r="D679" s="770" t="s">
        <v>455</v>
      </c>
      <c r="E679" s="769" t="s">
        <v>380</v>
      </c>
      <c r="F679" s="435" t="s">
        <v>237</v>
      </c>
      <c r="G679" s="435" t="s">
        <v>263</v>
      </c>
      <c r="H679" s="436">
        <v>14</v>
      </c>
      <c r="I679" s="436"/>
      <c r="J679" s="436"/>
      <c r="K679" s="436"/>
      <c r="L679" s="437"/>
      <c r="M679" s="437"/>
      <c r="N679" s="437"/>
      <c r="O679" s="437"/>
      <c r="P679" s="437">
        <v>0</v>
      </c>
      <c r="Q679" s="437">
        <v>0</v>
      </c>
      <c r="R679" s="436"/>
      <c r="S679" s="436"/>
      <c r="T679" s="436"/>
      <c r="U679" s="436"/>
      <c r="V679" s="436"/>
      <c r="W679" s="436"/>
      <c r="X679" s="436"/>
      <c r="Y679" s="436">
        <f>IF(NFI_Expiration=1,IF($A679&lt;VLOOKUP(H$5,NFI,5,0),1,0)*Table_NFI[[#This Row],[Hygiene Kit]],Table_NFI[Hygiene Kit])</f>
        <v>0</v>
      </c>
      <c r="Z679" s="436">
        <f>IF(NFI_Expiration=1,IF($A679&lt;VLOOKUP(I$5,NFI,5,0),1,0)*Table_NFI[[#This Row],[NFI Core Kit]],Table_NFI[NFI Core Kit])</f>
        <v>0</v>
      </c>
      <c r="AA679" s="436">
        <f>IF(NFI_Expiration=1,IF($A679&lt;VLOOKUP(J$5,NFI,5,0),1,0)*Table_NFI[[#This Row],[Sanitary Kit]],Table_NFI[Sanitary Kit])</f>
        <v>0</v>
      </c>
      <c r="AB679" s="436">
        <f>IF(NFI_Expiration=1,IF($A679&lt;VLOOKUP(K$5,NFI,5,0),1,0)*Table_NFI[[#This Row],[Mosquito net]],Table_NFI[Mosquito net])</f>
        <v>0</v>
      </c>
      <c r="AC679" s="436">
        <f>IF(NFI_Expiration=1,IF($A679&lt;VLOOKUP(L$5,NFI,5,0),1,0)*Table_NFI[[#This Row],[Tarpaulin]],Table_NFI[[#This Row],[Tarpaulin]])</f>
        <v>0</v>
      </c>
      <c r="AD679" s="436">
        <f>IF(NFI_Expiration=1,IF($A679&lt;VLOOKUP(M$5,NFI,5,0),1,0)*Table_NFI[[#This Row],[Blanket]],Table_NFI[[#This Row],[Blanket]])</f>
        <v>0</v>
      </c>
      <c r="AE679" s="436">
        <f>IF(NFI_Expiration=1,IF($A679&lt;VLOOKUP(N$5,NFI,5,0),1,0)*Table_NFI[[#This Row],[Kitchen Set]],Table_NFI[Kitchen Set])</f>
        <v>0</v>
      </c>
      <c r="AF679" s="436">
        <f>IF(NFI_Expiration=1,IF($A679&lt;VLOOKUP(O$5,NFI,5,0),1,0)*Table_NFI[[#This Row],[Clothes Kit]],Table_NFI[Clothes Kit])</f>
        <v>0</v>
      </c>
      <c r="AG679" s="436">
        <f>IF(NFI_Expiration=1,IF($A679&lt;VLOOKUP(P$5,NFI,5,0),1,0)*Table_NFI[[#This Row],[Plastic Bucket]],Table_NFI[Plastic Bucket])</f>
        <v>0</v>
      </c>
      <c r="AH679" s="436">
        <f>IF(NFI_Expiration=1,IF($A679&lt;VLOOKUP(Q$5,NFI,5,0),1,0)*Table_NFI[[#This Row],[Plastic Mat]],Table_NFI[Plastic Mat])*IF(Table_NFI[[#This Row],[Distribution Date]]&gt;"2014-04-01",1,2.5)</f>
        <v>0</v>
      </c>
      <c r="AI679" s="436">
        <f>IF(NFI_Expiration=1,IF($A679&lt;VLOOKUP(R$5,NFI,5,0),1,0)*Table_NFI[[#This Row],[Winter Clothes Adult]],Table_NFI[Winter Clothes Adult])</f>
        <v>0</v>
      </c>
      <c r="AJ679" s="436">
        <f>IF(NFI_Expiration=1,IF($A679&lt;VLOOKUP(S$5,NFI,5,0),1,0)*Table_NFI[[#This Row],[Winter Clothes Children]],Table_NFI[Winter Clothes Children])</f>
        <v>0</v>
      </c>
      <c r="AK679" s="436">
        <f>IF(NFI_Expiration=1,IF($A679&lt;VLOOKUP(T$5,NFI,5,0),1,0)*Table_NFI[[#This Row],[Winter Items Other]],Table_NFI[Winter Items Other])</f>
        <v>0</v>
      </c>
      <c r="AL679" s="436">
        <f>IF(NFI_Expiration=1,IF($A679&lt;VLOOKUP(M$5,NFI,5,0),1,0)*Table_NFI[[#This Row],[Winter Blanket]],Table_NFI[[#This Row],[Winter Blanket]])</f>
        <v>0</v>
      </c>
      <c r="AM679" s="436">
        <f>IF(Table_NFI[[#This Row],[Winter Clothes Adult]]+Table_NFI[[#This Row],[Winter Clothes Children]]+Table_NFI[[#This Row],[Winter Items Other]]+Table_NFI[[#This Row],[Winter Blanket]]&gt;0,1,0)</f>
        <v>0</v>
      </c>
      <c r="AN679" s="439">
        <f>IF(NFI_Expiration=1,IF($A679&lt;VLOOKUP(V$5,NFI,5,0),1,0)*Table_NFI[[#This Row],[Jerry Can]],Table_NFI[Jerry Can])</f>
        <v>0</v>
      </c>
      <c r="AO679" s="771" t="str">
        <f>IFERROR(VLOOKUP(Table_NFI[[#This Row],[Camp Name]],CL,2,0),"")</f>
        <v>MMR001CMP020</v>
      </c>
      <c r="AP679" s="772">
        <f ca="1">IF(Table_NFI[[#This Row],[Pcode]]="","",IF(OFFSET(CampList[Opening Date],MATCH(Table_NFI[[#This Row],[Pcode]],CampList[CP_Pcode],0)-1,0,1,1)&gt;=NFI_Monitor_Date,1,0))</f>
        <v>0</v>
      </c>
      <c r="AQ679" s="771" t="str">
        <f>IFERROR(VLOOKUP(Table_NFI[[#This Row],[Camp Name]],CL,3,0),"")</f>
        <v>Open</v>
      </c>
      <c r="AR679" s="436" t="str">
        <f ca="1">IF(Table_NFI[[#This Row],[Pcode]]="","",OFFSET(CampList[Priority],MATCH(Table_NFI[[#This Row],[Pcode]],CampList[CP_Pcode],0)-1,0,1,1))</f>
        <v>P4</v>
      </c>
      <c r="AS679" s="438">
        <f>IFERROR(Table_NFI[[#This Row],[Kitchen Set]]/VLOOKUP(Table_NFI[[#This Row],[Camp Name]],CL,4,0),"")</f>
        <v>0</v>
      </c>
      <c r="AT679" s="769" t="s">
        <v>1099</v>
      </c>
      <c r="AU679" s="773"/>
    </row>
    <row r="680" spans="1:47" x14ac:dyDescent="0.25">
      <c r="A680" s="451">
        <f t="shared" si="10"/>
        <v>36.533333333333331</v>
      </c>
      <c r="B680" s="768">
        <v>41274</v>
      </c>
      <c r="C680" s="769" t="s">
        <v>455</v>
      </c>
      <c r="D680" s="769" t="s">
        <v>455</v>
      </c>
      <c r="E680" s="769" t="s">
        <v>380</v>
      </c>
      <c r="F680" s="769" t="s">
        <v>237</v>
      </c>
      <c r="G680" s="435" t="s">
        <v>265</v>
      </c>
      <c r="H680" s="436">
        <v>23</v>
      </c>
      <c r="I680" s="436"/>
      <c r="J680" s="436"/>
      <c r="K680" s="436"/>
      <c r="L680" s="437"/>
      <c r="M680" s="437"/>
      <c r="N680" s="437"/>
      <c r="O680" s="437"/>
      <c r="P680" s="437">
        <v>0</v>
      </c>
      <c r="Q680" s="437">
        <v>0</v>
      </c>
      <c r="R680" s="436"/>
      <c r="S680" s="436"/>
      <c r="T680" s="436"/>
      <c r="U680" s="436"/>
      <c r="V680" s="436"/>
      <c r="W680" s="436"/>
      <c r="X680" s="436"/>
      <c r="Y680" s="436">
        <f>IF(NFI_Expiration=1,IF($A680&lt;VLOOKUP(H$5,NFI,5,0),1,0)*Table_NFI[[#This Row],[Hygiene Kit]],Table_NFI[Hygiene Kit])</f>
        <v>0</v>
      </c>
      <c r="Z680" s="436">
        <f>IF(NFI_Expiration=1,IF($A680&lt;VLOOKUP(I$5,NFI,5,0),1,0)*Table_NFI[[#This Row],[NFI Core Kit]],Table_NFI[NFI Core Kit])</f>
        <v>0</v>
      </c>
      <c r="AA680" s="436">
        <f>IF(NFI_Expiration=1,IF($A680&lt;VLOOKUP(J$5,NFI,5,0),1,0)*Table_NFI[[#This Row],[Sanitary Kit]],Table_NFI[Sanitary Kit])</f>
        <v>0</v>
      </c>
      <c r="AB680" s="436">
        <f>IF(NFI_Expiration=1,IF($A680&lt;VLOOKUP(K$5,NFI,5,0),1,0)*Table_NFI[[#This Row],[Mosquito net]],Table_NFI[Mosquito net])</f>
        <v>0</v>
      </c>
      <c r="AC680" s="436">
        <f>IF(NFI_Expiration=1,IF($A680&lt;VLOOKUP(L$5,NFI,5,0),1,0)*Table_NFI[[#This Row],[Tarpaulin]],Table_NFI[[#This Row],[Tarpaulin]])</f>
        <v>0</v>
      </c>
      <c r="AD680" s="436">
        <f>IF(NFI_Expiration=1,IF($A680&lt;VLOOKUP(M$5,NFI,5,0),1,0)*Table_NFI[[#This Row],[Blanket]],Table_NFI[[#This Row],[Blanket]])</f>
        <v>0</v>
      </c>
      <c r="AE680" s="436">
        <f>IF(NFI_Expiration=1,IF($A680&lt;VLOOKUP(N$5,NFI,5,0),1,0)*Table_NFI[[#This Row],[Kitchen Set]],Table_NFI[Kitchen Set])</f>
        <v>0</v>
      </c>
      <c r="AF680" s="436">
        <f>IF(NFI_Expiration=1,IF($A680&lt;VLOOKUP(O$5,NFI,5,0),1,0)*Table_NFI[[#This Row],[Clothes Kit]],Table_NFI[Clothes Kit])</f>
        <v>0</v>
      </c>
      <c r="AG680" s="436">
        <f>IF(NFI_Expiration=1,IF($A680&lt;VLOOKUP(P$5,NFI,5,0),1,0)*Table_NFI[[#This Row],[Plastic Bucket]],Table_NFI[Plastic Bucket])</f>
        <v>0</v>
      </c>
      <c r="AH680" s="436">
        <f>IF(NFI_Expiration=1,IF($A680&lt;VLOOKUP(Q$5,NFI,5,0),1,0)*Table_NFI[[#This Row],[Plastic Mat]],Table_NFI[Plastic Mat])*IF(Table_NFI[[#This Row],[Distribution Date]]&gt;"2014-04-01",1,2.5)</f>
        <v>0</v>
      </c>
      <c r="AI680" s="436">
        <f>IF(NFI_Expiration=1,IF($A680&lt;VLOOKUP(R$5,NFI,5,0),1,0)*Table_NFI[[#This Row],[Winter Clothes Adult]],Table_NFI[Winter Clothes Adult])</f>
        <v>0</v>
      </c>
      <c r="AJ680" s="436">
        <f>IF(NFI_Expiration=1,IF($A680&lt;VLOOKUP(S$5,NFI,5,0),1,0)*Table_NFI[[#This Row],[Winter Clothes Children]],Table_NFI[Winter Clothes Children])</f>
        <v>0</v>
      </c>
      <c r="AK680" s="436">
        <f>IF(NFI_Expiration=1,IF($A680&lt;VLOOKUP(T$5,NFI,5,0),1,0)*Table_NFI[[#This Row],[Winter Items Other]],Table_NFI[Winter Items Other])</f>
        <v>0</v>
      </c>
      <c r="AL680" s="436">
        <f>IF(NFI_Expiration=1,IF($A680&lt;VLOOKUP(M$5,NFI,5,0),1,0)*Table_NFI[[#This Row],[Winter Blanket]],Table_NFI[[#This Row],[Winter Blanket]])</f>
        <v>0</v>
      </c>
      <c r="AM680" s="436">
        <f>IF(Table_NFI[[#This Row],[Winter Clothes Adult]]+Table_NFI[[#This Row],[Winter Clothes Children]]+Table_NFI[[#This Row],[Winter Items Other]]+Table_NFI[[#This Row],[Winter Blanket]]&gt;0,1,0)</f>
        <v>0</v>
      </c>
      <c r="AN680" s="439">
        <f>IF(NFI_Expiration=1,IF($A680&lt;VLOOKUP(V$5,NFI,5,0),1,0)*Table_NFI[[#This Row],[Jerry Can]],Table_NFI[Jerry Can])</f>
        <v>0</v>
      </c>
      <c r="AO680" s="771" t="str">
        <f>IFERROR(VLOOKUP(Table_NFI[[#This Row],[Camp Name]],CL,2,0),"")</f>
        <v>MMR001CMP021</v>
      </c>
      <c r="AP680" s="772">
        <f ca="1">IF(Table_NFI[[#This Row],[Pcode]]="","",IF(OFFSET(CampList[Opening Date],MATCH(Table_NFI[[#This Row],[Pcode]],CampList[CP_Pcode],0)-1,0,1,1)&gt;=NFI_Monitor_Date,1,0))</f>
        <v>0</v>
      </c>
      <c r="AQ680" s="771" t="str">
        <f>IFERROR(VLOOKUP(Table_NFI[[#This Row],[Camp Name]],CL,3,0),"")</f>
        <v>Open</v>
      </c>
      <c r="AR680" s="436" t="str">
        <f ca="1">IF(Table_NFI[[#This Row],[Pcode]]="","",OFFSET(CampList[Priority],MATCH(Table_NFI[[#This Row],[Pcode]],CampList[CP_Pcode],0)-1,0,1,1))</f>
        <v>P4</v>
      </c>
      <c r="AS680" s="438">
        <f>IFERROR(Table_NFI[[#This Row],[Kitchen Set]]/VLOOKUP(Table_NFI[[#This Row],[Camp Name]],CL,4,0),"")</f>
        <v>0</v>
      </c>
      <c r="AT680" s="769" t="s">
        <v>1099</v>
      </c>
      <c r="AU680" s="773"/>
    </row>
    <row r="681" spans="1:47" x14ac:dyDescent="0.25">
      <c r="A681" s="451">
        <f t="shared" si="10"/>
        <v>36.533333333333331</v>
      </c>
      <c r="B681" s="768">
        <v>41274</v>
      </c>
      <c r="C681" s="769" t="s">
        <v>455</v>
      </c>
      <c r="D681" s="770" t="s">
        <v>455</v>
      </c>
      <c r="E681" s="769" t="s">
        <v>380</v>
      </c>
      <c r="F681" s="435" t="s">
        <v>529</v>
      </c>
      <c r="G681" s="435" t="s">
        <v>136</v>
      </c>
      <c r="H681" s="436">
        <v>3</v>
      </c>
      <c r="I681" s="436"/>
      <c r="J681" s="436"/>
      <c r="K681" s="436"/>
      <c r="L681" s="437"/>
      <c r="M681" s="437"/>
      <c r="N681" s="437"/>
      <c r="O681" s="437"/>
      <c r="P681" s="437">
        <v>0</v>
      </c>
      <c r="Q681" s="437">
        <v>0</v>
      </c>
      <c r="R681" s="436"/>
      <c r="S681" s="436"/>
      <c r="T681" s="436"/>
      <c r="U681" s="436"/>
      <c r="V681" s="436"/>
      <c r="W681" s="436"/>
      <c r="X681" s="436"/>
      <c r="Y681" s="436">
        <f>IF(NFI_Expiration=1,IF($A681&lt;VLOOKUP(H$5,NFI,5,0),1,0)*Table_NFI[[#This Row],[Hygiene Kit]],Table_NFI[Hygiene Kit])</f>
        <v>0</v>
      </c>
      <c r="Z681" s="436">
        <f>IF(NFI_Expiration=1,IF($A681&lt;VLOOKUP(I$5,NFI,5,0),1,0)*Table_NFI[[#This Row],[NFI Core Kit]],Table_NFI[NFI Core Kit])</f>
        <v>0</v>
      </c>
      <c r="AA681" s="436">
        <f>IF(NFI_Expiration=1,IF($A681&lt;VLOOKUP(J$5,NFI,5,0),1,0)*Table_NFI[[#This Row],[Sanitary Kit]],Table_NFI[Sanitary Kit])</f>
        <v>0</v>
      </c>
      <c r="AB681" s="436">
        <f>IF(NFI_Expiration=1,IF($A681&lt;VLOOKUP(K$5,NFI,5,0),1,0)*Table_NFI[[#This Row],[Mosquito net]],Table_NFI[Mosquito net])</f>
        <v>0</v>
      </c>
      <c r="AC681" s="436">
        <f>IF(NFI_Expiration=1,IF($A681&lt;VLOOKUP(L$5,NFI,5,0),1,0)*Table_NFI[[#This Row],[Tarpaulin]],Table_NFI[[#This Row],[Tarpaulin]])</f>
        <v>0</v>
      </c>
      <c r="AD681" s="436">
        <f>IF(NFI_Expiration=1,IF($A681&lt;VLOOKUP(M$5,NFI,5,0),1,0)*Table_NFI[[#This Row],[Blanket]],Table_NFI[[#This Row],[Blanket]])</f>
        <v>0</v>
      </c>
      <c r="AE681" s="436">
        <f>IF(NFI_Expiration=1,IF($A681&lt;VLOOKUP(N$5,NFI,5,0),1,0)*Table_NFI[[#This Row],[Kitchen Set]],Table_NFI[Kitchen Set])</f>
        <v>0</v>
      </c>
      <c r="AF681" s="436">
        <f>IF(NFI_Expiration=1,IF($A681&lt;VLOOKUP(O$5,NFI,5,0),1,0)*Table_NFI[[#This Row],[Clothes Kit]],Table_NFI[Clothes Kit])</f>
        <v>0</v>
      </c>
      <c r="AG681" s="436">
        <f>IF(NFI_Expiration=1,IF($A681&lt;VLOOKUP(P$5,NFI,5,0),1,0)*Table_NFI[[#This Row],[Plastic Bucket]],Table_NFI[Plastic Bucket])</f>
        <v>0</v>
      </c>
      <c r="AH681" s="436">
        <f>IF(NFI_Expiration=1,IF($A681&lt;VLOOKUP(Q$5,NFI,5,0),1,0)*Table_NFI[[#This Row],[Plastic Mat]],Table_NFI[Plastic Mat])*IF(Table_NFI[[#This Row],[Distribution Date]]&gt;"2014-04-01",1,2.5)</f>
        <v>0</v>
      </c>
      <c r="AI681" s="436">
        <f>IF(NFI_Expiration=1,IF($A681&lt;VLOOKUP(R$5,NFI,5,0),1,0)*Table_NFI[[#This Row],[Winter Clothes Adult]],Table_NFI[Winter Clothes Adult])</f>
        <v>0</v>
      </c>
      <c r="AJ681" s="436">
        <f>IF(NFI_Expiration=1,IF($A681&lt;VLOOKUP(S$5,NFI,5,0),1,0)*Table_NFI[[#This Row],[Winter Clothes Children]],Table_NFI[Winter Clothes Children])</f>
        <v>0</v>
      </c>
      <c r="AK681" s="436">
        <f>IF(NFI_Expiration=1,IF($A681&lt;VLOOKUP(T$5,NFI,5,0),1,0)*Table_NFI[[#This Row],[Winter Items Other]],Table_NFI[Winter Items Other])</f>
        <v>0</v>
      </c>
      <c r="AL681" s="436">
        <f>IF(NFI_Expiration=1,IF($A681&lt;VLOOKUP(M$5,NFI,5,0),1,0)*Table_NFI[[#This Row],[Winter Blanket]],Table_NFI[[#This Row],[Winter Blanket]])</f>
        <v>0</v>
      </c>
      <c r="AM681" s="436">
        <f>IF(Table_NFI[[#This Row],[Winter Clothes Adult]]+Table_NFI[[#This Row],[Winter Clothes Children]]+Table_NFI[[#This Row],[Winter Items Other]]+Table_NFI[[#This Row],[Winter Blanket]]&gt;0,1,0)</f>
        <v>0</v>
      </c>
      <c r="AN681" s="439">
        <f>IF(NFI_Expiration=1,IF($A681&lt;VLOOKUP(V$5,NFI,5,0),1,0)*Table_NFI[[#This Row],[Jerry Can]],Table_NFI[Jerry Can])</f>
        <v>0</v>
      </c>
      <c r="AO681" s="771" t="str">
        <f>IFERROR(VLOOKUP(Table_NFI[[#This Row],[Camp Name]],CL,2,0),"")</f>
        <v>MMR001CMP106</v>
      </c>
      <c r="AP681" s="772">
        <f ca="1">IF(Table_NFI[[#This Row],[Pcode]]="","",IF(OFFSET(CampList[Opening Date],MATCH(Table_NFI[[#This Row],[Pcode]],CampList[CP_Pcode],0)-1,0,1,1)&gt;=NFI_Monitor_Date,1,0))</f>
        <v>0</v>
      </c>
      <c r="AQ681" s="771" t="str">
        <f>IFERROR(VLOOKUP(Table_NFI[[#This Row],[Camp Name]],CL,3,0),"")</f>
        <v>Closed</v>
      </c>
      <c r="AR681" s="436" t="str">
        <f ca="1">IF(Table_NFI[[#This Row],[Pcode]]="","",OFFSET(CampList[Priority],MATCH(Table_NFI[[#This Row],[Pcode]],CampList[CP_Pcode],0)-1,0,1,1))</f>
        <v/>
      </c>
      <c r="AS681" s="438" t="str">
        <f>IFERROR(Table_NFI[[#This Row],[Kitchen Set]]/VLOOKUP(Table_NFI[[#This Row],[Camp Name]],CL,4,0),"")</f>
        <v/>
      </c>
      <c r="AT681" s="769" t="s">
        <v>1099</v>
      </c>
      <c r="AU681" s="773"/>
    </row>
    <row r="682" spans="1:47" x14ac:dyDescent="0.25">
      <c r="A682" s="451">
        <f t="shared" si="10"/>
        <v>36.533333333333331</v>
      </c>
      <c r="B682" s="768">
        <v>41274</v>
      </c>
      <c r="C682" s="769" t="s">
        <v>455</v>
      </c>
      <c r="D682" s="769" t="s">
        <v>455</v>
      </c>
      <c r="E682" s="769" t="s">
        <v>380</v>
      </c>
      <c r="F682" s="435" t="s">
        <v>529</v>
      </c>
      <c r="G682" s="435" t="s">
        <v>84</v>
      </c>
      <c r="H682" s="436">
        <v>10</v>
      </c>
      <c r="I682" s="436"/>
      <c r="J682" s="436"/>
      <c r="K682" s="436"/>
      <c r="L682" s="437"/>
      <c r="M682" s="437"/>
      <c r="N682" s="437"/>
      <c r="O682" s="437"/>
      <c r="P682" s="439">
        <v>0</v>
      </c>
      <c r="Q682" s="439">
        <v>0</v>
      </c>
      <c r="R682" s="436"/>
      <c r="S682" s="436"/>
      <c r="T682" s="436"/>
      <c r="U682" s="436"/>
      <c r="V682" s="436"/>
      <c r="W682" s="436"/>
      <c r="X682" s="436"/>
      <c r="Y682" s="436">
        <f>IF(NFI_Expiration=1,IF($A682&lt;VLOOKUP(H$5,NFI,5,0),1,0)*Table_NFI[[#This Row],[Hygiene Kit]],Table_NFI[Hygiene Kit])</f>
        <v>0</v>
      </c>
      <c r="Z682" s="436">
        <f>IF(NFI_Expiration=1,IF($A682&lt;VLOOKUP(I$5,NFI,5,0),1,0)*Table_NFI[[#This Row],[NFI Core Kit]],Table_NFI[NFI Core Kit])</f>
        <v>0</v>
      </c>
      <c r="AA682" s="436">
        <f>IF(NFI_Expiration=1,IF($A682&lt;VLOOKUP(J$5,NFI,5,0),1,0)*Table_NFI[[#This Row],[Sanitary Kit]],Table_NFI[Sanitary Kit])</f>
        <v>0</v>
      </c>
      <c r="AB682" s="436">
        <f>IF(NFI_Expiration=1,IF($A682&lt;VLOOKUP(K$5,NFI,5,0),1,0)*Table_NFI[[#This Row],[Mosquito net]],Table_NFI[Mosquito net])</f>
        <v>0</v>
      </c>
      <c r="AC682" s="436">
        <f>IF(NFI_Expiration=1,IF($A682&lt;VLOOKUP(L$5,NFI,5,0),1,0)*Table_NFI[[#This Row],[Tarpaulin]],Table_NFI[[#This Row],[Tarpaulin]])</f>
        <v>0</v>
      </c>
      <c r="AD682" s="436">
        <f>IF(NFI_Expiration=1,IF($A682&lt;VLOOKUP(M$5,NFI,5,0),1,0)*Table_NFI[[#This Row],[Blanket]],Table_NFI[[#This Row],[Blanket]])</f>
        <v>0</v>
      </c>
      <c r="AE682" s="436">
        <f>IF(NFI_Expiration=1,IF($A682&lt;VLOOKUP(N$5,NFI,5,0),1,0)*Table_NFI[[#This Row],[Kitchen Set]],Table_NFI[Kitchen Set])</f>
        <v>0</v>
      </c>
      <c r="AF682" s="436">
        <f>IF(NFI_Expiration=1,IF($A682&lt;VLOOKUP(O$5,NFI,5,0),1,0)*Table_NFI[[#This Row],[Clothes Kit]],Table_NFI[Clothes Kit])</f>
        <v>0</v>
      </c>
      <c r="AG682" s="436">
        <f>IF(NFI_Expiration=1,IF($A682&lt;VLOOKUP(P$5,NFI,5,0),1,0)*Table_NFI[[#This Row],[Plastic Bucket]],Table_NFI[Plastic Bucket])</f>
        <v>0</v>
      </c>
      <c r="AH682" s="436">
        <f>IF(NFI_Expiration=1,IF($A682&lt;VLOOKUP(Q$5,NFI,5,0),1,0)*Table_NFI[[#This Row],[Plastic Mat]],Table_NFI[Plastic Mat])*IF(Table_NFI[[#This Row],[Distribution Date]]&gt;"2014-04-01",1,2.5)</f>
        <v>0</v>
      </c>
      <c r="AI682" s="436">
        <f>IF(NFI_Expiration=1,IF($A682&lt;VLOOKUP(R$5,NFI,5,0),1,0)*Table_NFI[[#This Row],[Winter Clothes Adult]],Table_NFI[Winter Clothes Adult])</f>
        <v>0</v>
      </c>
      <c r="AJ682" s="436">
        <f>IF(NFI_Expiration=1,IF($A682&lt;VLOOKUP(S$5,NFI,5,0),1,0)*Table_NFI[[#This Row],[Winter Clothes Children]],Table_NFI[Winter Clothes Children])</f>
        <v>0</v>
      </c>
      <c r="AK682" s="436">
        <f>IF(NFI_Expiration=1,IF($A682&lt;VLOOKUP(T$5,NFI,5,0),1,0)*Table_NFI[[#This Row],[Winter Items Other]],Table_NFI[Winter Items Other])</f>
        <v>0</v>
      </c>
      <c r="AL682" s="436">
        <f>IF(NFI_Expiration=1,IF($A682&lt;VLOOKUP(M$5,NFI,5,0),1,0)*Table_NFI[[#This Row],[Winter Blanket]],Table_NFI[[#This Row],[Winter Blanket]])</f>
        <v>0</v>
      </c>
      <c r="AM682" s="436">
        <f>IF(Table_NFI[[#This Row],[Winter Clothes Adult]]+Table_NFI[[#This Row],[Winter Clothes Children]]+Table_NFI[[#This Row],[Winter Items Other]]+Table_NFI[[#This Row],[Winter Blanket]]&gt;0,1,0)</f>
        <v>0</v>
      </c>
      <c r="AN682" s="439">
        <f>IF(NFI_Expiration=1,IF($A682&lt;VLOOKUP(V$5,NFI,5,0),1,0)*Table_NFI[[#This Row],[Jerry Can]],Table_NFI[Jerry Can])</f>
        <v>0</v>
      </c>
      <c r="AO682" s="771" t="str">
        <f>IFERROR(VLOOKUP(Table_NFI[[#This Row],[Camp Name]],CL,2,0),"")</f>
        <v>MMR001CMP085</v>
      </c>
      <c r="AP682" s="772">
        <f ca="1">IF(Table_NFI[[#This Row],[Pcode]]="","",IF(OFFSET(CampList[Opening Date],MATCH(Table_NFI[[#This Row],[Pcode]],CampList[CP_Pcode],0)-1,0,1,1)&gt;=NFI_Monitor_Date,1,0))</f>
        <v>0</v>
      </c>
      <c r="AQ682" s="771" t="str">
        <f>IFERROR(VLOOKUP(Table_NFI[[#This Row],[Camp Name]],CL,3,0),"")</f>
        <v>Closed</v>
      </c>
      <c r="AR682" s="436" t="str">
        <f ca="1">IF(Table_NFI[[#This Row],[Pcode]]="","",OFFSET(CampList[Priority],MATCH(Table_NFI[[#This Row],[Pcode]],CampList[CP_Pcode],0)-1,0,1,1))</f>
        <v/>
      </c>
      <c r="AS682" s="438" t="str">
        <f>IFERROR(Table_NFI[[#This Row],[Kitchen Set]]/VLOOKUP(Table_NFI[[#This Row],[Camp Name]],CL,4,0),"")</f>
        <v/>
      </c>
      <c r="AT682" s="769" t="s">
        <v>1099</v>
      </c>
      <c r="AU682" s="773"/>
    </row>
    <row r="683" spans="1:47" x14ac:dyDescent="0.25">
      <c r="A683" s="451">
        <f t="shared" si="10"/>
        <v>36.533333333333331</v>
      </c>
      <c r="B683" s="768">
        <v>41274</v>
      </c>
      <c r="C683" s="769" t="s">
        <v>455</v>
      </c>
      <c r="D683" s="770" t="s">
        <v>455</v>
      </c>
      <c r="E683" s="769" t="s">
        <v>380</v>
      </c>
      <c r="F683" s="435" t="s">
        <v>529</v>
      </c>
      <c r="G683" s="435" t="s">
        <v>100</v>
      </c>
      <c r="H683" s="436">
        <v>2</v>
      </c>
      <c r="I683" s="436"/>
      <c r="J683" s="436"/>
      <c r="K683" s="436"/>
      <c r="L683" s="437"/>
      <c r="M683" s="437"/>
      <c r="N683" s="437"/>
      <c r="O683" s="437"/>
      <c r="P683" s="437">
        <v>0</v>
      </c>
      <c r="Q683" s="437">
        <v>0</v>
      </c>
      <c r="R683" s="436"/>
      <c r="S683" s="436"/>
      <c r="T683" s="436"/>
      <c r="U683" s="436"/>
      <c r="V683" s="436"/>
      <c r="W683" s="436"/>
      <c r="X683" s="436"/>
      <c r="Y683" s="436">
        <f>IF(NFI_Expiration=1,IF($A683&lt;VLOOKUP(H$5,NFI,5,0),1,0)*Table_NFI[[#This Row],[Hygiene Kit]],Table_NFI[Hygiene Kit])</f>
        <v>0</v>
      </c>
      <c r="Z683" s="436">
        <f>IF(NFI_Expiration=1,IF($A683&lt;VLOOKUP(I$5,NFI,5,0),1,0)*Table_NFI[[#This Row],[NFI Core Kit]],Table_NFI[NFI Core Kit])</f>
        <v>0</v>
      </c>
      <c r="AA683" s="436">
        <f>IF(NFI_Expiration=1,IF($A683&lt;VLOOKUP(J$5,NFI,5,0),1,0)*Table_NFI[[#This Row],[Sanitary Kit]],Table_NFI[Sanitary Kit])</f>
        <v>0</v>
      </c>
      <c r="AB683" s="436">
        <f>IF(NFI_Expiration=1,IF($A683&lt;VLOOKUP(K$5,NFI,5,0),1,0)*Table_NFI[[#This Row],[Mosquito net]],Table_NFI[Mosquito net])</f>
        <v>0</v>
      </c>
      <c r="AC683" s="436">
        <f>IF(NFI_Expiration=1,IF($A683&lt;VLOOKUP(L$5,NFI,5,0),1,0)*Table_NFI[[#This Row],[Tarpaulin]],Table_NFI[[#This Row],[Tarpaulin]])</f>
        <v>0</v>
      </c>
      <c r="AD683" s="436">
        <f>IF(NFI_Expiration=1,IF($A683&lt;VLOOKUP(M$5,NFI,5,0),1,0)*Table_NFI[[#This Row],[Blanket]],Table_NFI[[#This Row],[Blanket]])</f>
        <v>0</v>
      </c>
      <c r="AE683" s="436">
        <f>IF(NFI_Expiration=1,IF($A683&lt;VLOOKUP(N$5,NFI,5,0),1,0)*Table_NFI[[#This Row],[Kitchen Set]],Table_NFI[Kitchen Set])</f>
        <v>0</v>
      </c>
      <c r="AF683" s="436">
        <f>IF(NFI_Expiration=1,IF($A683&lt;VLOOKUP(O$5,NFI,5,0),1,0)*Table_NFI[[#This Row],[Clothes Kit]],Table_NFI[Clothes Kit])</f>
        <v>0</v>
      </c>
      <c r="AG683" s="436">
        <f>IF(NFI_Expiration=1,IF($A683&lt;VLOOKUP(P$5,NFI,5,0),1,0)*Table_NFI[[#This Row],[Plastic Bucket]],Table_NFI[Plastic Bucket])</f>
        <v>0</v>
      </c>
      <c r="AH683" s="436">
        <f>IF(NFI_Expiration=1,IF($A683&lt;VLOOKUP(Q$5,NFI,5,0),1,0)*Table_NFI[[#This Row],[Plastic Mat]],Table_NFI[Plastic Mat])*IF(Table_NFI[[#This Row],[Distribution Date]]&gt;"2014-04-01",1,2.5)</f>
        <v>0</v>
      </c>
      <c r="AI683" s="436">
        <f>IF(NFI_Expiration=1,IF($A683&lt;VLOOKUP(R$5,NFI,5,0),1,0)*Table_NFI[[#This Row],[Winter Clothes Adult]],Table_NFI[Winter Clothes Adult])</f>
        <v>0</v>
      </c>
      <c r="AJ683" s="436">
        <f>IF(NFI_Expiration=1,IF($A683&lt;VLOOKUP(S$5,NFI,5,0),1,0)*Table_NFI[[#This Row],[Winter Clothes Children]],Table_NFI[Winter Clothes Children])</f>
        <v>0</v>
      </c>
      <c r="AK683" s="436">
        <f>IF(NFI_Expiration=1,IF($A683&lt;VLOOKUP(T$5,NFI,5,0),1,0)*Table_NFI[[#This Row],[Winter Items Other]],Table_NFI[Winter Items Other])</f>
        <v>0</v>
      </c>
      <c r="AL683" s="436">
        <f>IF(NFI_Expiration=1,IF($A683&lt;VLOOKUP(M$5,NFI,5,0),1,0)*Table_NFI[[#This Row],[Winter Blanket]],Table_NFI[[#This Row],[Winter Blanket]])</f>
        <v>0</v>
      </c>
      <c r="AM683" s="436">
        <f>IF(Table_NFI[[#This Row],[Winter Clothes Adult]]+Table_NFI[[#This Row],[Winter Clothes Children]]+Table_NFI[[#This Row],[Winter Items Other]]+Table_NFI[[#This Row],[Winter Blanket]]&gt;0,1,0)</f>
        <v>0</v>
      </c>
      <c r="AN683" s="439">
        <f>IF(NFI_Expiration=1,IF($A683&lt;VLOOKUP(V$5,NFI,5,0),1,0)*Table_NFI[[#This Row],[Jerry Can]],Table_NFI[Jerry Can])</f>
        <v>0</v>
      </c>
      <c r="AO683" s="771" t="str">
        <f>IFERROR(VLOOKUP(Table_NFI[[#This Row],[Camp Name]],CL,2,0),"")</f>
        <v>MMR001CMP091</v>
      </c>
      <c r="AP683" s="772">
        <f ca="1">IF(Table_NFI[[#This Row],[Pcode]]="","",IF(OFFSET(CampList[Opening Date],MATCH(Table_NFI[[#This Row],[Pcode]],CampList[CP_Pcode],0)-1,0,1,1)&gt;=NFI_Monitor_Date,1,0))</f>
        <v>0</v>
      </c>
      <c r="AQ683" s="771" t="str">
        <f>IFERROR(VLOOKUP(Table_NFI[[#This Row],[Camp Name]],CL,3,0),"")</f>
        <v>Open</v>
      </c>
      <c r="AR683" s="436" t="str">
        <f ca="1">IF(Table_NFI[[#This Row],[Pcode]]="","",OFFSET(CampList[Priority],MATCH(Table_NFI[[#This Row],[Pcode]],CampList[CP_Pcode],0)-1,0,1,1))</f>
        <v>P4</v>
      </c>
      <c r="AS683" s="438">
        <f>IFERROR(Table_NFI[[#This Row],[Kitchen Set]]/VLOOKUP(Table_NFI[[#This Row],[Camp Name]],CL,4,0),"")</f>
        <v>0</v>
      </c>
      <c r="AT683" s="769" t="s">
        <v>1099</v>
      </c>
      <c r="AU683" s="773"/>
    </row>
    <row r="684" spans="1:47" x14ac:dyDescent="0.25">
      <c r="A684" s="451">
        <f t="shared" si="10"/>
        <v>36.533333333333331</v>
      </c>
      <c r="B684" s="768">
        <v>41274</v>
      </c>
      <c r="C684" s="769" t="s">
        <v>455</v>
      </c>
      <c r="D684" s="769" t="s">
        <v>455</v>
      </c>
      <c r="E684" s="769" t="s">
        <v>380</v>
      </c>
      <c r="F684" s="435" t="s">
        <v>529</v>
      </c>
      <c r="G684" s="435" t="s">
        <v>98</v>
      </c>
      <c r="H684" s="436">
        <v>5</v>
      </c>
      <c r="I684" s="436"/>
      <c r="J684" s="436"/>
      <c r="K684" s="436"/>
      <c r="L684" s="437"/>
      <c r="M684" s="437"/>
      <c r="N684" s="437"/>
      <c r="O684" s="437"/>
      <c r="P684" s="439">
        <v>0</v>
      </c>
      <c r="Q684" s="439">
        <v>0</v>
      </c>
      <c r="R684" s="436"/>
      <c r="S684" s="436"/>
      <c r="T684" s="436"/>
      <c r="U684" s="436"/>
      <c r="V684" s="436"/>
      <c r="W684" s="436"/>
      <c r="X684" s="436"/>
      <c r="Y684" s="436">
        <f>IF(NFI_Expiration=1,IF($A684&lt;VLOOKUP(H$5,NFI,5,0),1,0)*Table_NFI[[#This Row],[Hygiene Kit]],Table_NFI[Hygiene Kit])</f>
        <v>0</v>
      </c>
      <c r="Z684" s="436">
        <f>IF(NFI_Expiration=1,IF($A684&lt;VLOOKUP(I$5,NFI,5,0),1,0)*Table_NFI[[#This Row],[NFI Core Kit]],Table_NFI[NFI Core Kit])</f>
        <v>0</v>
      </c>
      <c r="AA684" s="436">
        <f>IF(NFI_Expiration=1,IF($A684&lt;VLOOKUP(J$5,NFI,5,0),1,0)*Table_NFI[[#This Row],[Sanitary Kit]],Table_NFI[Sanitary Kit])</f>
        <v>0</v>
      </c>
      <c r="AB684" s="436">
        <f>IF(NFI_Expiration=1,IF($A684&lt;VLOOKUP(K$5,NFI,5,0),1,0)*Table_NFI[[#This Row],[Mosquito net]],Table_NFI[Mosquito net])</f>
        <v>0</v>
      </c>
      <c r="AC684" s="436">
        <f>IF(NFI_Expiration=1,IF($A684&lt;VLOOKUP(L$5,NFI,5,0),1,0)*Table_NFI[[#This Row],[Tarpaulin]],Table_NFI[[#This Row],[Tarpaulin]])</f>
        <v>0</v>
      </c>
      <c r="AD684" s="436">
        <f>IF(NFI_Expiration=1,IF($A684&lt;VLOOKUP(M$5,NFI,5,0),1,0)*Table_NFI[[#This Row],[Blanket]],Table_NFI[[#This Row],[Blanket]])</f>
        <v>0</v>
      </c>
      <c r="AE684" s="436">
        <f>IF(NFI_Expiration=1,IF($A684&lt;VLOOKUP(N$5,NFI,5,0),1,0)*Table_NFI[[#This Row],[Kitchen Set]],Table_NFI[Kitchen Set])</f>
        <v>0</v>
      </c>
      <c r="AF684" s="436">
        <f>IF(NFI_Expiration=1,IF($A684&lt;VLOOKUP(O$5,NFI,5,0),1,0)*Table_NFI[[#This Row],[Clothes Kit]],Table_NFI[Clothes Kit])</f>
        <v>0</v>
      </c>
      <c r="AG684" s="436">
        <f>IF(NFI_Expiration=1,IF($A684&lt;VLOOKUP(P$5,NFI,5,0),1,0)*Table_NFI[[#This Row],[Plastic Bucket]],Table_NFI[Plastic Bucket])</f>
        <v>0</v>
      </c>
      <c r="AH684" s="436">
        <f>IF(NFI_Expiration=1,IF($A684&lt;VLOOKUP(Q$5,NFI,5,0),1,0)*Table_NFI[[#This Row],[Plastic Mat]],Table_NFI[Plastic Mat])*IF(Table_NFI[[#This Row],[Distribution Date]]&gt;"2014-04-01",1,2.5)</f>
        <v>0</v>
      </c>
      <c r="AI684" s="436">
        <f>IF(NFI_Expiration=1,IF($A684&lt;VLOOKUP(R$5,NFI,5,0),1,0)*Table_NFI[[#This Row],[Winter Clothes Adult]],Table_NFI[Winter Clothes Adult])</f>
        <v>0</v>
      </c>
      <c r="AJ684" s="436">
        <f>IF(NFI_Expiration=1,IF($A684&lt;VLOOKUP(S$5,NFI,5,0),1,0)*Table_NFI[[#This Row],[Winter Clothes Children]],Table_NFI[Winter Clothes Children])</f>
        <v>0</v>
      </c>
      <c r="AK684" s="436">
        <f>IF(NFI_Expiration=1,IF($A684&lt;VLOOKUP(T$5,NFI,5,0),1,0)*Table_NFI[[#This Row],[Winter Items Other]],Table_NFI[Winter Items Other])</f>
        <v>0</v>
      </c>
      <c r="AL684" s="436">
        <f>IF(NFI_Expiration=1,IF($A684&lt;VLOOKUP(M$5,NFI,5,0),1,0)*Table_NFI[[#This Row],[Winter Blanket]],Table_NFI[[#This Row],[Winter Blanket]])</f>
        <v>0</v>
      </c>
      <c r="AM684" s="436">
        <f>IF(Table_NFI[[#This Row],[Winter Clothes Adult]]+Table_NFI[[#This Row],[Winter Clothes Children]]+Table_NFI[[#This Row],[Winter Items Other]]+Table_NFI[[#This Row],[Winter Blanket]]&gt;0,1,0)</f>
        <v>0</v>
      </c>
      <c r="AN684" s="439">
        <f>IF(NFI_Expiration=1,IF($A684&lt;VLOOKUP(V$5,NFI,5,0),1,0)*Table_NFI[[#This Row],[Jerry Can]],Table_NFI[Jerry Can])</f>
        <v>0</v>
      </c>
      <c r="AO684" s="771" t="str">
        <f>IFERROR(VLOOKUP(Table_NFI[[#This Row],[Camp Name]],CL,2,0),"")</f>
        <v>MMR001CMP178</v>
      </c>
      <c r="AP684" s="772">
        <f ca="1">IF(Table_NFI[[#This Row],[Pcode]]="","",IF(OFFSET(CampList[Opening Date],MATCH(Table_NFI[[#This Row],[Pcode]],CampList[CP_Pcode],0)-1,0,1,1)&gt;=NFI_Monitor_Date,1,0))</f>
        <v>0</v>
      </c>
      <c r="AQ684" s="771" t="str">
        <f>IFERROR(VLOOKUP(Table_NFI[[#This Row],[Camp Name]],CL,3,0),"")</f>
        <v>Closed</v>
      </c>
      <c r="AR684" s="436" t="str">
        <f ca="1">IF(Table_NFI[[#This Row],[Pcode]]="","",OFFSET(CampList[Priority],MATCH(Table_NFI[[#This Row],[Pcode]],CampList[CP_Pcode],0)-1,0,1,1))</f>
        <v/>
      </c>
      <c r="AS684" s="438" t="str">
        <f>IFERROR(Table_NFI[[#This Row],[Kitchen Set]]/VLOOKUP(Table_NFI[[#This Row],[Camp Name]],CL,4,0),"")</f>
        <v/>
      </c>
      <c r="AT684" s="769" t="s">
        <v>1099</v>
      </c>
      <c r="AU684" s="773"/>
    </row>
    <row r="685" spans="1:47" x14ac:dyDescent="0.25">
      <c r="A685" s="451">
        <f t="shared" si="10"/>
        <v>36.533333333333331</v>
      </c>
      <c r="B685" s="768">
        <v>41274</v>
      </c>
      <c r="C685" s="769" t="s">
        <v>455</v>
      </c>
      <c r="D685" s="769" t="s">
        <v>455</v>
      </c>
      <c r="E685" s="769" t="s">
        <v>380</v>
      </c>
      <c r="F685" s="435" t="s">
        <v>529</v>
      </c>
      <c r="G685" s="435" t="s">
        <v>142</v>
      </c>
      <c r="H685" s="436">
        <v>1</v>
      </c>
      <c r="I685" s="436"/>
      <c r="J685" s="436"/>
      <c r="K685" s="436"/>
      <c r="L685" s="437"/>
      <c r="M685" s="437"/>
      <c r="N685" s="437"/>
      <c r="O685" s="437"/>
      <c r="P685" s="439">
        <v>0</v>
      </c>
      <c r="Q685" s="439">
        <v>0</v>
      </c>
      <c r="R685" s="436"/>
      <c r="S685" s="436"/>
      <c r="T685" s="436"/>
      <c r="U685" s="436"/>
      <c r="V685" s="436"/>
      <c r="W685" s="436"/>
      <c r="X685" s="436"/>
      <c r="Y685" s="436">
        <f>IF(NFI_Expiration=1,IF($A685&lt;VLOOKUP(H$5,NFI,5,0),1,0)*Table_NFI[[#This Row],[Hygiene Kit]],Table_NFI[Hygiene Kit])</f>
        <v>0</v>
      </c>
      <c r="Z685" s="436">
        <f>IF(NFI_Expiration=1,IF($A685&lt;VLOOKUP(I$5,NFI,5,0),1,0)*Table_NFI[[#This Row],[NFI Core Kit]],Table_NFI[NFI Core Kit])</f>
        <v>0</v>
      </c>
      <c r="AA685" s="436">
        <f>IF(NFI_Expiration=1,IF($A685&lt;VLOOKUP(J$5,NFI,5,0),1,0)*Table_NFI[[#This Row],[Sanitary Kit]],Table_NFI[Sanitary Kit])</f>
        <v>0</v>
      </c>
      <c r="AB685" s="436">
        <f>IF(NFI_Expiration=1,IF($A685&lt;VLOOKUP(K$5,NFI,5,0),1,0)*Table_NFI[[#This Row],[Mosquito net]],Table_NFI[Mosquito net])</f>
        <v>0</v>
      </c>
      <c r="AC685" s="436">
        <f>IF(NFI_Expiration=1,IF($A685&lt;VLOOKUP(L$5,NFI,5,0),1,0)*Table_NFI[[#This Row],[Tarpaulin]],Table_NFI[[#This Row],[Tarpaulin]])</f>
        <v>0</v>
      </c>
      <c r="AD685" s="436">
        <f>IF(NFI_Expiration=1,IF($A685&lt;VLOOKUP(M$5,NFI,5,0),1,0)*Table_NFI[[#This Row],[Blanket]],Table_NFI[[#This Row],[Blanket]])</f>
        <v>0</v>
      </c>
      <c r="AE685" s="436">
        <f>IF(NFI_Expiration=1,IF($A685&lt;VLOOKUP(N$5,NFI,5,0),1,0)*Table_NFI[[#This Row],[Kitchen Set]],Table_NFI[Kitchen Set])</f>
        <v>0</v>
      </c>
      <c r="AF685" s="436">
        <f>IF(NFI_Expiration=1,IF($A685&lt;VLOOKUP(O$5,NFI,5,0),1,0)*Table_NFI[[#This Row],[Clothes Kit]],Table_NFI[Clothes Kit])</f>
        <v>0</v>
      </c>
      <c r="AG685" s="436">
        <f>IF(NFI_Expiration=1,IF($A685&lt;VLOOKUP(P$5,NFI,5,0),1,0)*Table_NFI[[#This Row],[Plastic Bucket]],Table_NFI[Plastic Bucket])</f>
        <v>0</v>
      </c>
      <c r="AH685" s="436">
        <f>IF(NFI_Expiration=1,IF($A685&lt;VLOOKUP(Q$5,NFI,5,0),1,0)*Table_NFI[[#This Row],[Plastic Mat]],Table_NFI[Plastic Mat])*IF(Table_NFI[[#This Row],[Distribution Date]]&gt;"2014-04-01",1,2.5)</f>
        <v>0</v>
      </c>
      <c r="AI685" s="436">
        <f>IF(NFI_Expiration=1,IF($A685&lt;VLOOKUP(R$5,NFI,5,0),1,0)*Table_NFI[[#This Row],[Winter Clothes Adult]],Table_NFI[Winter Clothes Adult])</f>
        <v>0</v>
      </c>
      <c r="AJ685" s="436">
        <f>IF(NFI_Expiration=1,IF($A685&lt;VLOOKUP(S$5,NFI,5,0),1,0)*Table_NFI[[#This Row],[Winter Clothes Children]],Table_NFI[Winter Clothes Children])</f>
        <v>0</v>
      </c>
      <c r="AK685" s="436">
        <f>IF(NFI_Expiration=1,IF($A685&lt;VLOOKUP(T$5,NFI,5,0),1,0)*Table_NFI[[#This Row],[Winter Items Other]],Table_NFI[Winter Items Other])</f>
        <v>0</v>
      </c>
      <c r="AL685" s="436">
        <f>IF(NFI_Expiration=1,IF($A685&lt;VLOOKUP(M$5,NFI,5,0),1,0)*Table_NFI[[#This Row],[Winter Blanket]],Table_NFI[[#This Row],[Winter Blanket]])</f>
        <v>0</v>
      </c>
      <c r="AM685" s="436">
        <f>IF(Table_NFI[[#This Row],[Winter Clothes Adult]]+Table_NFI[[#This Row],[Winter Clothes Children]]+Table_NFI[[#This Row],[Winter Items Other]]+Table_NFI[[#This Row],[Winter Blanket]]&gt;0,1,0)</f>
        <v>0</v>
      </c>
      <c r="AN685" s="439">
        <f>IF(NFI_Expiration=1,IF($A685&lt;VLOOKUP(V$5,NFI,5,0),1,0)*Table_NFI[[#This Row],[Jerry Can]],Table_NFI[Jerry Can])</f>
        <v>0</v>
      </c>
      <c r="AO685" s="771" t="str">
        <f>IFERROR(VLOOKUP(Table_NFI[[#This Row],[Camp Name]],CL,2,0),"")</f>
        <v>MMR001CMP177</v>
      </c>
      <c r="AP685" s="772">
        <f ca="1">IF(Table_NFI[[#This Row],[Pcode]]="","",IF(OFFSET(CampList[Opening Date],MATCH(Table_NFI[[#This Row],[Pcode]],CampList[CP_Pcode],0)-1,0,1,1)&gt;=NFI_Monitor_Date,1,0))</f>
        <v>0</v>
      </c>
      <c r="AQ685" s="771" t="str">
        <f>IFERROR(VLOOKUP(Table_NFI[[#This Row],[Camp Name]],CL,3,0),"")</f>
        <v>Closed</v>
      </c>
      <c r="AR685" s="436" t="str">
        <f ca="1">IF(Table_NFI[[#This Row],[Pcode]]="","",OFFSET(CampList[Priority],MATCH(Table_NFI[[#This Row],[Pcode]],CampList[CP_Pcode],0)-1,0,1,1))</f>
        <v/>
      </c>
      <c r="AS685" s="438" t="str">
        <f>IFERROR(Table_NFI[[#This Row],[Kitchen Set]]/VLOOKUP(Table_NFI[[#This Row],[Camp Name]],CL,4,0),"")</f>
        <v/>
      </c>
      <c r="AT685" s="769" t="s">
        <v>1099</v>
      </c>
      <c r="AU685" s="773"/>
    </row>
    <row r="686" spans="1:47" x14ac:dyDescent="0.25">
      <c r="A686" s="451">
        <f t="shared" si="10"/>
        <v>36.533333333333331</v>
      </c>
      <c r="B686" s="768">
        <v>41274</v>
      </c>
      <c r="C686" s="769" t="s">
        <v>455</v>
      </c>
      <c r="D686" s="770" t="s">
        <v>455</v>
      </c>
      <c r="E686" s="769" t="s">
        <v>380</v>
      </c>
      <c r="F686" s="435" t="s">
        <v>237</v>
      </c>
      <c r="G686" s="435" t="s">
        <v>267</v>
      </c>
      <c r="H686" s="436">
        <v>12</v>
      </c>
      <c r="I686" s="436"/>
      <c r="J686" s="436"/>
      <c r="K686" s="436"/>
      <c r="L686" s="437"/>
      <c r="M686" s="437"/>
      <c r="N686" s="437"/>
      <c r="O686" s="437"/>
      <c r="P686" s="437">
        <v>0</v>
      </c>
      <c r="Q686" s="437">
        <v>0</v>
      </c>
      <c r="R686" s="436"/>
      <c r="S686" s="436"/>
      <c r="T686" s="436"/>
      <c r="U686" s="436"/>
      <c r="V686" s="436"/>
      <c r="W686" s="436"/>
      <c r="X686" s="436"/>
      <c r="Y686" s="436">
        <f>IF(NFI_Expiration=1,IF($A686&lt;VLOOKUP(H$5,NFI,5,0),1,0)*Table_NFI[[#This Row],[Hygiene Kit]],Table_NFI[Hygiene Kit])</f>
        <v>0</v>
      </c>
      <c r="Z686" s="436">
        <f>IF(NFI_Expiration=1,IF($A686&lt;VLOOKUP(I$5,NFI,5,0),1,0)*Table_NFI[[#This Row],[NFI Core Kit]],Table_NFI[NFI Core Kit])</f>
        <v>0</v>
      </c>
      <c r="AA686" s="436">
        <f>IF(NFI_Expiration=1,IF($A686&lt;VLOOKUP(J$5,NFI,5,0),1,0)*Table_NFI[[#This Row],[Sanitary Kit]],Table_NFI[Sanitary Kit])</f>
        <v>0</v>
      </c>
      <c r="AB686" s="436">
        <f>IF(NFI_Expiration=1,IF($A686&lt;VLOOKUP(K$5,NFI,5,0),1,0)*Table_NFI[[#This Row],[Mosquito net]],Table_NFI[Mosquito net])</f>
        <v>0</v>
      </c>
      <c r="AC686" s="436">
        <f>IF(NFI_Expiration=1,IF($A686&lt;VLOOKUP(L$5,NFI,5,0),1,0)*Table_NFI[[#This Row],[Tarpaulin]],Table_NFI[[#This Row],[Tarpaulin]])</f>
        <v>0</v>
      </c>
      <c r="AD686" s="436">
        <f>IF(NFI_Expiration=1,IF($A686&lt;VLOOKUP(M$5,NFI,5,0),1,0)*Table_NFI[[#This Row],[Blanket]],Table_NFI[[#This Row],[Blanket]])</f>
        <v>0</v>
      </c>
      <c r="AE686" s="436">
        <f>IF(NFI_Expiration=1,IF($A686&lt;VLOOKUP(N$5,NFI,5,0),1,0)*Table_NFI[[#This Row],[Kitchen Set]],Table_NFI[Kitchen Set])</f>
        <v>0</v>
      </c>
      <c r="AF686" s="436">
        <f>IF(NFI_Expiration=1,IF($A686&lt;VLOOKUP(O$5,NFI,5,0),1,0)*Table_NFI[[#This Row],[Clothes Kit]],Table_NFI[Clothes Kit])</f>
        <v>0</v>
      </c>
      <c r="AG686" s="436">
        <f>IF(NFI_Expiration=1,IF($A686&lt;VLOOKUP(P$5,NFI,5,0),1,0)*Table_NFI[[#This Row],[Plastic Bucket]],Table_NFI[Plastic Bucket])</f>
        <v>0</v>
      </c>
      <c r="AH686" s="436">
        <f>IF(NFI_Expiration=1,IF($A686&lt;VLOOKUP(Q$5,NFI,5,0),1,0)*Table_NFI[[#This Row],[Plastic Mat]],Table_NFI[Plastic Mat])*IF(Table_NFI[[#This Row],[Distribution Date]]&gt;"2014-04-01",1,2.5)</f>
        <v>0</v>
      </c>
      <c r="AI686" s="436">
        <f>IF(NFI_Expiration=1,IF($A686&lt;VLOOKUP(R$5,NFI,5,0),1,0)*Table_NFI[[#This Row],[Winter Clothes Adult]],Table_NFI[Winter Clothes Adult])</f>
        <v>0</v>
      </c>
      <c r="AJ686" s="436">
        <f>IF(NFI_Expiration=1,IF($A686&lt;VLOOKUP(S$5,NFI,5,0),1,0)*Table_NFI[[#This Row],[Winter Clothes Children]],Table_NFI[Winter Clothes Children])</f>
        <v>0</v>
      </c>
      <c r="AK686" s="436">
        <f>IF(NFI_Expiration=1,IF($A686&lt;VLOOKUP(T$5,NFI,5,0),1,0)*Table_NFI[[#This Row],[Winter Items Other]],Table_NFI[Winter Items Other])</f>
        <v>0</v>
      </c>
      <c r="AL686" s="436">
        <f>IF(NFI_Expiration=1,IF($A686&lt;VLOOKUP(M$5,NFI,5,0),1,0)*Table_NFI[[#This Row],[Winter Blanket]],Table_NFI[[#This Row],[Winter Blanket]])</f>
        <v>0</v>
      </c>
      <c r="AM686" s="436">
        <f>IF(Table_NFI[[#This Row],[Winter Clothes Adult]]+Table_NFI[[#This Row],[Winter Clothes Children]]+Table_NFI[[#This Row],[Winter Items Other]]+Table_NFI[[#This Row],[Winter Blanket]]&gt;0,1,0)</f>
        <v>0</v>
      </c>
      <c r="AN686" s="439">
        <f>IF(NFI_Expiration=1,IF($A686&lt;VLOOKUP(V$5,NFI,5,0),1,0)*Table_NFI[[#This Row],[Jerry Can]],Table_NFI[Jerry Can])</f>
        <v>0</v>
      </c>
      <c r="AO686" s="771" t="str">
        <f>IFERROR(VLOOKUP(Table_NFI[[#This Row],[Camp Name]],CL,2,0),"")</f>
        <v>MMR001CMP017</v>
      </c>
      <c r="AP686" s="772">
        <f ca="1">IF(Table_NFI[[#This Row],[Pcode]]="","",IF(OFFSET(CampList[Opening Date],MATCH(Table_NFI[[#This Row],[Pcode]],CampList[CP_Pcode],0)-1,0,1,1)&gt;=NFI_Monitor_Date,1,0))</f>
        <v>0</v>
      </c>
      <c r="AQ686" s="771" t="str">
        <f>IFERROR(VLOOKUP(Table_NFI[[#This Row],[Camp Name]],CL,3,0),"")</f>
        <v>Closed</v>
      </c>
      <c r="AR686" s="436" t="str">
        <f ca="1">IF(Table_NFI[[#This Row],[Pcode]]="","",OFFSET(CampList[Priority],MATCH(Table_NFI[[#This Row],[Pcode]],CampList[CP_Pcode],0)-1,0,1,1))</f>
        <v>P4</v>
      </c>
      <c r="AS686" s="438" t="str">
        <f>IFERROR(Table_NFI[[#This Row],[Kitchen Set]]/VLOOKUP(Table_NFI[[#This Row],[Camp Name]],CL,4,0),"")</f>
        <v/>
      </c>
      <c r="AT686" s="769" t="s">
        <v>1099</v>
      </c>
      <c r="AU686" s="773"/>
    </row>
    <row r="687" spans="1:47" x14ac:dyDescent="0.25">
      <c r="A687" s="451">
        <f t="shared" si="10"/>
        <v>36.533333333333331</v>
      </c>
      <c r="B687" s="768">
        <v>41274</v>
      </c>
      <c r="C687" s="769" t="s">
        <v>455</v>
      </c>
      <c r="D687" s="770" t="s">
        <v>455</v>
      </c>
      <c r="E687" s="769" t="s">
        <v>380</v>
      </c>
      <c r="F687" s="435" t="s">
        <v>529</v>
      </c>
      <c r="G687" s="435" t="s">
        <v>613</v>
      </c>
      <c r="H687" s="436">
        <v>32</v>
      </c>
      <c r="I687" s="436"/>
      <c r="J687" s="436"/>
      <c r="K687" s="436"/>
      <c r="L687" s="437"/>
      <c r="M687" s="437"/>
      <c r="N687" s="437"/>
      <c r="O687" s="437"/>
      <c r="P687" s="437">
        <v>0</v>
      </c>
      <c r="Q687" s="437">
        <v>0</v>
      </c>
      <c r="R687" s="436"/>
      <c r="S687" s="436"/>
      <c r="T687" s="436"/>
      <c r="U687" s="436"/>
      <c r="V687" s="436"/>
      <c r="W687" s="436"/>
      <c r="X687" s="436"/>
      <c r="Y687" s="436">
        <f>IF(NFI_Expiration=1,IF($A687&lt;VLOOKUP(H$5,NFI,5,0),1,0)*Table_NFI[[#This Row],[Hygiene Kit]],Table_NFI[Hygiene Kit])</f>
        <v>0</v>
      </c>
      <c r="Z687" s="436">
        <f>IF(NFI_Expiration=1,IF($A687&lt;VLOOKUP(I$5,NFI,5,0),1,0)*Table_NFI[[#This Row],[NFI Core Kit]],Table_NFI[NFI Core Kit])</f>
        <v>0</v>
      </c>
      <c r="AA687" s="436">
        <f>IF(NFI_Expiration=1,IF($A687&lt;VLOOKUP(J$5,NFI,5,0),1,0)*Table_NFI[[#This Row],[Sanitary Kit]],Table_NFI[Sanitary Kit])</f>
        <v>0</v>
      </c>
      <c r="AB687" s="436">
        <f>IF(NFI_Expiration=1,IF($A687&lt;VLOOKUP(K$5,NFI,5,0),1,0)*Table_NFI[[#This Row],[Mosquito net]],Table_NFI[Mosquito net])</f>
        <v>0</v>
      </c>
      <c r="AC687" s="436">
        <f>IF(NFI_Expiration=1,IF($A687&lt;VLOOKUP(L$5,NFI,5,0),1,0)*Table_NFI[[#This Row],[Tarpaulin]],Table_NFI[[#This Row],[Tarpaulin]])</f>
        <v>0</v>
      </c>
      <c r="AD687" s="436">
        <f>IF(NFI_Expiration=1,IF($A687&lt;VLOOKUP(M$5,NFI,5,0),1,0)*Table_NFI[[#This Row],[Blanket]],Table_NFI[[#This Row],[Blanket]])</f>
        <v>0</v>
      </c>
      <c r="AE687" s="436">
        <f>IF(NFI_Expiration=1,IF($A687&lt;VLOOKUP(N$5,NFI,5,0),1,0)*Table_NFI[[#This Row],[Kitchen Set]],Table_NFI[Kitchen Set])</f>
        <v>0</v>
      </c>
      <c r="AF687" s="436">
        <f>IF(NFI_Expiration=1,IF($A687&lt;VLOOKUP(O$5,NFI,5,0),1,0)*Table_NFI[[#This Row],[Clothes Kit]],Table_NFI[Clothes Kit])</f>
        <v>0</v>
      </c>
      <c r="AG687" s="436">
        <f>IF(NFI_Expiration=1,IF($A687&lt;VLOOKUP(P$5,NFI,5,0),1,0)*Table_NFI[[#This Row],[Plastic Bucket]],Table_NFI[Plastic Bucket])</f>
        <v>0</v>
      </c>
      <c r="AH687" s="436">
        <f>IF(NFI_Expiration=1,IF($A687&lt;VLOOKUP(Q$5,NFI,5,0),1,0)*Table_NFI[[#This Row],[Plastic Mat]],Table_NFI[Plastic Mat])*IF(Table_NFI[[#This Row],[Distribution Date]]&gt;"2014-04-01",1,2.5)</f>
        <v>0</v>
      </c>
      <c r="AI687" s="436">
        <f>IF(NFI_Expiration=1,IF($A687&lt;VLOOKUP(R$5,NFI,5,0),1,0)*Table_NFI[[#This Row],[Winter Clothes Adult]],Table_NFI[Winter Clothes Adult])</f>
        <v>0</v>
      </c>
      <c r="AJ687" s="436">
        <f>IF(NFI_Expiration=1,IF($A687&lt;VLOOKUP(S$5,NFI,5,0),1,0)*Table_NFI[[#This Row],[Winter Clothes Children]],Table_NFI[Winter Clothes Children])</f>
        <v>0</v>
      </c>
      <c r="AK687" s="436">
        <f>IF(NFI_Expiration=1,IF($A687&lt;VLOOKUP(T$5,NFI,5,0),1,0)*Table_NFI[[#This Row],[Winter Items Other]],Table_NFI[Winter Items Other])</f>
        <v>0</v>
      </c>
      <c r="AL687" s="436">
        <f>IF(NFI_Expiration=1,IF($A687&lt;VLOOKUP(M$5,NFI,5,0),1,0)*Table_NFI[[#This Row],[Winter Blanket]],Table_NFI[[#This Row],[Winter Blanket]])</f>
        <v>0</v>
      </c>
      <c r="AM687" s="436">
        <f>IF(Table_NFI[[#This Row],[Winter Clothes Adult]]+Table_NFI[[#This Row],[Winter Clothes Children]]+Table_NFI[[#This Row],[Winter Items Other]]+Table_NFI[[#This Row],[Winter Blanket]]&gt;0,1,0)</f>
        <v>0</v>
      </c>
      <c r="AN687" s="439">
        <f>IF(NFI_Expiration=1,IF($A687&lt;VLOOKUP(V$5,NFI,5,0),1,0)*Table_NFI[[#This Row],[Jerry Can]],Table_NFI[Jerry Can])</f>
        <v>0</v>
      </c>
      <c r="AO687" s="771" t="str">
        <f>IFERROR(VLOOKUP(Table_NFI[[#This Row],[Camp Name]],CL,2,0),"")</f>
        <v>MMR001CMP192</v>
      </c>
      <c r="AP687" s="772">
        <f ca="1">IF(Table_NFI[[#This Row],[Pcode]]="","",IF(OFFSET(CampList[Opening Date],MATCH(Table_NFI[[#This Row],[Pcode]],CampList[CP_Pcode],0)-1,0,1,1)&gt;=NFI_Monitor_Date,1,0))</f>
        <v>0</v>
      </c>
      <c r="AQ687" s="771" t="str">
        <f>IFERROR(VLOOKUP(Table_NFI[[#This Row],[Camp Name]],CL,3,0),"")</f>
        <v>Open</v>
      </c>
      <c r="AR687" s="436" t="str">
        <f ca="1">IF(Table_NFI[[#This Row],[Pcode]]="","",OFFSET(CampList[Priority],MATCH(Table_NFI[[#This Row],[Pcode]],CampList[CP_Pcode],0)-1,0,1,1))</f>
        <v>P4</v>
      </c>
      <c r="AS687" s="438">
        <f>IFERROR(Table_NFI[[#This Row],[Kitchen Set]]/VLOOKUP(Table_NFI[[#This Row],[Camp Name]],CL,4,0),"")</f>
        <v>0</v>
      </c>
      <c r="AT687" s="769" t="s">
        <v>1099</v>
      </c>
      <c r="AU687" s="773"/>
    </row>
    <row r="688" spans="1:47" x14ac:dyDescent="0.25">
      <c r="A688" s="451">
        <f t="shared" si="10"/>
        <v>36.533333333333331</v>
      </c>
      <c r="B688" s="768">
        <v>41274</v>
      </c>
      <c r="C688" s="769" t="s">
        <v>455</v>
      </c>
      <c r="D688" s="770" t="s">
        <v>455</v>
      </c>
      <c r="E688" s="769" t="s">
        <v>380</v>
      </c>
      <c r="F688" s="435" t="s">
        <v>529</v>
      </c>
      <c r="G688" s="435" t="s">
        <v>108</v>
      </c>
      <c r="H688" s="436">
        <v>4</v>
      </c>
      <c r="I688" s="436"/>
      <c r="J688" s="436"/>
      <c r="K688" s="436"/>
      <c r="L688" s="437"/>
      <c r="M688" s="437"/>
      <c r="N688" s="437"/>
      <c r="O688" s="437"/>
      <c r="P688" s="437">
        <v>0</v>
      </c>
      <c r="Q688" s="437">
        <v>0</v>
      </c>
      <c r="R688" s="436"/>
      <c r="S688" s="436"/>
      <c r="T688" s="436"/>
      <c r="U688" s="436"/>
      <c r="V688" s="436"/>
      <c r="W688" s="436"/>
      <c r="X688" s="436"/>
      <c r="Y688" s="436">
        <f>IF(NFI_Expiration=1,IF($A688&lt;VLOOKUP(H$5,NFI,5,0),1,0)*Table_NFI[[#This Row],[Hygiene Kit]],Table_NFI[Hygiene Kit])</f>
        <v>0</v>
      </c>
      <c r="Z688" s="436">
        <f>IF(NFI_Expiration=1,IF($A688&lt;VLOOKUP(I$5,NFI,5,0),1,0)*Table_NFI[[#This Row],[NFI Core Kit]],Table_NFI[NFI Core Kit])</f>
        <v>0</v>
      </c>
      <c r="AA688" s="436">
        <f>IF(NFI_Expiration=1,IF($A688&lt;VLOOKUP(J$5,NFI,5,0),1,0)*Table_NFI[[#This Row],[Sanitary Kit]],Table_NFI[Sanitary Kit])</f>
        <v>0</v>
      </c>
      <c r="AB688" s="436">
        <f>IF(NFI_Expiration=1,IF($A688&lt;VLOOKUP(K$5,NFI,5,0),1,0)*Table_NFI[[#This Row],[Mosquito net]],Table_NFI[Mosquito net])</f>
        <v>0</v>
      </c>
      <c r="AC688" s="436">
        <f>IF(NFI_Expiration=1,IF($A688&lt;VLOOKUP(L$5,NFI,5,0),1,0)*Table_NFI[[#This Row],[Tarpaulin]],Table_NFI[[#This Row],[Tarpaulin]])</f>
        <v>0</v>
      </c>
      <c r="AD688" s="436">
        <f>IF(NFI_Expiration=1,IF($A688&lt;VLOOKUP(M$5,NFI,5,0),1,0)*Table_NFI[[#This Row],[Blanket]],Table_NFI[[#This Row],[Blanket]])</f>
        <v>0</v>
      </c>
      <c r="AE688" s="436">
        <f>IF(NFI_Expiration=1,IF($A688&lt;VLOOKUP(N$5,NFI,5,0),1,0)*Table_NFI[[#This Row],[Kitchen Set]],Table_NFI[Kitchen Set])</f>
        <v>0</v>
      </c>
      <c r="AF688" s="436">
        <f>IF(NFI_Expiration=1,IF($A688&lt;VLOOKUP(O$5,NFI,5,0),1,0)*Table_NFI[[#This Row],[Clothes Kit]],Table_NFI[Clothes Kit])</f>
        <v>0</v>
      </c>
      <c r="AG688" s="436">
        <f>IF(NFI_Expiration=1,IF($A688&lt;VLOOKUP(P$5,NFI,5,0),1,0)*Table_NFI[[#This Row],[Plastic Bucket]],Table_NFI[Plastic Bucket])</f>
        <v>0</v>
      </c>
      <c r="AH688" s="436">
        <f>IF(NFI_Expiration=1,IF($A688&lt;VLOOKUP(Q$5,NFI,5,0),1,0)*Table_NFI[[#This Row],[Plastic Mat]],Table_NFI[Plastic Mat])*IF(Table_NFI[[#This Row],[Distribution Date]]&gt;"2014-04-01",1,2.5)</f>
        <v>0</v>
      </c>
      <c r="AI688" s="436">
        <f>IF(NFI_Expiration=1,IF($A688&lt;VLOOKUP(R$5,NFI,5,0),1,0)*Table_NFI[[#This Row],[Winter Clothes Adult]],Table_NFI[Winter Clothes Adult])</f>
        <v>0</v>
      </c>
      <c r="AJ688" s="436">
        <f>IF(NFI_Expiration=1,IF($A688&lt;VLOOKUP(S$5,NFI,5,0),1,0)*Table_NFI[[#This Row],[Winter Clothes Children]],Table_NFI[Winter Clothes Children])</f>
        <v>0</v>
      </c>
      <c r="AK688" s="436">
        <f>IF(NFI_Expiration=1,IF($A688&lt;VLOOKUP(T$5,NFI,5,0),1,0)*Table_NFI[[#This Row],[Winter Items Other]],Table_NFI[Winter Items Other])</f>
        <v>0</v>
      </c>
      <c r="AL688" s="436">
        <f>IF(NFI_Expiration=1,IF($A688&lt;VLOOKUP(M$5,NFI,5,0),1,0)*Table_NFI[[#This Row],[Winter Blanket]],Table_NFI[[#This Row],[Winter Blanket]])</f>
        <v>0</v>
      </c>
      <c r="AM688" s="436">
        <f>IF(Table_NFI[[#This Row],[Winter Clothes Adult]]+Table_NFI[[#This Row],[Winter Clothes Children]]+Table_NFI[[#This Row],[Winter Items Other]]+Table_NFI[[#This Row],[Winter Blanket]]&gt;0,1,0)</f>
        <v>0</v>
      </c>
      <c r="AN688" s="439">
        <f>IF(NFI_Expiration=1,IF($A688&lt;VLOOKUP(V$5,NFI,5,0),1,0)*Table_NFI[[#This Row],[Jerry Can]],Table_NFI[Jerry Can])</f>
        <v>0</v>
      </c>
      <c r="AO688" s="771" t="str">
        <f>IFERROR(VLOOKUP(Table_NFI[[#This Row],[Camp Name]],CL,2,0),"")</f>
        <v>MMR001CMP103</v>
      </c>
      <c r="AP688" s="772">
        <f ca="1">IF(Table_NFI[[#This Row],[Pcode]]="","",IF(OFFSET(CampList[Opening Date],MATCH(Table_NFI[[#This Row],[Pcode]],CampList[CP_Pcode],0)-1,0,1,1)&gt;=NFI_Monitor_Date,1,0))</f>
        <v>0</v>
      </c>
      <c r="AQ688" s="771" t="str">
        <f>IFERROR(VLOOKUP(Table_NFI[[#This Row],[Camp Name]],CL,3,0),"")</f>
        <v>Open</v>
      </c>
      <c r="AR688" s="436" t="str">
        <f ca="1">IF(Table_NFI[[#This Row],[Pcode]]="","",OFFSET(CampList[Priority],MATCH(Table_NFI[[#This Row],[Pcode]],CampList[CP_Pcode],0)-1,0,1,1))</f>
        <v>P4</v>
      </c>
      <c r="AS688" s="438">
        <f>IFERROR(Table_NFI[[#This Row],[Kitchen Set]]/VLOOKUP(Table_NFI[[#This Row],[Camp Name]],CL,4,0),"")</f>
        <v>0</v>
      </c>
      <c r="AT688" s="769" t="s">
        <v>1099</v>
      </c>
      <c r="AU688" s="773"/>
    </row>
    <row r="689" spans="1:47" x14ac:dyDescent="0.25">
      <c r="A689" s="451">
        <f t="shared" si="10"/>
        <v>36.533333333333331</v>
      </c>
      <c r="B689" s="768">
        <v>41274</v>
      </c>
      <c r="C689" s="769" t="s">
        <v>455</v>
      </c>
      <c r="D689" s="770" t="s">
        <v>455</v>
      </c>
      <c r="E689" s="769" t="s">
        <v>380</v>
      </c>
      <c r="F689" s="435" t="s">
        <v>529</v>
      </c>
      <c r="G689" s="435" t="s">
        <v>112</v>
      </c>
      <c r="H689" s="436">
        <v>3</v>
      </c>
      <c r="I689" s="436"/>
      <c r="J689" s="436"/>
      <c r="K689" s="436"/>
      <c r="L689" s="437"/>
      <c r="M689" s="437"/>
      <c r="N689" s="437"/>
      <c r="O689" s="437"/>
      <c r="P689" s="437">
        <v>0</v>
      </c>
      <c r="Q689" s="437">
        <v>0</v>
      </c>
      <c r="R689" s="436"/>
      <c r="S689" s="436"/>
      <c r="T689" s="436"/>
      <c r="U689" s="436"/>
      <c r="V689" s="436"/>
      <c r="W689" s="436"/>
      <c r="X689" s="436"/>
      <c r="Y689" s="436">
        <f>IF(NFI_Expiration=1,IF($A689&lt;VLOOKUP(H$5,NFI,5,0),1,0)*Table_NFI[[#This Row],[Hygiene Kit]],Table_NFI[Hygiene Kit])</f>
        <v>0</v>
      </c>
      <c r="Z689" s="436">
        <f>IF(NFI_Expiration=1,IF($A689&lt;VLOOKUP(I$5,NFI,5,0),1,0)*Table_NFI[[#This Row],[NFI Core Kit]],Table_NFI[NFI Core Kit])</f>
        <v>0</v>
      </c>
      <c r="AA689" s="436">
        <f>IF(NFI_Expiration=1,IF($A689&lt;VLOOKUP(J$5,NFI,5,0),1,0)*Table_NFI[[#This Row],[Sanitary Kit]],Table_NFI[Sanitary Kit])</f>
        <v>0</v>
      </c>
      <c r="AB689" s="436">
        <f>IF(NFI_Expiration=1,IF($A689&lt;VLOOKUP(K$5,NFI,5,0),1,0)*Table_NFI[[#This Row],[Mosquito net]],Table_NFI[Mosquito net])</f>
        <v>0</v>
      </c>
      <c r="AC689" s="436">
        <f>IF(NFI_Expiration=1,IF($A689&lt;VLOOKUP(L$5,NFI,5,0),1,0)*Table_NFI[[#This Row],[Tarpaulin]],Table_NFI[[#This Row],[Tarpaulin]])</f>
        <v>0</v>
      </c>
      <c r="AD689" s="436">
        <f>IF(NFI_Expiration=1,IF($A689&lt;VLOOKUP(M$5,NFI,5,0),1,0)*Table_NFI[[#This Row],[Blanket]],Table_NFI[[#This Row],[Blanket]])</f>
        <v>0</v>
      </c>
      <c r="AE689" s="436">
        <f>IF(NFI_Expiration=1,IF($A689&lt;VLOOKUP(N$5,NFI,5,0),1,0)*Table_NFI[[#This Row],[Kitchen Set]],Table_NFI[Kitchen Set])</f>
        <v>0</v>
      </c>
      <c r="AF689" s="436">
        <f>IF(NFI_Expiration=1,IF($A689&lt;VLOOKUP(O$5,NFI,5,0),1,0)*Table_NFI[[#This Row],[Clothes Kit]],Table_NFI[Clothes Kit])</f>
        <v>0</v>
      </c>
      <c r="AG689" s="436">
        <f>IF(NFI_Expiration=1,IF($A689&lt;VLOOKUP(P$5,NFI,5,0),1,0)*Table_NFI[[#This Row],[Plastic Bucket]],Table_NFI[Plastic Bucket])</f>
        <v>0</v>
      </c>
      <c r="AH689" s="436">
        <f>IF(NFI_Expiration=1,IF($A689&lt;VLOOKUP(Q$5,NFI,5,0),1,0)*Table_NFI[[#This Row],[Plastic Mat]],Table_NFI[Plastic Mat])*IF(Table_NFI[[#This Row],[Distribution Date]]&gt;"2014-04-01",1,2.5)</f>
        <v>0</v>
      </c>
      <c r="AI689" s="436">
        <f>IF(NFI_Expiration=1,IF($A689&lt;VLOOKUP(R$5,NFI,5,0),1,0)*Table_NFI[[#This Row],[Winter Clothes Adult]],Table_NFI[Winter Clothes Adult])</f>
        <v>0</v>
      </c>
      <c r="AJ689" s="436">
        <f>IF(NFI_Expiration=1,IF($A689&lt;VLOOKUP(S$5,NFI,5,0),1,0)*Table_NFI[[#This Row],[Winter Clothes Children]],Table_NFI[Winter Clothes Children])</f>
        <v>0</v>
      </c>
      <c r="AK689" s="436">
        <f>IF(NFI_Expiration=1,IF($A689&lt;VLOOKUP(T$5,NFI,5,0),1,0)*Table_NFI[[#This Row],[Winter Items Other]],Table_NFI[Winter Items Other])</f>
        <v>0</v>
      </c>
      <c r="AL689" s="436">
        <f>IF(NFI_Expiration=1,IF($A689&lt;VLOOKUP(M$5,NFI,5,0),1,0)*Table_NFI[[#This Row],[Winter Blanket]],Table_NFI[[#This Row],[Winter Blanket]])</f>
        <v>0</v>
      </c>
      <c r="AM689" s="436">
        <f>IF(Table_NFI[[#This Row],[Winter Clothes Adult]]+Table_NFI[[#This Row],[Winter Clothes Children]]+Table_NFI[[#This Row],[Winter Items Other]]+Table_NFI[[#This Row],[Winter Blanket]]&gt;0,1,0)</f>
        <v>0</v>
      </c>
      <c r="AN689" s="439">
        <f>IF(NFI_Expiration=1,IF($A689&lt;VLOOKUP(V$5,NFI,5,0),1,0)*Table_NFI[[#This Row],[Jerry Can]],Table_NFI[Jerry Can])</f>
        <v>0</v>
      </c>
      <c r="AO689" s="771" t="str">
        <f>IFERROR(VLOOKUP(Table_NFI[[#This Row],[Camp Name]],CL,2,0),"")</f>
        <v>MMR001CMP083</v>
      </c>
      <c r="AP689" s="772">
        <f ca="1">IF(Table_NFI[[#This Row],[Pcode]]="","",IF(OFFSET(CampList[Opening Date],MATCH(Table_NFI[[#This Row],[Pcode]],CampList[CP_Pcode],0)-1,0,1,1)&gt;=NFI_Monitor_Date,1,0))</f>
        <v>0</v>
      </c>
      <c r="AQ689" s="771" t="str">
        <f>IFERROR(VLOOKUP(Table_NFI[[#This Row],[Camp Name]],CL,3,0),"")</f>
        <v>Closed</v>
      </c>
      <c r="AR689" s="436" t="str">
        <f ca="1">IF(Table_NFI[[#This Row],[Pcode]]="","",OFFSET(CampList[Priority],MATCH(Table_NFI[[#This Row],[Pcode]],CampList[CP_Pcode],0)-1,0,1,1))</f>
        <v/>
      </c>
      <c r="AS689" s="438" t="str">
        <f>IFERROR(Table_NFI[[#This Row],[Kitchen Set]]/VLOOKUP(Table_NFI[[#This Row],[Camp Name]],CL,4,0),"")</f>
        <v/>
      </c>
      <c r="AT689" s="769" t="s">
        <v>1099</v>
      </c>
      <c r="AU689" s="773"/>
    </row>
    <row r="690" spans="1:47" x14ac:dyDescent="0.25">
      <c r="A690" s="451">
        <f t="shared" si="10"/>
        <v>36.533333333333331</v>
      </c>
      <c r="B690" s="768">
        <v>41274</v>
      </c>
      <c r="C690" s="769" t="s">
        <v>455</v>
      </c>
      <c r="D690" s="770" t="s">
        <v>455</v>
      </c>
      <c r="E690" s="769" t="s">
        <v>380</v>
      </c>
      <c r="F690" s="435" t="s">
        <v>310</v>
      </c>
      <c r="G690" s="435" t="s">
        <v>318</v>
      </c>
      <c r="H690" s="436">
        <v>92</v>
      </c>
      <c r="I690" s="436"/>
      <c r="J690" s="436"/>
      <c r="K690" s="436"/>
      <c r="L690" s="437"/>
      <c r="M690" s="437"/>
      <c r="N690" s="437"/>
      <c r="O690" s="437"/>
      <c r="P690" s="437">
        <v>0</v>
      </c>
      <c r="Q690" s="437">
        <v>0</v>
      </c>
      <c r="R690" s="436"/>
      <c r="S690" s="436"/>
      <c r="T690" s="436"/>
      <c r="U690" s="436"/>
      <c r="V690" s="436"/>
      <c r="W690" s="436"/>
      <c r="X690" s="436"/>
      <c r="Y690" s="436">
        <f>IF(NFI_Expiration=1,IF($A690&lt;VLOOKUP(H$5,NFI,5,0),1,0)*Table_NFI[[#This Row],[Hygiene Kit]],Table_NFI[Hygiene Kit])</f>
        <v>0</v>
      </c>
      <c r="Z690" s="436">
        <f>IF(NFI_Expiration=1,IF($A690&lt;VLOOKUP(I$5,NFI,5,0),1,0)*Table_NFI[[#This Row],[NFI Core Kit]],Table_NFI[NFI Core Kit])</f>
        <v>0</v>
      </c>
      <c r="AA690" s="436">
        <f>IF(NFI_Expiration=1,IF($A690&lt;VLOOKUP(J$5,NFI,5,0),1,0)*Table_NFI[[#This Row],[Sanitary Kit]],Table_NFI[Sanitary Kit])</f>
        <v>0</v>
      </c>
      <c r="AB690" s="436">
        <f>IF(NFI_Expiration=1,IF($A690&lt;VLOOKUP(K$5,NFI,5,0),1,0)*Table_NFI[[#This Row],[Mosquito net]],Table_NFI[Mosquito net])</f>
        <v>0</v>
      </c>
      <c r="AC690" s="436">
        <f>IF(NFI_Expiration=1,IF($A690&lt;VLOOKUP(L$5,NFI,5,0),1,0)*Table_NFI[[#This Row],[Tarpaulin]],Table_NFI[[#This Row],[Tarpaulin]])</f>
        <v>0</v>
      </c>
      <c r="AD690" s="436">
        <f>IF(NFI_Expiration=1,IF($A690&lt;VLOOKUP(M$5,NFI,5,0),1,0)*Table_NFI[[#This Row],[Blanket]],Table_NFI[[#This Row],[Blanket]])</f>
        <v>0</v>
      </c>
      <c r="AE690" s="436">
        <f>IF(NFI_Expiration=1,IF($A690&lt;VLOOKUP(N$5,NFI,5,0),1,0)*Table_NFI[[#This Row],[Kitchen Set]],Table_NFI[Kitchen Set])</f>
        <v>0</v>
      </c>
      <c r="AF690" s="436">
        <f>IF(NFI_Expiration=1,IF($A690&lt;VLOOKUP(O$5,NFI,5,0),1,0)*Table_NFI[[#This Row],[Clothes Kit]],Table_NFI[Clothes Kit])</f>
        <v>0</v>
      </c>
      <c r="AG690" s="436">
        <f>IF(NFI_Expiration=1,IF($A690&lt;VLOOKUP(P$5,NFI,5,0),1,0)*Table_NFI[[#This Row],[Plastic Bucket]],Table_NFI[Plastic Bucket])</f>
        <v>0</v>
      </c>
      <c r="AH690" s="436">
        <f>IF(NFI_Expiration=1,IF($A690&lt;VLOOKUP(Q$5,NFI,5,0),1,0)*Table_NFI[[#This Row],[Plastic Mat]],Table_NFI[Plastic Mat])*IF(Table_NFI[[#This Row],[Distribution Date]]&gt;"2014-04-01",1,2.5)</f>
        <v>0</v>
      </c>
      <c r="AI690" s="436">
        <f>IF(NFI_Expiration=1,IF($A690&lt;VLOOKUP(R$5,NFI,5,0),1,0)*Table_NFI[[#This Row],[Winter Clothes Adult]],Table_NFI[Winter Clothes Adult])</f>
        <v>0</v>
      </c>
      <c r="AJ690" s="436">
        <f>IF(NFI_Expiration=1,IF($A690&lt;VLOOKUP(S$5,NFI,5,0),1,0)*Table_NFI[[#This Row],[Winter Clothes Children]],Table_NFI[Winter Clothes Children])</f>
        <v>0</v>
      </c>
      <c r="AK690" s="436">
        <f>IF(NFI_Expiration=1,IF($A690&lt;VLOOKUP(T$5,NFI,5,0),1,0)*Table_NFI[[#This Row],[Winter Items Other]],Table_NFI[Winter Items Other])</f>
        <v>0</v>
      </c>
      <c r="AL690" s="436">
        <f>IF(NFI_Expiration=1,IF($A690&lt;VLOOKUP(M$5,NFI,5,0),1,0)*Table_NFI[[#This Row],[Winter Blanket]],Table_NFI[[#This Row],[Winter Blanket]])</f>
        <v>0</v>
      </c>
      <c r="AM690" s="436">
        <f>IF(Table_NFI[[#This Row],[Winter Clothes Adult]]+Table_NFI[[#This Row],[Winter Clothes Children]]+Table_NFI[[#This Row],[Winter Items Other]]+Table_NFI[[#This Row],[Winter Blanket]]&gt;0,1,0)</f>
        <v>0</v>
      </c>
      <c r="AN690" s="439">
        <f>IF(NFI_Expiration=1,IF($A690&lt;VLOOKUP(V$5,NFI,5,0),1,0)*Table_NFI[[#This Row],[Jerry Can]],Table_NFI[Jerry Can])</f>
        <v>0</v>
      </c>
      <c r="AO690" s="771" t="str">
        <f>IFERROR(VLOOKUP(Table_NFI[[#This Row],[Camp Name]],CL,2,0),"")</f>
        <v>MMR001CMP032</v>
      </c>
      <c r="AP690" s="772">
        <f ca="1">IF(Table_NFI[[#This Row],[Pcode]]="","",IF(OFFSET(CampList[Opening Date],MATCH(Table_NFI[[#This Row],[Pcode]],CampList[CP_Pcode],0)-1,0,1,1)&gt;=NFI_Monitor_Date,1,0))</f>
        <v>0</v>
      </c>
      <c r="AQ690" s="771" t="str">
        <f>IFERROR(VLOOKUP(Table_NFI[[#This Row],[Camp Name]],CL,3,0),"")</f>
        <v>Open</v>
      </c>
      <c r="AR690" s="436" t="str">
        <f ca="1">IF(Table_NFI[[#This Row],[Pcode]]="","",OFFSET(CampList[Priority],MATCH(Table_NFI[[#This Row],[Pcode]],CampList[CP_Pcode],0)-1,0,1,1))</f>
        <v>P4</v>
      </c>
      <c r="AS690" s="438">
        <f>IFERROR(Table_NFI[[#This Row],[Kitchen Set]]/VLOOKUP(Table_NFI[[#This Row],[Camp Name]],CL,4,0),"")</f>
        <v>0</v>
      </c>
      <c r="AT690" s="769" t="s">
        <v>1099</v>
      </c>
      <c r="AU690" s="773"/>
    </row>
    <row r="691" spans="1:47" x14ac:dyDescent="0.25">
      <c r="A691" s="451">
        <f t="shared" si="10"/>
        <v>36.533333333333331</v>
      </c>
      <c r="B691" s="768">
        <v>41274</v>
      </c>
      <c r="C691" s="769" t="s">
        <v>455</v>
      </c>
      <c r="D691" s="770" t="s">
        <v>455</v>
      </c>
      <c r="E691" s="769" t="s">
        <v>380</v>
      </c>
      <c r="F691" s="435" t="s">
        <v>310</v>
      </c>
      <c r="G691" s="435" t="s">
        <v>338</v>
      </c>
      <c r="H691" s="436">
        <v>27</v>
      </c>
      <c r="I691" s="436"/>
      <c r="J691" s="436"/>
      <c r="K691" s="436"/>
      <c r="L691" s="437"/>
      <c r="M691" s="437"/>
      <c r="N691" s="437"/>
      <c r="O691" s="437"/>
      <c r="P691" s="437">
        <v>0</v>
      </c>
      <c r="Q691" s="437">
        <v>0</v>
      </c>
      <c r="R691" s="436"/>
      <c r="S691" s="436"/>
      <c r="T691" s="436"/>
      <c r="U691" s="436"/>
      <c r="V691" s="436"/>
      <c r="W691" s="436"/>
      <c r="X691" s="436"/>
      <c r="Y691" s="436">
        <f>IF(NFI_Expiration=1,IF($A691&lt;VLOOKUP(H$5,NFI,5,0),1,0)*Table_NFI[[#This Row],[Hygiene Kit]],Table_NFI[Hygiene Kit])</f>
        <v>0</v>
      </c>
      <c r="Z691" s="436">
        <f>IF(NFI_Expiration=1,IF($A691&lt;VLOOKUP(I$5,NFI,5,0),1,0)*Table_NFI[[#This Row],[NFI Core Kit]],Table_NFI[NFI Core Kit])</f>
        <v>0</v>
      </c>
      <c r="AA691" s="436">
        <f>IF(NFI_Expiration=1,IF($A691&lt;VLOOKUP(J$5,NFI,5,0),1,0)*Table_NFI[[#This Row],[Sanitary Kit]],Table_NFI[Sanitary Kit])</f>
        <v>0</v>
      </c>
      <c r="AB691" s="436">
        <f>IF(NFI_Expiration=1,IF($A691&lt;VLOOKUP(K$5,NFI,5,0),1,0)*Table_NFI[[#This Row],[Mosquito net]],Table_NFI[Mosquito net])</f>
        <v>0</v>
      </c>
      <c r="AC691" s="436">
        <f>IF(NFI_Expiration=1,IF($A691&lt;VLOOKUP(L$5,NFI,5,0),1,0)*Table_NFI[[#This Row],[Tarpaulin]],Table_NFI[[#This Row],[Tarpaulin]])</f>
        <v>0</v>
      </c>
      <c r="AD691" s="436">
        <f>IF(NFI_Expiration=1,IF($A691&lt;VLOOKUP(M$5,NFI,5,0),1,0)*Table_NFI[[#This Row],[Blanket]],Table_NFI[[#This Row],[Blanket]])</f>
        <v>0</v>
      </c>
      <c r="AE691" s="436">
        <f>IF(NFI_Expiration=1,IF($A691&lt;VLOOKUP(N$5,NFI,5,0),1,0)*Table_NFI[[#This Row],[Kitchen Set]],Table_NFI[Kitchen Set])</f>
        <v>0</v>
      </c>
      <c r="AF691" s="436">
        <f>IF(NFI_Expiration=1,IF($A691&lt;VLOOKUP(O$5,NFI,5,0),1,0)*Table_NFI[[#This Row],[Clothes Kit]],Table_NFI[Clothes Kit])</f>
        <v>0</v>
      </c>
      <c r="AG691" s="436">
        <f>IF(NFI_Expiration=1,IF($A691&lt;VLOOKUP(P$5,NFI,5,0),1,0)*Table_NFI[[#This Row],[Plastic Bucket]],Table_NFI[Plastic Bucket])</f>
        <v>0</v>
      </c>
      <c r="AH691" s="436">
        <f>IF(NFI_Expiration=1,IF($A691&lt;VLOOKUP(Q$5,NFI,5,0),1,0)*Table_NFI[[#This Row],[Plastic Mat]],Table_NFI[Plastic Mat])*IF(Table_NFI[[#This Row],[Distribution Date]]&gt;"2014-04-01",1,2.5)</f>
        <v>0</v>
      </c>
      <c r="AI691" s="436">
        <f>IF(NFI_Expiration=1,IF($A691&lt;VLOOKUP(R$5,NFI,5,0),1,0)*Table_NFI[[#This Row],[Winter Clothes Adult]],Table_NFI[Winter Clothes Adult])</f>
        <v>0</v>
      </c>
      <c r="AJ691" s="436">
        <f>IF(NFI_Expiration=1,IF($A691&lt;VLOOKUP(S$5,NFI,5,0),1,0)*Table_NFI[[#This Row],[Winter Clothes Children]],Table_NFI[Winter Clothes Children])</f>
        <v>0</v>
      </c>
      <c r="AK691" s="436">
        <f>IF(NFI_Expiration=1,IF($A691&lt;VLOOKUP(T$5,NFI,5,0),1,0)*Table_NFI[[#This Row],[Winter Items Other]],Table_NFI[Winter Items Other])</f>
        <v>0</v>
      </c>
      <c r="AL691" s="436">
        <f>IF(NFI_Expiration=1,IF($A691&lt;VLOOKUP(M$5,NFI,5,0),1,0)*Table_NFI[[#This Row],[Winter Blanket]],Table_NFI[[#This Row],[Winter Blanket]])</f>
        <v>0</v>
      </c>
      <c r="AM691" s="436">
        <f>IF(Table_NFI[[#This Row],[Winter Clothes Adult]]+Table_NFI[[#This Row],[Winter Clothes Children]]+Table_NFI[[#This Row],[Winter Items Other]]+Table_NFI[[#This Row],[Winter Blanket]]&gt;0,1,0)</f>
        <v>0</v>
      </c>
      <c r="AN691" s="439">
        <f>IF(NFI_Expiration=1,IF($A691&lt;VLOOKUP(V$5,NFI,5,0),1,0)*Table_NFI[[#This Row],[Jerry Can]],Table_NFI[Jerry Can])</f>
        <v>0</v>
      </c>
      <c r="AO691" s="771" t="str">
        <f>IFERROR(VLOOKUP(Table_NFI[[#This Row],[Camp Name]],CL,2,0),"")</f>
        <v>MMR001CMP030</v>
      </c>
      <c r="AP691" s="772">
        <f ca="1">IF(Table_NFI[[#This Row],[Pcode]]="","",IF(OFFSET(CampList[Opening Date],MATCH(Table_NFI[[#This Row],[Pcode]],CampList[CP_Pcode],0)-1,0,1,1)&gt;=NFI_Monitor_Date,1,0))</f>
        <v>0</v>
      </c>
      <c r="AQ691" s="771" t="str">
        <f>IFERROR(VLOOKUP(Table_NFI[[#This Row],[Camp Name]],CL,3,0),"")</f>
        <v>Open</v>
      </c>
      <c r="AR691" s="436" t="str">
        <f ca="1">IF(Table_NFI[[#This Row],[Pcode]]="","",OFFSET(CampList[Priority],MATCH(Table_NFI[[#This Row],[Pcode]],CampList[CP_Pcode],0)-1,0,1,1))</f>
        <v>P4</v>
      </c>
      <c r="AS691" s="438">
        <f>IFERROR(Table_NFI[[#This Row],[Kitchen Set]]/VLOOKUP(Table_NFI[[#This Row],[Camp Name]],CL,4,0),"")</f>
        <v>0</v>
      </c>
      <c r="AT691" s="769" t="s">
        <v>1099</v>
      </c>
      <c r="AU691" s="773"/>
    </row>
    <row r="692" spans="1:47" x14ac:dyDescent="0.25">
      <c r="A692" s="451">
        <f t="shared" si="10"/>
        <v>36.533333333333331</v>
      </c>
      <c r="B692" s="768">
        <v>41274</v>
      </c>
      <c r="C692" s="769" t="s">
        <v>455</v>
      </c>
      <c r="D692" s="770" t="s">
        <v>455</v>
      </c>
      <c r="E692" s="769" t="s">
        <v>380</v>
      </c>
      <c r="F692" s="435" t="s">
        <v>310</v>
      </c>
      <c r="G692" s="435" t="s">
        <v>351</v>
      </c>
      <c r="H692" s="436">
        <v>96</v>
      </c>
      <c r="I692" s="436"/>
      <c r="J692" s="436"/>
      <c r="K692" s="436"/>
      <c r="L692" s="437"/>
      <c r="M692" s="437"/>
      <c r="N692" s="437"/>
      <c r="O692" s="437"/>
      <c r="P692" s="437">
        <v>0</v>
      </c>
      <c r="Q692" s="437">
        <v>0</v>
      </c>
      <c r="R692" s="436"/>
      <c r="S692" s="436"/>
      <c r="T692" s="436"/>
      <c r="U692" s="436"/>
      <c r="V692" s="436"/>
      <c r="W692" s="436"/>
      <c r="X692" s="436"/>
      <c r="Y692" s="436">
        <f>IF(NFI_Expiration=1,IF($A692&lt;VLOOKUP(H$5,NFI,5,0),1,0)*Table_NFI[[#This Row],[Hygiene Kit]],Table_NFI[Hygiene Kit])</f>
        <v>0</v>
      </c>
      <c r="Z692" s="436">
        <f>IF(NFI_Expiration=1,IF($A692&lt;VLOOKUP(I$5,NFI,5,0),1,0)*Table_NFI[[#This Row],[NFI Core Kit]],Table_NFI[NFI Core Kit])</f>
        <v>0</v>
      </c>
      <c r="AA692" s="436">
        <f>IF(NFI_Expiration=1,IF($A692&lt;VLOOKUP(J$5,NFI,5,0),1,0)*Table_NFI[[#This Row],[Sanitary Kit]],Table_NFI[Sanitary Kit])</f>
        <v>0</v>
      </c>
      <c r="AB692" s="436">
        <f>IF(NFI_Expiration=1,IF($A692&lt;VLOOKUP(K$5,NFI,5,0),1,0)*Table_NFI[[#This Row],[Mosquito net]],Table_NFI[Mosquito net])</f>
        <v>0</v>
      </c>
      <c r="AC692" s="436">
        <f>IF(NFI_Expiration=1,IF($A692&lt;VLOOKUP(L$5,NFI,5,0),1,0)*Table_NFI[[#This Row],[Tarpaulin]],Table_NFI[[#This Row],[Tarpaulin]])</f>
        <v>0</v>
      </c>
      <c r="AD692" s="436">
        <f>IF(NFI_Expiration=1,IF($A692&lt;VLOOKUP(M$5,NFI,5,0),1,0)*Table_NFI[[#This Row],[Blanket]],Table_NFI[[#This Row],[Blanket]])</f>
        <v>0</v>
      </c>
      <c r="AE692" s="436">
        <f>IF(NFI_Expiration=1,IF($A692&lt;VLOOKUP(N$5,NFI,5,0),1,0)*Table_NFI[[#This Row],[Kitchen Set]],Table_NFI[Kitchen Set])</f>
        <v>0</v>
      </c>
      <c r="AF692" s="436">
        <f>IF(NFI_Expiration=1,IF($A692&lt;VLOOKUP(O$5,NFI,5,0),1,0)*Table_NFI[[#This Row],[Clothes Kit]],Table_NFI[Clothes Kit])</f>
        <v>0</v>
      </c>
      <c r="AG692" s="436">
        <f>IF(NFI_Expiration=1,IF($A692&lt;VLOOKUP(P$5,NFI,5,0),1,0)*Table_NFI[[#This Row],[Plastic Bucket]],Table_NFI[Plastic Bucket])</f>
        <v>0</v>
      </c>
      <c r="AH692" s="436">
        <f>IF(NFI_Expiration=1,IF($A692&lt;VLOOKUP(Q$5,NFI,5,0),1,0)*Table_NFI[[#This Row],[Plastic Mat]],Table_NFI[Plastic Mat])*IF(Table_NFI[[#This Row],[Distribution Date]]&gt;"2014-04-01",1,2.5)</f>
        <v>0</v>
      </c>
      <c r="AI692" s="436">
        <f>IF(NFI_Expiration=1,IF($A692&lt;VLOOKUP(R$5,NFI,5,0),1,0)*Table_NFI[[#This Row],[Winter Clothes Adult]],Table_NFI[Winter Clothes Adult])</f>
        <v>0</v>
      </c>
      <c r="AJ692" s="436">
        <f>IF(NFI_Expiration=1,IF($A692&lt;VLOOKUP(S$5,NFI,5,0),1,0)*Table_NFI[[#This Row],[Winter Clothes Children]],Table_NFI[Winter Clothes Children])</f>
        <v>0</v>
      </c>
      <c r="AK692" s="436">
        <f>IF(NFI_Expiration=1,IF($A692&lt;VLOOKUP(T$5,NFI,5,0),1,0)*Table_NFI[[#This Row],[Winter Items Other]],Table_NFI[Winter Items Other])</f>
        <v>0</v>
      </c>
      <c r="AL692" s="436">
        <f>IF(NFI_Expiration=1,IF($A692&lt;VLOOKUP(M$5,NFI,5,0),1,0)*Table_NFI[[#This Row],[Winter Blanket]],Table_NFI[[#This Row],[Winter Blanket]])</f>
        <v>0</v>
      </c>
      <c r="AM692" s="436">
        <f>IF(Table_NFI[[#This Row],[Winter Clothes Adult]]+Table_NFI[[#This Row],[Winter Clothes Children]]+Table_NFI[[#This Row],[Winter Items Other]]+Table_NFI[[#This Row],[Winter Blanket]]&gt;0,1,0)</f>
        <v>0</v>
      </c>
      <c r="AN692" s="439">
        <f>IF(NFI_Expiration=1,IF($A692&lt;VLOOKUP(V$5,NFI,5,0),1,0)*Table_NFI[[#This Row],[Jerry Can]],Table_NFI[Jerry Can])</f>
        <v>0</v>
      </c>
      <c r="AO692" s="771" t="str">
        <f>IFERROR(VLOOKUP(Table_NFI[[#This Row],[Camp Name]],CL,2,0),"")</f>
        <v>MMR001CMP026</v>
      </c>
      <c r="AP692" s="772">
        <f ca="1">IF(Table_NFI[[#This Row],[Pcode]]="","",IF(OFFSET(CampList[Opening Date],MATCH(Table_NFI[[#This Row],[Pcode]],CampList[CP_Pcode],0)-1,0,1,1)&gt;=NFI_Monitor_Date,1,0))</f>
        <v>0</v>
      </c>
      <c r="AQ692" s="771" t="str">
        <f>IFERROR(VLOOKUP(Table_NFI[[#This Row],[Camp Name]],CL,3,0),"")</f>
        <v>Open</v>
      </c>
      <c r="AR692" s="436" t="str">
        <f ca="1">IF(Table_NFI[[#This Row],[Pcode]]="","",OFFSET(CampList[Priority],MATCH(Table_NFI[[#This Row],[Pcode]],CampList[CP_Pcode],0)-1,0,1,1))</f>
        <v>P4</v>
      </c>
      <c r="AS692" s="438">
        <f>IFERROR(Table_NFI[[#This Row],[Kitchen Set]]/VLOOKUP(Table_NFI[[#This Row],[Camp Name]],CL,4,0),"")</f>
        <v>0</v>
      </c>
      <c r="AT692" s="769" t="s">
        <v>1099</v>
      </c>
      <c r="AU692" s="773"/>
    </row>
    <row r="693" spans="1:47" x14ac:dyDescent="0.25">
      <c r="A693" s="451">
        <f t="shared" si="10"/>
        <v>36.533333333333331</v>
      </c>
      <c r="B693" s="768">
        <v>41274</v>
      </c>
      <c r="C693" s="769" t="s">
        <v>455</v>
      </c>
      <c r="D693" s="770" t="s">
        <v>455</v>
      </c>
      <c r="E693" s="769" t="s">
        <v>380</v>
      </c>
      <c r="F693" s="435" t="s">
        <v>237</v>
      </c>
      <c r="G693" s="435" t="s">
        <v>279</v>
      </c>
      <c r="H693" s="436">
        <v>17</v>
      </c>
      <c r="I693" s="436"/>
      <c r="J693" s="436"/>
      <c r="K693" s="436"/>
      <c r="L693" s="437"/>
      <c r="M693" s="437"/>
      <c r="N693" s="437"/>
      <c r="O693" s="437"/>
      <c r="P693" s="437">
        <v>0</v>
      </c>
      <c r="Q693" s="437">
        <v>0</v>
      </c>
      <c r="R693" s="436"/>
      <c r="S693" s="436"/>
      <c r="T693" s="436"/>
      <c r="U693" s="436"/>
      <c r="V693" s="436"/>
      <c r="W693" s="436"/>
      <c r="X693" s="436"/>
      <c r="Y693" s="436">
        <f>IF(NFI_Expiration=1,IF($A693&lt;VLOOKUP(H$5,NFI,5,0),1,0)*Table_NFI[[#This Row],[Hygiene Kit]],Table_NFI[Hygiene Kit])</f>
        <v>0</v>
      </c>
      <c r="Z693" s="436">
        <f>IF(NFI_Expiration=1,IF($A693&lt;VLOOKUP(I$5,NFI,5,0),1,0)*Table_NFI[[#This Row],[NFI Core Kit]],Table_NFI[NFI Core Kit])</f>
        <v>0</v>
      </c>
      <c r="AA693" s="436">
        <f>IF(NFI_Expiration=1,IF($A693&lt;VLOOKUP(J$5,NFI,5,0),1,0)*Table_NFI[[#This Row],[Sanitary Kit]],Table_NFI[Sanitary Kit])</f>
        <v>0</v>
      </c>
      <c r="AB693" s="436">
        <f>IF(NFI_Expiration=1,IF($A693&lt;VLOOKUP(K$5,NFI,5,0),1,0)*Table_NFI[[#This Row],[Mosquito net]],Table_NFI[Mosquito net])</f>
        <v>0</v>
      </c>
      <c r="AC693" s="436">
        <f>IF(NFI_Expiration=1,IF($A693&lt;VLOOKUP(L$5,NFI,5,0),1,0)*Table_NFI[[#This Row],[Tarpaulin]],Table_NFI[[#This Row],[Tarpaulin]])</f>
        <v>0</v>
      </c>
      <c r="AD693" s="436">
        <f>IF(NFI_Expiration=1,IF($A693&lt;VLOOKUP(M$5,NFI,5,0),1,0)*Table_NFI[[#This Row],[Blanket]],Table_NFI[[#This Row],[Blanket]])</f>
        <v>0</v>
      </c>
      <c r="AE693" s="436">
        <f>IF(NFI_Expiration=1,IF($A693&lt;VLOOKUP(N$5,NFI,5,0),1,0)*Table_NFI[[#This Row],[Kitchen Set]],Table_NFI[Kitchen Set])</f>
        <v>0</v>
      </c>
      <c r="AF693" s="436">
        <f>IF(NFI_Expiration=1,IF($A693&lt;VLOOKUP(O$5,NFI,5,0),1,0)*Table_NFI[[#This Row],[Clothes Kit]],Table_NFI[Clothes Kit])</f>
        <v>0</v>
      </c>
      <c r="AG693" s="436">
        <f>IF(NFI_Expiration=1,IF($A693&lt;VLOOKUP(P$5,NFI,5,0),1,0)*Table_NFI[[#This Row],[Plastic Bucket]],Table_NFI[Plastic Bucket])</f>
        <v>0</v>
      </c>
      <c r="AH693" s="436">
        <f>IF(NFI_Expiration=1,IF($A693&lt;VLOOKUP(Q$5,NFI,5,0),1,0)*Table_NFI[[#This Row],[Plastic Mat]],Table_NFI[Plastic Mat])*IF(Table_NFI[[#This Row],[Distribution Date]]&gt;"2014-04-01",1,2.5)</f>
        <v>0</v>
      </c>
      <c r="AI693" s="436">
        <f>IF(NFI_Expiration=1,IF($A693&lt;VLOOKUP(R$5,NFI,5,0),1,0)*Table_NFI[[#This Row],[Winter Clothes Adult]],Table_NFI[Winter Clothes Adult])</f>
        <v>0</v>
      </c>
      <c r="AJ693" s="436">
        <f>IF(NFI_Expiration=1,IF($A693&lt;VLOOKUP(S$5,NFI,5,0),1,0)*Table_NFI[[#This Row],[Winter Clothes Children]],Table_NFI[Winter Clothes Children])</f>
        <v>0</v>
      </c>
      <c r="AK693" s="436">
        <f>IF(NFI_Expiration=1,IF($A693&lt;VLOOKUP(T$5,NFI,5,0),1,0)*Table_NFI[[#This Row],[Winter Items Other]],Table_NFI[Winter Items Other])</f>
        <v>0</v>
      </c>
      <c r="AL693" s="436">
        <f>IF(NFI_Expiration=1,IF($A693&lt;VLOOKUP(M$5,NFI,5,0),1,0)*Table_NFI[[#This Row],[Winter Blanket]],Table_NFI[[#This Row],[Winter Blanket]])</f>
        <v>0</v>
      </c>
      <c r="AM693" s="436">
        <f>IF(Table_NFI[[#This Row],[Winter Clothes Adult]]+Table_NFI[[#This Row],[Winter Clothes Children]]+Table_NFI[[#This Row],[Winter Items Other]]+Table_NFI[[#This Row],[Winter Blanket]]&gt;0,1,0)</f>
        <v>0</v>
      </c>
      <c r="AN693" s="439">
        <f>IF(NFI_Expiration=1,IF($A693&lt;VLOOKUP(V$5,NFI,5,0),1,0)*Table_NFI[[#This Row],[Jerry Can]],Table_NFI[Jerry Can])</f>
        <v>0</v>
      </c>
      <c r="AO693" s="771" t="str">
        <f>IFERROR(VLOOKUP(Table_NFI[[#This Row],[Camp Name]],CL,2,0),"")</f>
        <v>MMR001CMP007</v>
      </c>
      <c r="AP693" s="772">
        <f ca="1">IF(Table_NFI[[#This Row],[Pcode]]="","",IF(OFFSET(CampList[Opening Date],MATCH(Table_NFI[[#This Row],[Pcode]],CampList[CP_Pcode],0)-1,0,1,1)&gt;=NFI_Monitor_Date,1,0))</f>
        <v>0</v>
      </c>
      <c r="AQ693" s="771" t="str">
        <f>IFERROR(VLOOKUP(Table_NFI[[#This Row],[Camp Name]],CL,3,0),"")</f>
        <v>Open</v>
      </c>
      <c r="AR693" s="436" t="str">
        <f ca="1">IF(Table_NFI[[#This Row],[Pcode]]="","",OFFSET(CampList[Priority],MATCH(Table_NFI[[#This Row],[Pcode]],CampList[CP_Pcode],0)-1,0,1,1))</f>
        <v>P4</v>
      </c>
      <c r="AS693" s="438">
        <f>IFERROR(Table_NFI[[#This Row],[Kitchen Set]]/VLOOKUP(Table_NFI[[#This Row],[Camp Name]],CL,4,0),"")</f>
        <v>0</v>
      </c>
      <c r="AT693" s="769" t="s">
        <v>1099</v>
      </c>
      <c r="AU693" s="773"/>
    </row>
    <row r="694" spans="1:47" x14ac:dyDescent="0.25">
      <c r="A694" s="451">
        <f t="shared" si="10"/>
        <v>36.533333333333331</v>
      </c>
      <c r="B694" s="768">
        <v>41274</v>
      </c>
      <c r="C694" s="769" t="s">
        <v>455</v>
      </c>
      <c r="D694" s="770" t="s">
        <v>455</v>
      </c>
      <c r="E694" s="769" t="s">
        <v>380</v>
      </c>
      <c r="F694" s="435" t="s">
        <v>237</v>
      </c>
      <c r="G694" s="435" t="s">
        <v>1258</v>
      </c>
      <c r="H694" s="436">
        <v>34</v>
      </c>
      <c r="I694" s="436"/>
      <c r="J694" s="436"/>
      <c r="K694" s="436"/>
      <c r="L694" s="437"/>
      <c r="M694" s="437"/>
      <c r="N694" s="437"/>
      <c r="O694" s="437"/>
      <c r="P694" s="437">
        <v>0</v>
      </c>
      <c r="Q694" s="437">
        <v>0</v>
      </c>
      <c r="R694" s="436"/>
      <c r="S694" s="436"/>
      <c r="T694" s="436"/>
      <c r="U694" s="436"/>
      <c r="V694" s="436"/>
      <c r="W694" s="436"/>
      <c r="X694" s="436"/>
      <c r="Y694" s="436">
        <f>IF(NFI_Expiration=1,IF($A694&lt;VLOOKUP(H$5,NFI,5,0),1,0)*Table_NFI[[#This Row],[Hygiene Kit]],Table_NFI[Hygiene Kit])</f>
        <v>0</v>
      </c>
      <c r="Z694" s="436">
        <f>IF(NFI_Expiration=1,IF($A694&lt;VLOOKUP(I$5,NFI,5,0),1,0)*Table_NFI[[#This Row],[NFI Core Kit]],Table_NFI[NFI Core Kit])</f>
        <v>0</v>
      </c>
      <c r="AA694" s="436">
        <f>IF(NFI_Expiration=1,IF($A694&lt;VLOOKUP(J$5,NFI,5,0),1,0)*Table_NFI[[#This Row],[Sanitary Kit]],Table_NFI[Sanitary Kit])</f>
        <v>0</v>
      </c>
      <c r="AB694" s="436">
        <f>IF(NFI_Expiration=1,IF($A694&lt;VLOOKUP(K$5,NFI,5,0),1,0)*Table_NFI[[#This Row],[Mosquito net]],Table_NFI[Mosquito net])</f>
        <v>0</v>
      </c>
      <c r="AC694" s="436">
        <f>IF(NFI_Expiration=1,IF($A694&lt;VLOOKUP(L$5,NFI,5,0),1,0)*Table_NFI[[#This Row],[Tarpaulin]],Table_NFI[[#This Row],[Tarpaulin]])</f>
        <v>0</v>
      </c>
      <c r="AD694" s="436">
        <f>IF(NFI_Expiration=1,IF($A694&lt;VLOOKUP(M$5,NFI,5,0),1,0)*Table_NFI[[#This Row],[Blanket]],Table_NFI[[#This Row],[Blanket]])</f>
        <v>0</v>
      </c>
      <c r="AE694" s="436">
        <f>IF(NFI_Expiration=1,IF($A694&lt;VLOOKUP(N$5,NFI,5,0),1,0)*Table_NFI[[#This Row],[Kitchen Set]],Table_NFI[Kitchen Set])</f>
        <v>0</v>
      </c>
      <c r="AF694" s="436">
        <f>IF(NFI_Expiration=1,IF($A694&lt;VLOOKUP(O$5,NFI,5,0),1,0)*Table_NFI[[#This Row],[Clothes Kit]],Table_NFI[Clothes Kit])</f>
        <v>0</v>
      </c>
      <c r="AG694" s="436">
        <f>IF(NFI_Expiration=1,IF($A694&lt;VLOOKUP(P$5,NFI,5,0),1,0)*Table_NFI[[#This Row],[Plastic Bucket]],Table_NFI[Plastic Bucket])</f>
        <v>0</v>
      </c>
      <c r="AH694" s="436">
        <f>IF(NFI_Expiration=1,IF($A694&lt;VLOOKUP(Q$5,NFI,5,0),1,0)*Table_NFI[[#This Row],[Plastic Mat]],Table_NFI[Plastic Mat])*IF(Table_NFI[[#This Row],[Distribution Date]]&gt;"2014-04-01",1,2.5)</f>
        <v>0</v>
      </c>
      <c r="AI694" s="436">
        <f>IF(NFI_Expiration=1,IF($A694&lt;VLOOKUP(R$5,NFI,5,0),1,0)*Table_NFI[[#This Row],[Winter Clothes Adult]],Table_NFI[Winter Clothes Adult])</f>
        <v>0</v>
      </c>
      <c r="AJ694" s="436">
        <f>IF(NFI_Expiration=1,IF($A694&lt;VLOOKUP(S$5,NFI,5,0),1,0)*Table_NFI[[#This Row],[Winter Clothes Children]],Table_NFI[Winter Clothes Children])</f>
        <v>0</v>
      </c>
      <c r="AK694" s="436">
        <f>IF(NFI_Expiration=1,IF($A694&lt;VLOOKUP(T$5,NFI,5,0),1,0)*Table_NFI[[#This Row],[Winter Items Other]],Table_NFI[Winter Items Other])</f>
        <v>0</v>
      </c>
      <c r="AL694" s="436">
        <f>IF(NFI_Expiration=1,IF($A694&lt;VLOOKUP(M$5,NFI,5,0),1,0)*Table_NFI[[#This Row],[Winter Blanket]],Table_NFI[[#This Row],[Winter Blanket]])</f>
        <v>0</v>
      </c>
      <c r="AM694" s="436">
        <f>IF(Table_NFI[[#This Row],[Winter Clothes Adult]]+Table_NFI[[#This Row],[Winter Clothes Children]]+Table_NFI[[#This Row],[Winter Items Other]]+Table_NFI[[#This Row],[Winter Blanket]]&gt;0,1,0)</f>
        <v>0</v>
      </c>
      <c r="AN694" s="439">
        <f>IF(NFI_Expiration=1,IF($A694&lt;VLOOKUP(V$5,NFI,5,0),1,0)*Table_NFI[[#This Row],[Jerry Can]],Table_NFI[Jerry Can])</f>
        <v>0</v>
      </c>
      <c r="AO694" s="771" t="str">
        <f>IFERROR(VLOOKUP(Table_NFI[[#This Row],[Camp Name]],CL,2,0),"")</f>
        <v>MMR001CMP023</v>
      </c>
      <c r="AP694" s="772">
        <f ca="1">IF(Table_NFI[[#This Row],[Pcode]]="","",IF(OFFSET(CampList[Opening Date],MATCH(Table_NFI[[#This Row],[Pcode]],CampList[CP_Pcode],0)-1,0,1,1)&gt;=NFI_Monitor_Date,1,0))</f>
        <v>0</v>
      </c>
      <c r="AQ694" s="771" t="str">
        <f>IFERROR(VLOOKUP(Table_NFI[[#This Row],[Camp Name]],CL,3,0),"")</f>
        <v>Open</v>
      </c>
      <c r="AR694" s="436" t="str">
        <f ca="1">IF(Table_NFI[[#This Row],[Pcode]]="","",OFFSET(CampList[Priority],MATCH(Table_NFI[[#This Row],[Pcode]],CampList[CP_Pcode],0)-1,0,1,1))</f>
        <v>P4</v>
      </c>
      <c r="AS694" s="438">
        <f>IFERROR(Table_NFI[[#This Row],[Kitchen Set]]/VLOOKUP(Table_NFI[[#This Row],[Camp Name]],CL,4,0),"")</f>
        <v>0</v>
      </c>
      <c r="AT694" s="769" t="s">
        <v>1099</v>
      </c>
      <c r="AU694" s="773"/>
    </row>
    <row r="695" spans="1:47" x14ac:dyDescent="0.25">
      <c r="A695" s="451">
        <f t="shared" si="10"/>
        <v>36.533333333333331</v>
      </c>
      <c r="B695" s="768">
        <v>41274</v>
      </c>
      <c r="C695" s="769" t="s">
        <v>455</v>
      </c>
      <c r="D695" s="770" t="s">
        <v>455</v>
      </c>
      <c r="E695" s="769" t="s">
        <v>380</v>
      </c>
      <c r="F695" s="435" t="s">
        <v>237</v>
      </c>
      <c r="G695" s="435" t="s">
        <v>249</v>
      </c>
      <c r="H695" s="436">
        <v>14</v>
      </c>
      <c r="I695" s="436"/>
      <c r="J695" s="436"/>
      <c r="K695" s="436"/>
      <c r="L695" s="437"/>
      <c r="M695" s="437"/>
      <c r="N695" s="437"/>
      <c r="O695" s="437"/>
      <c r="P695" s="437">
        <v>0</v>
      </c>
      <c r="Q695" s="437">
        <v>0</v>
      </c>
      <c r="R695" s="436"/>
      <c r="S695" s="436"/>
      <c r="T695" s="436"/>
      <c r="U695" s="436"/>
      <c r="V695" s="436"/>
      <c r="W695" s="436"/>
      <c r="X695" s="436"/>
      <c r="Y695" s="436">
        <f>IF(NFI_Expiration=1,IF($A695&lt;VLOOKUP(H$5,NFI,5,0),1,0)*Table_NFI[[#This Row],[Hygiene Kit]],Table_NFI[Hygiene Kit])</f>
        <v>0</v>
      </c>
      <c r="Z695" s="436">
        <f>IF(NFI_Expiration=1,IF($A695&lt;VLOOKUP(I$5,NFI,5,0),1,0)*Table_NFI[[#This Row],[NFI Core Kit]],Table_NFI[NFI Core Kit])</f>
        <v>0</v>
      </c>
      <c r="AA695" s="436">
        <f>IF(NFI_Expiration=1,IF($A695&lt;VLOOKUP(J$5,NFI,5,0),1,0)*Table_NFI[[#This Row],[Sanitary Kit]],Table_NFI[Sanitary Kit])</f>
        <v>0</v>
      </c>
      <c r="AB695" s="436">
        <f>IF(NFI_Expiration=1,IF($A695&lt;VLOOKUP(K$5,NFI,5,0),1,0)*Table_NFI[[#This Row],[Mosquito net]],Table_NFI[Mosquito net])</f>
        <v>0</v>
      </c>
      <c r="AC695" s="436">
        <f>IF(NFI_Expiration=1,IF($A695&lt;VLOOKUP(L$5,NFI,5,0),1,0)*Table_NFI[[#This Row],[Tarpaulin]],Table_NFI[[#This Row],[Tarpaulin]])</f>
        <v>0</v>
      </c>
      <c r="AD695" s="436">
        <f>IF(NFI_Expiration=1,IF($A695&lt;VLOOKUP(M$5,NFI,5,0),1,0)*Table_NFI[[#This Row],[Blanket]],Table_NFI[[#This Row],[Blanket]])</f>
        <v>0</v>
      </c>
      <c r="AE695" s="436">
        <f>IF(NFI_Expiration=1,IF($A695&lt;VLOOKUP(N$5,NFI,5,0),1,0)*Table_NFI[[#This Row],[Kitchen Set]],Table_NFI[Kitchen Set])</f>
        <v>0</v>
      </c>
      <c r="AF695" s="436">
        <f>IF(NFI_Expiration=1,IF($A695&lt;VLOOKUP(O$5,NFI,5,0),1,0)*Table_NFI[[#This Row],[Clothes Kit]],Table_NFI[Clothes Kit])</f>
        <v>0</v>
      </c>
      <c r="AG695" s="436">
        <f>IF(NFI_Expiration=1,IF($A695&lt;VLOOKUP(P$5,NFI,5,0),1,0)*Table_NFI[[#This Row],[Plastic Bucket]],Table_NFI[Plastic Bucket])</f>
        <v>0</v>
      </c>
      <c r="AH695" s="436">
        <f>IF(NFI_Expiration=1,IF($A695&lt;VLOOKUP(Q$5,NFI,5,0),1,0)*Table_NFI[[#This Row],[Plastic Mat]],Table_NFI[Plastic Mat])*IF(Table_NFI[[#This Row],[Distribution Date]]&gt;"2014-04-01",1,2.5)</f>
        <v>0</v>
      </c>
      <c r="AI695" s="436">
        <f>IF(NFI_Expiration=1,IF($A695&lt;VLOOKUP(R$5,NFI,5,0),1,0)*Table_NFI[[#This Row],[Winter Clothes Adult]],Table_NFI[Winter Clothes Adult])</f>
        <v>0</v>
      </c>
      <c r="AJ695" s="436">
        <f>IF(NFI_Expiration=1,IF($A695&lt;VLOOKUP(S$5,NFI,5,0),1,0)*Table_NFI[[#This Row],[Winter Clothes Children]],Table_NFI[Winter Clothes Children])</f>
        <v>0</v>
      </c>
      <c r="AK695" s="436">
        <f>IF(NFI_Expiration=1,IF($A695&lt;VLOOKUP(T$5,NFI,5,0),1,0)*Table_NFI[[#This Row],[Winter Items Other]],Table_NFI[Winter Items Other])</f>
        <v>0</v>
      </c>
      <c r="AL695" s="436">
        <f>IF(NFI_Expiration=1,IF($A695&lt;VLOOKUP(M$5,NFI,5,0),1,0)*Table_NFI[[#This Row],[Winter Blanket]],Table_NFI[[#This Row],[Winter Blanket]])</f>
        <v>0</v>
      </c>
      <c r="AM695" s="436">
        <f>IF(Table_NFI[[#This Row],[Winter Clothes Adult]]+Table_NFI[[#This Row],[Winter Clothes Children]]+Table_NFI[[#This Row],[Winter Items Other]]+Table_NFI[[#This Row],[Winter Blanket]]&gt;0,1,0)</f>
        <v>0</v>
      </c>
      <c r="AN695" s="439">
        <f>IF(NFI_Expiration=1,IF($A695&lt;VLOOKUP(V$5,NFI,5,0),1,0)*Table_NFI[[#This Row],[Jerry Can]],Table_NFI[Jerry Can])</f>
        <v>0</v>
      </c>
      <c r="AO695" s="771" t="str">
        <f>IFERROR(VLOOKUP(Table_NFI[[#This Row],[Camp Name]],CL,2,0),"")</f>
        <v>MMR001CMP004</v>
      </c>
      <c r="AP695" s="772">
        <f ca="1">IF(Table_NFI[[#This Row],[Pcode]]="","",IF(OFFSET(CampList[Opening Date],MATCH(Table_NFI[[#This Row],[Pcode]],CampList[CP_Pcode],0)-1,0,1,1)&gt;=NFI_Monitor_Date,1,0))</f>
        <v>0</v>
      </c>
      <c r="AQ695" s="771" t="str">
        <f>IFERROR(VLOOKUP(Table_NFI[[#This Row],[Camp Name]],CL,3,0),"")</f>
        <v>Open</v>
      </c>
      <c r="AR695" s="436" t="str">
        <f ca="1">IF(Table_NFI[[#This Row],[Pcode]]="","",OFFSET(CampList[Priority],MATCH(Table_NFI[[#This Row],[Pcode]],CampList[CP_Pcode],0)-1,0,1,1))</f>
        <v>P4</v>
      </c>
      <c r="AS695" s="438">
        <f>IFERROR(Table_NFI[[#This Row],[Kitchen Set]]/VLOOKUP(Table_NFI[[#This Row],[Camp Name]],CL,4,0),"")</f>
        <v>0</v>
      </c>
      <c r="AT695" s="769" t="s">
        <v>1099</v>
      </c>
      <c r="AU695" s="773"/>
    </row>
    <row r="696" spans="1:47" x14ac:dyDescent="0.25">
      <c r="A696" s="451">
        <f t="shared" si="10"/>
        <v>36.533333333333331</v>
      </c>
      <c r="B696" s="768">
        <v>41274</v>
      </c>
      <c r="C696" s="769" t="s">
        <v>455</v>
      </c>
      <c r="D696" s="769" t="s">
        <v>455</v>
      </c>
      <c r="E696" s="769" t="s">
        <v>380</v>
      </c>
      <c r="F696" s="435" t="s">
        <v>310</v>
      </c>
      <c r="G696" s="435" t="s">
        <v>349</v>
      </c>
      <c r="H696" s="436">
        <v>68</v>
      </c>
      <c r="I696" s="436"/>
      <c r="J696" s="436"/>
      <c r="K696" s="436"/>
      <c r="L696" s="437"/>
      <c r="M696" s="437"/>
      <c r="N696" s="437"/>
      <c r="O696" s="437"/>
      <c r="P696" s="439">
        <v>0</v>
      </c>
      <c r="Q696" s="439">
        <v>0</v>
      </c>
      <c r="R696" s="436"/>
      <c r="S696" s="436"/>
      <c r="T696" s="436"/>
      <c r="U696" s="436"/>
      <c r="V696" s="436"/>
      <c r="W696" s="436"/>
      <c r="X696" s="436"/>
      <c r="Y696" s="436">
        <f>IF(NFI_Expiration=1,IF($A696&lt;VLOOKUP(H$5,NFI,5,0),1,0)*Table_NFI[[#This Row],[Hygiene Kit]],Table_NFI[Hygiene Kit])</f>
        <v>0</v>
      </c>
      <c r="Z696" s="436">
        <f>IF(NFI_Expiration=1,IF($A696&lt;VLOOKUP(I$5,NFI,5,0),1,0)*Table_NFI[[#This Row],[NFI Core Kit]],Table_NFI[NFI Core Kit])</f>
        <v>0</v>
      </c>
      <c r="AA696" s="436">
        <f>IF(NFI_Expiration=1,IF($A696&lt;VLOOKUP(J$5,NFI,5,0),1,0)*Table_NFI[[#This Row],[Sanitary Kit]],Table_NFI[Sanitary Kit])</f>
        <v>0</v>
      </c>
      <c r="AB696" s="436">
        <f>IF(NFI_Expiration=1,IF($A696&lt;VLOOKUP(K$5,NFI,5,0),1,0)*Table_NFI[[#This Row],[Mosquito net]],Table_NFI[Mosquito net])</f>
        <v>0</v>
      </c>
      <c r="AC696" s="436">
        <f>IF(NFI_Expiration=1,IF($A696&lt;VLOOKUP(L$5,NFI,5,0),1,0)*Table_NFI[[#This Row],[Tarpaulin]],Table_NFI[[#This Row],[Tarpaulin]])</f>
        <v>0</v>
      </c>
      <c r="AD696" s="436">
        <f>IF(NFI_Expiration=1,IF($A696&lt;VLOOKUP(M$5,NFI,5,0),1,0)*Table_NFI[[#This Row],[Blanket]],Table_NFI[[#This Row],[Blanket]])</f>
        <v>0</v>
      </c>
      <c r="AE696" s="436">
        <f>IF(NFI_Expiration=1,IF($A696&lt;VLOOKUP(N$5,NFI,5,0),1,0)*Table_NFI[[#This Row],[Kitchen Set]],Table_NFI[Kitchen Set])</f>
        <v>0</v>
      </c>
      <c r="AF696" s="436">
        <f>IF(NFI_Expiration=1,IF($A696&lt;VLOOKUP(O$5,NFI,5,0),1,0)*Table_NFI[[#This Row],[Clothes Kit]],Table_NFI[Clothes Kit])</f>
        <v>0</v>
      </c>
      <c r="AG696" s="436">
        <f>IF(NFI_Expiration=1,IF($A696&lt;VLOOKUP(P$5,NFI,5,0),1,0)*Table_NFI[[#This Row],[Plastic Bucket]],Table_NFI[Plastic Bucket])</f>
        <v>0</v>
      </c>
      <c r="AH696" s="436">
        <f>IF(NFI_Expiration=1,IF($A696&lt;VLOOKUP(Q$5,NFI,5,0),1,0)*Table_NFI[[#This Row],[Plastic Mat]],Table_NFI[Plastic Mat])*IF(Table_NFI[[#This Row],[Distribution Date]]&gt;"2014-04-01",1,2.5)</f>
        <v>0</v>
      </c>
      <c r="AI696" s="436">
        <f>IF(NFI_Expiration=1,IF($A696&lt;VLOOKUP(R$5,NFI,5,0),1,0)*Table_NFI[[#This Row],[Winter Clothes Adult]],Table_NFI[Winter Clothes Adult])</f>
        <v>0</v>
      </c>
      <c r="AJ696" s="436">
        <f>IF(NFI_Expiration=1,IF($A696&lt;VLOOKUP(S$5,NFI,5,0),1,0)*Table_NFI[[#This Row],[Winter Clothes Children]],Table_NFI[Winter Clothes Children])</f>
        <v>0</v>
      </c>
      <c r="AK696" s="436">
        <f>IF(NFI_Expiration=1,IF($A696&lt;VLOOKUP(T$5,NFI,5,0),1,0)*Table_NFI[[#This Row],[Winter Items Other]],Table_NFI[Winter Items Other])</f>
        <v>0</v>
      </c>
      <c r="AL696" s="436">
        <f>IF(NFI_Expiration=1,IF($A696&lt;VLOOKUP(M$5,NFI,5,0),1,0)*Table_NFI[[#This Row],[Winter Blanket]],Table_NFI[[#This Row],[Winter Blanket]])</f>
        <v>0</v>
      </c>
      <c r="AM696" s="436">
        <f>IF(Table_NFI[[#This Row],[Winter Clothes Adult]]+Table_NFI[[#This Row],[Winter Clothes Children]]+Table_NFI[[#This Row],[Winter Items Other]]+Table_NFI[[#This Row],[Winter Blanket]]&gt;0,1,0)</f>
        <v>0</v>
      </c>
      <c r="AN696" s="439">
        <f>IF(NFI_Expiration=1,IF($A696&lt;VLOOKUP(V$5,NFI,5,0),1,0)*Table_NFI[[#This Row],[Jerry Can]],Table_NFI[Jerry Can])</f>
        <v>0</v>
      </c>
      <c r="AO696" s="771" t="str">
        <f>IFERROR(VLOOKUP(Table_NFI[[#This Row],[Camp Name]],CL,2,0),"")</f>
        <v>MMR001CMP037</v>
      </c>
      <c r="AP696" s="772">
        <f ca="1">IF(Table_NFI[[#This Row],[Pcode]]="","",IF(OFFSET(CampList[Opening Date],MATCH(Table_NFI[[#This Row],[Pcode]],CampList[CP_Pcode],0)-1,0,1,1)&gt;=NFI_Monitor_Date,1,0))</f>
        <v>0</v>
      </c>
      <c r="AQ696" s="771" t="str">
        <f>IFERROR(VLOOKUP(Table_NFI[[#This Row],[Camp Name]],CL,3,0),"")</f>
        <v>Open</v>
      </c>
      <c r="AR696" s="436" t="str">
        <f ca="1">IF(Table_NFI[[#This Row],[Pcode]]="","",OFFSET(CampList[Priority],MATCH(Table_NFI[[#This Row],[Pcode]],CampList[CP_Pcode],0)-1,0,1,1))</f>
        <v>P4</v>
      </c>
      <c r="AS696" s="438">
        <f>IFERROR(Table_NFI[[#This Row],[Kitchen Set]]/VLOOKUP(Table_NFI[[#This Row],[Camp Name]],CL,4,0),"")</f>
        <v>0</v>
      </c>
      <c r="AT696" s="769" t="s">
        <v>1099</v>
      </c>
      <c r="AU696" s="773"/>
    </row>
    <row r="697" spans="1:47" x14ac:dyDescent="0.25">
      <c r="A697" s="451">
        <f t="shared" si="10"/>
        <v>36.533333333333331</v>
      </c>
      <c r="B697" s="768">
        <v>41274</v>
      </c>
      <c r="C697" s="769" t="s">
        <v>455</v>
      </c>
      <c r="D697" s="769" t="s">
        <v>455</v>
      </c>
      <c r="E697" s="769" t="s">
        <v>380</v>
      </c>
      <c r="F697" s="435" t="s">
        <v>310</v>
      </c>
      <c r="G697" s="435" t="s">
        <v>316</v>
      </c>
      <c r="H697" s="436">
        <v>56</v>
      </c>
      <c r="I697" s="436"/>
      <c r="J697" s="436"/>
      <c r="K697" s="436"/>
      <c r="L697" s="437"/>
      <c r="M697" s="437"/>
      <c r="N697" s="437"/>
      <c r="O697" s="437"/>
      <c r="P697" s="439">
        <v>0</v>
      </c>
      <c r="Q697" s="439">
        <v>0</v>
      </c>
      <c r="R697" s="436"/>
      <c r="S697" s="436"/>
      <c r="T697" s="436"/>
      <c r="U697" s="436"/>
      <c r="V697" s="436"/>
      <c r="W697" s="436"/>
      <c r="X697" s="436"/>
      <c r="Y697" s="436">
        <f>IF(NFI_Expiration=1,IF($A697&lt;VLOOKUP(H$5,NFI,5,0),1,0)*Table_NFI[[#This Row],[Hygiene Kit]],Table_NFI[Hygiene Kit])</f>
        <v>0</v>
      </c>
      <c r="Z697" s="436">
        <f>IF(NFI_Expiration=1,IF($A697&lt;VLOOKUP(I$5,NFI,5,0),1,0)*Table_NFI[[#This Row],[NFI Core Kit]],Table_NFI[NFI Core Kit])</f>
        <v>0</v>
      </c>
      <c r="AA697" s="436">
        <f>IF(NFI_Expiration=1,IF($A697&lt;VLOOKUP(J$5,NFI,5,0),1,0)*Table_NFI[[#This Row],[Sanitary Kit]],Table_NFI[Sanitary Kit])</f>
        <v>0</v>
      </c>
      <c r="AB697" s="436">
        <f>IF(NFI_Expiration=1,IF($A697&lt;VLOOKUP(K$5,NFI,5,0),1,0)*Table_NFI[[#This Row],[Mosquito net]],Table_NFI[Mosquito net])</f>
        <v>0</v>
      </c>
      <c r="AC697" s="436">
        <f>IF(NFI_Expiration=1,IF($A697&lt;VLOOKUP(L$5,NFI,5,0),1,0)*Table_NFI[[#This Row],[Tarpaulin]],Table_NFI[[#This Row],[Tarpaulin]])</f>
        <v>0</v>
      </c>
      <c r="AD697" s="436">
        <f>IF(NFI_Expiration=1,IF($A697&lt;VLOOKUP(M$5,NFI,5,0),1,0)*Table_NFI[[#This Row],[Blanket]],Table_NFI[[#This Row],[Blanket]])</f>
        <v>0</v>
      </c>
      <c r="AE697" s="436">
        <f>IF(NFI_Expiration=1,IF($A697&lt;VLOOKUP(N$5,NFI,5,0),1,0)*Table_NFI[[#This Row],[Kitchen Set]],Table_NFI[Kitchen Set])</f>
        <v>0</v>
      </c>
      <c r="AF697" s="436">
        <f>IF(NFI_Expiration=1,IF($A697&lt;VLOOKUP(O$5,NFI,5,0),1,0)*Table_NFI[[#This Row],[Clothes Kit]],Table_NFI[Clothes Kit])</f>
        <v>0</v>
      </c>
      <c r="AG697" s="436">
        <f>IF(NFI_Expiration=1,IF($A697&lt;VLOOKUP(P$5,NFI,5,0),1,0)*Table_NFI[[#This Row],[Plastic Bucket]],Table_NFI[Plastic Bucket])</f>
        <v>0</v>
      </c>
      <c r="AH697" s="436">
        <f>IF(NFI_Expiration=1,IF($A697&lt;VLOOKUP(Q$5,NFI,5,0),1,0)*Table_NFI[[#This Row],[Plastic Mat]],Table_NFI[Plastic Mat])*IF(Table_NFI[[#This Row],[Distribution Date]]&gt;"2014-04-01",1,2.5)</f>
        <v>0</v>
      </c>
      <c r="AI697" s="436">
        <f>IF(NFI_Expiration=1,IF($A697&lt;VLOOKUP(R$5,NFI,5,0),1,0)*Table_NFI[[#This Row],[Winter Clothes Adult]],Table_NFI[Winter Clothes Adult])</f>
        <v>0</v>
      </c>
      <c r="AJ697" s="436">
        <f>IF(NFI_Expiration=1,IF($A697&lt;VLOOKUP(S$5,NFI,5,0),1,0)*Table_NFI[[#This Row],[Winter Clothes Children]],Table_NFI[Winter Clothes Children])</f>
        <v>0</v>
      </c>
      <c r="AK697" s="436">
        <f>IF(NFI_Expiration=1,IF($A697&lt;VLOOKUP(T$5,NFI,5,0),1,0)*Table_NFI[[#This Row],[Winter Items Other]],Table_NFI[Winter Items Other])</f>
        <v>0</v>
      </c>
      <c r="AL697" s="436">
        <f>IF(NFI_Expiration=1,IF($A697&lt;VLOOKUP(M$5,NFI,5,0),1,0)*Table_NFI[[#This Row],[Winter Blanket]],Table_NFI[[#This Row],[Winter Blanket]])</f>
        <v>0</v>
      </c>
      <c r="AM697" s="436">
        <f>IF(Table_NFI[[#This Row],[Winter Clothes Adult]]+Table_NFI[[#This Row],[Winter Clothes Children]]+Table_NFI[[#This Row],[Winter Items Other]]+Table_NFI[[#This Row],[Winter Blanket]]&gt;0,1,0)</f>
        <v>0</v>
      </c>
      <c r="AN697" s="439">
        <f>IF(NFI_Expiration=1,IF($A697&lt;VLOOKUP(V$5,NFI,5,0),1,0)*Table_NFI[[#This Row],[Jerry Can]],Table_NFI[Jerry Can])</f>
        <v>0</v>
      </c>
      <c r="AO697" s="771" t="str">
        <f>IFERROR(VLOOKUP(Table_NFI[[#This Row],[Camp Name]],CL,2,0),"")</f>
        <v>MMR001CMP038</v>
      </c>
      <c r="AP697" s="772">
        <f ca="1">IF(Table_NFI[[#This Row],[Pcode]]="","",IF(OFFSET(CampList[Opening Date],MATCH(Table_NFI[[#This Row],[Pcode]],CampList[CP_Pcode],0)-1,0,1,1)&gt;=NFI_Monitor_Date,1,0))</f>
        <v>0</v>
      </c>
      <c r="AQ697" s="771" t="str">
        <f>IFERROR(VLOOKUP(Table_NFI[[#This Row],[Camp Name]],CL,3,0),"")</f>
        <v>Open</v>
      </c>
      <c r="AR697" s="436" t="str">
        <f ca="1">IF(Table_NFI[[#This Row],[Pcode]]="","",OFFSET(CampList[Priority],MATCH(Table_NFI[[#This Row],[Pcode]],CampList[CP_Pcode],0)-1,0,1,1))</f>
        <v>P4</v>
      </c>
      <c r="AS697" s="438">
        <f>IFERROR(Table_NFI[[#This Row],[Kitchen Set]]/VLOOKUP(Table_NFI[[#This Row],[Camp Name]],CL,4,0),"")</f>
        <v>0</v>
      </c>
      <c r="AT697" s="769" t="s">
        <v>1099</v>
      </c>
      <c r="AU697" s="773"/>
    </row>
    <row r="698" spans="1:47" x14ac:dyDescent="0.25">
      <c r="A698" s="451">
        <f t="shared" si="10"/>
        <v>36.533333333333331</v>
      </c>
      <c r="B698" s="768">
        <v>41274</v>
      </c>
      <c r="C698" s="769" t="s">
        <v>455</v>
      </c>
      <c r="D698" s="769" t="s">
        <v>455</v>
      </c>
      <c r="E698" s="769" t="s">
        <v>380</v>
      </c>
      <c r="F698" s="435" t="s">
        <v>529</v>
      </c>
      <c r="G698" s="435" t="s">
        <v>74</v>
      </c>
      <c r="H698" s="436">
        <v>3</v>
      </c>
      <c r="I698" s="436"/>
      <c r="J698" s="436"/>
      <c r="K698" s="436"/>
      <c r="L698" s="437"/>
      <c r="M698" s="437"/>
      <c r="N698" s="437"/>
      <c r="O698" s="437"/>
      <c r="P698" s="439">
        <v>0</v>
      </c>
      <c r="Q698" s="439">
        <v>0</v>
      </c>
      <c r="R698" s="436"/>
      <c r="S698" s="436"/>
      <c r="T698" s="436"/>
      <c r="U698" s="436"/>
      <c r="V698" s="436"/>
      <c r="W698" s="436"/>
      <c r="X698" s="436"/>
      <c r="Y698" s="436">
        <f>IF(NFI_Expiration=1,IF($A698&lt;VLOOKUP(H$5,NFI,5,0),1,0)*Table_NFI[[#This Row],[Hygiene Kit]],Table_NFI[Hygiene Kit])</f>
        <v>0</v>
      </c>
      <c r="Z698" s="436">
        <f>IF(NFI_Expiration=1,IF($A698&lt;VLOOKUP(I$5,NFI,5,0),1,0)*Table_NFI[[#This Row],[NFI Core Kit]],Table_NFI[NFI Core Kit])</f>
        <v>0</v>
      </c>
      <c r="AA698" s="436">
        <f>IF(NFI_Expiration=1,IF($A698&lt;VLOOKUP(J$5,NFI,5,0),1,0)*Table_NFI[[#This Row],[Sanitary Kit]],Table_NFI[Sanitary Kit])</f>
        <v>0</v>
      </c>
      <c r="AB698" s="436">
        <f>IF(NFI_Expiration=1,IF($A698&lt;VLOOKUP(K$5,NFI,5,0),1,0)*Table_NFI[[#This Row],[Mosquito net]],Table_NFI[Mosquito net])</f>
        <v>0</v>
      </c>
      <c r="AC698" s="436">
        <f>IF(NFI_Expiration=1,IF($A698&lt;VLOOKUP(L$5,NFI,5,0),1,0)*Table_NFI[[#This Row],[Tarpaulin]],Table_NFI[[#This Row],[Tarpaulin]])</f>
        <v>0</v>
      </c>
      <c r="AD698" s="436">
        <f>IF(NFI_Expiration=1,IF($A698&lt;VLOOKUP(M$5,NFI,5,0),1,0)*Table_NFI[[#This Row],[Blanket]],Table_NFI[[#This Row],[Blanket]])</f>
        <v>0</v>
      </c>
      <c r="AE698" s="436">
        <f>IF(NFI_Expiration=1,IF($A698&lt;VLOOKUP(N$5,NFI,5,0),1,0)*Table_NFI[[#This Row],[Kitchen Set]],Table_NFI[Kitchen Set])</f>
        <v>0</v>
      </c>
      <c r="AF698" s="436">
        <f>IF(NFI_Expiration=1,IF($A698&lt;VLOOKUP(O$5,NFI,5,0),1,0)*Table_NFI[[#This Row],[Clothes Kit]],Table_NFI[Clothes Kit])</f>
        <v>0</v>
      </c>
      <c r="AG698" s="436">
        <f>IF(NFI_Expiration=1,IF($A698&lt;VLOOKUP(P$5,NFI,5,0),1,0)*Table_NFI[[#This Row],[Plastic Bucket]],Table_NFI[Plastic Bucket])</f>
        <v>0</v>
      </c>
      <c r="AH698" s="436">
        <f>IF(NFI_Expiration=1,IF($A698&lt;VLOOKUP(Q$5,NFI,5,0),1,0)*Table_NFI[[#This Row],[Plastic Mat]],Table_NFI[Plastic Mat])*IF(Table_NFI[[#This Row],[Distribution Date]]&gt;"2014-04-01",1,2.5)</f>
        <v>0</v>
      </c>
      <c r="AI698" s="436">
        <f>IF(NFI_Expiration=1,IF($A698&lt;VLOOKUP(R$5,NFI,5,0),1,0)*Table_NFI[[#This Row],[Winter Clothes Adult]],Table_NFI[Winter Clothes Adult])</f>
        <v>0</v>
      </c>
      <c r="AJ698" s="436">
        <f>IF(NFI_Expiration=1,IF($A698&lt;VLOOKUP(S$5,NFI,5,0),1,0)*Table_NFI[[#This Row],[Winter Clothes Children]],Table_NFI[Winter Clothes Children])</f>
        <v>0</v>
      </c>
      <c r="AK698" s="436">
        <f>IF(NFI_Expiration=1,IF($A698&lt;VLOOKUP(T$5,NFI,5,0),1,0)*Table_NFI[[#This Row],[Winter Items Other]],Table_NFI[Winter Items Other])</f>
        <v>0</v>
      </c>
      <c r="AL698" s="436">
        <f>IF(NFI_Expiration=1,IF($A698&lt;VLOOKUP(M$5,NFI,5,0),1,0)*Table_NFI[[#This Row],[Winter Blanket]],Table_NFI[[#This Row],[Winter Blanket]])</f>
        <v>0</v>
      </c>
      <c r="AM698" s="436">
        <f>IF(Table_NFI[[#This Row],[Winter Clothes Adult]]+Table_NFI[[#This Row],[Winter Clothes Children]]+Table_NFI[[#This Row],[Winter Items Other]]+Table_NFI[[#This Row],[Winter Blanket]]&gt;0,1,0)</f>
        <v>0</v>
      </c>
      <c r="AN698" s="439">
        <f>IF(NFI_Expiration=1,IF($A698&lt;VLOOKUP(V$5,NFI,5,0),1,0)*Table_NFI[[#This Row],[Jerry Can]],Table_NFI[Jerry Can])</f>
        <v>0</v>
      </c>
      <c r="AO698" s="771" t="str">
        <f>IFERROR(VLOOKUP(Table_NFI[[#This Row],[Camp Name]],CL,2,0),"")</f>
        <v>MMR001CMP175</v>
      </c>
      <c r="AP698" s="772">
        <f ca="1">IF(Table_NFI[[#This Row],[Pcode]]="","",IF(OFFSET(CampList[Opening Date],MATCH(Table_NFI[[#This Row],[Pcode]],CampList[CP_Pcode],0)-1,0,1,1)&gt;=NFI_Monitor_Date,1,0))</f>
        <v>0</v>
      </c>
      <c r="AQ698" s="771" t="str">
        <f>IFERROR(VLOOKUP(Table_NFI[[#This Row],[Camp Name]],CL,3,0),"")</f>
        <v>Closed</v>
      </c>
      <c r="AR698" s="436" t="str">
        <f ca="1">IF(Table_NFI[[#This Row],[Pcode]]="","",OFFSET(CampList[Priority],MATCH(Table_NFI[[#This Row],[Pcode]],CampList[CP_Pcode],0)-1,0,1,1))</f>
        <v/>
      </c>
      <c r="AS698" s="438" t="str">
        <f>IFERROR(Table_NFI[[#This Row],[Kitchen Set]]/VLOOKUP(Table_NFI[[#This Row],[Camp Name]],CL,4,0),"")</f>
        <v/>
      </c>
      <c r="AT698" s="769" t="s">
        <v>1099</v>
      </c>
      <c r="AU698" s="773"/>
    </row>
    <row r="699" spans="1:47" x14ac:dyDescent="0.25">
      <c r="A699" s="451">
        <f t="shared" si="10"/>
        <v>36.533333333333331</v>
      </c>
      <c r="B699" s="768">
        <v>41274</v>
      </c>
      <c r="C699" s="769" t="s">
        <v>455</v>
      </c>
      <c r="D699" s="769" t="s">
        <v>455</v>
      </c>
      <c r="E699" s="769" t="s">
        <v>380</v>
      </c>
      <c r="F699" s="769" t="s">
        <v>237</v>
      </c>
      <c r="G699" s="435" t="s">
        <v>283</v>
      </c>
      <c r="H699" s="436">
        <v>24</v>
      </c>
      <c r="I699" s="436"/>
      <c r="J699" s="436"/>
      <c r="K699" s="436"/>
      <c r="L699" s="437"/>
      <c r="M699" s="437"/>
      <c r="N699" s="437"/>
      <c r="O699" s="437"/>
      <c r="P699" s="437">
        <v>0</v>
      </c>
      <c r="Q699" s="437">
        <v>0</v>
      </c>
      <c r="R699" s="436"/>
      <c r="S699" s="436"/>
      <c r="T699" s="436"/>
      <c r="U699" s="436"/>
      <c r="V699" s="436"/>
      <c r="W699" s="436"/>
      <c r="X699" s="436"/>
      <c r="Y699" s="436">
        <f>IF(NFI_Expiration=1,IF($A699&lt;VLOOKUP(H$5,NFI,5,0),1,0)*Table_NFI[[#This Row],[Hygiene Kit]],Table_NFI[Hygiene Kit])</f>
        <v>0</v>
      </c>
      <c r="Z699" s="436">
        <f>IF(NFI_Expiration=1,IF($A699&lt;VLOOKUP(I$5,NFI,5,0),1,0)*Table_NFI[[#This Row],[NFI Core Kit]],Table_NFI[NFI Core Kit])</f>
        <v>0</v>
      </c>
      <c r="AA699" s="436">
        <f>IF(NFI_Expiration=1,IF($A699&lt;VLOOKUP(J$5,NFI,5,0),1,0)*Table_NFI[[#This Row],[Sanitary Kit]],Table_NFI[Sanitary Kit])</f>
        <v>0</v>
      </c>
      <c r="AB699" s="436">
        <f>IF(NFI_Expiration=1,IF($A699&lt;VLOOKUP(K$5,NFI,5,0),1,0)*Table_NFI[[#This Row],[Mosquito net]],Table_NFI[Mosquito net])</f>
        <v>0</v>
      </c>
      <c r="AC699" s="436">
        <f>IF(NFI_Expiration=1,IF($A699&lt;VLOOKUP(L$5,NFI,5,0),1,0)*Table_NFI[[#This Row],[Tarpaulin]],Table_NFI[[#This Row],[Tarpaulin]])</f>
        <v>0</v>
      </c>
      <c r="AD699" s="436">
        <f>IF(NFI_Expiration=1,IF($A699&lt;VLOOKUP(M$5,NFI,5,0),1,0)*Table_NFI[[#This Row],[Blanket]],Table_NFI[[#This Row],[Blanket]])</f>
        <v>0</v>
      </c>
      <c r="AE699" s="436">
        <f>IF(NFI_Expiration=1,IF($A699&lt;VLOOKUP(N$5,NFI,5,0),1,0)*Table_NFI[[#This Row],[Kitchen Set]],Table_NFI[Kitchen Set])</f>
        <v>0</v>
      </c>
      <c r="AF699" s="436">
        <f>IF(NFI_Expiration=1,IF($A699&lt;VLOOKUP(O$5,NFI,5,0),1,0)*Table_NFI[[#This Row],[Clothes Kit]],Table_NFI[Clothes Kit])</f>
        <v>0</v>
      </c>
      <c r="AG699" s="436">
        <f>IF(NFI_Expiration=1,IF($A699&lt;VLOOKUP(P$5,NFI,5,0),1,0)*Table_NFI[[#This Row],[Plastic Bucket]],Table_NFI[Plastic Bucket])</f>
        <v>0</v>
      </c>
      <c r="AH699" s="436">
        <f>IF(NFI_Expiration=1,IF($A699&lt;VLOOKUP(Q$5,NFI,5,0),1,0)*Table_NFI[[#This Row],[Plastic Mat]],Table_NFI[Plastic Mat])*IF(Table_NFI[[#This Row],[Distribution Date]]&gt;"2014-04-01",1,2.5)</f>
        <v>0</v>
      </c>
      <c r="AI699" s="436">
        <f>IF(NFI_Expiration=1,IF($A699&lt;VLOOKUP(R$5,NFI,5,0),1,0)*Table_NFI[[#This Row],[Winter Clothes Adult]],Table_NFI[Winter Clothes Adult])</f>
        <v>0</v>
      </c>
      <c r="AJ699" s="436">
        <f>IF(NFI_Expiration=1,IF($A699&lt;VLOOKUP(S$5,NFI,5,0),1,0)*Table_NFI[[#This Row],[Winter Clothes Children]],Table_NFI[Winter Clothes Children])</f>
        <v>0</v>
      </c>
      <c r="AK699" s="436">
        <f>IF(NFI_Expiration=1,IF($A699&lt;VLOOKUP(T$5,NFI,5,0),1,0)*Table_NFI[[#This Row],[Winter Items Other]],Table_NFI[Winter Items Other])</f>
        <v>0</v>
      </c>
      <c r="AL699" s="436">
        <f>IF(NFI_Expiration=1,IF($A699&lt;VLOOKUP(M$5,NFI,5,0),1,0)*Table_NFI[[#This Row],[Winter Blanket]],Table_NFI[[#This Row],[Winter Blanket]])</f>
        <v>0</v>
      </c>
      <c r="AM699" s="436">
        <f>IF(Table_NFI[[#This Row],[Winter Clothes Adult]]+Table_NFI[[#This Row],[Winter Clothes Children]]+Table_NFI[[#This Row],[Winter Items Other]]+Table_NFI[[#This Row],[Winter Blanket]]&gt;0,1,0)</f>
        <v>0</v>
      </c>
      <c r="AN699" s="439">
        <f>IF(NFI_Expiration=1,IF($A699&lt;VLOOKUP(V$5,NFI,5,0),1,0)*Table_NFI[[#This Row],[Jerry Can]],Table_NFI[Jerry Can])</f>
        <v>0</v>
      </c>
      <c r="AO699" s="771" t="str">
        <f>IFERROR(VLOOKUP(Table_NFI[[#This Row],[Camp Name]],CL,2,0),"")</f>
        <v>MMR001CMP022</v>
      </c>
      <c r="AP699" s="772">
        <f ca="1">IF(Table_NFI[[#This Row],[Pcode]]="","",IF(OFFSET(CampList[Opening Date],MATCH(Table_NFI[[#This Row],[Pcode]],CampList[CP_Pcode],0)-1,0,1,1)&gt;=NFI_Monitor_Date,1,0))</f>
        <v>0</v>
      </c>
      <c r="AQ699" s="771" t="str">
        <f>IFERROR(VLOOKUP(Table_NFI[[#This Row],[Camp Name]],CL,3,0),"")</f>
        <v>Open</v>
      </c>
      <c r="AR699" s="436" t="str">
        <f ca="1">IF(Table_NFI[[#This Row],[Pcode]]="","",OFFSET(CampList[Priority],MATCH(Table_NFI[[#This Row],[Pcode]],CampList[CP_Pcode],0)-1,0,1,1))</f>
        <v>P4</v>
      </c>
      <c r="AS699" s="438">
        <f>IFERROR(Table_NFI[[#This Row],[Kitchen Set]]/VLOOKUP(Table_NFI[[#This Row],[Camp Name]],CL,4,0),"")</f>
        <v>0</v>
      </c>
      <c r="AT699" s="769" t="s">
        <v>1099</v>
      </c>
      <c r="AU699" s="773"/>
    </row>
    <row r="700" spans="1:47" x14ac:dyDescent="0.25">
      <c r="A700" s="451">
        <f t="shared" si="10"/>
        <v>36.533333333333331</v>
      </c>
      <c r="B700" s="768">
        <v>41274</v>
      </c>
      <c r="C700" s="769" t="s">
        <v>455</v>
      </c>
      <c r="D700" s="770" t="s">
        <v>455</v>
      </c>
      <c r="E700" s="769" t="s">
        <v>380</v>
      </c>
      <c r="F700" s="435" t="s">
        <v>529</v>
      </c>
      <c r="G700" s="435" t="s">
        <v>140</v>
      </c>
      <c r="H700" s="436">
        <v>42</v>
      </c>
      <c r="I700" s="441"/>
      <c r="J700" s="434"/>
      <c r="K700" s="434"/>
      <c r="L700" s="434"/>
      <c r="M700" s="434"/>
      <c r="N700" s="434"/>
      <c r="O700" s="434"/>
      <c r="P700" s="437">
        <v>0</v>
      </c>
      <c r="Q700" s="437">
        <v>0</v>
      </c>
      <c r="R700" s="436"/>
      <c r="S700" s="436"/>
      <c r="T700" s="436"/>
      <c r="U700" s="436"/>
      <c r="V700" s="436"/>
      <c r="W700" s="436"/>
      <c r="X700" s="436"/>
      <c r="Y700" s="436">
        <f>IF(NFI_Expiration=1,IF($A700&lt;VLOOKUP(H$5,NFI,5,0),1,0)*Table_NFI[[#This Row],[Hygiene Kit]],Table_NFI[Hygiene Kit])</f>
        <v>0</v>
      </c>
      <c r="Z700" s="436">
        <f>IF(NFI_Expiration=1,IF($A700&lt;VLOOKUP(I$5,NFI,5,0),1,0)*Table_NFI[[#This Row],[NFI Core Kit]],Table_NFI[NFI Core Kit])</f>
        <v>0</v>
      </c>
      <c r="AA700" s="436">
        <f>IF(NFI_Expiration=1,IF($A700&lt;VLOOKUP(J$5,NFI,5,0),1,0)*Table_NFI[[#This Row],[Sanitary Kit]],Table_NFI[Sanitary Kit])</f>
        <v>0</v>
      </c>
      <c r="AB700" s="436">
        <f>IF(NFI_Expiration=1,IF($A700&lt;VLOOKUP(K$5,NFI,5,0),1,0)*Table_NFI[[#This Row],[Mosquito net]],Table_NFI[Mosquito net])</f>
        <v>0</v>
      </c>
      <c r="AC700" s="436">
        <f>IF(NFI_Expiration=1,IF($A700&lt;VLOOKUP(L$5,NFI,5,0),1,0)*Table_NFI[[#This Row],[Tarpaulin]],Table_NFI[[#This Row],[Tarpaulin]])</f>
        <v>0</v>
      </c>
      <c r="AD700" s="436">
        <f>IF(NFI_Expiration=1,IF($A700&lt;VLOOKUP(M$5,NFI,5,0),1,0)*Table_NFI[[#This Row],[Blanket]],Table_NFI[[#This Row],[Blanket]])</f>
        <v>0</v>
      </c>
      <c r="AE700" s="436">
        <f>IF(NFI_Expiration=1,IF($A700&lt;VLOOKUP(N$5,NFI,5,0),1,0)*Table_NFI[[#This Row],[Kitchen Set]],Table_NFI[Kitchen Set])</f>
        <v>0</v>
      </c>
      <c r="AF700" s="436">
        <f>IF(NFI_Expiration=1,IF($A700&lt;VLOOKUP(O$5,NFI,5,0),1,0)*Table_NFI[[#This Row],[Clothes Kit]],Table_NFI[Clothes Kit])</f>
        <v>0</v>
      </c>
      <c r="AG700" s="436">
        <f>IF(NFI_Expiration=1,IF($A700&lt;VLOOKUP(P$5,NFI,5,0),1,0)*Table_NFI[[#This Row],[Plastic Bucket]],Table_NFI[Plastic Bucket])</f>
        <v>0</v>
      </c>
      <c r="AH700" s="436">
        <f>IF(NFI_Expiration=1,IF($A700&lt;VLOOKUP(Q$5,NFI,5,0),1,0)*Table_NFI[[#This Row],[Plastic Mat]],Table_NFI[Plastic Mat])*IF(Table_NFI[[#This Row],[Distribution Date]]&gt;"2014-04-01",1,2.5)</f>
        <v>0</v>
      </c>
      <c r="AI700" s="436">
        <f>IF(NFI_Expiration=1,IF($A700&lt;VLOOKUP(R$5,NFI,5,0),1,0)*Table_NFI[[#This Row],[Winter Clothes Adult]],Table_NFI[Winter Clothes Adult])</f>
        <v>0</v>
      </c>
      <c r="AJ700" s="436">
        <f>IF(NFI_Expiration=1,IF($A700&lt;VLOOKUP(S$5,NFI,5,0),1,0)*Table_NFI[[#This Row],[Winter Clothes Children]],Table_NFI[Winter Clothes Children])</f>
        <v>0</v>
      </c>
      <c r="AK700" s="436">
        <f>IF(NFI_Expiration=1,IF($A700&lt;VLOOKUP(T$5,NFI,5,0),1,0)*Table_NFI[[#This Row],[Winter Items Other]],Table_NFI[Winter Items Other])</f>
        <v>0</v>
      </c>
      <c r="AL700" s="436">
        <f>IF(NFI_Expiration=1,IF($A700&lt;VLOOKUP(M$5,NFI,5,0),1,0)*Table_NFI[[#This Row],[Winter Blanket]],Table_NFI[[#This Row],[Winter Blanket]])</f>
        <v>0</v>
      </c>
      <c r="AM700" s="436">
        <f>IF(Table_NFI[[#This Row],[Winter Clothes Adult]]+Table_NFI[[#This Row],[Winter Clothes Children]]+Table_NFI[[#This Row],[Winter Items Other]]+Table_NFI[[#This Row],[Winter Blanket]]&gt;0,1,0)</f>
        <v>0</v>
      </c>
      <c r="AN700" s="439">
        <f>IF(NFI_Expiration=1,IF($A700&lt;VLOOKUP(V$5,NFI,5,0),1,0)*Table_NFI[[#This Row],[Jerry Can]],Table_NFI[Jerry Can])</f>
        <v>0</v>
      </c>
      <c r="AO700" s="771" t="str">
        <f>IFERROR(VLOOKUP(Table_NFI[[#This Row],[Camp Name]],CL,2,0),"")</f>
        <v>MMR001CMP105</v>
      </c>
      <c r="AP700" s="772">
        <f ca="1">IF(Table_NFI[[#This Row],[Pcode]]="","",IF(OFFSET(CampList[Opening Date],MATCH(Table_NFI[[#This Row],[Pcode]],CampList[CP_Pcode],0)-1,0,1,1)&gt;=NFI_Monitor_Date,1,0))</f>
        <v>0</v>
      </c>
      <c r="AQ700" s="771" t="str">
        <f>IFERROR(VLOOKUP(Table_NFI[[#This Row],[Camp Name]],CL,3,0),"")</f>
        <v>Open</v>
      </c>
      <c r="AR700" s="436" t="str">
        <f ca="1">IF(Table_NFI[[#This Row],[Pcode]]="","",OFFSET(CampList[Priority],MATCH(Table_NFI[[#This Row],[Pcode]],CampList[CP_Pcode],0)-1,0,1,1))</f>
        <v>P4</v>
      </c>
      <c r="AS700" s="438">
        <f>IFERROR(Table_NFI[[#This Row],[Kitchen Set]]/VLOOKUP(Table_NFI[[#This Row],[Camp Name]],CL,4,0),"")</f>
        <v>0</v>
      </c>
      <c r="AT700" s="769" t="s">
        <v>1099</v>
      </c>
      <c r="AU700" s="773"/>
    </row>
    <row r="701" spans="1:47" x14ac:dyDescent="0.25">
      <c r="A701" s="451">
        <f t="shared" si="10"/>
        <v>36.866666666666667</v>
      </c>
      <c r="B701" s="768">
        <v>41264</v>
      </c>
      <c r="C701" s="769" t="s">
        <v>454</v>
      </c>
      <c r="D701" s="770" t="s">
        <v>454</v>
      </c>
      <c r="E701" s="769" t="s">
        <v>380</v>
      </c>
      <c r="F701" s="435" t="s">
        <v>302</v>
      </c>
      <c r="G701" s="435" t="s">
        <v>306</v>
      </c>
      <c r="H701" s="436"/>
      <c r="I701" s="436"/>
      <c r="J701" s="436"/>
      <c r="K701" s="436">
        <v>0</v>
      </c>
      <c r="L701" s="437">
        <v>0</v>
      </c>
      <c r="M701" s="437">
        <v>83</v>
      </c>
      <c r="N701" s="437">
        <v>0</v>
      </c>
      <c r="O701" s="437">
        <v>0</v>
      </c>
      <c r="P701" s="437"/>
      <c r="Q701" s="437"/>
      <c r="R701" s="436"/>
      <c r="S701" s="436"/>
      <c r="T701" s="436"/>
      <c r="U701" s="436"/>
      <c r="V701" s="436"/>
      <c r="W701" s="436"/>
      <c r="X701" s="436"/>
      <c r="Y701" s="436">
        <f>IF(NFI_Expiration=1,IF($A701&lt;VLOOKUP(H$5,NFI,5,0),1,0)*Table_NFI[[#This Row],[Hygiene Kit]],Table_NFI[Hygiene Kit])</f>
        <v>0</v>
      </c>
      <c r="Z701" s="436">
        <f>IF(NFI_Expiration=1,IF($A701&lt;VLOOKUP(I$5,NFI,5,0),1,0)*Table_NFI[[#This Row],[NFI Core Kit]],Table_NFI[NFI Core Kit])</f>
        <v>0</v>
      </c>
      <c r="AA701" s="436">
        <f>IF(NFI_Expiration=1,IF($A701&lt;VLOOKUP(J$5,NFI,5,0),1,0)*Table_NFI[[#This Row],[Sanitary Kit]],Table_NFI[Sanitary Kit])</f>
        <v>0</v>
      </c>
      <c r="AB701" s="436">
        <f>IF(NFI_Expiration=1,IF($A701&lt;VLOOKUP(K$5,NFI,5,0),1,0)*Table_NFI[[#This Row],[Mosquito net]],Table_NFI[Mosquito net])</f>
        <v>0</v>
      </c>
      <c r="AC701" s="436">
        <f>IF(NFI_Expiration=1,IF($A701&lt;VLOOKUP(L$5,NFI,5,0),1,0)*Table_NFI[[#This Row],[Tarpaulin]],Table_NFI[[#This Row],[Tarpaulin]])</f>
        <v>0</v>
      </c>
      <c r="AD701" s="436">
        <f>IF(NFI_Expiration=1,IF($A701&lt;VLOOKUP(M$5,NFI,5,0),1,0)*Table_NFI[[#This Row],[Blanket]],Table_NFI[[#This Row],[Blanket]])</f>
        <v>0</v>
      </c>
      <c r="AE701" s="436">
        <f>IF(NFI_Expiration=1,IF($A701&lt;VLOOKUP(N$5,NFI,5,0),1,0)*Table_NFI[[#This Row],[Kitchen Set]],Table_NFI[Kitchen Set])</f>
        <v>0</v>
      </c>
      <c r="AF701" s="436">
        <f>IF(NFI_Expiration=1,IF($A701&lt;VLOOKUP(O$5,NFI,5,0),1,0)*Table_NFI[[#This Row],[Clothes Kit]],Table_NFI[Clothes Kit])</f>
        <v>0</v>
      </c>
      <c r="AG701" s="436">
        <f>IF(NFI_Expiration=1,IF($A701&lt;VLOOKUP(P$5,NFI,5,0),1,0)*Table_NFI[[#This Row],[Plastic Bucket]],Table_NFI[Plastic Bucket])</f>
        <v>0</v>
      </c>
      <c r="AH701" s="436">
        <f>IF(NFI_Expiration=1,IF($A701&lt;VLOOKUP(Q$5,NFI,5,0),1,0)*Table_NFI[[#This Row],[Plastic Mat]],Table_NFI[Plastic Mat])*IF(Table_NFI[[#This Row],[Distribution Date]]&gt;"2014-04-01",1,2.5)</f>
        <v>0</v>
      </c>
      <c r="AI701" s="436">
        <f>IF(NFI_Expiration=1,IF($A701&lt;VLOOKUP(R$5,NFI,5,0),1,0)*Table_NFI[[#This Row],[Winter Clothes Adult]],Table_NFI[Winter Clothes Adult])</f>
        <v>0</v>
      </c>
      <c r="AJ701" s="436">
        <f>IF(NFI_Expiration=1,IF($A701&lt;VLOOKUP(S$5,NFI,5,0),1,0)*Table_NFI[[#This Row],[Winter Clothes Children]],Table_NFI[Winter Clothes Children])</f>
        <v>0</v>
      </c>
      <c r="AK701" s="436">
        <f>IF(NFI_Expiration=1,IF($A701&lt;VLOOKUP(T$5,NFI,5,0),1,0)*Table_NFI[[#This Row],[Winter Items Other]],Table_NFI[Winter Items Other])</f>
        <v>0</v>
      </c>
      <c r="AL701" s="436">
        <f>IF(NFI_Expiration=1,IF($A701&lt;VLOOKUP(M$5,NFI,5,0),1,0)*Table_NFI[[#This Row],[Winter Blanket]],Table_NFI[[#This Row],[Winter Blanket]])</f>
        <v>0</v>
      </c>
      <c r="AM701" s="436">
        <f>IF(Table_NFI[[#This Row],[Winter Clothes Adult]]+Table_NFI[[#This Row],[Winter Clothes Children]]+Table_NFI[[#This Row],[Winter Items Other]]+Table_NFI[[#This Row],[Winter Blanket]]&gt;0,1,0)</f>
        <v>0</v>
      </c>
      <c r="AN701" s="439">
        <f>IF(NFI_Expiration=1,IF($A701&lt;VLOOKUP(V$5,NFI,5,0),1,0)*Table_NFI[[#This Row],[Jerry Can]],Table_NFI[Jerry Can])</f>
        <v>0</v>
      </c>
      <c r="AO701" s="771" t="str">
        <f>IFERROR(VLOOKUP(Table_NFI[[#This Row],[Camp Name]],CL,2,0),"")</f>
        <v>MMR001CMP067</v>
      </c>
      <c r="AP701" s="772">
        <f ca="1">IF(Table_NFI[[#This Row],[Pcode]]="","",IF(OFFSET(CampList[Opening Date],MATCH(Table_NFI[[#This Row],[Pcode]],CampList[CP_Pcode],0)-1,0,1,1)&gt;=NFI_Monitor_Date,1,0))</f>
        <v>0</v>
      </c>
      <c r="AQ701" s="781" t="str">
        <f>IFERROR(VLOOKUP(Table_NFI[[#This Row],[Camp Name]],CL,3,0),"")</f>
        <v>Open</v>
      </c>
      <c r="AR701" s="439" t="str">
        <f ca="1">IF(Table_NFI[[#This Row],[Pcode]]="","",OFFSET(CampList[Priority],MATCH(Table_NFI[[#This Row],[Pcode]],CampList[CP_Pcode],0)-1,0,1,1))</f>
        <v>P4</v>
      </c>
      <c r="AS701" s="438">
        <f>IFERROR(Table_NFI[[#This Row],[Kitchen Set]]/VLOOKUP(Table_NFI[[#This Row],[Camp Name]],CL,4,0),"")</f>
        <v>0</v>
      </c>
      <c r="AT701" s="769" t="s">
        <v>1099</v>
      </c>
      <c r="AU701" s="773"/>
    </row>
    <row r="702" spans="1:47" x14ac:dyDescent="0.25">
      <c r="A702" s="451">
        <f t="shared" si="10"/>
        <v>36.866666666666667</v>
      </c>
      <c r="B702" s="768">
        <v>41264</v>
      </c>
      <c r="C702" s="769" t="s">
        <v>454</v>
      </c>
      <c r="D702" s="769" t="s">
        <v>454</v>
      </c>
      <c r="E702" s="769" t="s">
        <v>380</v>
      </c>
      <c r="F702" s="769" t="s">
        <v>5</v>
      </c>
      <c r="G702" s="435" t="s">
        <v>18</v>
      </c>
      <c r="H702" s="436"/>
      <c r="I702" s="436"/>
      <c r="J702" s="436"/>
      <c r="K702" s="436">
        <v>0</v>
      </c>
      <c r="L702" s="437">
        <v>12</v>
      </c>
      <c r="M702" s="437">
        <v>0</v>
      </c>
      <c r="N702" s="437">
        <v>12</v>
      </c>
      <c r="O702" s="437">
        <v>12</v>
      </c>
      <c r="P702" s="437">
        <v>12</v>
      </c>
      <c r="Q702" s="437">
        <v>12</v>
      </c>
      <c r="R702" s="436"/>
      <c r="S702" s="436"/>
      <c r="T702" s="436"/>
      <c r="U702" s="436"/>
      <c r="V702" s="436"/>
      <c r="W702" s="436"/>
      <c r="X702" s="436"/>
      <c r="Y702" s="436">
        <f>IF(NFI_Expiration=1,IF($A702&lt;VLOOKUP(H$5,NFI,5,0),1,0)*Table_NFI[[#This Row],[Hygiene Kit]],Table_NFI[Hygiene Kit])</f>
        <v>0</v>
      </c>
      <c r="Z702" s="436">
        <f>IF(NFI_Expiration=1,IF($A702&lt;VLOOKUP(I$5,NFI,5,0),1,0)*Table_NFI[[#This Row],[NFI Core Kit]],Table_NFI[NFI Core Kit])</f>
        <v>0</v>
      </c>
      <c r="AA702" s="436">
        <f>IF(NFI_Expiration=1,IF($A702&lt;VLOOKUP(J$5,NFI,5,0),1,0)*Table_NFI[[#This Row],[Sanitary Kit]],Table_NFI[Sanitary Kit])</f>
        <v>0</v>
      </c>
      <c r="AB702" s="436">
        <f>IF(NFI_Expiration=1,IF($A702&lt;VLOOKUP(K$5,NFI,5,0),1,0)*Table_NFI[[#This Row],[Mosquito net]],Table_NFI[Mosquito net])</f>
        <v>0</v>
      </c>
      <c r="AC702" s="436">
        <f>IF(NFI_Expiration=1,IF($A702&lt;VLOOKUP(L$5,NFI,5,0),1,0)*Table_NFI[[#This Row],[Tarpaulin]],Table_NFI[[#This Row],[Tarpaulin]])</f>
        <v>0</v>
      </c>
      <c r="AD702" s="436">
        <f>IF(NFI_Expiration=1,IF($A702&lt;VLOOKUP(M$5,NFI,5,0),1,0)*Table_NFI[[#This Row],[Blanket]],Table_NFI[[#This Row],[Blanket]])</f>
        <v>0</v>
      </c>
      <c r="AE702" s="436">
        <f>IF(NFI_Expiration=1,IF($A702&lt;VLOOKUP(N$5,NFI,5,0),1,0)*Table_NFI[[#This Row],[Kitchen Set]],Table_NFI[Kitchen Set])</f>
        <v>0</v>
      </c>
      <c r="AF702" s="436">
        <f>IF(NFI_Expiration=1,IF($A702&lt;VLOOKUP(O$5,NFI,5,0),1,0)*Table_NFI[[#This Row],[Clothes Kit]],Table_NFI[Clothes Kit])</f>
        <v>0</v>
      </c>
      <c r="AG702" s="436">
        <f>IF(NFI_Expiration=1,IF($A702&lt;VLOOKUP(P$5,NFI,5,0),1,0)*Table_NFI[[#This Row],[Plastic Bucket]],Table_NFI[Plastic Bucket])</f>
        <v>0</v>
      </c>
      <c r="AH702" s="436">
        <f>IF(NFI_Expiration=1,IF($A702&lt;VLOOKUP(Q$5,NFI,5,0),1,0)*Table_NFI[[#This Row],[Plastic Mat]],Table_NFI[Plastic Mat])*IF(Table_NFI[[#This Row],[Distribution Date]]&gt;"2014-04-01",1,2.5)</f>
        <v>0</v>
      </c>
      <c r="AI702" s="436">
        <f>IF(NFI_Expiration=1,IF($A702&lt;VLOOKUP(R$5,NFI,5,0),1,0)*Table_NFI[[#This Row],[Winter Clothes Adult]],Table_NFI[Winter Clothes Adult])</f>
        <v>0</v>
      </c>
      <c r="AJ702" s="436">
        <f>IF(NFI_Expiration=1,IF($A702&lt;VLOOKUP(S$5,NFI,5,0),1,0)*Table_NFI[[#This Row],[Winter Clothes Children]],Table_NFI[Winter Clothes Children])</f>
        <v>0</v>
      </c>
      <c r="AK702" s="436">
        <f>IF(NFI_Expiration=1,IF($A702&lt;VLOOKUP(T$5,NFI,5,0),1,0)*Table_NFI[[#This Row],[Winter Items Other]],Table_NFI[Winter Items Other])</f>
        <v>0</v>
      </c>
      <c r="AL702" s="436">
        <f>IF(NFI_Expiration=1,IF($A702&lt;VLOOKUP(M$5,NFI,5,0),1,0)*Table_NFI[[#This Row],[Winter Blanket]],Table_NFI[[#This Row],[Winter Blanket]])</f>
        <v>0</v>
      </c>
      <c r="AM702" s="436">
        <f>IF(Table_NFI[[#This Row],[Winter Clothes Adult]]+Table_NFI[[#This Row],[Winter Clothes Children]]+Table_NFI[[#This Row],[Winter Items Other]]+Table_NFI[[#This Row],[Winter Blanket]]&gt;0,1,0)</f>
        <v>0</v>
      </c>
      <c r="AN702" s="439">
        <f>IF(NFI_Expiration=1,IF($A702&lt;VLOOKUP(V$5,NFI,5,0),1,0)*Table_NFI[[#This Row],[Jerry Can]],Table_NFI[Jerry Can])</f>
        <v>0</v>
      </c>
      <c r="AO702" s="771" t="str">
        <f>IFERROR(VLOOKUP(Table_NFI[[#This Row],[Camp Name]],CL,2,0),"")</f>
        <v>MMR001CMP049</v>
      </c>
      <c r="AP702" s="772">
        <f ca="1">IF(Table_NFI[[#This Row],[Pcode]]="","",IF(OFFSET(CampList[Opening Date],MATCH(Table_NFI[[#This Row],[Pcode]],CampList[CP_Pcode],0)-1,0,1,1)&gt;=NFI_Monitor_Date,1,0))</f>
        <v>0</v>
      </c>
      <c r="AQ702" s="781" t="str">
        <f>IFERROR(VLOOKUP(Table_NFI[[#This Row],[Camp Name]],CL,3,0),"")</f>
        <v>Open</v>
      </c>
      <c r="AR702" s="439" t="str">
        <f ca="1">IF(Table_NFI[[#This Row],[Pcode]]="","",OFFSET(CampList[Priority],MATCH(Table_NFI[[#This Row],[Pcode]],CampList[CP_Pcode],0)-1,0,1,1))</f>
        <v>P4</v>
      </c>
      <c r="AS702" s="438">
        <f>IFERROR(Table_NFI[[#This Row],[Kitchen Set]]/VLOOKUP(Table_NFI[[#This Row],[Camp Name]],CL,4,0),"")</f>
        <v>0.10344827586206896</v>
      </c>
      <c r="AT702" s="769" t="s">
        <v>1099</v>
      </c>
      <c r="AU702" s="773"/>
    </row>
    <row r="703" spans="1:47" x14ac:dyDescent="0.25">
      <c r="A703" s="451">
        <f t="shared" si="10"/>
        <v>36.866666666666667</v>
      </c>
      <c r="B703" s="768">
        <v>41264</v>
      </c>
      <c r="C703" s="769" t="s">
        <v>454</v>
      </c>
      <c r="D703" s="770" t="s">
        <v>454</v>
      </c>
      <c r="E703" s="769" t="s">
        <v>380</v>
      </c>
      <c r="F703" s="435" t="s">
        <v>5</v>
      </c>
      <c r="G703" s="435" t="s">
        <v>22</v>
      </c>
      <c r="H703" s="436"/>
      <c r="I703" s="436"/>
      <c r="J703" s="436"/>
      <c r="K703" s="436">
        <v>0</v>
      </c>
      <c r="L703" s="437">
        <v>0</v>
      </c>
      <c r="M703" s="437">
        <v>73</v>
      </c>
      <c r="N703" s="437">
        <v>0</v>
      </c>
      <c r="O703" s="437">
        <v>0</v>
      </c>
      <c r="P703" s="437"/>
      <c r="Q703" s="437"/>
      <c r="R703" s="436"/>
      <c r="S703" s="436"/>
      <c r="T703" s="436"/>
      <c r="U703" s="436"/>
      <c r="V703" s="436"/>
      <c r="W703" s="436"/>
      <c r="X703" s="436"/>
      <c r="Y703" s="436">
        <f>IF(NFI_Expiration=1,IF($A703&lt;VLOOKUP(H$5,NFI,5,0),1,0)*Table_NFI[[#This Row],[Hygiene Kit]],Table_NFI[Hygiene Kit])</f>
        <v>0</v>
      </c>
      <c r="Z703" s="436">
        <f>IF(NFI_Expiration=1,IF($A703&lt;VLOOKUP(I$5,NFI,5,0),1,0)*Table_NFI[[#This Row],[NFI Core Kit]],Table_NFI[NFI Core Kit])</f>
        <v>0</v>
      </c>
      <c r="AA703" s="436">
        <f>IF(NFI_Expiration=1,IF($A703&lt;VLOOKUP(J$5,NFI,5,0),1,0)*Table_NFI[[#This Row],[Sanitary Kit]],Table_NFI[Sanitary Kit])</f>
        <v>0</v>
      </c>
      <c r="AB703" s="436">
        <f>IF(NFI_Expiration=1,IF($A703&lt;VLOOKUP(K$5,NFI,5,0),1,0)*Table_NFI[[#This Row],[Mosquito net]],Table_NFI[Mosquito net])</f>
        <v>0</v>
      </c>
      <c r="AC703" s="436">
        <f>IF(NFI_Expiration=1,IF($A703&lt;VLOOKUP(L$5,NFI,5,0),1,0)*Table_NFI[[#This Row],[Tarpaulin]],Table_NFI[[#This Row],[Tarpaulin]])</f>
        <v>0</v>
      </c>
      <c r="AD703" s="436">
        <f>IF(NFI_Expiration=1,IF($A703&lt;VLOOKUP(M$5,NFI,5,0),1,0)*Table_NFI[[#This Row],[Blanket]],Table_NFI[[#This Row],[Blanket]])</f>
        <v>0</v>
      </c>
      <c r="AE703" s="436">
        <f>IF(NFI_Expiration=1,IF($A703&lt;VLOOKUP(N$5,NFI,5,0),1,0)*Table_NFI[[#This Row],[Kitchen Set]],Table_NFI[Kitchen Set])</f>
        <v>0</v>
      </c>
      <c r="AF703" s="436">
        <f>IF(NFI_Expiration=1,IF($A703&lt;VLOOKUP(O$5,NFI,5,0),1,0)*Table_NFI[[#This Row],[Clothes Kit]],Table_NFI[Clothes Kit])</f>
        <v>0</v>
      </c>
      <c r="AG703" s="436">
        <f>IF(NFI_Expiration=1,IF($A703&lt;VLOOKUP(P$5,NFI,5,0),1,0)*Table_NFI[[#This Row],[Plastic Bucket]],Table_NFI[Plastic Bucket])</f>
        <v>0</v>
      </c>
      <c r="AH703" s="436">
        <f>IF(NFI_Expiration=1,IF($A703&lt;VLOOKUP(Q$5,NFI,5,0),1,0)*Table_NFI[[#This Row],[Plastic Mat]],Table_NFI[Plastic Mat])*IF(Table_NFI[[#This Row],[Distribution Date]]&gt;"2014-04-01",1,2.5)</f>
        <v>0</v>
      </c>
      <c r="AI703" s="436">
        <f>IF(NFI_Expiration=1,IF($A703&lt;VLOOKUP(R$5,NFI,5,0),1,0)*Table_NFI[[#This Row],[Winter Clothes Adult]],Table_NFI[Winter Clothes Adult])</f>
        <v>0</v>
      </c>
      <c r="AJ703" s="436">
        <f>IF(NFI_Expiration=1,IF($A703&lt;VLOOKUP(S$5,NFI,5,0),1,0)*Table_NFI[[#This Row],[Winter Clothes Children]],Table_NFI[Winter Clothes Children])</f>
        <v>0</v>
      </c>
      <c r="AK703" s="436">
        <f>IF(NFI_Expiration=1,IF($A703&lt;VLOOKUP(T$5,NFI,5,0),1,0)*Table_NFI[[#This Row],[Winter Items Other]],Table_NFI[Winter Items Other])</f>
        <v>0</v>
      </c>
      <c r="AL703" s="436">
        <f>IF(NFI_Expiration=1,IF($A703&lt;VLOOKUP(M$5,NFI,5,0),1,0)*Table_NFI[[#This Row],[Winter Blanket]],Table_NFI[[#This Row],[Winter Blanket]])</f>
        <v>0</v>
      </c>
      <c r="AM703" s="436">
        <f>IF(Table_NFI[[#This Row],[Winter Clothes Adult]]+Table_NFI[[#This Row],[Winter Clothes Children]]+Table_NFI[[#This Row],[Winter Items Other]]+Table_NFI[[#This Row],[Winter Blanket]]&gt;0,1,0)</f>
        <v>0</v>
      </c>
      <c r="AN703" s="439">
        <f>IF(NFI_Expiration=1,IF($A703&lt;VLOOKUP(V$5,NFI,5,0),1,0)*Table_NFI[[#This Row],[Jerry Can]],Table_NFI[Jerry Can])</f>
        <v>0</v>
      </c>
      <c r="AO703" s="771" t="str">
        <f>IFERROR(VLOOKUP(Table_NFI[[#This Row],[Camp Name]],CL,2,0),"")</f>
        <v>MMR001CMP047</v>
      </c>
      <c r="AP703" s="772">
        <f ca="1">IF(Table_NFI[[#This Row],[Pcode]]="","",IF(OFFSET(CampList[Opening Date],MATCH(Table_NFI[[#This Row],[Pcode]],CampList[CP_Pcode],0)-1,0,1,1)&gt;=NFI_Monitor_Date,1,0))</f>
        <v>0</v>
      </c>
      <c r="AQ703" s="781" t="str">
        <f>IFERROR(VLOOKUP(Table_NFI[[#This Row],[Camp Name]],CL,3,0),"")</f>
        <v>Open</v>
      </c>
      <c r="AR703" s="439" t="str">
        <f ca="1">IF(Table_NFI[[#This Row],[Pcode]]="","",OFFSET(CampList[Priority],MATCH(Table_NFI[[#This Row],[Pcode]],CampList[CP_Pcode],0)-1,0,1,1))</f>
        <v>P4</v>
      </c>
      <c r="AS703" s="438">
        <f>IFERROR(Table_NFI[[#This Row],[Kitchen Set]]/VLOOKUP(Table_NFI[[#This Row],[Camp Name]],CL,4,0),"")</f>
        <v>0</v>
      </c>
      <c r="AT703" s="769" t="s">
        <v>1099</v>
      </c>
      <c r="AU703" s="773"/>
    </row>
    <row r="704" spans="1:47" x14ac:dyDescent="0.25">
      <c r="A704" s="451">
        <f t="shared" si="10"/>
        <v>36.866666666666667</v>
      </c>
      <c r="B704" s="768">
        <v>41264</v>
      </c>
      <c r="C704" s="769" t="s">
        <v>454</v>
      </c>
      <c r="D704" s="770" t="s">
        <v>454</v>
      </c>
      <c r="E704" s="769" t="s">
        <v>380</v>
      </c>
      <c r="F704" s="435" t="s">
        <v>5</v>
      </c>
      <c r="G704" s="435" t="s">
        <v>22</v>
      </c>
      <c r="H704" s="436"/>
      <c r="I704" s="436"/>
      <c r="J704" s="436"/>
      <c r="K704" s="436">
        <v>24</v>
      </c>
      <c r="L704" s="437">
        <v>12</v>
      </c>
      <c r="M704" s="437">
        <v>24</v>
      </c>
      <c r="N704" s="437">
        <v>12</v>
      </c>
      <c r="O704" s="437">
        <v>12</v>
      </c>
      <c r="P704" s="437">
        <v>12</v>
      </c>
      <c r="Q704" s="437">
        <v>12</v>
      </c>
      <c r="R704" s="436"/>
      <c r="S704" s="436"/>
      <c r="T704" s="436"/>
      <c r="U704" s="436"/>
      <c r="V704" s="436"/>
      <c r="W704" s="436"/>
      <c r="X704" s="436"/>
      <c r="Y704" s="436">
        <f>IF(NFI_Expiration=1,IF($A704&lt;VLOOKUP(H$5,NFI,5,0),1,0)*Table_NFI[[#This Row],[Hygiene Kit]],Table_NFI[Hygiene Kit])</f>
        <v>0</v>
      </c>
      <c r="Z704" s="436">
        <f>IF(NFI_Expiration=1,IF($A704&lt;VLOOKUP(I$5,NFI,5,0),1,0)*Table_NFI[[#This Row],[NFI Core Kit]],Table_NFI[NFI Core Kit])</f>
        <v>0</v>
      </c>
      <c r="AA704" s="436">
        <f>IF(NFI_Expiration=1,IF($A704&lt;VLOOKUP(J$5,NFI,5,0),1,0)*Table_NFI[[#This Row],[Sanitary Kit]],Table_NFI[Sanitary Kit])</f>
        <v>0</v>
      </c>
      <c r="AB704" s="436">
        <f>IF(NFI_Expiration=1,IF($A704&lt;VLOOKUP(K$5,NFI,5,0),1,0)*Table_NFI[[#This Row],[Mosquito net]],Table_NFI[Mosquito net])</f>
        <v>0</v>
      </c>
      <c r="AC704" s="436">
        <f>IF(NFI_Expiration=1,IF($A704&lt;VLOOKUP(L$5,NFI,5,0),1,0)*Table_NFI[[#This Row],[Tarpaulin]],Table_NFI[[#This Row],[Tarpaulin]])</f>
        <v>0</v>
      </c>
      <c r="AD704" s="436">
        <f>IF(NFI_Expiration=1,IF($A704&lt;VLOOKUP(M$5,NFI,5,0),1,0)*Table_NFI[[#This Row],[Blanket]],Table_NFI[[#This Row],[Blanket]])</f>
        <v>0</v>
      </c>
      <c r="AE704" s="436">
        <f>IF(NFI_Expiration=1,IF($A704&lt;VLOOKUP(N$5,NFI,5,0),1,0)*Table_NFI[[#This Row],[Kitchen Set]],Table_NFI[Kitchen Set])</f>
        <v>0</v>
      </c>
      <c r="AF704" s="436">
        <f>IF(NFI_Expiration=1,IF($A704&lt;VLOOKUP(O$5,NFI,5,0),1,0)*Table_NFI[[#This Row],[Clothes Kit]],Table_NFI[Clothes Kit])</f>
        <v>0</v>
      </c>
      <c r="AG704" s="436">
        <f>IF(NFI_Expiration=1,IF($A704&lt;VLOOKUP(P$5,NFI,5,0),1,0)*Table_NFI[[#This Row],[Plastic Bucket]],Table_NFI[Plastic Bucket])</f>
        <v>0</v>
      </c>
      <c r="AH704" s="436">
        <f>IF(NFI_Expiration=1,IF($A704&lt;VLOOKUP(Q$5,NFI,5,0),1,0)*Table_NFI[[#This Row],[Plastic Mat]],Table_NFI[Plastic Mat])*IF(Table_NFI[[#This Row],[Distribution Date]]&gt;"2014-04-01",1,2.5)</f>
        <v>0</v>
      </c>
      <c r="AI704" s="436">
        <f>IF(NFI_Expiration=1,IF($A704&lt;VLOOKUP(R$5,NFI,5,0),1,0)*Table_NFI[[#This Row],[Winter Clothes Adult]],Table_NFI[Winter Clothes Adult])</f>
        <v>0</v>
      </c>
      <c r="AJ704" s="436">
        <f>IF(NFI_Expiration=1,IF($A704&lt;VLOOKUP(S$5,NFI,5,0),1,0)*Table_NFI[[#This Row],[Winter Clothes Children]],Table_NFI[Winter Clothes Children])</f>
        <v>0</v>
      </c>
      <c r="AK704" s="436">
        <f>IF(NFI_Expiration=1,IF($A704&lt;VLOOKUP(T$5,NFI,5,0),1,0)*Table_NFI[[#This Row],[Winter Items Other]],Table_NFI[Winter Items Other])</f>
        <v>0</v>
      </c>
      <c r="AL704" s="436">
        <f>IF(NFI_Expiration=1,IF($A704&lt;VLOOKUP(M$5,NFI,5,0),1,0)*Table_NFI[[#This Row],[Winter Blanket]],Table_NFI[[#This Row],[Winter Blanket]])</f>
        <v>0</v>
      </c>
      <c r="AM704" s="436">
        <f>IF(Table_NFI[[#This Row],[Winter Clothes Adult]]+Table_NFI[[#This Row],[Winter Clothes Children]]+Table_NFI[[#This Row],[Winter Items Other]]+Table_NFI[[#This Row],[Winter Blanket]]&gt;0,1,0)</f>
        <v>0</v>
      </c>
      <c r="AN704" s="439">
        <f>IF(NFI_Expiration=1,IF($A704&lt;VLOOKUP(V$5,NFI,5,0),1,0)*Table_NFI[[#This Row],[Jerry Can]],Table_NFI[Jerry Can])</f>
        <v>0</v>
      </c>
      <c r="AO704" s="771" t="str">
        <f>IFERROR(VLOOKUP(Table_NFI[[#This Row],[Camp Name]],CL,2,0),"")</f>
        <v>MMR001CMP047</v>
      </c>
      <c r="AP704" s="772">
        <f ca="1">IF(Table_NFI[[#This Row],[Pcode]]="","",IF(OFFSET(CampList[Opening Date],MATCH(Table_NFI[[#This Row],[Pcode]],CampList[CP_Pcode],0)-1,0,1,1)&gt;=NFI_Monitor_Date,1,0))</f>
        <v>0</v>
      </c>
      <c r="AQ704" s="781" t="str">
        <f>IFERROR(VLOOKUP(Table_NFI[[#This Row],[Camp Name]],CL,3,0),"")</f>
        <v>Open</v>
      </c>
      <c r="AR704" s="439" t="str">
        <f ca="1">IF(Table_NFI[[#This Row],[Pcode]]="","",OFFSET(CampList[Priority],MATCH(Table_NFI[[#This Row],[Pcode]],CampList[CP_Pcode],0)-1,0,1,1))</f>
        <v>P4</v>
      </c>
      <c r="AS704" s="438">
        <f>IFERROR(Table_NFI[[#This Row],[Kitchen Set]]/VLOOKUP(Table_NFI[[#This Row],[Camp Name]],CL,4,0),"")</f>
        <v>1.8404907975460124E-2</v>
      </c>
      <c r="AT704" s="769" t="s">
        <v>1099</v>
      </c>
      <c r="AU704" s="773"/>
    </row>
    <row r="705" spans="1:47" x14ac:dyDescent="0.25">
      <c r="A705" s="451">
        <f t="shared" si="10"/>
        <v>36.866666666666667</v>
      </c>
      <c r="B705" s="768">
        <v>41264</v>
      </c>
      <c r="C705" s="769" t="s">
        <v>454</v>
      </c>
      <c r="D705" s="770" t="s">
        <v>454</v>
      </c>
      <c r="E705" s="769" t="s">
        <v>380</v>
      </c>
      <c r="F705" s="435" t="s">
        <v>5</v>
      </c>
      <c r="G705" s="435" t="s">
        <v>26</v>
      </c>
      <c r="H705" s="436"/>
      <c r="I705" s="436"/>
      <c r="J705" s="436"/>
      <c r="K705" s="436">
        <v>0</v>
      </c>
      <c r="L705" s="437">
        <v>3</v>
      </c>
      <c r="M705" s="437">
        <v>0</v>
      </c>
      <c r="N705" s="437">
        <v>3</v>
      </c>
      <c r="O705" s="437">
        <v>3</v>
      </c>
      <c r="P705" s="437">
        <v>3</v>
      </c>
      <c r="Q705" s="437">
        <v>3</v>
      </c>
      <c r="R705" s="436"/>
      <c r="S705" s="436"/>
      <c r="T705" s="436"/>
      <c r="U705" s="436"/>
      <c r="V705" s="436"/>
      <c r="W705" s="436"/>
      <c r="X705" s="436"/>
      <c r="Y705" s="436">
        <f>IF(NFI_Expiration=1,IF($A705&lt;VLOOKUP(H$5,NFI,5,0),1,0)*Table_NFI[[#This Row],[Hygiene Kit]],Table_NFI[Hygiene Kit])</f>
        <v>0</v>
      </c>
      <c r="Z705" s="436">
        <f>IF(NFI_Expiration=1,IF($A705&lt;VLOOKUP(I$5,NFI,5,0),1,0)*Table_NFI[[#This Row],[NFI Core Kit]],Table_NFI[NFI Core Kit])</f>
        <v>0</v>
      </c>
      <c r="AA705" s="436">
        <f>IF(NFI_Expiration=1,IF($A705&lt;VLOOKUP(J$5,NFI,5,0),1,0)*Table_NFI[[#This Row],[Sanitary Kit]],Table_NFI[Sanitary Kit])</f>
        <v>0</v>
      </c>
      <c r="AB705" s="436">
        <f>IF(NFI_Expiration=1,IF($A705&lt;VLOOKUP(K$5,NFI,5,0),1,0)*Table_NFI[[#This Row],[Mosquito net]],Table_NFI[Mosquito net])</f>
        <v>0</v>
      </c>
      <c r="AC705" s="436">
        <f>IF(NFI_Expiration=1,IF($A705&lt;VLOOKUP(L$5,NFI,5,0),1,0)*Table_NFI[[#This Row],[Tarpaulin]],Table_NFI[[#This Row],[Tarpaulin]])</f>
        <v>0</v>
      </c>
      <c r="AD705" s="436">
        <f>IF(NFI_Expiration=1,IF($A705&lt;VLOOKUP(M$5,NFI,5,0),1,0)*Table_NFI[[#This Row],[Blanket]],Table_NFI[[#This Row],[Blanket]])</f>
        <v>0</v>
      </c>
      <c r="AE705" s="436">
        <f>IF(NFI_Expiration=1,IF($A705&lt;VLOOKUP(N$5,NFI,5,0),1,0)*Table_NFI[[#This Row],[Kitchen Set]],Table_NFI[Kitchen Set])</f>
        <v>0</v>
      </c>
      <c r="AF705" s="436">
        <f>IF(NFI_Expiration=1,IF($A705&lt;VLOOKUP(O$5,NFI,5,0),1,0)*Table_NFI[[#This Row],[Clothes Kit]],Table_NFI[Clothes Kit])</f>
        <v>0</v>
      </c>
      <c r="AG705" s="436">
        <f>IF(NFI_Expiration=1,IF($A705&lt;VLOOKUP(P$5,NFI,5,0),1,0)*Table_NFI[[#This Row],[Plastic Bucket]],Table_NFI[Plastic Bucket])</f>
        <v>0</v>
      </c>
      <c r="AH705" s="436">
        <f>IF(NFI_Expiration=1,IF($A705&lt;VLOOKUP(Q$5,NFI,5,0),1,0)*Table_NFI[[#This Row],[Plastic Mat]],Table_NFI[Plastic Mat])*IF(Table_NFI[[#This Row],[Distribution Date]]&gt;"2014-04-01",1,2.5)</f>
        <v>0</v>
      </c>
      <c r="AI705" s="436">
        <f>IF(NFI_Expiration=1,IF($A705&lt;VLOOKUP(R$5,NFI,5,0),1,0)*Table_NFI[[#This Row],[Winter Clothes Adult]],Table_NFI[Winter Clothes Adult])</f>
        <v>0</v>
      </c>
      <c r="AJ705" s="436">
        <f>IF(NFI_Expiration=1,IF($A705&lt;VLOOKUP(S$5,NFI,5,0),1,0)*Table_NFI[[#This Row],[Winter Clothes Children]],Table_NFI[Winter Clothes Children])</f>
        <v>0</v>
      </c>
      <c r="AK705" s="436">
        <f>IF(NFI_Expiration=1,IF($A705&lt;VLOOKUP(T$5,NFI,5,0),1,0)*Table_NFI[[#This Row],[Winter Items Other]],Table_NFI[Winter Items Other])</f>
        <v>0</v>
      </c>
      <c r="AL705" s="436">
        <f>IF(NFI_Expiration=1,IF($A705&lt;VLOOKUP(M$5,NFI,5,0),1,0)*Table_NFI[[#This Row],[Winter Blanket]],Table_NFI[[#This Row],[Winter Blanket]])</f>
        <v>0</v>
      </c>
      <c r="AM705" s="436">
        <f>IF(Table_NFI[[#This Row],[Winter Clothes Adult]]+Table_NFI[[#This Row],[Winter Clothes Children]]+Table_NFI[[#This Row],[Winter Items Other]]+Table_NFI[[#This Row],[Winter Blanket]]&gt;0,1,0)</f>
        <v>0</v>
      </c>
      <c r="AN705" s="439">
        <f>IF(NFI_Expiration=1,IF($A705&lt;VLOOKUP(V$5,NFI,5,0),1,0)*Table_NFI[[#This Row],[Jerry Can]],Table_NFI[Jerry Can])</f>
        <v>0</v>
      </c>
      <c r="AO705" s="771" t="str">
        <f>IFERROR(VLOOKUP(Table_NFI[[#This Row],[Camp Name]],CL,2,0),"")</f>
        <v>MMR001CMP053</v>
      </c>
      <c r="AP705" s="772">
        <f ca="1">IF(Table_NFI[[#This Row],[Pcode]]="","",IF(OFFSET(CampList[Opening Date],MATCH(Table_NFI[[#This Row],[Pcode]],CampList[CP_Pcode],0)-1,0,1,1)&gt;=NFI_Monitor_Date,1,0))</f>
        <v>0</v>
      </c>
      <c r="AQ705" s="781" t="str">
        <f>IFERROR(VLOOKUP(Table_NFI[[#This Row],[Camp Name]],CL,3,0),"")</f>
        <v>Open</v>
      </c>
      <c r="AR705" s="439" t="str">
        <f ca="1">IF(Table_NFI[[#This Row],[Pcode]]="","",OFFSET(CampList[Priority],MATCH(Table_NFI[[#This Row],[Pcode]],CampList[CP_Pcode],0)-1,0,1,1))</f>
        <v>P4</v>
      </c>
      <c r="AS705" s="438">
        <f>IFERROR(Table_NFI[[#This Row],[Kitchen Set]]/VLOOKUP(Table_NFI[[#This Row],[Camp Name]],CL,4,0),"")</f>
        <v>0.2</v>
      </c>
      <c r="AT705" s="769" t="s">
        <v>1099</v>
      </c>
      <c r="AU705" s="773"/>
    </row>
    <row r="706" spans="1:47" x14ac:dyDescent="0.25">
      <c r="A706" s="451">
        <f t="shared" si="10"/>
        <v>36.9</v>
      </c>
      <c r="B706" s="768">
        <v>41263</v>
      </c>
      <c r="C706" s="769" t="s">
        <v>454</v>
      </c>
      <c r="D706" s="770" t="s">
        <v>462</v>
      </c>
      <c r="E706" s="769" t="s">
        <v>380</v>
      </c>
      <c r="F706" s="435" t="s">
        <v>529</v>
      </c>
      <c r="G706" s="435" t="s">
        <v>88</v>
      </c>
      <c r="H706" s="436"/>
      <c r="I706" s="441"/>
      <c r="J706" s="434"/>
      <c r="K706" s="434">
        <v>12</v>
      </c>
      <c r="L706" s="434">
        <v>0</v>
      </c>
      <c r="M706" s="434">
        <v>12</v>
      </c>
      <c r="N706" s="434">
        <v>0</v>
      </c>
      <c r="O706" s="434">
        <v>0</v>
      </c>
      <c r="P706" s="437"/>
      <c r="Q706" s="437"/>
      <c r="R706" s="436"/>
      <c r="S706" s="436"/>
      <c r="T706" s="436"/>
      <c r="U706" s="436"/>
      <c r="V706" s="436"/>
      <c r="W706" s="436"/>
      <c r="X706" s="436"/>
      <c r="Y706" s="436">
        <f>IF(NFI_Expiration=1,IF($A706&lt;VLOOKUP(H$5,NFI,5,0),1,0)*Table_NFI[[#This Row],[Hygiene Kit]],Table_NFI[Hygiene Kit])</f>
        <v>0</v>
      </c>
      <c r="Z706" s="436">
        <f>IF(NFI_Expiration=1,IF($A706&lt;VLOOKUP(I$5,NFI,5,0),1,0)*Table_NFI[[#This Row],[NFI Core Kit]],Table_NFI[NFI Core Kit])</f>
        <v>0</v>
      </c>
      <c r="AA706" s="436">
        <f>IF(NFI_Expiration=1,IF($A706&lt;VLOOKUP(J$5,NFI,5,0),1,0)*Table_NFI[[#This Row],[Sanitary Kit]],Table_NFI[Sanitary Kit])</f>
        <v>0</v>
      </c>
      <c r="AB706" s="436">
        <f>IF(NFI_Expiration=1,IF($A706&lt;VLOOKUP(K$5,NFI,5,0),1,0)*Table_NFI[[#This Row],[Mosquito net]],Table_NFI[Mosquito net])</f>
        <v>0</v>
      </c>
      <c r="AC706" s="436">
        <f>IF(NFI_Expiration=1,IF($A706&lt;VLOOKUP(L$5,NFI,5,0),1,0)*Table_NFI[[#This Row],[Tarpaulin]],Table_NFI[[#This Row],[Tarpaulin]])</f>
        <v>0</v>
      </c>
      <c r="AD706" s="436">
        <f>IF(NFI_Expiration=1,IF($A706&lt;VLOOKUP(M$5,NFI,5,0),1,0)*Table_NFI[[#This Row],[Blanket]],Table_NFI[[#This Row],[Blanket]])</f>
        <v>0</v>
      </c>
      <c r="AE706" s="436">
        <f>IF(NFI_Expiration=1,IF($A706&lt;VLOOKUP(N$5,NFI,5,0),1,0)*Table_NFI[[#This Row],[Kitchen Set]],Table_NFI[Kitchen Set])</f>
        <v>0</v>
      </c>
      <c r="AF706" s="436">
        <f>IF(NFI_Expiration=1,IF($A706&lt;VLOOKUP(O$5,NFI,5,0),1,0)*Table_NFI[[#This Row],[Clothes Kit]],Table_NFI[Clothes Kit])</f>
        <v>0</v>
      </c>
      <c r="AG706" s="436">
        <f>IF(NFI_Expiration=1,IF($A706&lt;VLOOKUP(P$5,NFI,5,0),1,0)*Table_NFI[[#This Row],[Plastic Bucket]],Table_NFI[Plastic Bucket])</f>
        <v>0</v>
      </c>
      <c r="AH706" s="436">
        <f>IF(NFI_Expiration=1,IF($A706&lt;VLOOKUP(Q$5,NFI,5,0),1,0)*Table_NFI[[#This Row],[Plastic Mat]],Table_NFI[Plastic Mat])*IF(Table_NFI[[#This Row],[Distribution Date]]&gt;"2014-04-01",1,2.5)</f>
        <v>0</v>
      </c>
      <c r="AI706" s="436">
        <f>IF(NFI_Expiration=1,IF($A706&lt;VLOOKUP(R$5,NFI,5,0),1,0)*Table_NFI[[#This Row],[Winter Clothes Adult]],Table_NFI[Winter Clothes Adult])</f>
        <v>0</v>
      </c>
      <c r="AJ706" s="436">
        <f>IF(NFI_Expiration=1,IF($A706&lt;VLOOKUP(S$5,NFI,5,0),1,0)*Table_NFI[[#This Row],[Winter Clothes Children]],Table_NFI[Winter Clothes Children])</f>
        <v>0</v>
      </c>
      <c r="AK706" s="436">
        <f>IF(NFI_Expiration=1,IF($A706&lt;VLOOKUP(T$5,NFI,5,0),1,0)*Table_NFI[[#This Row],[Winter Items Other]],Table_NFI[Winter Items Other])</f>
        <v>0</v>
      </c>
      <c r="AL706" s="436">
        <f>IF(NFI_Expiration=1,IF($A706&lt;VLOOKUP(M$5,NFI,5,0),1,0)*Table_NFI[[#This Row],[Winter Blanket]],Table_NFI[[#This Row],[Winter Blanket]])</f>
        <v>0</v>
      </c>
      <c r="AM706" s="436">
        <f>IF(Table_NFI[[#This Row],[Winter Clothes Adult]]+Table_NFI[[#This Row],[Winter Clothes Children]]+Table_NFI[[#This Row],[Winter Items Other]]+Table_NFI[[#This Row],[Winter Blanket]]&gt;0,1,0)</f>
        <v>0</v>
      </c>
      <c r="AN706" s="439">
        <f>IF(NFI_Expiration=1,IF($A706&lt;VLOOKUP(V$5,NFI,5,0),1,0)*Table_NFI[[#This Row],[Jerry Can]],Table_NFI[Jerry Can])</f>
        <v>0</v>
      </c>
      <c r="AO706" s="771" t="str">
        <f>IFERROR(VLOOKUP(Table_NFI[[#This Row],[Camp Name]],CL,2,0),"")</f>
        <v>MMR001CMP148</v>
      </c>
      <c r="AP706" s="772">
        <f ca="1">IF(Table_NFI[[#This Row],[Pcode]]="","",IF(OFFSET(CampList[Opening Date],MATCH(Table_NFI[[#This Row],[Pcode]],CampList[CP_Pcode],0)-1,0,1,1)&gt;=NFI_Monitor_Date,1,0))</f>
        <v>0</v>
      </c>
      <c r="AQ706" s="781" t="str">
        <f>IFERROR(VLOOKUP(Table_NFI[[#This Row],[Camp Name]],CL,3,0),"")</f>
        <v>Open</v>
      </c>
      <c r="AR706" s="439" t="str">
        <f ca="1">IF(Table_NFI[[#This Row],[Pcode]]="","",OFFSET(CampList[Priority],MATCH(Table_NFI[[#This Row],[Pcode]],CampList[CP_Pcode],0)-1,0,1,1))</f>
        <v>P4</v>
      </c>
      <c r="AS706" s="438">
        <f>IFERROR(Table_NFI[[#This Row],[Kitchen Set]]/VLOOKUP(Table_NFI[[#This Row],[Camp Name]],CL,4,0),"")</f>
        <v>0</v>
      </c>
      <c r="AT706" s="769" t="s">
        <v>1099</v>
      </c>
      <c r="AU706" s="773"/>
    </row>
    <row r="707" spans="1:47" x14ac:dyDescent="0.25">
      <c r="A707" s="451">
        <f t="shared" si="10"/>
        <v>36.9</v>
      </c>
      <c r="B707" s="768">
        <v>41263</v>
      </c>
      <c r="C707" s="769" t="s">
        <v>454</v>
      </c>
      <c r="D707" s="769" t="s">
        <v>454</v>
      </c>
      <c r="E707" s="769" t="s">
        <v>380</v>
      </c>
      <c r="F707" s="769" t="s">
        <v>237</v>
      </c>
      <c r="G707" s="435" t="s">
        <v>253</v>
      </c>
      <c r="H707" s="436"/>
      <c r="I707" s="436"/>
      <c r="J707" s="436"/>
      <c r="K707" s="436">
        <v>19</v>
      </c>
      <c r="L707" s="437">
        <v>10</v>
      </c>
      <c r="M707" s="437">
        <v>19</v>
      </c>
      <c r="N707" s="437">
        <v>10</v>
      </c>
      <c r="O707" s="437">
        <v>10</v>
      </c>
      <c r="P707" s="437">
        <v>10</v>
      </c>
      <c r="Q707" s="437">
        <v>10</v>
      </c>
      <c r="R707" s="436"/>
      <c r="S707" s="436"/>
      <c r="T707" s="436"/>
      <c r="U707" s="436"/>
      <c r="V707" s="436"/>
      <c r="W707" s="436"/>
      <c r="X707" s="436"/>
      <c r="Y707" s="436">
        <f>IF(NFI_Expiration=1,IF($A707&lt;VLOOKUP(H$5,NFI,5,0),1,0)*Table_NFI[[#This Row],[Hygiene Kit]],Table_NFI[Hygiene Kit])</f>
        <v>0</v>
      </c>
      <c r="Z707" s="436">
        <f>IF(NFI_Expiration=1,IF($A707&lt;VLOOKUP(I$5,NFI,5,0),1,0)*Table_NFI[[#This Row],[NFI Core Kit]],Table_NFI[NFI Core Kit])</f>
        <v>0</v>
      </c>
      <c r="AA707" s="436">
        <f>IF(NFI_Expiration=1,IF($A707&lt;VLOOKUP(J$5,NFI,5,0),1,0)*Table_NFI[[#This Row],[Sanitary Kit]],Table_NFI[Sanitary Kit])</f>
        <v>0</v>
      </c>
      <c r="AB707" s="436">
        <f>IF(NFI_Expiration=1,IF($A707&lt;VLOOKUP(K$5,NFI,5,0),1,0)*Table_NFI[[#This Row],[Mosquito net]],Table_NFI[Mosquito net])</f>
        <v>0</v>
      </c>
      <c r="AC707" s="436">
        <f>IF(NFI_Expiration=1,IF($A707&lt;VLOOKUP(L$5,NFI,5,0),1,0)*Table_NFI[[#This Row],[Tarpaulin]],Table_NFI[[#This Row],[Tarpaulin]])</f>
        <v>0</v>
      </c>
      <c r="AD707" s="436">
        <f>IF(NFI_Expiration=1,IF($A707&lt;VLOOKUP(M$5,NFI,5,0),1,0)*Table_NFI[[#This Row],[Blanket]],Table_NFI[[#This Row],[Blanket]])</f>
        <v>0</v>
      </c>
      <c r="AE707" s="436">
        <f>IF(NFI_Expiration=1,IF($A707&lt;VLOOKUP(N$5,NFI,5,0),1,0)*Table_NFI[[#This Row],[Kitchen Set]],Table_NFI[Kitchen Set])</f>
        <v>0</v>
      </c>
      <c r="AF707" s="436">
        <f>IF(NFI_Expiration=1,IF($A707&lt;VLOOKUP(O$5,NFI,5,0),1,0)*Table_NFI[[#This Row],[Clothes Kit]],Table_NFI[Clothes Kit])</f>
        <v>0</v>
      </c>
      <c r="AG707" s="436">
        <f>IF(NFI_Expiration=1,IF($A707&lt;VLOOKUP(P$5,NFI,5,0),1,0)*Table_NFI[[#This Row],[Plastic Bucket]],Table_NFI[Plastic Bucket])</f>
        <v>0</v>
      </c>
      <c r="AH707" s="436">
        <f>IF(NFI_Expiration=1,IF($A707&lt;VLOOKUP(Q$5,NFI,5,0),1,0)*Table_NFI[[#This Row],[Plastic Mat]],Table_NFI[Plastic Mat])*IF(Table_NFI[[#This Row],[Distribution Date]]&gt;"2014-04-01",1,2.5)</f>
        <v>0</v>
      </c>
      <c r="AI707" s="436">
        <f>IF(NFI_Expiration=1,IF($A707&lt;VLOOKUP(R$5,NFI,5,0),1,0)*Table_NFI[[#This Row],[Winter Clothes Adult]],Table_NFI[Winter Clothes Adult])</f>
        <v>0</v>
      </c>
      <c r="AJ707" s="436">
        <f>IF(NFI_Expiration=1,IF($A707&lt;VLOOKUP(S$5,NFI,5,0),1,0)*Table_NFI[[#This Row],[Winter Clothes Children]],Table_NFI[Winter Clothes Children])</f>
        <v>0</v>
      </c>
      <c r="AK707" s="436">
        <f>IF(NFI_Expiration=1,IF($A707&lt;VLOOKUP(T$5,NFI,5,0),1,0)*Table_NFI[[#This Row],[Winter Items Other]],Table_NFI[Winter Items Other])</f>
        <v>0</v>
      </c>
      <c r="AL707" s="436">
        <f>IF(NFI_Expiration=1,IF($A707&lt;VLOOKUP(M$5,NFI,5,0),1,0)*Table_NFI[[#This Row],[Winter Blanket]],Table_NFI[[#This Row],[Winter Blanket]])</f>
        <v>0</v>
      </c>
      <c r="AM707" s="436">
        <f>IF(Table_NFI[[#This Row],[Winter Clothes Adult]]+Table_NFI[[#This Row],[Winter Clothes Children]]+Table_NFI[[#This Row],[Winter Items Other]]+Table_NFI[[#This Row],[Winter Blanket]]&gt;0,1,0)</f>
        <v>0</v>
      </c>
      <c r="AN707" s="439">
        <f>IF(NFI_Expiration=1,IF($A707&lt;VLOOKUP(V$5,NFI,5,0),1,0)*Table_NFI[[#This Row],[Jerry Can]],Table_NFI[Jerry Can])</f>
        <v>0</v>
      </c>
      <c r="AO707" s="771" t="str">
        <f>IFERROR(VLOOKUP(Table_NFI[[#This Row],[Camp Name]],CL,2,0),"")</f>
        <v>MMR001CMP018</v>
      </c>
      <c r="AP707" s="772">
        <f ca="1">IF(Table_NFI[[#This Row],[Pcode]]="","",IF(OFFSET(CampList[Opening Date],MATCH(Table_NFI[[#This Row],[Pcode]],CampList[CP_Pcode],0)-1,0,1,1)&gt;=NFI_Monitor_Date,1,0))</f>
        <v>0</v>
      </c>
      <c r="AQ707" s="781" t="str">
        <f>IFERROR(VLOOKUP(Table_NFI[[#This Row],[Camp Name]],CL,3,0),"")</f>
        <v>Open</v>
      </c>
      <c r="AR707" s="439" t="str">
        <f ca="1">IF(Table_NFI[[#This Row],[Pcode]]="","",OFFSET(CampList[Priority],MATCH(Table_NFI[[#This Row],[Pcode]],CampList[CP_Pcode],0)-1,0,1,1))</f>
        <v>P4</v>
      </c>
      <c r="AS707" s="438">
        <f>IFERROR(Table_NFI[[#This Row],[Kitchen Set]]/VLOOKUP(Table_NFI[[#This Row],[Camp Name]],CL,4,0),"")</f>
        <v>4.9261083743842367E-2</v>
      </c>
      <c r="AT707" s="769" t="s">
        <v>1099</v>
      </c>
      <c r="AU707" s="773"/>
    </row>
    <row r="708" spans="1:47" x14ac:dyDescent="0.25">
      <c r="A708" s="451">
        <f t="shared" si="10"/>
        <v>36.93333333333333</v>
      </c>
      <c r="B708" s="768">
        <v>41262</v>
      </c>
      <c r="C708" s="769" t="s">
        <v>454</v>
      </c>
      <c r="D708" s="770" t="s">
        <v>454</v>
      </c>
      <c r="E708" s="769" t="s">
        <v>380</v>
      </c>
      <c r="F708" s="435" t="s">
        <v>237</v>
      </c>
      <c r="G708" s="435" t="s">
        <v>273</v>
      </c>
      <c r="H708" s="436"/>
      <c r="I708" s="441"/>
      <c r="J708" s="434"/>
      <c r="K708" s="434">
        <v>37</v>
      </c>
      <c r="L708" s="434">
        <v>10</v>
      </c>
      <c r="M708" s="434">
        <v>37</v>
      </c>
      <c r="N708" s="434">
        <v>10</v>
      </c>
      <c r="O708" s="434">
        <v>10</v>
      </c>
      <c r="P708" s="437">
        <v>10</v>
      </c>
      <c r="Q708" s="437">
        <v>10</v>
      </c>
      <c r="R708" s="436"/>
      <c r="S708" s="436"/>
      <c r="T708" s="436"/>
      <c r="U708" s="436"/>
      <c r="V708" s="436"/>
      <c r="W708" s="436"/>
      <c r="X708" s="436"/>
      <c r="Y708" s="436">
        <f>IF(NFI_Expiration=1,IF($A708&lt;VLOOKUP(H$5,NFI,5,0),1,0)*Table_NFI[[#This Row],[Hygiene Kit]],Table_NFI[Hygiene Kit])</f>
        <v>0</v>
      </c>
      <c r="Z708" s="436">
        <f>IF(NFI_Expiration=1,IF($A708&lt;VLOOKUP(I$5,NFI,5,0),1,0)*Table_NFI[[#This Row],[NFI Core Kit]],Table_NFI[NFI Core Kit])</f>
        <v>0</v>
      </c>
      <c r="AA708" s="436">
        <f>IF(NFI_Expiration=1,IF($A708&lt;VLOOKUP(J$5,NFI,5,0),1,0)*Table_NFI[[#This Row],[Sanitary Kit]],Table_NFI[Sanitary Kit])</f>
        <v>0</v>
      </c>
      <c r="AB708" s="436">
        <f>IF(NFI_Expiration=1,IF($A708&lt;VLOOKUP(K$5,NFI,5,0),1,0)*Table_NFI[[#This Row],[Mosquito net]],Table_NFI[Mosquito net])</f>
        <v>0</v>
      </c>
      <c r="AC708" s="436">
        <f>IF(NFI_Expiration=1,IF($A708&lt;VLOOKUP(L$5,NFI,5,0),1,0)*Table_NFI[[#This Row],[Tarpaulin]],Table_NFI[[#This Row],[Tarpaulin]])</f>
        <v>0</v>
      </c>
      <c r="AD708" s="436">
        <f>IF(NFI_Expiration=1,IF($A708&lt;VLOOKUP(M$5,NFI,5,0),1,0)*Table_NFI[[#This Row],[Blanket]],Table_NFI[[#This Row],[Blanket]])</f>
        <v>0</v>
      </c>
      <c r="AE708" s="436">
        <f>IF(NFI_Expiration=1,IF($A708&lt;VLOOKUP(N$5,NFI,5,0),1,0)*Table_NFI[[#This Row],[Kitchen Set]],Table_NFI[Kitchen Set])</f>
        <v>0</v>
      </c>
      <c r="AF708" s="436">
        <f>IF(NFI_Expiration=1,IF($A708&lt;VLOOKUP(O$5,NFI,5,0),1,0)*Table_NFI[[#This Row],[Clothes Kit]],Table_NFI[Clothes Kit])</f>
        <v>0</v>
      </c>
      <c r="AG708" s="436">
        <f>IF(NFI_Expiration=1,IF($A708&lt;VLOOKUP(P$5,NFI,5,0),1,0)*Table_NFI[[#This Row],[Plastic Bucket]],Table_NFI[Plastic Bucket])</f>
        <v>0</v>
      </c>
      <c r="AH708" s="436">
        <f>IF(NFI_Expiration=1,IF($A708&lt;VLOOKUP(Q$5,NFI,5,0),1,0)*Table_NFI[[#This Row],[Plastic Mat]],Table_NFI[Plastic Mat])*IF(Table_NFI[[#This Row],[Distribution Date]]&gt;"2014-04-01",1,2.5)</f>
        <v>0</v>
      </c>
      <c r="AI708" s="436">
        <f>IF(NFI_Expiration=1,IF($A708&lt;VLOOKUP(R$5,NFI,5,0),1,0)*Table_NFI[[#This Row],[Winter Clothes Adult]],Table_NFI[Winter Clothes Adult])</f>
        <v>0</v>
      </c>
      <c r="AJ708" s="436">
        <f>IF(NFI_Expiration=1,IF($A708&lt;VLOOKUP(S$5,NFI,5,0),1,0)*Table_NFI[[#This Row],[Winter Clothes Children]],Table_NFI[Winter Clothes Children])</f>
        <v>0</v>
      </c>
      <c r="AK708" s="436">
        <f>IF(NFI_Expiration=1,IF($A708&lt;VLOOKUP(T$5,NFI,5,0),1,0)*Table_NFI[[#This Row],[Winter Items Other]],Table_NFI[Winter Items Other])</f>
        <v>0</v>
      </c>
      <c r="AL708" s="436">
        <f>IF(NFI_Expiration=1,IF($A708&lt;VLOOKUP(M$5,NFI,5,0),1,0)*Table_NFI[[#This Row],[Winter Blanket]],Table_NFI[[#This Row],[Winter Blanket]])</f>
        <v>0</v>
      </c>
      <c r="AM708" s="436">
        <f>IF(Table_NFI[[#This Row],[Winter Clothes Adult]]+Table_NFI[[#This Row],[Winter Clothes Children]]+Table_NFI[[#This Row],[Winter Items Other]]+Table_NFI[[#This Row],[Winter Blanket]]&gt;0,1,0)</f>
        <v>0</v>
      </c>
      <c r="AN708" s="439">
        <f>IF(NFI_Expiration=1,IF($A708&lt;VLOOKUP(V$5,NFI,5,0),1,0)*Table_NFI[[#This Row],[Jerry Can]],Table_NFI[Jerry Can])</f>
        <v>0</v>
      </c>
      <c r="AO708" s="771" t="str">
        <f>IFERROR(VLOOKUP(Table_NFI[[#This Row],[Camp Name]],CL,2,0),"")</f>
        <v>MMR001CMP162</v>
      </c>
      <c r="AP708" s="772">
        <f ca="1">IF(Table_NFI[[#This Row],[Pcode]]="","",IF(OFFSET(CampList[Opening Date],MATCH(Table_NFI[[#This Row],[Pcode]],CampList[CP_Pcode],0)-1,0,1,1)&gt;=NFI_Monitor_Date,1,0))</f>
        <v>0</v>
      </c>
      <c r="AQ708" s="781" t="str">
        <f>IFERROR(VLOOKUP(Table_NFI[[#This Row],[Camp Name]],CL,3,0),"")</f>
        <v>Open</v>
      </c>
      <c r="AR708" s="439" t="str">
        <f ca="1">IF(Table_NFI[[#This Row],[Pcode]]="","",OFFSET(CampList[Priority],MATCH(Table_NFI[[#This Row],[Pcode]],CampList[CP_Pcode],0)-1,0,1,1))</f>
        <v>P4</v>
      </c>
      <c r="AS708" s="438">
        <f>IFERROR(Table_NFI[[#This Row],[Kitchen Set]]/VLOOKUP(Table_NFI[[#This Row],[Camp Name]],CL,4,0),"")</f>
        <v>0.22222222222222221</v>
      </c>
      <c r="AT708" s="769" t="s">
        <v>1099</v>
      </c>
      <c r="AU708" s="773"/>
    </row>
    <row r="709" spans="1:47" x14ac:dyDescent="0.25">
      <c r="A709" s="451">
        <f t="shared" si="10"/>
        <v>36.966666666666669</v>
      </c>
      <c r="B709" s="768">
        <v>41261</v>
      </c>
      <c r="C709" s="769" t="s">
        <v>454</v>
      </c>
      <c r="D709" s="770" t="s">
        <v>454</v>
      </c>
      <c r="E709" s="769" t="s">
        <v>380</v>
      </c>
      <c r="F709" s="435" t="s">
        <v>237</v>
      </c>
      <c r="G709" s="435" t="s">
        <v>281</v>
      </c>
      <c r="H709" s="436"/>
      <c r="I709" s="436"/>
      <c r="J709" s="436"/>
      <c r="K709" s="436">
        <v>30</v>
      </c>
      <c r="L709" s="437">
        <v>20</v>
      </c>
      <c r="M709" s="437">
        <v>30</v>
      </c>
      <c r="N709" s="437">
        <v>20</v>
      </c>
      <c r="O709" s="437">
        <v>20</v>
      </c>
      <c r="P709" s="437">
        <v>20</v>
      </c>
      <c r="Q709" s="437">
        <v>20</v>
      </c>
      <c r="R709" s="436"/>
      <c r="S709" s="436"/>
      <c r="T709" s="436"/>
      <c r="U709" s="436"/>
      <c r="V709" s="436"/>
      <c r="W709" s="436"/>
      <c r="X709" s="436"/>
      <c r="Y709" s="436">
        <f>IF(NFI_Expiration=1,IF($A709&lt;VLOOKUP(H$5,NFI,5,0),1,0)*Table_NFI[[#This Row],[Hygiene Kit]],Table_NFI[Hygiene Kit])</f>
        <v>0</v>
      </c>
      <c r="Z709" s="436">
        <f>IF(NFI_Expiration=1,IF($A709&lt;VLOOKUP(I$5,NFI,5,0),1,0)*Table_NFI[[#This Row],[NFI Core Kit]],Table_NFI[NFI Core Kit])</f>
        <v>0</v>
      </c>
      <c r="AA709" s="436">
        <f>IF(NFI_Expiration=1,IF($A709&lt;VLOOKUP(J$5,NFI,5,0),1,0)*Table_NFI[[#This Row],[Sanitary Kit]],Table_NFI[Sanitary Kit])</f>
        <v>0</v>
      </c>
      <c r="AB709" s="436">
        <f>IF(NFI_Expiration=1,IF($A709&lt;VLOOKUP(K$5,NFI,5,0),1,0)*Table_NFI[[#This Row],[Mosquito net]],Table_NFI[Mosquito net])</f>
        <v>0</v>
      </c>
      <c r="AC709" s="436">
        <f>IF(NFI_Expiration=1,IF($A709&lt;VLOOKUP(L$5,NFI,5,0),1,0)*Table_NFI[[#This Row],[Tarpaulin]],Table_NFI[[#This Row],[Tarpaulin]])</f>
        <v>0</v>
      </c>
      <c r="AD709" s="436">
        <f>IF(NFI_Expiration=1,IF($A709&lt;VLOOKUP(M$5,NFI,5,0),1,0)*Table_NFI[[#This Row],[Blanket]],Table_NFI[[#This Row],[Blanket]])</f>
        <v>0</v>
      </c>
      <c r="AE709" s="436">
        <f>IF(NFI_Expiration=1,IF($A709&lt;VLOOKUP(N$5,NFI,5,0),1,0)*Table_NFI[[#This Row],[Kitchen Set]],Table_NFI[Kitchen Set])</f>
        <v>0</v>
      </c>
      <c r="AF709" s="436">
        <f>IF(NFI_Expiration=1,IF($A709&lt;VLOOKUP(O$5,NFI,5,0),1,0)*Table_NFI[[#This Row],[Clothes Kit]],Table_NFI[Clothes Kit])</f>
        <v>0</v>
      </c>
      <c r="AG709" s="436">
        <f>IF(NFI_Expiration=1,IF($A709&lt;VLOOKUP(P$5,NFI,5,0),1,0)*Table_NFI[[#This Row],[Plastic Bucket]],Table_NFI[Plastic Bucket])</f>
        <v>0</v>
      </c>
      <c r="AH709" s="436">
        <f>IF(NFI_Expiration=1,IF($A709&lt;VLOOKUP(Q$5,NFI,5,0),1,0)*Table_NFI[[#This Row],[Plastic Mat]],Table_NFI[Plastic Mat])*IF(Table_NFI[[#This Row],[Distribution Date]]&gt;"2014-04-01",1,2.5)</f>
        <v>0</v>
      </c>
      <c r="AI709" s="436">
        <f>IF(NFI_Expiration=1,IF($A709&lt;VLOOKUP(R$5,NFI,5,0),1,0)*Table_NFI[[#This Row],[Winter Clothes Adult]],Table_NFI[Winter Clothes Adult])</f>
        <v>0</v>
      </c>
      <c r="AJ709" s="436">
        <f>IF(NFI_Expiration=1,IF($A709&lt;VLOOKUP(S$5,NFI,5,0),1,0)*Table_NFI[[#This Row],[Winter Clothes Children]],Table_NFI[Winter Clothes Children])</f>
        <v>0</v>
      </c>
      <c r="AK709" s="436">
        <f>IF(NFI_Expiration=1,IF($A709&lt;VLOOKUP(T$5,NFI,5,0),1,0)*Table_NFI[[#This Row],[Winter Items Other]],Table_NFI[Winter Items Other])</f>
        <v>0</v>
      </c>
      <c r="AL709" s="436">
        <f>IF(NFI_Expiration=1,IF($A709&lt;VLOOKUP(M$5,NFI,5,0),1,0)*Table_NFI[[#This Row],[Winter Blanket]],Table_NFI[[#This Row],[Winter Blanket]])</f>
        <v>0</v>
      </c>
      <c r="AM709" s="436">
        <f>IF(Table_NFI[[#This Row],[Winter Clothes Adult]]+Table_NFI[[#This Row],[Winter Clothes Children]]+Table_NFI[[#This Row],[Winter Items Other]]+Table_NFI[[#This Row],[Winter Blanket]]&gt;0,1,0)</f>
        <v>0</v>
      </c>
      <c r="AN709" s="439">
        <f>IF(NFI_Expiration=1,IF($A709&lt;VLOOKUP(V$5,NFI,5,0),1,0)*Table_NFI[[#This Row],[Jerry Can]],Table_NFI[Jerry Can])</f>
        <v>0</v>
      </c>
      <c r="AO709" s="771" t="str">
        <f>IFERROR(VLOOKUP(Table_NFI[[#This Row],[Camp Name]],CL,2,0),"")</f>
        <v>MMR001CMP009</v>
      </c>
      <c r="AP709" s="772">
        <f ca="1">IF(Table_NFI[[#This Row],[Pcode]]="","",IF(OFFSET(CampList[Opening Date],MATCH(Table_NFI[[#This Row],[Pcode]],CampList[CP_Pcode],0)-1,0,1,1)&gt;=NFI_Monitor_Date,1,0))</f>
        <v>0</v>
      </c>
      <c r="AQ709" s="781" t="str">
        <f>IFERROR(VLOOKUP(Table_NFI[[#This Row],[Camp Name]],CL,3,0),"")</f>
        <v>Open</v>
      </c>
      <c r="AR709" s="439" t="str">
        <f ca="1">IF(Table_NFI[[#This Row],[Pcode]]="","",OFFSET(CampList[Priority],MATCH(Table_NFI[[#This Row],[Pcode]],CampList[CP_Pcode],0)-1,0,1,1))</f>
        <v>P4</v>
      </c>
      <c r="AS709" s="438">
        <f>IFERROR(Table_NFI[[#This Row],[Kitchen Set]]/VLOOKUP(Table_NFI[[#This Row],[Camp Name]],CL,4,0),"")</f>
        <v>0.22222222222222221</v>
      </c>
      <c r="AT709" s="769" t="s">
        <v>1099</v>
      </c>
      <c r="AU709" s="773"/>
    </row>
    <row r="710" spans="1:47" x14ac:dyDescent="0.25">
      <c r="A710" s="451">
        <f t="shared" ref="A710:A773" si="11">IF(ISBLANK(B710),"",(Report_Date-B710)/30)</f>
        <v>37.06666666666667</v>
      </c>
      <c r="B710" s="768">
        <v>41258</v>
      </c>
      <c r="C710" s="769" t="s">
        <v>912</v>
      </c>
      <c r="D710" s="770" t="s">
        <v>912</v>
      </c>
      <c r="E710" s="769" t="s">
        <v>380</v>
      </c>
      <c r="F710" s="435" t="s">
        <v>151</v>
      </c>
      <c r="G710" s="435" t="s">
        <v>188</v>
      </c>
      <c r="H710" s="436">
        <v>587</v>
      </c>
      <c r="I710" s="436"/>
      <c r="J710" s="436">
        <v>855</v>
      </c>
      <c r="K710" s="436"/>
      <c r="L710" s="437"/>
      <c r="M710" s="437"/>
      <c r="N710" s="437"/>
      <c r="O710" s="437"/>
      <c r="P710" s="437">
        <v>0</v>
      </c>
      <c r="Q710" s="437">
        <v>0</v>
      </c>
      <c r="R710" s="436"/>
      <c r="S710" s="436"/>
      <c r="T710" s="436"/>
      <c r="U710" s="436"/>
      <c r="V710" s="436"/>
      <c r="W710" s="436"/>
      <c r="X710" s="436"/>
      <c r="Y710" s="436">
        <f>IF(NFI_Expiration=1,IF($A710&lt;VLOOKUP(H$5,NFI,5,0),1,0)*Table_NFI[[#This Row],[Hygiene Kit]],Table_NFI[Hygiene Kit])</f>
        <v>0</v>
      </c>
      <c r="Z710" s="436">
        <f>IF(NFI_Expiration=1,IF($A710&lt;VLOOKUP(I$5,NFI,5,0),1,0)*Table_NFI[[#This Row],[NFI Core Kit]],Table_NFI[NFI Core Kit])</f>
        <v>0</v>
      </c>
      <c r="AA710" s="436">
        <f>IF(NFI_Expiration=1,IF($A710&lt;VLOOKUP(J$5,NFI,5,0),1,0)*Table_NFI[[#This Row],[Sanitary Kit]],Table_NFI[Sanitary Kit])</f>
        <v>0</v>
      </c>
      <c r="AB710" s="436">
        <f>IF(NFI_Expiration=1,IF($A710&lt;VLOOKUP(K$5,NFI,5,0),1,0)*Table_NFI[[#This Row],[Mosquito net]],Table_NFI[Mosquito net])</f>
        <v>0</v>
      </c>
      <c r="AC710" s="436">
        <f>IF(NFI_Expiration=1,IF($A710&lt;VLOOKUP(L$5,NFI,5,0),1,0)*Table_NFI[[#This Row],[Tarpaulin]],Table_NFI[[#This Row],[Tarpaulin]])</f>
        <v>0</v>
      </c>
      <c r="AD710" s="436">
        <f>IF(NFI_Expiration=1,IF($A710&lt;VLOOKUP(M$5,NFI,5,0),1,0)*Table_NFI[[#This Row],[Blanket]],Table_NFI[[#This Row],[Blanket]])</f>
        <v>0</v>
      </c>
      <c r="AE710" s="436">
        <f>IF(NFI_Expiration=1,IF($A710&lt;VLOOKUP(N$5,NFI,5,0),1,0)*Table_NFI[[#This Row],[Kitchen Set]],Table_NFI[Kitchen Set])</f>
        <v>0</v>
      </c>
      <c r="AF710" s="436">
        <f>IF(NFI_Expiration=1,IF($A710&lt;VLOOKUP(O$5,NFI,5,0),1,0)*Table_NFI[[#This Row],[Clothes Kit]],Table_NFI[Clothes Kit])</f>
        <v>0</v>
      </c>
      <c r="AG710" s="436">
        <f>IF(NFI_Expiration=1,IF($A710&lt;VLOOKUP(P$5,NFI,5,0),1,0)*Table_NFI[[#This Row],[Plastic Bucket]],Table_NFI[Plastic Bucket])</f>
        <v>0</v>
      </c>
      <c r="AH710" s="436">
        <f>IF(NFI_Expiration=1,IF($A710&lt;VLOOKUP(Q$5,NFI,5,0),1,0)*Table_NFI[[#This Row],[Plastic Mat]],Table_NFI[Plastic Mat])*IF(Table_NFI[[#This Row],[Distribution Date]]&gt;"2014-04-01",1,2.5)</f>
        <v>0</v>
      </c>
      <c r="AI710" s="436">
        <f>IF(NFI_Expiration=1,IF($A710&lt;VLOOKUP(R$5,NFI,5,0),1,0)*Table_NFI[[#This Row],[Winter Clothes Adult]],Table_NFI[Winter Clothes Adult])</f>
        <v>0</v>
      </c>
      <c r="AJ710" s="436">
        <f>IF(NFI_Expiration=1,IF($A710&lt;VLOOKUP(S$5,NFI,5,0),1,0)*Table_NFI[[#This Row],[Winter Clothes Children]],Table_NFI[Winter Clothes Children])</f>
        <v>0</v>
      </c>
      <c r="AK710" s="436">
        <f>IF(NFI_Expiration=1,IF($A710&lt;VLOOKUP(T$5,NFI,5,0),1,0)*Table_NFI[[#This Row],[Winter Items Other]],Table_NFI[Winter Items Other])</f>
        <v>0</v>
      </c>
      <c r="AL710" s="436">
        <f>IF(NFI_Expiration=1,IF($A710&lt;VLOOKUP(M$5,NFI,5,0),1,0)*Table_NFI[[#This Row],[Winter Blanket]],Table_NFI[[#This Row],[Winter Blanket]])</f>
        <v>0</v>
      </c>
      <c r="AM710" s="436">
        <f>IF(Table_NFI[[#This Row],[Winter Clothes Adult]]+Table_NFI[[#This Row],[Winter Clothes Children]]+Table_NFI[[#This Row],[Winter Items Other]]+Table_NFI[[#This Row],[Winter Blanket]]&gt;0,1,0)</f>
        <v>0</v>
      </c>
      <c r="AN710" s="439">
        <f>IF(NFI_Expiration=1,IF($A710&lt;VLOOKUP(V$5,NFI,5,0),1,0)*Table_NFI[[#This Row],[Jerry Can]],Table_NFI[Jerry Can])</f>
        <v>0</v>
      </c>
      <c r="AO710" s="771" t="str">
        <f>IFERROR(VLOOKUP(Table_NFI[[#This Row],[Camp Name]],CL,2,0),"")</f>
        <v>MMR001CMP129</v>
      </c>
      <c r="AP710" s="772">
        <f ca="1">IF(Table_NFI[[#This Row],[Pcode]]="","",IF(OFFSET(CampList[Opening Date],MATCH(Table_NFI[[#This Row],[Pcode]],CampList[CP_Pcode],0)-1,0,1,1)&gt;=NFI_Monitor_Date,1,0))</f>
        <v>0</v>
      </c>
      <c r="AQ710" s="771" t="str">
        <f>IFERROR(VLOOKUP(Table_NFI[[#This Row],[Camp Name]],CL,3,0),"")</f>
        <v>Open</v>
      </c>
      <c r="AR710" s="436" t="str">
        <f ca="1">IF(Table_NFI[[#This Row],[Pcode]]="","",OFFSET(CampList[Priority],MATCH(Table_NFI[[#This Row],[Pcode]],CampList[CP_Pcode],0)-1,0,1,1))</f>
        <v>P2</v>
      </c>
      <c r="AS710" s="438">
        <f>IFERROR(Table_NFI[[#This Row],[Kitchen Set]]/VLOOKUP(Table_NFI[[#This Row],[Camp Name]],CL,4,0),"")</f>
        <v>0</v>
      </c>
      <c r="AT710" s="769" t="s">
        <v>1099</v>
      </c>
      <c r="AU710" s="773"/>
    </row>
    <row r="711" spans="1:47" x14ac:dyDescent="0.25">
      <c r="A711" s="451">
        <f t="shared" si="11"/>
        <v>37.133333333333333</v>
      </c>
      <c r="B711" s="768">
        <v>41256</v>
      </c>
      <c r="C711" s="769" t="s">
        <v>454</v>
      </c>
      <c r="D711" s="770" t="s">
        <v>454</v>
      </c>
      <c r="E711" s="769" t="s">
        <v>380</v>
      </c>
      <c r="F711" s="435" t="s">
        <v>237</v>
      </c>
      <c r="G711" s="435" t="s">
        <v>271</v>
      </c>
      <c r="H711" s="436"/>
      <c r="I711" s="436"/>
      <c r="J711" s="436"/>
      <c r="K711" s="436">
        <v>16</v>
      </c>
      <c r="L711" s="437">
        <v>7</v>
      </c>
      <c r="M711" s="437">
        <v>16</v>
      </c>
      <c r="N711" s="437">
        <v>7</v>
      </c>
      <c r="O711" s="437">
        <v>7</v>
      </c>
      <c r="P711" s="437">
        <v>7</v>
      </c>
      <c r="Q711" s="437">
        <v>7</v>
      </c>
      <c r="R711" s="436"/>
      <c r="S711" s="436"/>
      <c r="T711" s="436"/>
      <c r="U711" s="436"/>
      <c r="V711" s="436"/>
      <c r="W711" s="436"/>
      <c r="X711" s="436"/>
      <c r="Y711" s="436">
        <f>IF(NFI_Expiration=1,IF($A711&lt;VLOOKUP(H$5,NFI,5,0),1,0)*Table_NFI[[#This Row],[Hygiene Kit]],Table_NFI[Hygiene Kit])</f>
        <v>0</v>
      </c>
      <c r="Z711" s="436">
        <f>IF(NFI_Expiration=1,IF($A711&lt;VLOOKUP(I$5,NFI,5,0),1,0)*Table_NFI[[#This Row],[NFI Core Kit]],Table_NFI[NFI Core Kit])</f>
        <v>0</v>
      </c>
      <c r="AA711" s="436">
        <f>IF(NFI_Expiration=1,IF($A711&lt;VLOOKUP(J$5,NFI,5,0),1,0)*Table_NFI[[#This Row],[Sanitary Kit]],Table_NFI[Sanitary Kit])</f>
        <v>0</v>
      </c>
      <c r="AB711" s="436">
        <f>IF(NFI_Expiration=1,IF($A711&lt;VLOOKUP(K$5,NFI,5,0),1,0)*Table_NFI[[#This Row],[Mosquito net]],Table_NFI[Mosquito net])</f>
        <v>0</v>
      </c>
      <c r="AC711" s="436">
        <f>IF(NFI_Expiration=1,IF($A711&lt;VLOOKUP(L$5,NFI,5,0),1,0)*Table_NFI[[#This Row],[Tarpaulin]],Table_NFI[[#This Row],[Tarpaulin]])</f>
        <v>0</v>
      </c>
      <c r="AD711" s="436">
        <f>IF(NFI_Expiration=1,IF($A711&lt;VLOOKUP(M$5,NFI,5,0),1,0)*Table_NFI[[#This Row],[Blanket]],Table_NFI[[#This Row],[Blanket]])</f>
        <v>0</v>
      </c>
      <c r="AE711" s="436">
        <f>IF(NFI_Expiration=1,IF($A711&lt;VLOOKUP(N$5,NFI,5,0),1,0)*Table_NFI[[#This Row],[Kitchen Set]],Table_NFI[Kitchen Set])</f>
        <v>0</v>
      </c>
      <c r="AF711" s="436">
        <f>IF(NFI_Expiration=1,IF($A711&lt;VLOOKUP(O$5,NFI,5,0),1,0)*Table_NFI[[#This Row],[Clothes Kit]],Table_NFI[Clothes Kit])</f>
        <v>0</v>
      </c>
      <c r="AG711" s="436">
        <f>IF(NFI_Expiration=1,IF($A711&lt;VLOOKUP(P$5,NFI,5,0),1,0)*Table_NFI[[#This Row],[Plastic Bucket]],Table_NFI[Plastic Bucket])</f>
        <v>0</v>
      </c>
      <c r="AH711" s="436">
        <f>IF(NFI_Expiration=1,IF($A711&lt;VLOOKUP(Q$5,NFI,5,0),1,0)*Table_NFI[[#This Row],[Plastic Mat]],Table_NFI[Plastic Mat])*IF(Table_NFI[[#This Row],[Distribution Date]]&gt;"2014-04-01",1,2.5)</f>
        <v>0</v>
      </c>
      <c r="AI711" s="436">
        <f>IF(NFI_Expiration=1,IF($A711&lt;VLOOKUP(R$5,NFI,5,0),1,0)*Table_NFI[[#This Row],[Winter Clothes Adult]],Table_NFI[Winter Clothes Adult])</f>
        <v>0</v>
      </c>
      <c r="AJ711" s="436">
        <f>IF(NFI_Expiration=1,IF($A711&lt;VLOOKUP(S$5,NFI,5,0),1,0)*Table_NFI[[#This Row],[Winter Clothes Children]],Table_NFI[Winter Clothes Children])</f>
        <v>0</v>
      </c>
      <c r="AK711" s="436">
        <f>IF(NFI_Expiration=1,IF($A711&lt;VLOOKUP(T$5,NFI,5,0),1,0)*Table_NFI[[#This Row],[Winter Items Other]],Table_NFI[Winter Items Other])</f>
        <v>0</v>
      </c>
      <c r="AL711" s="436">
        <f>IF(NFI_Expiration=1,IF($A711&lt;VLOOKUP(M$5,NFI,5,0),1,0)*Table_NFI[[#This Row],[Winter Blanket]],Table_NFI[[#This Row],[Winter Blanket]])</f>
        <v>0</v>
      </c>
      <c r="AM711" s="436">
        <f>IF(Table_NFI[[#This Row],[Winter Clothes Adult]]+Table_NFI[[#This Row],[Winter Clothes Children]]+Table_NFI[[#This Row],[Winter Items Other]]+Table_NFI[[#This Row],[Winter Blanket]]&gt;0,1,0)</f>
        <v>0</v>
      </c>
      <c r="AN711" s="439">
        <f>IF(NFI_Expiration=1,IF($A711&lt;VLOOKUP(V$5,NFI,5,0),1,0)*Table_NFI[[#This Row],[Jerry Can]],Table_NFI[Jerry Can])</f>
        <v>0</v>
      </c>
      <c r="AO711" s="771" t="str">
        <f>IFERROR(VLOOKUP(Table_NFI[[#This Row],[Camp Name]],CL,2,0),"")</f>
        <v>MMR001CMP024</v>
      </c>
      <c r="AP711" s="772">
        <f ca="1">IF(Table_NFI[[#This Row],[Pcode]]="","",IF(OFFSET(CampList[Opening Date],MATCH(Table_NFI[[#This Row],[Pcode]],CampList[CP_Pcode],0)-1,0,1,1)&gt;=NFI_Monitor_Date,1,0))</f>
        <v>0</v>
      </c>
      <c r="AQ711" s="781" t="str">
        <f>IFERROR(VLOOKUP(Table_NFI[[#This Row],[Camp Name]],CL,3,0),"")</f>
        <v>Open</v>
      </c>
      <c r="AR711" s="439" t="str">
        <f ca="1">IF(Table_NFI[[#This Row],[Pcode]]="","",OFFSET(CampList[Priority],MATCH(Table_NFI[[#This Row],[Pcode]],CampList[CP_Pcode],0)-1,0,1,1))</f>
        <v>P4</v>
      </c>
      <c r="AS711" s="438">
        <f>IFERROR(Table_NFI[[#This Row],[Kitchen Set]]/VLOOKUP(Table_NFI[[#This Row],[Camp Name]],CL,4,0),"")</f>
        <v>0.10144927536231885</v>
      </c>
      <c r="AT711" s="769" t="s">
        <v>1099</v>
      </c>
      <c r="AU711" s="773"/>
    </row>
    <row r="712" spans="1:47" x14ac:dyDescent="0.25">
      <c r="A712" s="451">
        <f t="shared" si="11"/>
        <v>37.166666666666664</v>
      </c>
      <c r="B712" s="768">
        <v>41255</v>
      </c>
      <c r="C712" s="769" t="s">
        <v>912</v>
      </c>
      <c r="D712" s="769" t="s">
        <v>912</v>
      </c>
      <c r="E712" s="769" t="s">
        <v>380</v>
      </c>
      <c r="F712" s="769" t="s">
        <v>185</v>
      </c>
      <c r="G712" s="435" t="s">
        <v>196</v>
      </c>
      <c r="H712" s="436">
        <v>5228</v>
      </c>
      <c r="I712" s="436"/>
      <c r="J712" s="436">
        <v>6005</v>
      </c>
      <c r="K712" s="436"/>
      <c r="L712" s="437"/>
      <c r="M712" s="437"/>
      <c r="N712" s="437"/>
      <c r="O712" s="437"/>
      <c r="P712" s="437">
        <v>0</v>
      </c>
      <c r="Q712" s="437">
        <v>0</v>
      </c>
      <c r="R712" s="436"/>
      <c r="S712" s="436"/>
      <c r="T712" s="436"/>
      <c r="U712" s="436"/>
      <c r="V712" s="436"/>
      <c r="W712" s="436"/>
      <c r="X712" s="436"/>
      <c r="Y712" s="436">
        <f>IF(NFI_Expiration=1,IF($A712&lt;VLOOKUP(H$5,NFI,5,0),1,0)*Table_NFI[[#This Row],[Hygiene Kit]],Table_NFI[Hygiene Kit])</f>
        <v>0</v>
      </c>
      <c r="Z712" s="436">
        <f>IF(NFI_Expiration=1,IF($A712&lt;VLOOKUP(I$5,NFI,5,0),1,0)*Table_NFI[[#This Row],[NFI Core Kit]],Table_NFI[NFI Core Kit])</f>
        <v>0</v>
      </c>
      <c r="AA712" s="436">
        <f>IF(NFI_Expiration=1,IF($A712&lt;VLOOKUP(J$5,NFI,5,0),1,0)*Table_NFI[[#This Row],[Sanitary Kit]],Table_NFI[Sanitary Kit])</f>
        <v>0</v>
      </c>
      <c r="AB712" s="436">
        <f>IF(NFI_Expiration=1,IF($A712&lt;VLOOKUP(K$5,NFI,5,0),1,0)*Table_NFI[[#This Row],[Mosquito net]],Table_NFI[Mosquito net])</f>
        <v>0</v>
      </c>
      <c r="AC712" s="436">
        <f>IF(NFI_Expiration=1,IF($A712&lt;VLOOKUP(L$5,NFI,5,0),1,0)*Table_NFI[[#This Row],[Tarpaulin]],Table_NFI[[#This Row],[Tarpaulin]])</f>
        <v>0</v>
      </c>
      <c r="AD712" s="436">
        <f>IF(NFI_Expiration=1,IF($A712&lt;VLOOKUP(M$5,NFI,5,0),1,0)*Table_NFI[[#This Row],[Blanket]],Table_NFI[[#This Row],[Blanket]])</f>
        <v>0</v>
      </c>
      <c r="AE712" s="436">
        <f>IF(NFI_Expiration=1,IF($A712&lt;VLOOKUP(N$5,NFI,5,0),1,0)*Table_NFI[[#This Row],[Kitchen Set]],Table_NFI[Kitchen Set])</f>
        <v>0</v>
      </c>
      <c r="AF712" s="436">
        <f>IF(NFI_Expiration=1,IF($A712&lt;VLOOKUP(O$5,NFI,5,0),1,0)*Table_NFI[[#This Row],[Clothes Kit]],Table_NFI[Clothes Kit])</f>
        <v>0</v>
      </c>
      <c r="AG712" s="436">
        <f>IF(NFI_Expiration=1,IF($A712&lt;VLOOKUP(P$5,NFI,5,0),1,0)*Table_NFI[[#This Row],[Plastic Bucket]],Table_NFI[Plastic Bucket])</f>
        <v>0</v>
      </c>
      <c r="AH712" s="436">
        <f>IF(NFI_Expiration=1,IF($A712&lt;VLOOKUP(Q$5,NFI,5,0),1,0)*Table_NFI[[#This Row],[Plastic Mat]],Table_NFI[Plastic Mat])*IF(Table_NFI[[#This Row],[Distribution Date]]&gt;"2014-04-01",1,2.5)</f>
        <v>0</v>
      </c>
      <c r="AI712" s="436">
        <f>IF(NFI_Expiration=1,IF($A712&lt;VLOOKUP(R$5,NFI,5,0),1,0)*Table_NFI[[#This Row],[Winter Clothes Adult]],Table_NFI[Winter Clothes Adult])</f>
        <v>0</v>
      </c>
      <c r="AJ712" s="436">
        <f>IF(NFI_Expiration=1,IF($A712&lt;VLOOKUP(S$5,NFI,5,0),1,0)*Table_NFI[[#This Row],[Winter Clothes Children]],Table_NFI[Winter Clothes Children])</f>
        <v>0</v>
      </c>
      <c r="AK712" s="436">
        <f>IF(NFI_Expiration=1,IF($A712&lt;VLOOKUP(T$5,NFI,5,0),1,0)*Table_NFI[[#This Row],[Winter Items Other]],Table_NFI[Winter Items Other])</f>
        <v>0</v>
      </c>
      <c r="AL712" s="436">
        <f>IF(NFI_Expiration=1,IF($A712&lt;VLOOKUP(M$5,NFI,5,0),1,0)*Table_NFI[[#This Row],[Winter Blanket]],Table_NFI[[#This Row],[Winter Blanket]])</f>
        <v>0</v>
      </c>
      <c r="AM712" s="436">
        <f>IF(Table_NFI[[#This Row],[Winter Clothes Adult]]+Table_NFI[[#This Row],[Winter Clothes Children]]+Table_NFI[[#This Row],[Winter Items Other]]+Table_NFI[[#This Row],[Winter Blanket]]&gt;0,1,0)</f>
        <v>0</v>
      </c>
      <c r="AN712" s="439">
        <f>IF(NFI_Expiration=1,IF($A712&lt;VLOOKUP(V$5,NFI,5,0),1,0)*Table_NFI[[#This Row],[Jerry Can]],Table_NFI[Jerry Can])</f>
        <v>0</v>
      </c>
      <c r="AO712" s="771" t="str">
        <f>IFERROR(VLOOKUP(Table_NFI[[#This Row],[Camp Name]],CL,2,0),"")</f>
        <v>MMR001CMP121</v>
      </c>
      <c r="AP712" s="772">
        <f ca="1">IF(Table_NFI[[#This Row],[Pcode]]="","",IF(OFFSET(CampList[Opening Date],MATCH(Table_NFI[[#This Row],[Pcode]],CampList[CP_Pcode],0)-1,0,1,1)&gt;=NFI_Monitor_Date,1,0))</f>
        <v>0</v>
      </c>
      <c r="AQ712" s="771" t="str">
        <f>IFERROR(VLOOKUP(Table_NFI[[#This Row],[Camp Name]],CL,3,0),"")</f>
        <v>Open</v>
      </c>
      <c r="AR712" s="436" t="str">
        <f ca="1">IF(Table_NFI[[#This Row],[Pcode]]="","",OFFSET(CampList[Priority],MATCH(Table_NFI[[#This Row],[Pcode]],CampList[CP_Pcode],0)-1,0,1,1))</f>
        <v>P2</v>
      </c>
      <c r="AS712" s="438">
        <f>IFERROR(Table_NFI[[#This Row],[Kitchen Set]]/VLOOKUP(Table_NFI[[#This Row],[Camp Name]],CL,4,0),"")</f>
        <v>0</v>
      </c>
      <c r="AT712" s="769" t="s">
        <v>1099</v>
      </c>
      <c r="AU712" s="773"/>
    </row>
    <row r="713" spans="1:47" x14ac:dyDescent="0.25">
      <c r="A713" s="451">
        <f t="shared" si="11"/>
        <v>37.200000000000003</v>
      </c>
      <c r="B713" s="768">
        <v>41254</v>
      </c>
      <c r="C713" s="769" t="s">
        <v>912</v>
      </c>
      <c r="D713" s="770" t="s">
        <v>912</v>
      </c>
      <c r="E713" s="769" t="s">
        <v>380</v>
      </c>
      <c r="F713" s="435" t="s">
        <v>185</v>
      </c>
      <c r="G713" s="435" t="s">
        <v>194</v>
      </c>
      <c r="H713" s="436">
        <v>1658</v>
      </c>
      <c r="I713" s="441"/>
      <c r="J713" s="434">
        <v>2085</v>
      </c>
      <c r="K713" s="434"/>
      <c r="L713" s="434"/>
      <c r="M713" s="434"/>
      <c r="N713" s="434"/>
      <c r="O713" s="434"/>
      <c r="P713" s="437">
        <v>0</v>
      </c>
      <c r="Q713" s="437">
        <v>0</v>
      </c>
      <c r="R713" s="436"/>
      <c r="S713" s="436"/>
      <c r="T713" s="436"/>
      <c r="U713" s="436"/>
      <c r="V713" s="436"/>
      <c r="W713" s="436"/>
      <c r="X713" s="436"/>
      <c r="Y713" s="436">
        <f>IF(NFI_Expiration=1,IF($A713&lt;VLOOKUP(H$5,NFI,5,0),1,0)*Table_NFI[[#This Row],[Hygiene Kit]],Table_NFI[Hygiene Kit])</f>
        <v>0</v>
      </c>
      <c r="Z713" s="436">
        <f>IF(NFI_Expiration=1,IF($A713&lt;VLOOKUP(I$5,NFI,5,0),1,0)*Table_NFI[[#This Row],[NFI Core Kit]],Table_NFI[NFI Core Kit])</f>
        <v>0</v>
      </c>
      <c r="AA713" s="436">
        <f>IF(NFI_Expiration=1,IF($A713&lt;VLOOKUP(J$5,NFI,5,0),1,0)*Table_NFI[[#This Row],[Sanitary Kit]],Table_NFI[Sanitary Kit])</f>
        <v>0</v>
      </c>
      <c r="AB713" s="436">
        <f>IF(NFI_Expiration=1,IF($A713&lt;VLOOKUP(K$5,NFI,5,0),1,0)*Table_NFI[[#This Row],[Mosquito net]],Table_NFI[Mosquito net])</f>
        <v>0</v>
      </c>
      <c r="AC713" s="436">
        <f>IF(NFI_Expiration=1,IF($A713&lt;VLOOKUP(L$5,NFI,5,0),1,0)*Table_NFI[[#This Row],[Tarpaulin]],Table_NFI[[#This Row],[Tarpaulin]])</f>
        <v>0</v>
      </c>
      <c r="AD713" s="436">
        <f>IF(NFI_Expiration=1,IF($A713&lt;VLOOKUP(M$5,NFI,5,0),1,0)*Table_NFI[[#This Row],[Blanket]],Table_NFI[[#This Row],[Blanket]])</f>
        <v>0</v>
      </c>
      <c r="AE713" s="436">
        <f>IF(NFI_Expiration=1,IF($A713&lt;VLOOKUP(N$5,NFI,5,0),1,0)*Table_NFI[[#This Row],[Kitchen Set]],Table_NFI[Kitchen Set])</f>
        <v>0</v>
      </c>
      <c r="AF713" s="436">
        <f>IF(NFI_Expiration=1,IF($A713&lt;VLOOKUP(O$5,NFI,5,0),1,0)*Table_NFI[[#This Row],[Clothes Kit]],Table_NFI[Clothes Kit])</f>
        <v>0</v>
      </c>
      <c r="AG713" s="436">
        <f>IF(NFI_Expiration=1,IF($A713&lt;VLOOKUP(P$5,NFI,5,0),1,0)*Table_NFI[[#This Row],[Plastic Bucket]],Table_NFI[Plastic Bucket])</f>
        <v>0</v>
      </c>
      <c r="AH713" s="436">
        <f>IF(NFI_Expiration=1,IF($A713&lt;VLOOKUP(Q$5,NFI,5,0),1,0)*Table_NFI[[#This Row],[Plastic Mat]],Table_NFI[Plastic Mat])*IF(Table_NFI[[#This Row],[Distribution Date]]&gt;"2014-04-01",1,2.5)</f>
        <v>0</v>
      </c>
      <c r="AI713" s="436">
        <f>IF(NFI_Expiration=1,IF($A713&lt;VLOOKUP(R$5,NFI,5,0),1,0)*Table_NFI[[#This Row],[Winter Clothes Adult]],Table_NFI[Winter Clothes Adult])</f>
        <v>0</v>
      </c>
      <c r="AJ713" s="436">
        <f>IF(NFI_Expiration=1,IF($A713&lt;VLOOKUP(S$5,NFI,5,0),1,0)*Table_NFI[[#This Row],[Winter Clothes Children]],Table_NFI[Winter Clothes Children])</f>
        <v>0</v>
      </c>
      <c r="AK713" s="436">
        <f>IF(NFI_Expiration=1,IF($A713&lt;VLOOKUP(T$5,NFI,5,0),1,0)*Table_NFI[[#This Row],[Winter Items Other]],Table_NFI[Winter Items Other])</f>
        <v>0</v>
      </c>
      <c r="AL713" s="436">
        <f>IF(NFI_Expiration=1,IF($A713&lt;VLOOKUP(M$5,NFI,5,0),1,0)*Table_NFI[[#This Row],[Winter Blanket]],Table_NFI[[#This Row],[Winter Blanket]])</f>
        <v>0</v>
      </c>
      <c r="AM713" s="436">
        <f>IF(Table_NFI[[#This Row],[Winter Clothes Adult]]+Table_NFI[[#This Row],[Winter Clothes Children]]+Table_NFI[[#This Row],[Winter Items Other]]+Table_NFI[[#This Row],[Winter Blanket]]&gt;0,1,0)</f>
        <v>0</v>
      </c>
      <c r="AN713" s="439">
        <f>IF(NFI_Expiration=1,IF($A713&lt;VLOOKUP(V$5,NFI,5,0),1,0)*Table_NFI[[#This Row],[Jerry Can]],Table_NFI[Jerry Can])</f>
        <v>0</v>
      </c>
      <c r="AO713" s="771" t="str">
        <f>IFERROR(VLOOKUP(Table_NFI[[#This Row],[Camp Name]],CL,2,0),"")</f>
        <v>MMR001CMP122</v>
      </c>
      <c r="AP713" s="772">
        <f ca="1">IF(Table_NFI[[#This Row],[Pcode]]="","",IF(OFFSET(CampList[Opening Date],MATCH(Table_NFI[[#This Row],[Pcode]],CampList[CP_Pcode],0)-1,0,1,1)&gt;=NFI_Monitor_Date,1,0))</f>
        <v>0</v>
      </c>
      <c r="AQ713" s="771" t="str">
        <f>IFERROR(VLOOKUP(Table_NFI[[#This Row],[Camp Name]],CL,3,0),"")</f>
        <v>Open</v>
      </c>
      <c r="AR713" s="436" t="str">
        <f ca="1">IF(Table_NFI[[#This Row],[Pcode]]="","",OFFSET(CampList[Priority],MATCH(Table_NFI[[#This Row],[Pcode]],CampList[CP_Pcode],0)-1,0,1,1))</f>
        <v>P2</v>
      </c>
      <c r="AS713" s="438">
        <f>IFERROR(Table_NFI[[#This Row],[Kitchen Set]]/VLOOKUP(Table_NFI[[#This Row],[Camp Name]],CL,4,0),"")</f>
        <v>0</v>
      </c>
      <c r="AT713" s="769" t="s">
        <v>1099</v>
      </c>
      <c r="AU713" s="773"/>
    </row>
    <row r="714" spans="1:47" x14ac:dyDescent="0.25">
      <c r="A714" s="451">
        <f t="shared" si="11"/>
        <v>37.233333333333334</v>
      </c>
      <c r="B714" s="768">
        <v>41253</v>
      </c>
      <c r="C714" s="769" t="s">
        <v>912</v>
      </c>
      <c r="D714" s="770" t="s">
        <v>912</v>
      </c>
      <c r="E714" s="769" t="s">
        <v>380</v>
      </c>
      <c r="F714" s="435" t="s">
        <v>310</v>
      </c>
      <c r="G714" s="435" t="s">
        <v>353</v>
      </c>
      <c r="H714" s="436">
        <v>4285</v>
      </c>
      <c r="I714" s="441"/>
      <c r="J714" s="434">
        <v>4055</v>
      </c>
      <c r="K714" s="434"/>
      <c r="L714" s="434"/>
      <c r="M714" s="434"/>
      <c r="N714" s="434"/>
      <c r="O714" s="434"/>
      <c r="P714" s="437">
        <v>0</v>
      </c>
      <c r="Q714" s="437">
        <v>0</v>
      </c>
      <c r="R714" s="436"/>
      <c r="S714" s="436"/>
      <c r="T714" s="436"/>
      <c r="U714" s="436"/>
      <c r="V714" s="436"/>
      <c r="W714" s="436"/>
      <c r="X714" s="436"/>
      <c r="Y714" s="436">
        <f>IF(NFI_Expiration=1,IF($A714&lt;VLOOKUP(H$5,NFI,5,0),1,0)*Table_NFI[[#This Row],[Hygiene Kit]],Table_NFI[Hygiene Kit])</f>
        <v>0</v>
      </c>
      <c r="Z714" s="436">
        <f>IF(NFI_Expiration=1,IF($A714&lt;VLOOKUP(I$5,NFI,5,0),1,0)*Table_NFI[[#This Row],[NFI Core Kit]],Table_NFI[NFI Core Kit])</f>
        <v>0</v>
      </c>
      <c r="AA714" s="436">
        <f>IF(NFI_Expiration=1,IF($A714&lt;VLOOKUP(J$5,NFI,5,0),1,0)*Table_NFI[[#This Row],[Sanitary Kit]],Table_NFI[Sanitary Kit])</f>
        <v>0</v>
      </c>
      <c r="AB714" s="436">
        <f>IF(NFI_Expiration=1,IF($A714&lt;VLOOKUP(K$5,NFI,5,0),1,0)*Table_NFI[[#This Row],[Mosquito net]],Table_NFI[Mosquito net])</f>
        <v>0</v>
      </c>
      <c r="AC714" s="436">
        <f>IF(NFI_Expiration=1,IF($A714&lt;VLOOKUP(L$5,NFI,5,0),1,0)*Table_NFI[[#This Row],[Tarpaulin]],Table_NFI[[#This Row],[Tarpaulin]])</f>
        <v>0</v>
      </c>
      <c r="AD714" s="436">
        <f>IF(NFI_Expiration=1,IF($A714&lt;VLOOKUP(M$5,NFI,5,0),1,0)*Table_NFI[[#This Row],[Blanket]],Table_NFI[[#This Row],[Blanket]])</f>
        <v>0</v>
      </c>
      <c r="AE714" s="436">
        <f>IF(NFI_Expiration=1,IF($A714&lt;VLOOKUP(N$5,NFI,5,0),1,0)*Table_NFI[[#This Row],[Kitchen Set]],Table_NFI[Kitchen Set])</f>
        <v>0</v>
      </c>
      <c r="AF714" s="436">
        <f>IF(NFI_Expiration=1,IF($A714&lt;VLOOKUP(O$5,NFI,5,0),1,0)*Table_NFI[[#This Row],[Clothes Kit]],Table_NFI[Clothes Kit])</f>
        <v>0</v>
      </c>
      <c r="AG714" s="436">
        <f>IF(NFI_Expiration=1,IF($A714&lt;VLOOKUP(P$5,NFI,5,0),1,0)*Table_NFI[[#This Row],[Plastic Bucket]],Table_NFI[Plastic Bucket])</f>
        <v>0</v>
      </c>
      <c r="AH714" s="436">
        <f>IF(NFI_Expiration=1,IF($A714&lt;VLOOKUP(Q$5,NFI,5,0),1,0)*Table_NFI[[#This Row],[Plastic Mat]],Table_NFI[Plastic Mat])*IF(Table_NFI[[#This Row],[Distribution Date]]&gt;"2014-04-01",1,2.5)</f>
        <v>0</v>
      </c>
      <c r="AI714" s="436">
        <f>IF(NFI_Expiration=1,IF($A714&lt;VLOOKUP(R$5,NFI,5,0),1,0)*Table_NFI[[#This Row],[Winter Clothes Adult]],Table_NFI[Winter Clothes Adult])</f>
        <v>0</v>
      </c>
      <c r="AJ714" s="436">
        <f>IF(NFI_Expiration=1,IF($A714&lt;VLOOKUP(S$5,NFI,5,0),1,0)*Table_NFI[[#This Row],[Winter Clothes Children]],Table_NFI[Winter Clothes Children])</f>
        <v>0</v>
      </c>
      <c r="AK714" s="436">
        <f>IF(NFI_Expiration=1,IF($A714&lt;VLOOKUP(T$5,NFI,5,0),1,0)*Table_NFI[[#This Row],[Winter Items Other]],Table_NFI[Winter Items Other])</f>
        <v>0</v>
      </c>
      <c r="AL714" s="436">
        <f>IF(NFI_Expiration=1,IF($A714&lt;VLOOKUP(M$5,NFI,5,0),1,0)*Table_NFI[[#This Row],[Winter Blanket]],Table_NFI[[#This Row],[Winter Blanket]])</f>
        <v>0</v>
      </c>
      <c r="AM714" s="436">
        <f>IF(Table_NFI[[#This Row],[Winter Clothes Adult]]+Table_NFI[[#This Row],[Winter Clothes Children]]+Table_NFI[[#This Row],[Winter Items Other]]+Table_NFI[[#This Row],[Winter Blanket]]&gt;0,1,0)</f>
        <v>0</v>
      </c>
      <c r="AN714" s="439">
        <f>IF(NFI_Expiration=1,IF($A714&lt;VLOOKUP(V$5,NFI,5,0),1,0)*Table_NFI[[#This Row],[Jerry Can]],Table_NFI[Jerry Can])</f>
        <v>0</v>
      </c>
      <c r="AO714" s="771" t="str">
        <f>IFERROR(VLOOKUP(Table_NFI[[#This Row],[Camp Name]],CL,2,0),"")</f>
        <v>MMR001CMP116</v>
      </c>
      <c r="AP714" s="772">
        <f ca="1">IF(Table_NFI[[#This Row],[Pcode]]="","",IF(OFFSET(CampList[Opening Date],MATCH(Table_NFI[[#This Row],[Pcode]],CampList[CP_Pcode],0)-1,0,1,1)&gt;=NFI_Monitor_Date,1,0))</f>
        <v>0</v>
      </c>
      <c r="AQ714" s="771" t="str">
        <f>IFERROR(VLOOKUP(Table_NFI[[#This Row],[Camp Name]],CL,3,0),"")</f>
        <v>Open</v>
      </c>
      <c r="AR714" s="436" t="str">
        <f ca="1">IF(Table_NFI[[#This Row],[Pcode]]="","",OFFSET(CampList[Priority],MATCH(Table_NFI[[#This Row],[Pcode]],CampList[CP_Pcode],0)-1,0,1,1))</f>
        <v>P4</v>
      </c>
      <c r="AS714" s="438">
        <f>IFERROR(Table_NFI[[#This Row],[Kitchen Set]]/VLOOKUP(Table_NFI[[#This Row],[Camp Name]],CL,4,0),"")</f>
        <v>0</v>
      </c>
      <c r="AT714" s="769" t="s">
        <v>1099</v>
      </c>
      <c r="AU714" s="773"/>
    </row>
    <row r="715" spans="1:47" x14ac:dyDescent="0.25">
      <c r="A715" s="451">
        <f t="shared" si="11"/>
        <v>37.299999999999997</v>
      </c>
      <c r="B715" s="768">
        <v>41251</v>
      </c>
      <c r="C715" s="769" t="s">
        <v>912</v>
      </c>
      <c r="D715" s="770" t="s">
        <v>912</v>
      </c>
      <c r="E715" s="769" t="s">
        <v>380</v>
      </c>
      <c r="F715" s="435" t="s">
        <v>310</v>
      </c>
      <c r="G715" s="435" t="s">
        <v>1262</v>
      </c>
      <c r="H715" s="436">
        <v>1690</v>
      </c>
      <c r="I715" s="436"/>
      <c r="J715" s="436">
        <v>2245</v>
      </c>
      <c r="K715" s="436"/>
      <c r="L715" s="437"/>
      <c r="M715" s="437"/>
      <c r="N715" s="437"/>
      <c r="O715" s="437"/>
      <c r="P715" s="437">
        <v>0</v>
      </c>
      <c r="Q715" s="437">
        <v>0</v>
      </c>
      <c r="R715" s="436"/>
      <c r="S715" s="436"/>
      <c r="T715" s="436"/>
      <c r="U715" s="436"/>
      <c r="V715" s="436"/>
      <c r="W715" s="436"/>
      <c r="X715" s="436"/>
      <c r="Y715" s="436">
        <f>IF(NFI_Expiration=1,IF($A715&lt;VLOOKUP(H$5,NFI,5,0),1,0)*Table_NFI[[#This Row],[Hygiene Kit]],Table_NFI[Hygiene Kit])</f>
        <v>0</v>
      </c>
      <c r="Z715" s="436">
        <f>IF(NFI_Expiration=1,IF($A715&lt;VLOOKUP(I$5,NFI,5,0),1,0)*Table_NFI[[#This Row],[NFI Core Kit]],Table_NFI[NFI Core Kit])</f>
        <v>0</v>
      </c>
      <c r="AA715" s="436">
        <f>IF(NFI_Expiration=1,IF($A715&lt;VLOOKUP(J$5,NFI,5,0),1,0)*Table_NFI[[#This Row],[Sanitary Kit]],Table_NFI[Sanitary Kit])</f>
        <v>0</v>
      </c>
      <c r="AB715" s="436">
        <f>IF(NFI_Expiration=1,IF($A715&lt;VLOOKUP(K$5,NFI,5,0),1,0)*Table_NFI[[#This Row],[Mosquito net]],Table_NFI[Mosquito net])</f>
        <v>0</v>
      </c>
      <c r="AC715" s="436">
        <f>IF(NFI_Expiration=1,IF($A715&lt;VLOOKUP(L$5,NFI,5,0),1,0)*Table_NFI[[#This Row],[Tarpaulin]],Table_NFI[[#This Row],[Tarpaulin]])</f>
        <v>0</v>
      </c>
      <c r="AD715" s="436">
        <f>IF(NFI_Expiration=1,IF($A715&lt;VLOOKUP(M$5,NFI,5,0),1,0)*Table_NFI[[#This Row],[Blanket]],Table_NFI[[#This Row],[Blanket]])</f>
        <v>0</v>
      </c>
      <c r="AE715" s="436">
        <f>IF(NFI_Expiration=1,IF($A715&lt;VLOOKUP(N$5,NFI,5,0),1,0)*Table_NFI[[#This Row],[Kitchen Set]],Table_NFI[Kitchen Set])</f>
        <v>0</v>
      </c>
      <c r="AF715" s="436">
        <f>IF(NFI_Expiration=1,IF($A715&lt;VLOOKUP(O$5,NFI,5,0),1,0)*Table_NFI[[#This Row],[Clothes Kit]],Table_NFI[Clothes Kit])</f>
        <v>0</v>
      </c>
      <c r="AG715" s="436">
        <f>IF(NFI_Expiration=1,IF($A715&lt;VLOOKUP(P$5,NFI,5,0),1,0)*Table_NFI[[#This Row],[Plastic Bucket]],Table_NFI[Plastic Bucket])</f>
        <v>0</v>
      </c>
      <c r="AH715" s="436">
        <f>IF(NFI_Expiration=1,IF($A715&lt;VLOOKUP(Q$5,NFI,5,0),1,0)*Table_NFI[[#This Row],[Plastic Mat]],Table_NFI[Plastic Mat])*IF(Table_NFI[[#This Row],[Distribution Date]]&gt;"2014-04-01",1,2.5)</f>
        <v>0</v>
      </c>
      <c r="AI715" s="436">
        <f>IF(NFI_Expiration=1,IF($A715&lt;VLOOKUP(R$5,NFI,5,0),1,0)*Table_NFI[[#This Row],[Winter Clothes Adult]],Table_NFI[Winter Clothes Adult])</f>
        <v>0</v>
      </c>
      <c r="AJ715" s="436">
        <f>IF(NFI_Expiration=1,IF($A715&lt;VLOOKUP(S$5,NFI,5,0),1,0)*Table_NFI[[#This Row],[Winter Clothes Children]],Table_NFI[Winter Clothes Children])</f>
        <v>0</v>
      </c>
      <c r="AK715" s="436">
        <f>IF(NFI_Expiration=1,IF($A715&lt;VLOOKUP(T$5,NFI,5,0),1,0)*Table_NFI[[#This Row],[Winter Items Other]],Table_NFI[Winter Items Other])</f>
        <v>0</v>
      </c>
      <c r="AL715" s="436">
        <f>IF(NFI_Expiration=1,IF($A715&lt;VLOOKUP(M$5,NFI,5,0),1,0)*Table_NFI[[#This Row],[Winter Blanket]],Table_NFI[[#This Row],[Winter Blanket]])</f>
        <v>0</v>
      </c>
      <c r="AM715" s="436">
        <f>IF(Table_NFI[[#This Row],[Winter Clothes Adult]]+Table_NFI[[#This Row],[Winter Clothes Children]]+Table_NFI[[#This Row],[Winter Items Other]]+Table_NFI[[#This Row],[Winter Blanket]]&gt;0,1,0)</f>
        <v>0</v>
      </c>
      <c r="AN715" s="439">
        <f>IF(NFI_Expiration=1,IF($A715&lt;VLOOKUP(V$5,NFI,5,0),1,0)*Table_NFI[[#This Row],[Jerry Can]],Table_NFI[Jerry Can])</f>
        <v>0</v>
      </c>
      <c r="AO715" s="771" t="str">
        <f>IFERROR(VLOOKUP(Table_NFI[[#This Row],[Camp Name]],CL,2,0),"")</f>
        <v>MMR001CMP117</v>
      </c>
      <c r="AP715" s="772">
        <f ca="1">IF(Table_NFI[[#This Row],[Pcode]]="","",IF(OFFSET(CampList[Opening Date],MATCH(Table_NFI[[#This Row],[Pcode]],CampList[CP_Pcode],0)-1,0,1,1)&gt;=NFI_Monitor_Date,1,0))</f>
        <v>0</v>
      </c>
      <c r="AQ715" s="771" t="str">
        <f>IFERROR(VLOOKUP(Table_NFI[[#This Row],[Camp Name]],CL,3,0),"")</f>
        <v>Closed</v>
      </c>
      <c r="AR715" s="436" t="str">
        <f ca="1">IF(Table_NFI[[#This Row],[Pcode]]="","",OFFSET(CampList[Priority],MATCH(Table_NFI[[#This Row],[Pcode]],CampList[CP_Pcode],0)-1,0,1,1))</f>
        <v>P2</v>
      </c>
      <c r="AS715" s="438" t="str">
        <f>IFERROR(Table_NFI[[#This Row],[Kitchen Set]]/VLOOKUP(Table_NFI[[#This Row],[Camp Name]],CL,4,0),"")</f>
        <v/>
      </c>
      <c r="AT715" s="769" t="s">
        <v>1099</v>
      </c>
      <c r="AU715" s="773"/>
    </row>
    <row r="716" spans="1:47" x14ac:dyDescent="0.25">
      <c r="A716" s="451">
        <f t="shared" si="11"/>
        <v>38.166666666666664</v>
      </c>
      <c r="B716" s="768">
        <v>41225</v>
      </c>
      <c r="C716" s="769" t="s">
        <v>454</v>
      </c>
      <c r="D716" s="770" t="s">
        <v>454</v>
      </c>
      <c r="E716" s="769" t="s">
        <v>380</v>
      </c>
      <c r="F716" s="435" t="s">
        <v>310</v>
      </c>
      <c r="G716" s="435" t="s">
        <v>318</v>
      </c>
      <c r="H716" s="436"/>
      <c r="I716" s="436"/>
      <c r="J716" s="436"/>
      <c r="K716" s="436">
        <v>12</v>
      </c>
      <c r="L716" s="437">
        <v>12</v>
      </c>
      <c r="M716" s="437">
        <v>12</v>
      </c>
      <c r="N716" s="437">
        <v>5</v>
      </c>
      <c r="O716" s="437">
        <v>5</v>
      </c>
      <c r="P716" s="437">
        <v>5</v>
      </c>
      <c r="Q716" s="437">
        <v>5</v>
      </c>
      <c r="R716" s="436"/>
      <c r="S716" s="436"/>
      <c r="T716" s="436"/>
      <c r="U716" s="436"/>
      <c r="V716" s="436"/>
      <c r="W716" s="436"/>
      <c r="X716" s="436"/>
      <c r="Y716" s="436">
        <f>IF(NFI_Expiration=1,IF($A716&lt;VLOOKUP(H$5,NFI,5,0),1,0)*Table_NFI[[#This Row],[Hygiene Kit]],Table_NFI[Hygiene Kit])</f>
        <v>0</v>
      </c>
      <c r="Z716" s="436">
        <f>IF(NFI_Expiration=1,IF($A716&lt;VLOOKUP(I$5,NFI,5,0),1,0)*Table_NFI[[#This Row],[NFI Core Kit]],Table_NFI[NFI Core Kit])</f>
        <v>0</v>
      </c>
      <c r="AA716" s="436">
        <f>IF(NFI_Expiration=1,IF($A716&lt;VLOOKUP(J$5,NFI,5,0),1,0)*Table_NFI[[#This Row],[Sanitary Kit]],Table_NFI[Sanitary Kit])</f>
        <v>0</v>
      </c>
      <c r="AB716" s="436">
        <f>IF(NFI_Expiration=1,IF($A716&lt;VLOOKUP(K$5,NFI,5,0),1,0)*Table_NFI[[#This Row],[Mosquito net]],Table_NFI[Mosquito net])</f>
        <v>0</v>
      </c>
      <c r="AC716" s="436">
        <f>IF(NFI_Expiration=1,IF($A716&lt;VLOOKUP(L$5,NFI,5,0),1,0)*Table_NFI[[#This Row],[Tarpaulin]],Table_NFI[[#This Row],[Tarpaulin]])</f>
        <v>0</v>
      </c>
      <c r="AD716" s="436">
        <f>IF(NFI_Expiration=1,IF($A716&lt;VLOOKUP(M$5,NFI,5,0),1,0)*Table_NFI[[#This Row],[Blanket]],Table_NFI[[#This Row],[Blanket]])</f>
        <v>0</v>
      </c>
      <c r="AE716" s="436">
        <f>IF(NFI_Expiration=1,IF($A716&lt;VLOOKUP(N$5,NFI,5,0),1,0)*Table_NFI[[#This Row],[Kitchen Set]],Table_NFI[Kitchen Set])</f>
        <v>0</v>
      </c>
      <c r="AF716" s="436">
        <f>IF(NFI_Expiration=1,IF($A716&lt;VLOOKUP(O$5,NFI,5,0),1,0)*Table_NFI[[#This Row],[Clothes Kit]],Table_NFI[Clothes Kit])</f>
        <v>0</v>
      </c>
      <c r="AG716" s="436">
        <f>IF(NFI_Expiration=1,IF($A716&lt;VLOOKUP(P$5,NFI,5,0),1,0)*Table_NFI[[#This Row],[Plastic Bucket]],Table_NFI[Plastic Bucket])</f>
        <v>0</v>
      </c>
      <c r="AH716" s="436">
        <f>IF(NFI_Expiration=1,IF($A716&lt;VLOOKUP(Q$5,NFI,5,0),1,0)*Table_NFI[[#This Row],[Plastic Mat]],Table_NFI[Plastic Mat])*IF(Table_NFI[[#This Row],[Distribution Date]]&gt;"2014-04-01",1,2.5)</f>
        <v>0</v>
      </c>
      <c r="AI716" s="436">
        <f>IF(NFI_Expiration=1,IF($A716&lt;VLOOKUP(R$5,NFI,5,0),1,0)*Table_NFI[[#This Row],[Winter Clothes Adult]],Table_NFI[Winter Clothes Adult])</f>
        <v>0</v>
      </c>
      <c r="AJ716" s="436">
        <f>IF(NFI_Expiration=1,IF($A716&lt;VLOOKUP(S$5,NFI,5,0),1,0)*Table_NFI[[#This Row],[Winter Clothes Children]],Table_NFI[Winter Clothes Children])</f>
        <v>0</v>
      </c>
      <c r="AK716" s="436">
        <f>IF(NFI_Expiration=1,IF($A716&lt;VLOOKUP(T$5,NFI,5,0),1,0)*Table_NFI[[#This Row],[Winter Items Other]],Table_NFI[Winter Items Other])</f>
        <v>0</v>
      </c>
      <c r="AL716" s="436">
        <f>IF(NFI_Expiration=1,IF($A716&lt;VLOOKUP(M$5,NFI,5,0),1,0)*Table_NFI[[#This Row],[Winter Blanket]],Table_NFI[[#This Row],[Winter Blanket]])</f>
        <v>0</v>
      </c>
      <c r="AM716" s="436">
        <f>IF(Table_NFI[[#This Row],[Winter Clothes Adult]]+Table_NFI[[#This Row],[Winter Clothes Children]]+Table_NFI[[#This Row],[Winter Items Other]]+Table_NFI[[#This Row],[Winter Blanket]]&gt;0,1,0)</f>
        <v>0</v>
      </c>
      <c r="AN716" s="439">
        <f>IF(NFI_Expiration=1,IF($A716&lt;VLOOKUP(V$5,NFI,5,0),1,0)*Table_NFI[[#This Row],[Jerry Can]],Table_NFI[Jerry Can])</f>
        <v>0</v>
      </c>
      <c r="AO716" s="771" t="str">
        <f>IFERROR(VLOOKUP(Table_NFI[[#This Row],[Camp Name]],CL,2,0),"")</f>
        <v>MMR001CMP032</v>
      </c>
      <c r="AP716" s="772">
        <f ca="1">IF(Table_NFI[[#This Row],[Pcode]]="","",IF(OFFSET(CampList[Opening Date],MATCH(Table_NFI[[#This Row],[Pcode]],CampList[CP_Pcode],0)-1,0,1,1)&gt;=NFI_Monitor_Date,1,0))</f>
        <v>0</v>
      </c>
      <c r="AQ716" s="781" t="str">
        <f>IFERROR(VLOOKUP(Table_NFI[[#This Row],[Camp Name]],CL,3,0),"")</f>
        <v>Open</v>
      </c>
      <c r="AR716" s="439" t="str">
        <f ca="1">IF(Table_NFI[[#This Row],[Pcode]]="","",OFFSET(CampList[Priority],MATCH(Table_NFI[[#This Row],[Pcode]],CampList[CP_Pcode],0)-1,0,1,1))</f>
        <v>P4</v>
      </c>
      <c r="AS716" s="438">
        <f>IFERROR(Table_NFI[[#This Row],[Kitchen Set]]/VLOOKUP(Table_NFI[[#This Row],[Camp Name]],CL,4,0),"")</f>
        <v>5.3191489361702128E-2</v>
      </c>
      <c r="AT716" s="769" t="s">
        <v>1099</v>
      </c>
      <c r="AU716" s="773"/>
    </row>
    <row r="717" spans="1:47" x14ac:dyDescent="0.25">
      <c r="A717" s="451">
        <f t="shared" si="11"/>
        <v>38.233333333333334</v>
      </c>
      <c r="B717" s="768">
        <v>41223</v>
      </c>
      <c r="C717" s="769" t="s">
        <v>454</v>
      </c>
      <c r="D717" s="769" t="s">
        <v>454</v>
      </c>
      <c r="E717" s="769" t="s">
        <v>380</v>
      </c>
      <c r="F717" s="769" t="s">
        <v>529</v>
      </c>
      <c r="G717" s="435" t="s">
        <v>88</v>
      </c>
      <c r="H717" s="436"/>
      <c r="I717" s="436"/>
      <c r="J717" s="436"/>
      <c r="K717" s="436">
        <v>12</v>
      </c>
      <c r="L717" s="437">
        <v>0</v>
      </c>
      <c r="M717" s="437">
        <v>12</v>
      </c>
      <c r="N717" s="437">
        <v>0</v>
      </c>
      <c r="O717" s="437">
        <v>0</v>
      </c>
      <c r="P717" s="437"/>
      <c r="Q717" s="437"/>
      <c r="R717" s="436"/>
      <c r="S717" s="436"/>
      <c r="T717" s="436"/>
      <c r="U717" s="436"/>
      <c r="V717" s="436"/>
      <c r="W717" s="436"/>
      <c r="X717" s="436"/>
      <c r="Y717" s="436">
        <f>IF(NFI_Expiration=1,IF($A717&lt;VLOOKUP(H$5,NFI,5,0),1,0)*Table_NFI[[#This Row],[Hygiene Kit]],Table_NFI[Hygiene Kit])</f>
        <v>0</v>
      </c>
      <c r="Z717" s="436">
        <f>IF(NFI_Expiration=1,IF($A717&lt;VLOOKUP(I$5,NFI,5,0),1,0)*Table_NFI[[#This Row],[NFI Core Kit]],Table_NFI[NFI Core Kit])</f>
        <v>0</v>
      </c>
      <c r="AA717" s="436">
        <f>IF(NFI_Expiration=1,IF($A717&lt;VLOOKUP(J$5,NFI,5,0),1,0)*Table_NFI[[#This Row],[Sanitary Kit]],Table_NFI[Sanitary Kit])</f>
        <v>0</v>
      </c>
      <c r="AB717" s="436">
        <f>IF(NFI_Expiration=1,IF($A717&lt;VLOOKUP(K$5,NFI,5,0),1,0)*Table_NFI[[#This Row],[Mosquito net]],Table_NFI[Mosquito net])</f>
        <v>0</v>
      </c>
      <c r="AC717" s="436">
        <f>IF(NFI_Expiration=1,IF($A717&lt;VLOOKUP(L$5,NFI,5,0),1,0)*Table_NFI[[#This Row],[Tarpaulin]],Table_NFI[[#This Row],[Tarpaulin]])</f>
        <v>0</v>
      </c>
      <c r="AD717" s="436">
        <f>IF(NFI_Expiration=1,IF($A717&lt;VLOOKUP(M$5,NFI,5,0),1,0)*Table_NFI[[#This Row],[Blanket]],Table_NFI[[#This Row],[Blanket]])</f>
        <v>0</v>
      </c>
      <c r="AE717" s="436">
        <f>IF(NFI_Expiration=1,IF($A717&lt;VLOOKUP(N$5,NFI,5,0),1,0)*Table_NFI[[#This Row],[Kitchen Set]],Table_NFI[Kitchen Set])</f>
        <v>0</v>
      </c>
      <c r="AF717" s="436">
        <f>IF(NFI_Expiration=1,IF($A717&lt;VLOOKUP(O$5,NFI,5,0),1,0)*Table_NFI[[#This Row],[Clothes Kit]],Table_NFI[Clothes Kit])</f>
        <v>0</v>
      </c>
      <c r="AG717" s="436">
        <f>IF(NFI_Expiration=1,IF($A717&lt;VLOOKUP(P$5,NFI,5,0),1,0)*Table_NFI[[#This Row],[Plastic Bucket]],Table_NFI[Plastic Bucket])</f>
        <v>0</v>
      </c>
      <c r="AH717" s="436">
        <f>IF(NFI_Expiration=1,IF($A717&lt;VLOOKUP(Q$5,NFI,5,0),1,0)*Table_NFI[[#This Row],[Plastic Mat]],Table_NFI[Plastic Mat])*IF(Table_NFI[[#This Row],[Distribution Date]]&gt;"2014-04-01",1,2.5)</f>
        <v>0</v>
      </c>
      <c r="AI717" s="436">
        <f>IF(NFI_Expiration=1,IF($A717&lt;VLOOKUP(R$5,NFI,5,0),1,0)*Table_NFI[[#This Row],[Winter Clothes Adult]],Table_NFI[Winter Clothes Adult])</f>
        <v>0</v>
      </c>
      <c r="AJ717" s="436">
        <f>IF(NFI_Expiration=1,IF($A717&lt;VLOOKUP(S$5,NFI,5,0),1,0)*Table_NFI[[#This Row],[Winter Clothes Children]],Table_NFI[Winter Clothes Children])</f>
        <v>0</v>
      </c>
      <c r="AK717" s="436">
        <f>IF(NFI_Expiration=1,IF($A717&lt;VLOOKUP(T$5,NFI,5,0),1,0)*Table_NFI[[#This Row],[Winter Items Other]],Table_NFI[Winter Items Other])</f>
        <v>0</v>
      </c>
      <c r="AL717" s="436">
        <f>IF(NFI_Expiration=1,IF($A717&lt;VLOOKUP(M$5,NFI,5,0),1,0)*Table_NFI[[#This Row],[Winter Blanket]],Table_NFI[[#This Row],[Winter Blanket]])</f>
        <v>0</v>
      </c>
      <c r="AM717" s="436">
        <f>IF(Table_NFI[[#This Row],[Winter Clothes Adult]]+Table_NFI[[#This Row],[Winter Clothes Children]]+Table_NFI[[#This Row],[Winter Items Other]]+Table_NFI[[#This Row],[Winter Blanket]]&gt;0,1,0)</f>
        <v>0</v>
      </c>
      <c r="AN717" s="439">
        <f>IF(NFI_Expiration=1,IF($A717&lt;VLOOKUP(V$5,NFI,5,0),1,0)*Table_NFI[[#This Row],[Jerry Can]],Table_NFI[Jerry Can])</f>
        <v>0</v>
      </c>
      <c r="AO717" s="771" t="str">
        <f>IFERROR(VLOOKUP(Table_NFI[[#This Row],[Camp Name]],CL,2,0),"")</f>
        <v>MMR001CMP148</v>
      </c>
      <c r="AP717" s="772">
        <f ca="1">IF(Table_NFI[[#This Row],[Pcode]]="","",IF(OFFSET(CampList[Opening Date],MATCH(Table_NFI[[#This Row],[Pcode]],CampList[CP_Pcode],0)-1,0,1,1)&gt;=NFI_Monitor_Date,1,0))</f>
        <v>0</v>
      </c>
      <c r="AQ717" s="781" t="str">
        <f>IFERROR(VLOOKUP(Table_NFI[[#This Row],[Camp Name]],CL,3,0),"")</f>
        <v>Open</v>
      </c>
      <c r="AR717" s="439" t="str">
        <f ca="1">IF(Table_NFI[[#This Row],[Pcode]]="","",OFFSET(CampList[Priority],MATCH(Table_NFI[[#This Row],[Pcode]],CampList[CP_Pcode],0)-1,0,1,1))</f>
        <v>P4</v>
      </c>
      <c r="AS717" s="438">
        <f>IFERROR(Table_NFI[[#This Row],[Kitchen Set]]/VLOOKUP(Table_NFI[[#This Row],[Camp Name]],CL,4,0),"")</f>
        <v>0</v>
      </c>
      <c r="AT717" s="769" t="s">
        <v>1099</v>
      </c>
      <c r="AU717" s="773"/>
    </row>
    <row r="718" spans="1:47" x14ac:dyDescent="0.25">
      <c r="A718" s="451">
        <f t="shared" si="11"/>
        <v>38.4</v>
      </c>
      <c r="B718" s="768">
        <v>41218</v>
      </c>
      <c r="C718" s="769" t="s">
        <v>454</v>
      </c>
      <c r="D718" s="770" t="s">
        <v>454</v>
      </c>
      <c r="E718" s="769" t="s">
        <v>380</v>
      </c>
      <c r="F718" s="435" t="s">
        <v>529</v>
      </c>
      <c r="G718" s="435" t="s">
        <v>88</v>
      </c>
      <c r="H718" s="436"/>
      <c r="I718" s="436"/>
      <c r="J718" s="436"/>
      <c r="K718" s="436">
        <v>70</v>
      </c>
      <c r="L718" s="437">
        <v>40</v>
      </c>
      <c r="M718" s="437">
        <v>70</v>
      </c>
      <c r="N718" s="437">
        <v>40</v>
      </c>
      <c r="O718" s="437">
        <v>40</v>
      </c>
      <c r="P718" s="437">
        <v>40</v>
      </c>
      <c r="Q718" s="437">
        <v>40</v>
      </c>
      <c r="R718" s="436"/>
      <c r="S718" s="436"/>
      <c r="T718" s="436"/>
      <c r="U718" s="436"/>
      <c r="V718" s="436"/>
      <c r="W718" s="436"/>
      <c r="X718" s="436"/>
      <c r="Y718" s="436">
        <f>IF(NFI_Expiration=1,IF($A718&lt;VLOOKUP(H$5,NFI,5,0),1,0)*Table_NFI[[#This Row],[Hygiene Kit]],Table_NFI[Hygiene Kit])</f>
        <v>0</v>
      </c>
      <c r="Z718" s="436">
        <f>IF(NFI_Expiration=1,IF($A718&lt;VLOOKUP(I$5,NFI,5,0),1,0)*Table_NFI[[#This Row],[NFI Core Kit]],Table_NFI[NFI Core Kit])</f>
        <v>0</v>
      </c>
      <c r="AA718" s="436">
        <f>IF(NFI_Expiration=1,IF($A718&lt;VLOOKUP(J$5,NFI,5,0),1,0)*Table_NFI[[#This Row],[Sanitary Kit]],Table_NFI[Sanitary Kit])</f>
        <v>0</v>
      </c>
      <c r="AB718" s="436">
        <f>IF(NFI_Expiration=1,IF($A718&lt;VLOOKUP(K$5,NFI,5,0),1,0)*Table_NFI[[#This Row],[Mosquito net]],Table_NFI[Mosquito net])</f>
        <v>0</v>
      </c>
      <c r="AC718" s="436">
        <f>IF(NFI_Expiration=1,IF($A718&lt;VLOOKUP(L$5,NFI,5,0),1,0)*Table_NFI[[#This Row],[Tarpaulin]],Table_NFI[[#This Row],[Tarpaulin]])</f>
        <v>0</v>
      </c>
      <c r="AD718" s="436">
        <f>IF(NFI_Expiration=1,IF($A718&lt;VLOOKUP(M$5,NFI,5,0),1,0)*Table_NFI[[#This Row],[Blanket]],Table_NFI[[#This Row],[Blanket]])</f>
        <v>0</v>
      </c>
      <c r="AE718" s="436">
        <f>IF(NFI_Expiration=1,IF($A718&lt;VLOOKUP(N$5,NFI,5,0),1,0)*Table_NFI[[#This Row],[Kitchen Set]],Table_NFI[Kitchen Set])</f>
        <v>0</v>
      </c>
      <c r="AF718" s="436">
        <f>IF(NFI_Expiration=1,IF($A718&lt;VLOOKUP(O$5,NFI,5,0),1,0)*Table_NFI[[#This Row],[Clothes Kit]],Table_NFI[Clothes Kit])</f>
        <v>0</v>
      </c>
      <c r="AG718" s="436">
        <f>IF(NFI_Expiration=1,IF($A718&lt;VLOOKUP(P$5,NFI,5,0),1,0)*Table_NFI[[#This Row],[Plastic Bucket]],Table_NFI[Plastic Bucket])</f>
        <v>0</v>
      </c>
      <c r="AH718" s="436">
        <f>IF(NFI_Expiration=1,IF($A718&lt;VLOOKUP(Q$5,NFI,5,0),1,0)*Table_NFI[[#This Row],[Plastic Mat]],Table_NFI[Plastic Mat])*IF(Table_NFI[[#This Row],[Distribution Date]]&gt;"2014-04-01",1,2.5)</f>
        <v>0</v>
      </c>
      <c r="AI718" s="436">
        <f>IF(NFI_Expiration=1,IF($A718&lt;VLOOKUP(R$5,NFI,5,0),1,0)*Table_NFI[[#This Row],[Winter Clothes Adult]],Table_NFI[Winter Clothes Adult])</f>
        <v>0</v>
      </c>
      <c r="AJ718" s="436">
        <f>IF(NFI_Expiration=1,IF($A718&lt;VLOOKUP(S$5,NFI,5,0),1,0)*Table_NFI[[#This Row],[Winter Clothes Children]],Table_NFI[Winter Clothes Children])</f>
        <v>0</v>
      </c>
      <c r="AK718" s="436">
        <f>IF(NFI_Expiration=1,IF($A718&lt;VLOOKUP(T$5,NFI,5,0),1,0)*Table_NFI[[#This Row],[Winter Items Other]],Table_NFI[Winter Items Other])</f>
        <v>0</v>
      </c>
      <c r="AL718" s="436">
        <f>IF(NFI_Expiration=1,IF($A718&lt;VLOOKUP(M$5,NFI,5,0),1,0)*Table_NFI[[#This Row],[Winter Blanket]],Table_NFI[[#This Row],[Winter Blanket]])</f>
        <v>0</v>
      </c>
      <c r="AM718" s="436">
        <f>IF(Table_NFI[[#This Row],[Winter Clothes Adult]]+Table_NFI[[#This Row],[Winter Clothes Children]]+Table_NFI[[#This Row],[Winter Items Other]]+Table_NFI[[#This Row],[Winter Blanket]]&gt;0,1,0)</f>
        <v>0</v>
      </c>
      <c r="AN718" s="439">
        <f>IF(NFI_Expiration=1,IF($A718&lt;VLOOKUP(V$5,NFI,5,0),1,0)*Table_NFI[[#This Row],[Jerry Can]],Table_NFI[Jerry Can])</f>
        <v>0</v>
      </c>
      <c r="AO718" s="771" t="str">
        <f>IFERROR(VLOOKUP(Table_NFI[[#This Row],[Camp Name]],CL,2,0),"")</f>
        <v>MMR001CMP148</v>
      </c>
      <c r="AP718" s="772">
        <f ca="1">IF(Table_NFI[[#This Row],[Pcode]]="","",IF(OFFSET(CampList[Opening Date],MATCH(Table_NFI[[#This Row],[Pcode]],CampList[CP_Pcode],0)-1,0,1,1)&gt;=NFI_Monitor_Date,1,0))</f>
        <v>0</v>
      </c>
      <c r="AQ718" s="781" t="str">
        <f>IFERROR(VLOOKUP(Table_NFI[[#This Row],[Camp Name]],CL,3,0),"")</f>
        <v>Open</v>
      </c>
      <c r="AR718" s="439" t="str">
        <f ca="1">IF(Table_NFI[[#This Row],[Pcode]]="","",OFFSET(CampList[Priority],MATCH(Table_NFI[[#This Row],[Pcode]],CampList[CP_Pcode],0)-1,0,1,1))</f>
        <v>P4</v>
      </c>
      <c r="AS718" s="438">
        <f>IFERROR(Table_NFI[[#This Row],[Kitchen Set]]/VLOOKUP(Table_NFI[[#This Row],[Camp Name]],CL,4,0),"")</f>
        <v>3.3333333333333335</v>
      </c>
      <c r="AT718" s="769" t="s">
        <v>1099</v>
      </c>
      <c r="AU718" s="773"/>
    </row>
    <row r="719" spans="1:47" x14ac:dyDescent="0.25">
      <c r="A719" s="451">
        <f t="shared" si="11"/>
        <v>39.233333333333334</v>
      </c>
      <c r="B719" s="768">
        <v>41193</v>
      </c>
      <c r="C719" s="769" t="s">
        <v>454</v>
      </c>
      <c r="D719" s="770" t="s">
        <v>454</v>
      </c>
      <c r="E719" s="769" t="s">
        <v>380</v>
      </c>
      <c r="F719" s="435" t="s">
        <v>185</v>
      </c>
      <c r="G719" s="435" t="s">
        <v>225</v>
      </c>
      <c r="H719" s="436"/>
      <c r="I719" s="436"/>
      <c r="J719" s="436"/>
      <c r="K719" s="436">
        <v>28</v>
      </c>
      <c r="L719" s="437">
        <v>17</v>
      </c>
      <c r="M719" s="437">
        <v>28</v>
      </c>
      <c r="N719" s="437">
        <v>17</v>
      </c>
      <c r="O719" s="437">
        <v>17</v>
      </c>
      <c r="P719" s="437">
        <v>17</v>
      </c>
      <c r="Q719" s="437">
        <v>17</v>
      </c>
      <c r="R719" s="436"/>
      <c r="S719" s="436"/>
      <c r="T719" s="436"/>
      <c r="U719" s="436"/>
      <c r="V719" s="436"/>
      <c r="W719" s="436"/>
      <c r="X719" s="436"/>
      <c r="Y719" s="436">
        <f>IF(NFI_Expiration=1,IF($A719&lt;VLOOKUP(H$5,NFI,5,0),1,0)*Table_NFI[[#This Row],[Hygiene Kit]],Table_NFI[Hygiene Kit])</f>
        <v>0</v>
      </c>
      <c r="Z719" s="436">
        <f>IF(NFI_Expiration=1,IF($A719&lt;VLOOKUP(I$5,NFI,5,0),1,0)*Table_NFI[[#This Row],[NFI Core Kit]],Table_NFI[NFI Core Kit])</f>
        <v>0</v>
      </c>
      <c r="AA719" s="436">
        <f>IF(NFI_Expiration=1,IF($A719&lt;VLOOKUP(J$5,NFI,5,0),1,0)*Table_NFI[[#This Row],[Sanitary Kit]],Table_NFI[Sanitary Kit])</f>
        <v>0</v>
      </c>
      <c r="AB719" s="436">
        <f>IF(NFI_Expiration=1,IF($A719&lt;VLOOKUP(K$5,NFI,5,0),1,0)*Table_NFI[[#This Row],[Mosquito net]],Table_NFI[Mosquito net])</f>
        <v>0</v>
      </c>
      <c r="AC719" s="436">
        <f>IF(NFI_Expiration=1,IF($A719&lt;VLOOKUP(L$5,NFI,5,0),1,0)*Table_NFI[[#This Row],[Tarpaulin]],Table_NFI[[#This Row],[Tarpaulin]])</f>
        <v>0</v>
      </c>
      <c r="AD719" s="436">
        <f>IF(NFI_Expiration=1,IF($A719&lt;VLOOKUP(M$5,NFI,5,0),1,0)*Table_NFI[[#This Row],[Blanket]],Table_NFI[[#This Row],[Blanket]])</f>
        <v>0</v>
      </c>
      <c r="AE719" s="436">
        <f>IF(NFI_Expiration=1,IF($A719&lt;VLOOKUP(N$5,NFI,5,0),1,0)*Table_NFI[[#This Row],[Kitchen Set]],Table_NFI[Kitchen Set])</f>
        <v>0</v>
      </c>
      <c r="AF719" s="436">
        <f>IF(NFI_Expiration=1,IF($A719&lt;VLOOKUP(O$5,NFI,5,0),1,0)*Table_NFI[[#This Row],[Clothes Kit]],Table_NFI[Clothes Kit])</f>
        <v>0</v>
      </c>
      <c r="AG719" s="436">
        <f>IF(NFI_Expiration=1,IF($A719&lt;VLOOKUP(P$5,NFI,5,0),1,0)*Table_NFI[[#This Row],[Plastic Bucket]],Table_NFI[Plastic Bucket])</f>
        <v>0</v>
      </c>
      <c r="AH719" s="436">
        <f>IF(NFI_Expiration=1,IF($A719&lt;VLOOKUP(Q$5,NFI,5,0),1,0)*Table_NFI[[#This Row],[Plastic Mat]],Table_NFI[Plastic Mat])*IF(Table_NFI[[#This Row],[Distribution Date]]&gt;"2014-04-01",1,2.5)</f>
        <v>0</v>
      </c>
      <c r="AI719" s="436">
        <f>IF(NFI_Expiration=1,IF($A719&lt;VLOOKUP(R$5,NFI,5,0),1,0)*Table_NFI[[#This Row],[Winter Clothes Adult]],Table_NFI[Winter Clothes Adult])</f>
        <v>0</v>
      </c>
      <c r="AJ719" s="436">
        <f>IF(NFI_Expiration=1,IF($A719&lt;VLOOKUP(S$5,NFI,5,0),1,0)*Table_NFI[[#This Row],[Winter Clothes Children]],Table_NFI[Winter Clothes Children])</f>
        <v>0</v>
      </c>
      <c r="AK719" s="436">
        <f>IF(NFI_Expiration=1,IF($A719&lt;VLOOKUP(T$5,NFI,5,0),1,0)*Table_NFI[[#This Row],[Winter Items Other]],Table_NFI[Winter Items Other])</f>
        <v>0</v>
      </c>
      <c r="AL719" s="436">
        <f>IF(NFI_Expiration=1,IF($A719&lt;VLOOKUP(M$5,NFI,5,0),1,0)*Table_NFI[[#This Row],[Winter Blanket]],Table_NFI[[#This Row],[Winter Blanket]])</f>
        <v>0</v>
      </c>
      <c r="AM719" s="436">
        <f>IF(Table_NFI[[#This Row],[Winter Clothes Adult]]+Table_NFI[[#This Row],[Winter Clothes Children]]+Table_NFI[[#This Row],[Winter Items Other]]+Table_NFI[[#This Row],[Winter Blanket]]&gt;0,1,0)</f>
        <v>0</v>
      </c>
      <c r="AN719" s="439">
        <f>IF(NFI_Expiration=1,IF($A719&lt;VLOOKUP(V$5,NFI,5,0),1,0)*Table_NFI[[#This Row],[Jerry Can]],Table_NFI[Jerry Can])</f>
        <v>0</v>
      </c>
      <c r="AO719" s="771" t="str">
        <f>IFERROR(VLOOKUP(Table_NFI[[#This Row],[Camp Name]],CL,2,0),"")</f>
        <v>MMR001CMP073</v>
      </c>
      <c r="AP719" s="772">
        <f ca="1">IF(Table_NFI[[#This Row],[Pcode]]="","",IF(OFFSET(CampList[Opening Date],MATCH(Table_NFI[[#This Row],[Pcode]],CampList[CP_Pcode],0)-1,0,1,1)&gt;=NFI_Monitor_Date,1,0))</f>
        <v>0</v>
      </c>
      <c r="AQ719" s="781" t="str">
        <f>IFERROR(VLOOKUP(Table_NFI[[#This Row],[Camp Name]],CL,3,0),"")</f>
        <v>Open</v>
      </c>
      <c r="AR719" s="439" t="str">
        <f ca="1">IF(Table_NFI[[#This Row],[Pcode]]="","",OFFSET(CampList[Priority],MATCH(Table_NFI[[#This Row],[Pcode]],CampList[CP_Pcode],0)-1,0,1,1))</f>
        <v>P3</v>
      </c>
      <c r="AS719" s="438">
        <f>IFERROR(Table_NFI[[#This Row],[Kitchen Set]]/VLOOKUP(Table_NFI[[#This Row],[Camp Name]],CL,4,0),"")</f>
        <v>0.37777777777777777</v>
      </c>
      <c r="AT719" s="769" t="s">
        <v>1099</v>
      </c>
      <c r="AU719" s="773"/>
    </row>
    <row r="720" spans="1:47" x14ac:dyDescent="0.25">
      <c r="A720" s="451">
        <f t="shared" si="11"/>
        <v>39.6</v>
      </c>
      <c r="B720" s="768">
        <v>41182</v>
      </c>
      <c r="C720" s="769" t="s">
        <v>454</v>
      </c>
      <c r="D720" s="769" t="s">
        <v>911</v>
      </c>
      <c r="E720" s="769" t="s">
        <v>380</v>
      </c>
      <c r="F720" s="769" t="s">
        <v>27</v>
      </c>
      <c r="G720" s="435" t="s">
        <v>37</v>
      </c>
      <c r="H720" s="436"/>
      <c r="I720" s="436"/>
      <c r="J720" s="436"/>
      <c r="K720" s="436">
        <v>34</v>
      </c>
      <c r="L720" s="437">
        <v>12</v>
      </c>
      <c r="M720" s="437">
        <v>34</v>
      </c>
      <c r="N720" s="437">
        <v>12</v>
      </c>
      <c r="O720" s="437">
        <v>12</v>
      </c>
      <c r="P720" s="437">
        <v>12</v>
      </c>
      <c r="Q720" s="437">
        <v>12</v>
      </c>
      <c r="R720" s="436"/>
      <c r="S720" s="436"/>
      <c r="T720" s="436"/>
      <c r="U720" s="436"/>
      <c r="V720" s="436"/>
      <c r="W720" s="436"/>
      <c r="X720" s="436"/>
      <c r="Y720" s="436">
        <f>IF(NFI_Expiration=1,IF($A720&lt;VLOOKUP(H$5,NFI,5,0),1,0)*Table_NFI[[#This Row],[Hygiene Kit]],Table_NFI[Hygiene Kit])</f>
        <v>0</v>
      </c>
      <c r="Z720" s="436">
        <f>IF(NFI_Expiration=1,IF($A720&lt;VLOOKUP(I$5,NFI,5,0),1,0)*Table_NFI[[#This Row],[NFI Core Kit]],Table_NFI[NFI Core Kit])</f>
        <v>0</v>
      </c>
      <c r="AA720" s="436">
        <f>IF(NFI_Expiration=1,IF($A720&lt;VLOOKUP(J$5,NFI,5,0),1,0)*Table_NFI[[#This Row],[Sanitary Kit]],Table_NFI[Sanitary Kit])</f>
        <v>0</v>
      </c>
      <c r="AB720" s="436">
        <f>IF(NFI_Expiration=1,IF($A720&lt;VLOOKUP(K$5,NFI,5,0),1,0)*Table_NFI[[#This Row],[Mosquito net]],Table_NFI[Mosquito net])</f>
        <v>0</v>
      </c>
      <c r="AC720" s="436">
        <f>IF(NFI_Expiration=1,IF($A720&lt;VLOOKUP(L$5,NFI,5,0),1,0)*Table_NFI[[#This Row],[Tarpaulin]],Table_NFI[[#This Row],[Tarpaulin]])</f>
        <v>0</v>
      </c>
      <c r="AD720" s="436">
        <f>IF(NFI_Expiration=1,IF($A720&lt;VLOOKUP(M$5,NFI,5,0),1,0)*Table_NFI[[#This Row],[Blanket]],Table_NFI[[#This Row],[Blanket]])</f>
        <v>0</v>
      </c>
      <c r="AE720" s="436">
        <f>IF(NFI_Expiration=1,IF($A720&lt;VLOOKUP(N$5,NFI,5,0),1,0)*Table_NFI[[#This Row],[Kitchen Set]],Table_NFI[Kitchen Set])</f>
        <v>0</v>
      </c>
      <c r="AF720" s="436">
        <f>IF(NFI_Expiration=1,IF($A720&lt;VLOOKUP(O$5,NFI,5,0),1,0)*Table_NFI[[#This Row],[Clothes Kit]],Table_NFI[Clothes Kit])</f>
        <v>0</v>
      </c>
      <c r="AG720" s="436">
        <f>IF(NFI_Expiration=1,IF($A720&lt;VLOOKUP(P$5,NFI,5,0),1,0)*Table_NFI[[#This Row],[Plastic Bucket]],Table_NFI[Plastic Bucket])</f>
        <v>0</v>
      </c>
      <c r="AH720" s="436">
        <f>IF(NFI_Expiration=1,IF($A720&lt;VLOOKUP(Q$5,NFI,5,0),1,0)*Table_NFI[[#This Row],[Plastic Mat]],Table_NFI[Plastic Mat])*IF(Table_NFI[[#This Row],[Distribution Date]]&gt;"2014-04-01",1,2.5)</f>
        <v>0</v>
      </c>
      <c r="AI720" s="436">
        <f>IF(NFI_Expiration=1,IF($A720&lt;VLOOKUP(R$5,NFI,5,0),1,0)*Table_NFI[[#This Row],[Winter Clothes Adult]],Table_NFI[Winter Clothes Adult])</f>
        <v>0</v>
      </c>
      <c r="AJ720" s="436">
        <f>IF(NFI_Expiration=1,IF($A720&lt;VLOOKUP(S$5,NFI,5,0),1,0)*Table_NFI[[#This Row],[Winter Clothes Children]],Table_NFI[Winter Clothes Children])</f>
        <v>0</v>
      </c>
      <c r="AK720" s="436">
        <f>IF(NFI_Expiration=1,IF($A720&lt;VLOOKUP(T$5,NFI,5,0),1,0)*Table_NFI[[#This Row],[Winter Items Other]],Table_NFI[Winter Items Other])</f>
        <v>0</v>
      </c>
      <c r="AL720" s="436">
        <f>IF(NFI_Expiration=1,IF($A720&lt;VLOOKUP(M$5,NFI,5,0),1,0)*Table_NFI[[#This Row],[Winter Blanket]],Table_NFI[[#This Row],[Winter Blanket]])</f>
        <v>0</v>
      </c>
      <c r="AM720" s="436">
        <f>IF(Table_NFI[[#This Row],[Winter Clothes Adult]]+Table_NFI[[#This Row],[Winter Clothes Children]]+Table_NFI[[#This Row],[Winter Items Other]]+Table_NFI[[#This Row],[Winter Blanket]]&gt;0,1,0)</f>
        <v>0</v>
      </c>
      <c r="AN720" s="439">
        <f>IF(NFI_Expiration=1,IF($A720&lt;VLOOKUP(V$5,NFI,5,0),1,0)*Table_NFI[[#This Row],[Jerry Can]],Table_NFI[Jerry Can])</f>
        <v>0</v>
      </c>
      <c r="AO720" s="771" t="str">
        <f>IFERROR(VLOOKUP(Table_NFI[[#This Row],[Camp Name]],CL,2,0),"")</f>
        <v>MMR001CMP044</v>
      </c>
      <c r="AP720" s="772">
        <f ca="1">IF(Table_NFI[[#This Row],[Pcode]]="","",IF(OFFSET(CampList[Opening Date],MATCH(Table_NFI[[#This Row],[Pcode]],CampList[CP_Pcode],0)-1,0,1,1)&gt;=NFI_Monitor_Date,1,0))</f>
        <v>0</v>
      </c>
      <c r="AQ720" s="781" t="str">
        <f>IFERROR(VLOOKUP(Table_NFI[[#This Row],[Camp Name]],CL,3,0),"")</f>
        <v>Closed</v>
      </c>
      <c r="AR720" s="439" t="str">
        <f ca="1">IF(Table_NFI[[#This Row],[Pcode]]="","",OFFSET(CampList[Priority],MATCH(Table_NFI[[#This Row],[Pcode]],CampList[CP_Pcode],0)-1,0,1,1))</f>
        <v/>
      </c>
      <c r="AS720" s="438" t="str">
        <f>IFERROR(Table_NFI[[#This Row],[Kitchen Set]]/VLOOKUP(Table_NFI[[#This Row],[Camp Name]],CL,4,0),"")</f>
        <v/>
      </c>
      <c r="AT720" s="769" t="s">
        <v>1099</v>
      </c>
      <c r="AU720" s="773"/>
    </row>
    <row r="721" spans="1:47" x14ac:dyDescent="0.25">
      <c r="A721" s="451">
        <f t="shared" si="11"/>
        <v>39.633333333333333</v>
      </c>
      <c r="B721" s="768">
        <v>41181</v>
      </c>
      <c r="C721" s="769" t="s">
        <v>454</v>
      </c>
      <c r="D721" s="769" t="s">
        <v>911</v>
      </c>
      <c r="E721" s="769" t="s">
        <v>380</v>
      </c>
      <c r="F721" s="769" t="s">
        <v>27</v>
      </c>
      <c r="G721" s="435" t="s">
        <v>365</v>
      </c>
      <c r="H721" s="436"/>
      <c r="I721" s="436"/>
      <c r="J721" s="436"/>
      <c r="K721" s="436">
        <v>34</v>
      </c>
      <c r="L721" s="437">
        <v>12</v>
      </c>
      <c r="M721" s="437">
        <v>34</v>
      </c>
      <c r="N721" s="437">
        <v>12</v>
      </c>
      <c r="O721" s="437">
        <v>12</v>
      </c>
      <c r="P721" s="437">
        <v>12</v>
      </c>
      <c r="Q721" s="437">
        <v>12</v>
      </c>
      <c r="R721" s="436"/>
      <c r="S721" s="436"/>
      <c r="T721" s="436"/>
      <c r="U721" s="436"/>
      <c r="V721" s="436"/>
      <c r="W721" s="436"/>
      <c r="X721" s="436"/>
      <c r="Y721" s="436">
        <f>IF(NFI_Expiration=1,IF($A721&lt;VLOOKUP(H$5,NFI,5,0),1,0)*Table_NFI[[#This Row],[Hygiene Kit]],Table_NFI[Hygiene Kit])</f>
        <v>0</v>
      </c>
      <c r="Z721" s="436">
        <f>IF(NFI_Expiration=1,IF($A721&lt;VLOOKUP(I$5,NFI,5,0),1,0)*Table_NFI[[#This Row],[NFI Core Kit]],Table_NFI[NFI Core Kit])</f>
        <v>0</v>
      </c>
      <c r="AA721" s="436">
        <f>IF(NFI_Expiration=1,IF($A721&lt;VLOOKUP(J$5,NFI,5,0),1,0)*Table_NFI[[#This Row],[Sanitary Kit]],Table_NFI[Sanitary Kit])</f>
        <v>0</v>
      </c>
      <c r="AB721" s="436">
        <f>IF(NFI_Expiration=1,IF($A721&lt;VLOOKUP(K$5,NFI,5,0),1,0)*Table_NFI[[#This Row],[Mosquito net]],Table_NFI[Mosquito net])</f>
        <v>0</v>
      </c>
      <c r="AC721" s="436">
        <f>IF(NFI_Expiration=1,IF($A721&lt;VLOOKUP(L$5,NFI,5,0),1,0)*Table_NFI[[#This Row],[Tarpaulin]],Table_NFI[[#This Row],[Tarpaulin]])</f>
        <v>0</v>
      </c>
      <c r="AD721" s="436">
        <f>IF(NFI_Expiration=1,IF($A721&lt;VLOOKUP(M$5,NFI,5,0),1,0)*Table_NFI[[#This Row],[Blanket]],Table_NFI[[#This Row],[Blanket]])</f>
        <v>0</v>
      </c>
      <c r="AE721" s="436">
        <f>IF(NFI_Expiration=1,IF($A721&lt;VLOOKUP(N$5,NFI,5,0),1,0)*Table_NFI[[#This Row],[Kitchen Set]],Table_NFI[Kitchen Set])</f>
        <v>0</v>
      </c>
      <c r="AF721" s="436">
        <f>IF(NFI_Expiration=1,IF($A721&lt;VLOOKUP(O$5,NFI,5,0),1,0)*Table_NFI[[#This Row],[Clothes Kit]],Table_NFI[Clothes Kit])</f>
        <v>0</v>
      </c>
      <c r="AG721" s="436">
        <f>IF(NFI_Expiration=1,IF($A721&lt;VLOOKUP(P$5,NFI,5,0),1,0)*Table_NFI[[#This Row],[Plastic Bucket]],Table_NFI[Plastic Bucket])</f>
        <v>0</v>
      </c>
      <c r="AH721" s="436">
        <f>IF(NFI_Expiration=1,IF($A721&lt;VLOOKUP(Q$5,NFI,5,0),1,0)*Table_NFI[[#This Row],[Plastic Mat]],Table_NFI[Plastic Mat])*IF(Table_NFI[[#This Row],[Distribution Date]]&gt;"2014-04-01",1,2.5)</f>
        <v>0</v>
      </c>
      <c r="AI721" s="436">
        <f>IF(NFI_Expiration=1,IF($A721&lt;VLOOKUP(R$5,NFI,5,0),1,0)*Table_NFI[[#This Row],[Winter Clothes Adult]],Table_NFI[Winter Clothes Adult])</f>
        <v>0</v>
      </c>
      <c r="AJ721" s="436">
        <f>IF(NFI_Expiration=1,IF($A721&lt;VLOOKUP(S$5,NFI,5,0),1,0)*Table_NFI[[#This Row],[Winter Clothes Children]],Table_NFI[Winter Clothes Children])</f>
        <v>0</v>
      </c>
      <c r="AK721" s="436">
        <f>IF(NFI_Expiration=1,IF($A721&lt;VLOOKUP(T$5,NFI,5,0),1,0)*Table_NFI[[#This Row],[Winter Items Other]],Table_NFI[Winter Items Other])</f>
        <v>0</v>
      </c>
      <c r="AL721" s="436">
        <f>IF(NFI_Expiration=1,IF($A721&lt;VLOOKUP(M$5,NFI,5,0),1,0)*Table_NFI[[#This Row],[Winter Blanket]],Table_NFI[[#This Row],[Winter Blanket]])</f>
        <v>0</v>
      </c>
      <c r="AM721" s="436">
        <f>IF(Table_NFI[[#This Row],[Winter Clothes Adult]]+Table_NFI[[#This Row],[Winter Clothes Children]]+Table_NFI[[#This Row],[Winter Items Other]]+Table_NFI[[#This Row],[Winter Blanket]]&gt;0,1,0)</f>
        <v>0</v>
      </c>
      <c r="AN721" s="439">
        <f>IF(NFI_Expiration=1,IF($A721&lt;VLOOKUP(V$5,NFI,5,0),1,0)*Table_NFI[[#This Row],[Jerry Can]],Table_NFI[Jerry Can])</f>
        <v>0</v>
      </c>
      <c r="AO721" s="771" t="str">
        <f>IFERROR(VLOOKUP(Table_NFI[[#This Row],[Camp Name]],CL,2,0),"")</f>
        <v>MMR001CMP195</v>
      </c>
      <c r="AP721" s="772">
        <f ca="1">IF(Table_NFI[[#This Row],[Pcode]]="","",IF(OFFSET(CampList[Opening Date],MATCH(Table_NFI[[#This Row],[Pcode]],CampList[CP_Pcode],0)-1,0,1,1)&gt;=NFI_Monitor_Date,1,0))</f>
        <v>0</v>
      </c>
      <c r="AQ721" s="781" t="str">
        <f>IFERROR(VLOOKUP(Table_NFI[[#This Row],[Camp Name]],CL,3,0),"")</f>
        <v>Open</v>
      </c>
      <c r="AR721" s="439" t="str">
        <f ca="1">IF(Table_NFI[[#This Row],[Pcode]]="","",OFFSET(CampList[Priority],MATCH(Table_NFI[[#This Row],[Pcode]],CampList[CP_Pcode],0)-1,0,1,1))</f>
        <v>P1</v>
      </c>
      <c r="AS721" s="438">
        <f>IFERROR(Table_NFI[[#This Row],[Kitchen Set]]/VLOOKUP(Table_NFI[[#This Row],[Camp Name]],CL,4,0),"")</f>
        <v>8.3333333333333329E-2</v>
      </c>
      <c r="AT721" s="769" t="s">
        <v>1099</v>
      </c>
      <c r="AU721" s="773"/>
    </row>
    <row r="722" spans="1:47" x14ac:dyDescent="0.25">
      <c r="A722" s="451">
        <f t="shared" si="11"/>
        <v>39.633333333333333</v>
      </c>
      <c r="B722" s="768">
        <v>41181</v>
      </c>
      <c r="C722" s="769" t="s">
        <v>454</v>
      </c>
      <c r="D722" s="769" t="s">
        <v>454</v>
      </c>
      <c r="E722" s="769" t="s">
        <v>380</v>
      </c>
      <c r="F722" s="435" t="s">
        <v>185</v>
      </c>
      <c r="G722" s="435" t="s">
        <v>190</v>
      </c>
      <c r="H722" s="436"/>
      <c r="I722" s="436"/>
      <c r="J722" s="436"/>
      <c r="K722" s="436">
        <v>151</v>
      </c>
      <c r="L722" s="439">
        <v>59</v>
      </c>
      <c r="M722" s="439">
        <v>151</v>
      </c>
      <c r="N722" s="439">
        <v>59</v>
      </c>
      <c r="O722" s="439">
        <v>59</v>
      </c>
      <c r="P722" s="439">
        <v>59</v>
      </c>
      <c r="Q722" s="439">
        <v>59</v>
      </c>
      <c r="R722" s="436"/>
      <c r="S722" s="436"/>
      <c r="T722" s="436"/>
      <c r="U722" s="436"/>
      <c r="V722" s="436"/>
      <c r="W722" s="436"/>
      <c r="X722" s="436"/>
      <c r="Y722" s="436">
        <f>IF(NFI_Expiration=1,IF($A722&lt;VLOOKUP(H$5,NFI,5,0),1,0)*Table_NFI[[#This Row],[Hygiene Kit]],Table_NFI[Hygiene Kit])</f>
        <v>0</v>
      </c>
      <c r="Z722" s="436">
        <f>IF(NFI_Expiration=1,IF($A722&lt;VLOOKUP(I$5,NFI,5,0),1,0)*Table_NFI[[#This Row],[NFI Core Kit]],Table_NFI[NFI Core Kit])</f>
        <v>0</v>
      </c>
      <c r="AA722" s="436">
        <f>IF(NFI_Expiration=1,IF($A722&lt;VLOOKUP(J$5,NFI,5,0),1,0)*Table_NFI[[#This Row],[Sanitary Kit]],Table_NFI[Sanitary Kit])</f>
        <v>0</v>
      </c>
      <c r="AB722" s="436">
        <f>IF(NFI_Expiration=1,IF($A722&lt;VLOOKUP(K$5,NFI,5,0),1,0)*Table_NFI[[#This Row],[Mosquito net]],Table_NFI[Mosquito net])</f>
        <v>0</v>
      </c>
      <c r="AC722" s="436">
        <f>IF(NFI_Expiration=1,IF($A722&lt;VLOOKUP(L$5,NFI,5,0),1,0)*Table_NFI[[#This Row],[Tarpaulin]],Table_NFI[[#This Row],[Tarpaulin]])</f>
        <v>0</v>
      </c>
      <c r="AD722" s="436">
        <f>IF(NFI_Expiration=1,IF($A722&lt;VLOOKUP(M$5,NFI,5,0),1,0)*Table_NFI[[#This Row],[Blanket]],Table_NFI[[#This Row],[Blanket]])</f>
        <v>0</v>
      </c>
      <c r="AE722" s="436">
        <f>IF(NFI_Expiration=1,IF($A722&lt;VLOOKUP(N$5,NFI,5,0),1,0)*Table_NFI[[#This Row],[Kitchen Set]],Table_NFI[Kitchen Set])</f>
        <v>0</v>
      </c>
      <c r="AF722" s="436">
        <f>IF(NFI_Expiration=1,IF($A722&lt;VLOOKUP(O$5,NFI,5,0),1,0)*Table_NFI[[#This Row],[Clothes Kit]],Table_NFI[Clothes Kit])</f>
        <v>0</v>
      </c>
      <c r="AG722" s="436">
        <f>IF(NFI_Expiration=1,IF($A722&lt;VLOOKUP(P$5,NFI,5,0),1,0)*Table_NFI[[#This Row],[Plastic Bucket]],Table_NFI[Plastic Bucket])</f>
        <v>0</v>
      </c>
      <c r="AH722" s="436">
        <f>IF(NFI_Expiration=1,IF($A722&lt;VLOOKUP(Q$5,NFI,5,0),1,0)*Table_NFI[[#This Row],[Plastic Mat]],Table_NFI[Plastic Mat])*IF(Table_NFI[[#This Row],[Distribution Date]]&gt;"2014-04-01",1,2.5)</f>
        <v>0</v>
      </c>
      <c r="AI722" s="436">
        <f>IF(NFI_Expiration=1,IF($A722&lt;VLOOKUP(R$5,NFI,5,0),1,0)*Table_NFI[[#This Row],[Winter Clothes Adult]],Table_NFI[Winter Clothes Adult])</f>
        <v>0</v>
      </c>
      <c r="AJ722" s="436">
        <f>IF(NFI_Expiration=1,IF($A722&lt;VLOOKUP(S$5,NFI,5,0),1,0)*Table_NFI[[#This Row],[Winter Clothes Children]],Table_NFI[Winter Clothes Children])</f>
        <v>0</v>
      </c>
      <c r="AK722" s="436">
        <f>IF(NFI_Expiration=1,IF($A722&lt;VLOOKUP(T$5,NFI,5,0),1,0)*Table_NFI[[#This Row],[Winter Items Other]],Table_NFI[Winter Items Other])</f>
        <v>0</v>
      </c>
      <c r="AL722" s="436">
        <f>IF(NFI_Expiration=1,IF($A722&lt;VLOOKUP(M$5,NFI,5,0),1,0)*Table_NFI[[#This Row],[Winter Blanket]],Table_NFI[[#This Row],[Winter Blanket]])</f>
        <v>0</v>
      </c>
      <c r="AM722" s="436">
        <f>IF(Table_NFI[[#This Row],[Winter Clothes Adult]]+Table_NFI[[#This Row],[Winter Clothes Children]]+Table_NFI[[#This Row],[Winter Items Other]]+Table_NFI[[#This Row],[Winter Blanket]]&gt;0,1,0)</f>
        <v>0</v>
      </c>
      <c r="AN722" s="439">
        <f>IF(NFI_Expiration=1,IF($A722&lt;VLOOKUP(V$5,NFI,5,0),1,0)*Table_NFI[[#This Row],[Jerry Can]],Table_NFI[Jerry Can])</f>
        <v>0</v>
      </c>
      <c r="AO722" s="771" t="str">
        <f>IFERROR(VLOOKUP(Table_NFI[[#This Row],[Camp Name]],CL,2,0),"")</f>
        <v>MMR001CMP070</v>
      </c>
      <c r="AP722" s="772">
        <f ca="1">IF(Table_NFI[[#This Row],[Pcode]]="","",IF(OFFSET(CampList[Opening Date],MATCH(Table_NFI[[#This Row],[Pcode]],CampList[CP_Pcode],0)-1,0,1,1)&gt;=NFI_Monitor_Date,1,0))</f>
        <v>0</v>
      </c>
      <c r="AQ722" s="781" t="str">
        <f>IFERROR(VLOOKUP(Table_NFI[[#This Row],[Camp Name]],CL,3,0),"")</f>
        <v>Open</v>
      </c>
      <c r="AR722" s="439" t="str">
        <f ca="1">IF(Table_NFI[[#This Row],[Pcode]]="","",OFFSET(CampList[Priority],MATCH(Table_NFI[[#This Row],[Pcode]],CampList[CP_Pcode],0)-1,0,1,1))</f>
        <v>P3</v>
      </c>
      <c r="AS722" s="438">
        <f>IFERROR(Table_NFI[[#This Row],[Kitchen Set]]/VLOOKUP(Table_NFI[[#This Row],[Camp Name]],CL,4,0),"")</f>
        <v>0.31382978723404253</v>
      </c>
      <c r="AT722" s="769" t="s">
        <v>1099</v>
      </c>
      <c r="AU722" s="773"/>
    </row>
    <row r="723" spans="1:47" x14ac:dyDescent="0.25">
      <c r="A723" s="451">
        <f t="shared" si="11"/>
        <v>39.666666666666664</v>
      </c>
      <c r="B723" s="768">
        <v>41180</v>
      </c>
      <c r="C723" s="769" t="s">
        <v>454</v>
      </c>
      <c r="D723" s="770" t="s">
        <v>911</v>
      </c>
      <c r="E723" s="769" t="s">
        <v>380</v>
      </c>
      <c r="F723" s="435" t="s">
        <v>27</v>
      </c>
      <c r="G723" s="435" t="s">
        <v>34</v>
      </c>
      <c r="H723" s="436"/>
      <c r="I723" s="436"/>
      <c r="J723" s="436"/>
      <c r="K723" s="436">
        <v>33</v>
      </c>
      <c r="L723" s="437">
        <v>11</v>
      </c>
      <c r="M723" s="437">
        <v>33</v>
      </c>
      <c r="N723" s="437">
        <v>11</v>
      </c>
      <c r="O723" s="437">
        <v>11</v>
      </c>
      <c r="P723" s="437">
        <v>11</v>
      </c>
      <c r="Q723" s="437">
        <v>11</v>
      </c>
      <c r="R723" s="436"/>
      <c r="S723" s="436"/>
      <c r="T723" s="436"/>
      <c r="U723" s="436"/>
      <c r="V723" s="436"/>
      <c r="W723" s="436"/>
      <c r="X723" s="436"/>
      <c r="Y723" s="436">
        <f>IF(NFI_Expiration=1,IF($A723&lt;VLOOKUP(H$5,NFI,5,0),1,0)*Table_NFI[[#This Row],[Hygiene Kit]],Table_NFI[Hygiene Kit])</f>
        <v>0</v>
      </c>
      <c r="Z723" s="436">
        <f>IF(NFI_Expiration=1,IF($A723&lt;VLOOKUP(I$5,NFI,5,0),1,0)*Table_NFI[[#This Row],[NFI Core Kit]],Table_NFI[NFI Core Kit])</f>
        <v>0</v>
      </c>
      <c r="AA723" s="436">
        <f>IF(NFI_Expiration=1,IF($A723&lt;VLOOKUP(J$5,NFI,5,0),1,0)*Table_NFI[[#This Row],[Sanitary Kit]],Table_NFI[Sanitary Kit])</f>
        <v>0</v>
      </c>
      <c r="AB723" s="436">
        <f>IF(NFI_Expiration=1,IF($A723&lt;VLOOKUP(K$5,NFI,5,0),1,0)*Table_NFI[[#This Row],[Mosquito net]],Table_NFI[Mosquito net])</f>
        <v>0</v>
      </c>
      <c r="AC723" s="436">
        <f>IF(NFI_Expiration=1,IF($A723&lt;VLOOKUP(L$5,NFI,5,0),1,0)*Table_NFI[[#This Row],[Tarpaulin]],Table_NFI[[#This Row],[Tarpaulin]])</f>
        <v>0</v>
      </c>
      <c r="AD723" s="436">
        <f>IF(NFI_Expiration=1,IF($A723&lt;VLOOKUP(M$5,NFI,5,0),1,0)*Table_NFI[[#This Row],[Blanket]],Table_NFI[[#This Row],[Blanket]])</f>
        <v>0</v>
      </c>
      <c r="AE723" s="436">
        <f>IF(NFI_Expiration=1,IF($A723&lt;VLOOKUP(N$5,NFI,5,0),1,0)*Table_NFI[[#This Row],[Kitchen Set]],Table_NFI[Kitchen Set])</f>
        <v>0</v>
      </c>
      <c r="AF723" s="436">
        <f>IF(NFI_Expiration=1,IF($A723&lt;VLOOKUP(O$5,NFI,5,0),1,0)*Table_NFI[[#This Row],[Clothes Kit]],Table_NFI[Clothes Kit])</f>
        <v>0</v>
      </c>
      <c r="AG723" s="436">
        <f>IF(NFI_Expiration=1,IF($A723&lt;VLOOKUP(P$5,NFI,5,0),1,0)*Table_NFI[[#This Row],[Plastic Bucket]],Table_NFI[Plastic Bucket])</f>
        <v>0</v>
      </c>
      <c r="AH723" s="436">
        <f>IF(NFI_Expiration=1,IF($A723&lt;VLOOKUP(Q$5,NFI,5,0),1,0)*Table_NFI[[#This Row],[Plastic Mat]],Table_NFI[Plastic Mat])*IF(Table_NFI[[#This Row],[Distribution Date]]&gt;"2014-04-01",1,2.5)</f>
        <v>0</v>
      </c>
      <c r="AI723" s="436">
        <f>IF(NFI_Expiration=1,IF($A723&lt;VLOOKUP(R$5,NFI,5,0),1,0)*Table_NFI[[#This Row],[Winter Clothes Adult]],Table_NFI[Winter Clothes Adult])</f>
        <v>0</v>
      </c>
      <c r="AJ723" s="436">
        <f>IF(NFI_Expiration=1,IF($A723&lt;VLOOKUP(S$5,NFI,5,0),1,0)*Table_NFI[[#This Row],[Winter Clothes Children]],Table_NFI[Winter Clothes Children])</f>
        <v>0</v>
      </c>
      <c r="AK723" s="436">
        <f>IF(NFI_Expiration=1,IF($A723&lt;VLOOKUP(T$5,NFI,5,0),1,0)*Table_NFI[[#This Row],[Winter Items Other]],Table_NFI[Winter Items Other])</f>
        <v>0</v>
      </c>
      <c r="AL723" s="436">
        <f>IF(NFI_Expiration=1,IF($A723&lt;VLOOKUP(M$5,NFI,5,0),1,0)*Table_NFI[[#This Row],[Winter Blanket]],Table_NFI[[#This Row],[Winter Blanket]])</f>
        <v>0</v>
      </c>
      <c r="AM723" s="436">
        <f>IF(Table_NFI[[#This Row],[Winter Clothes Adult]]+Table_NFI[[#This Row],[Winter Clothes Children]]+Table_NFI[[#This Row],[Winter Items Other]]+Table_NFI[[#This Row],[Winter Blanket]]&gt;0,1,0)</f>
        <v>0</v>
      </c>
      <c r="AN723" s="439">
        <f>IF(NFI_Expiration=1,IF($A723&lt;VLOOKUP(V$5,NFI,5,0),1,0)*Table_NFI[[#This Row],[Jerry Can]],Table_NFI[Jerry Can])</f>
        <v>0</v>
      </c>
      <c r="AO723" s="771" t="str">
        <f>IFERROR(VLOOKUP(Table_NFI[[#This Row],[Camp Name]],CL,2,0),"")</f>
        <v>MMR001CMP045</v>
      </c>
      <c r="AP723" s="772">
        <f ca="1">IF(Table_NFI[[#This Row],[Pcode]]="","",IF(OFFSET(CampList[Opening Date],MATCH(Table_NFI[[#This Row],[Pcode]],CampList[CP_Pcode],0)-1,0,1,1)&gt;=NFI_Monitor_Date,1,0))</f>
        <v>0</v>
      </c>
      <c r="AQ723" s="781" t="str">
        <f>IFERROR(VLOOKUP(Table_NFI[[#This Row],[Camp Name]],CL,3,0),"")</f>
        <v>Open</v>
      </c>
      <c r="AR723" s="439" t="str">
        <f ca="1">IF(Table_NFI[[#This Row],[Pcode]]="","",OFFSET(CampList[Priority],MATCH(Table_NFI[[#This Row],[Pcode]],CampList[CP_Pcode],0)-1,0,1,1))</f>
        <v>P1</v>
      </c>
      <c r="AS723" s="438" t="str">
        <f>IFERROR(Table_NFI[[#This Row],[Kitchen Set]]/VLOOKUP(Table_NFI[[#This Row],[Camp Name]],CL,4,0),"")</f>
        <v/>
      </c>
      <c r="AT723" s="769" t="s">
        <v>1099</v>
      </c>
      <c r="AU723" s="773"/>
    </row>
    <row r="724" spans="1:47" x14ac:dyDescent="0.25">
      <c r="A724" s="451">
        <f t="shared" si="11"/>
        <v>39.700000000000003</v>
      </c>
      <c r="B724" s="768">
        <v>41179</v>
      </c>
      <c r="C724" s="769" t="s">
        <v>454</v>
      </c>
      <c r="D724" s="769" t="s">
        <v>911</v>
      </c>
      <c r="E724" s="769" t="s">
        <v>380</v>
      </c>
      <c r="F724" s="435" t="s">
        <v>27</v>
      </c>
      <c r="G724" s="435" t="s">
        <v>364</v>
      </c>
      <c r="H724" s="436"/>
      <c r="I724" s="436"/>
      <c r="J724" s="436"/>
      <c r="K724" s="436">
        <v>33</v>
      </c>
      <c r="L724" s="439">
        <v>11</v>
      </c>
      <c r="M724" s="439">
        <v>33</v>
      </c>
      <c r="N724" s="439">
        <v>11</v>
      </c>
      <c r="O724" s="437">
        <v>11</v>
      </c>
      <c r="P724" s="439">
        <v>11</v>
      </c>
      <c r="Q724" s="439">
        <v>11</v>
      </c>
      <c r="R724" s="436"/>
      <c r="S724" s="436"/>
      <c r="T724" s="436"/>
      <c r="U724" s="436"/>
      <c r="V724" s="436"/>
      <c r="W724" s="436"/>
      <c r="X724" s="436"/>
      <c r="Y724" s="436">
        <f>IF(NFI_Expiration=1,IF($A724&lt;VLOOKUP(H$5,NFI,5,0),1,0)*Table_NFI[[#This Row],[Hygiene Kit]],Table_NFI[Hygiene Kit])</f>
        <v>0</v>
      </c>
      <c r="Z724" s="436">
        <f>IF(NFI_Expiration=1,IF($A724&lt;VLOOKUP(I$5,NFI,5,0),1,0)*Table_NFI[[#This Row],[NFI Core Kit]],Table_NFI[NFI Core Kit])</f>
        <v>0</v>
      </c>
      <c r="AA724" s="436">
        <f>IF(NFI_Expiration=1,IF($A724&lt;VLOOKUP(J$5,NFI,5,0),1,0)*Table_NFI[[#This Row],[Sanitary Kit]],Table_NFI[Sanitary Kit])</f>
        <v>0</v>
      </c>
      <c r="AB724" s="436">
        <f>IF(NFI_Expiration=1,IF($A724&lt;VLOOKUP(K$5,NFI,5,0),1,0)*Table_NFI[[#This Row],[Mosquito net]],Table_NFI[Mosquito net])</f>
        <v>0</v>
      </c>
      <c r="AC724" s="436">
        <f>IF(NFI_Expiration=1,IF($A724&lt;VLOOKUP(L$5,NFI,5,0),1,0)*Table_NFI[[#This Row],[Tarpaulin]],Table_NFI[[#This Row],[Tarpaulin]])</f>
        <v>0</v>
      </c>
      <c r="AD724" s="436">
        <f>IF(NFI_Expiration=1,IF($A724&lt;VLOOKUP(M$5,NFI,5,0),1,0)*Table_NFI[[#This Row],[Blanket]],Table_NFI[[#This Row],[Blanket]])</f>
        <v>0</v>
      </c>
      <c r="AE724" s="436">
        <f>IF(NFI_Expiration=1,IF($A724&lt;VLOOKUP(N$5,NFI,5,0),1,0)*Table_NFI[[#This Row],[Kitchen Set]],Table_NFI[Kitchen Set])</f>
        <v>0</v>
      </c>
      <c r="AF724" s="436">
        <f>IF(NFI_Expiration=1,IF($A724&lt;VLOOKUP(O$5,NFI,5,0),1,0)*Table_NFI[[#This Row],[Clothes Kit]],Table_NFI[Clothes Kit])</f>
        <v>0</v>
      </c>
      <c r="AG724" s="436">
        <f>IF(NFI_Expiration=1,IF($A724&lt;VLOOKUP(P$5,NFI,5,0),1,0)*Table_NFI[[#This Row],[Plastic Bucket]],Table_NFI[Plastic Bucket])</f>
        <v>0</v>
      </c>
      <c r="AH724" s="436">
        <f>IF(NFI_Expiration=1,IF($A724&lt;VLOOKUP(Q$5,NFI,5,0),1,0)*Table_NFI[[#This Row],[Plastic Mat]],Table_NFI[Plastic Mat])*IF(Table_NFI[[#This Row],[Distribution Date]]&gt;"2014-04-01",1,2.5)</f>
        <v>0</v>
      </c>
      <c r="AI724" s="436">
        <f>IF(NFI_Expiration=1,IF($A724&lt;VLOOKUP(R$5,NFI,5,0),1,0)*Table_NFI[[#This Row],[Winter Clothes Adult]],Table_NFI[Winter Clothes Adult])</f>
        <v>0</v>
      </c>
      <c r="AJ724" s="436">
        <f>IF(NFI_Expiration=1,IF($A724&lt;VLOOKUP(S$5,NFI,5,0),1,0)*Table_NFI[[#This Row],[Winter Clothes Children]],Table_NFI[Winter Clothes Children])</f>
        <v>0</v>
      </c>
      <c r="AK724" s="436">
        <f>IF(NFI_Expiration=1,IF($A724&lt;VLOOKUP(T$5,NFI,5,0),1,0)*Table_NFI[[#This Row],[Winter Items Other]],Table_NFI[Winter Items Other])</f>
        <v>0</v>
      </c>
      <c r="AL724" s="436">
        <f>IF(NFI_Expiration=1,IF($A724&lt;VLOOKUP(M$5,NFI,5,0),1,0)*Table_NFI[[#This Row],[Winter Blanket]],Table_NFI[[#This Row],[Winter Blanket]])</f>
        <v>0</v>
      </c>
      <c r="AM724" s="436">
        <f>IF(Table_NFI[[#This Row],[Winter Clothes Adult]]+Table_NFI[[#This Row],[Winter Clothes Children]]+Table_NFI[[#This Row],[Winter Items Other]]+Table_NFI[[#This Row],[Winter Blanket]]&gt;0,1,0)</f>
        <v>0</v>
      </c>
      <c r="AN724" s="439">
        <f>IF(NFI_Expiration=1,IF($A724&lt;VLOOKUP(V$5,NFI,5,0),1,0)*Table_NFI[[#This Row],[Jerry Can]],Table_NFI[Jerry Can])</f>
        <v>0</v>
      </c>
      <c r="AO724" s="771" t="str">
        <f>IFERROR(VLOOKUP(Table_NFI[[#This Row],[Camp Name]],CL,2,0),"")</f>
        <v>MMR001CMP043</v>
      </c>
      <c r="AP724" s="772">
        <f ca="1">IF(Table_NFI[[#This Row],[Pcode]]="","",IF(OFFSET(CampList[Opening Date],MATCH(Table_NFI[[#This Row],[Pcode]],CampList[CP_Pcode],0)-1,0,1,1)&gt;=NFI_Monitor_Date,1,0))</f>
        <v>0</v>
      </c>
      <c r="AQ724" s="781" t="str">
        <f>IFERROR(VLOOKUP(Table_NFI[[#This Row],[Camp Name]],CL,3,0),"")</f>
        <v>Open</v>
      </c>
      <c r="AR724" s="439" t="str">
        <f ca="1">IF(Table_NFI[[#This Row],[Pcode]]="","",OFFSET(CampList[Priority],MATCH(Table_NFI[[#This Row],[Pcode]],CampList[CP_Pcode],0)-1,0,1,1))</f>
        <v>P1</v>
      </c>
      <c r="AS724" s="438">
        <f>IFERROR(Table_NFI[[#This Row],[Kitchen Set]]/VLOOKUP(Table_NFI[[#This Row],[Camp Name]],CL,4,0),"")</f>
        <v>7.1428571428571425E-2</v>
      </c>
      <c r="AT724" s="769" t="s">
        <v>1099</v>
      </c>
      <c r="AU724" s="773"/>
    </row>
    <row r="725" spans="1:47" x14ac:dyDescent="0.25">
      <c r="A725" s="451">
        <f t="shared" si="11"/>
        <v>39.733333333333334</v>
      </c>
      <c r="B725" s="768">
        <v>41178</v>
      </c>
      <c r="C725" s="769" t="s">
        <v>454</v>
      </c>
      <c r="D725" s="769" t="s">
        <v>911</v>
      </c>
      <c r="E725" s="769" t="s">
        <v>380</v>
      </c>
      <c r="F725" s="435" t="s">
        <v>27</v>
      </c>
      <c r="G725" s="435" t="s">
        <v>32</v>
      </c>
      <c r="H725" s="436"/>
      <c r="I725" s="436"/>
      <c r="J725" s="436"/>
      <c r="K725" s="436">
        <v>33</v>
      </c>
      <c r="L725" s="439">
        <v>11</v>
      </c>
      <c r="M725" s="439">
        <v>33</v>
      </c>
      <c r="N725" s="439">
        <v>11</v>
      </c>
      <c r="O725" s="439">
        <v>11</v>
      </c>
      <c r="P725" s="439">
        <v>11</v>
      </c>
      <c r="Q725" s="439">
        <v>11</v>
      </c>
      <c r="R725" s="436"/>
      <c r="S725" s="436"/>
      <c r="T725" s="436"/>
      <c r="U725" s="436"/>
      <c r="V725" s="436"/>
      <c r="W725" s="436"/>
      <c r="X725" s="436"/>
      <c r="Y725" s="436">
        <f>IF(NFI_Expiration=1,IF($A725&lt;VLOOKUP(H$5,NFI,5,0),1,0)*Table_NFI[[#This Row],[Hygiene Kit]],Table_NFI[Hygiene Kit])</f>
        <v>0</v>
      </c>
      <c r="Z725" s="436">
        <f>IF(NFI_Expiration=1,IF($A725&lt;VLOOKUP(I$5,NFI,5,0),1,0)*Table_NFI[[#This Row],[NFI Core Kit]],Table_NFI[NFI Core Kit])</f>
        <v>0</v>
      </c>
      <c r="AA725" s="436">
        <f>IF(NFI_Expiration=1,IF($A725&lt;VLOOKUP(J$5,NFI,5,0),1,0)*Table_NFI[[#This Row],[Sanitary Kit]],Table_NFI[Sanitary Kit])</f>
        <v>0</v>
      </c>
      <c r="AB725" s="436">
        <f>IF(NFI_Expiration=1,IF($A725&lt;VLOOKUP(K$5,NFI,5,0),1,0)*Table_NFI[[#This Row],[Mosquito net]],Table_NFI[Mosquito net])</f>
        <v>0</v>
      </c>
      <c r="AC725" s="436">
        <f>IF(NFI_Expiration=1,IF($A725&lt;VLOOKUP(L$5,NFI,5,0),1,0)*Table_NFI[[#This Row],[Tarpaulin]],Table_NFI[[#This Row],[Tarpaulin]])</f>
        <v>0</v>
      </c>
      <c r="AD725" s="436">
        <f>IF(NFI_Expiration=1,IF($A725&lt;VLOOKUP(M$5,NFI,5,0),1,0)*Table_NFI[[#This Row],[Blanket]],Table_NFI[[#This Row],[Blanket]])</f>
        <v>0</v>
      </c>
      <c r="AE725" s="436">
        <f>IF(NFI_Expiration=1,IF($A725&lt;VLOOKUP(N$5,NFI,5,0),1,0)*Table_NFI[[#This Row],[Kitchen Set]],Table_NFI[Kitchen Set])</f>
        <v>0</v>
      </c>
      <c r="AF725" s="436">
        <f>IF(NFI_Expiration=1,IF($A725&lt;VLOOKUP(O$5,NFI,5,0),1,0)*Table_NFI[[#This Row],[Clothes Kit]],Table_NFI[Clothes Kit])</f>
        <v>0</v>
      </c>
      <c r="AG725" s="436">
        <f>IF(NFI_Expiration=1,IF($A725&lt;VLOOKUP(P$5,NFI,5,0),1,0)*Table_NFI[[#This Row],[Plastic Bucket]],Table_NFI[Plastic Bucket])</f>
        <v>0</v>
      </c>
      <c r="AH725" s="436">
        <f>IF(NFI_Expiration=1,IF($A725&lt;VLOOKUP(Q$5,NFI,5,0),1,0)*Table_NFI[[#This Row],[Plastic Mat]],Table_NFI[Plastic Mat])*IF(Table_NFI[[#This Row],[Distribution Date]]&gt;"2014-04-01",1,2.5)</f>
        <v>0</v>
      </c>
      <c r="AI725" s="436">
        <f>IF(NFI_Expiration=1,IF($A725&lt;VLOOKUP(R$5,NFI,5,0),1,0)*Table_NFI[[#This Row],[Winter Clothes Adult]],Table_NFI[Winter Clothes Adult])</f>
        <v>0</v>
      </c>
      <c r="AJ725" s="436">
        <f>IF(NFI_Expiration=1,IF($A725&lt;VLOOKUP(S$5,NFI,5,0),1,0)*Table_NFI[[#This Row],[Winter Clothes Children]],Table_NFI[Winter Clothes Children])</f>
        <v>0</v>
      </c>
      <c r="AK725" s="436">
        <f>IF(NFI_Expiration=1,IF($A725&lt;VLOOKUP(T$5,NFI,5,0),1,0)*Table_NFI[[#This Row],[Winter Items Other]],Table_NFI[Winter Items Other])</f>
        <v>0</v>
      </c>
      <c r="AL725" s="436">
        <f>IF(NFI_Expiration=1,IF($A725&lt;VLOOKUP(M$5,NFI,5,0),1,0)*Table_NFI[[#This Row],[Winter Blanket]],Table_NFI[[#This Row],[Winter Blanket]])</f>
        <v>0</v>
      </c>
      <c r="AM725" s="436">
        <f>IF(Table_NFI[[#This Row],[Winter Clothes Adult]]+Table_NFI[[#This Row],[Winter Clothes Children]]+Table_NFI[[#This Row],[Winter Items Other]]+Table_NFI[[#This Row],[Winter Blanket]]&gt;0,1,0)</f>
        <v>0</v>
      </c>
      <c r="AN725" s="439">
        <f>IF(NFI_Expiration=1,IF($A725&lt;VLOOKUP(V$5,NFI,5,0),1,0)*Table_NFI[[#This Row],[Jerry Can]],Table_NFI[Jerry Can])</f>
        <v>0</v>
      </c>
      <c r="AO725" s="771" t="str">
        <f>IFERROR(VLOOKUP(Table_NFI[[#This Row],[Camp Name]],CL,2,0),"")</f>
        <v>MMR001CMP046</v>
      </c>
      <c r="AP725" s="772">
        <f ca="1">IF(Table_NFI[[#This Row],[Pcode]]="","",IF(OFFSET(CampList[Opening Date],MATCH(Table_NFI[[#This Row],[Pcode]],CampList[CP_Pcode],0)-1,0,1,1)&gt;=NFI_Monitor_Date,1,0))</f>
        <v>0</v>
      </c>
      <c r="AQ725" s="781" t="str">
        <f>IFERROR(VLOOKUP(Table_NFI[[#This Row],[Camp Name]],CL,3,0),"")</f>
        <v>Closed</v>
      </c>
      <c r="AR725" s="439" t="str">
        <f ca="1">IF(Table_NFI[[#This Row],[Pcode]]="","",OFFSET(CampList[Priority],MATCH(Table_NFI[[#This Row],[Pcode]],CampList[CP_Pcode],0)-1,0,1,1))</f>
        <v>P1</v>
      </c>
      <c r="AS725" s="438" t="str">
        <f>IFERROR(Table_NFI[[#This Row],[Kitchen Set]]/VLOOKUP(Table_NFI[[#This Row],[Camp Name]],CL,4,0),"")</f>
        <v/>
      </c>
      <c r="AT725" s="769" t="s">
        <v>1099</v>
      </c>
      <c r="AU725" s="773"/>
    </row>
    <row r="726" spans="1:47" x14ac:dyDescent="0.25">
      <c r="A726" s="451">
        <f t="shared" si="11"/>
        <v>39.766666666666666</v>
      </c>
      <c r="B726" s="768">
        <v>41177</v>
      </c>
      <c r="C726" s="769" t="s">
        <v>454</v>
      </c>
      <c r="D726" s="769" t="s">
        <v>911</v>
      </c>
      <c r="E726" s="769" t="s">
        <v>380</v>
      </c>
      <c r="F726" s="435" t="s">
        <v>27</v>
      </c>
      <c r="G726" s="435" t="s">
        <v>28</v>
      </c>
      <c r="H726" s="436"/>
      <c r="I726" s="436"/>
      <c r="J726" s="436"/>
      <c r="K726" s="436">
        <v>33</v>
      </c>
      <c r="L726" s="439">
        <v>11</v>
      </c>
      <c r="M726" s="439">
        <v>33</v>
      </c>
      <c r="N726" s="439">
        <v>11</v>
      </c>
      <c r="O726" s="439">
        <v>11</v>
      </c>
      <c r="P726" s="439">
        <v>11</v>
      </c>
      <c r="Q726" s="439">
        <v>11</v>
      </c>
      <c r="R726" s="436"/>
      <c r="S726" s="436"/>
      <c r="T726" s="436"/>
      <c r="U726" s="436"/>
      <c r="V726" s="436"/>
      <c r="W726" s="436"/>
      <c r="X726" s="436"/>
      <c r="Y726" s="436">
        <f>IF(NFI_Expiration=1,IF($A726&lt;VLOOKUP(H$5,NFI,5,0),1,0)*Table_NFI[[#This Row],[Hygiene Kit]],Table_NFI[Hygiene Kit])</f>
        <v>0</v>
      </c>
      <c r="Z726" s="436">
        <f>IF(NFI_Expiration=1,IF($A726&lt;VLOOKUP(I$5,NFI,5,0),1,0)*Table_NFI[[#This Row],[NFI Core Kit]],Table_NFI[NFI Core Kit])</f>
        <v>0</v>
      </c>
      <c r="AA726" s="436">
        <f>IF(NFI_Expiration=1,IF($A726&lt;VLOOKUP(J$5,NFI,5,0),1,0)*Table_NFI[[#This Row],[Sanitary Kit]],Table_NFI[Sanitary Kit])</f>
        <v>0</v>
      </c>
      <c r="AB726" s="436">
        <f>IF(NFI_Expiration=1,IF($A726&lt;VLOOKUP(K$5,NFI,5,0),1,0)*Table_NFI[[#This Row],[Mosquito net]],Table_NFI[Mosquito net])</f>
        <v>0</v>
      </c>
      <c r="AC726" s="436">
        <f>IF(NFI_Expiration=1,IF($A726&lt;VLOOKUP(L$5,NFI,5,0),1,0)*Table_NFI[[#This Row],[Tarpaulin]],Table_NFI[[#This Row],[Tarpaulin]])</f>
        <v>0</v>
      </c>
      <c r="AD726" s="436">
        <f>IF(NFI_Expiration=1,IF($A726&lt;VLOOKUP(M$5,NFI,5,0),1,0)*Table_NFI[[#This Row],[Blanket]],Table_NFI[[#This Row],[Blanket]])</f>
        <v>0</v>
      </c>
      <c r="AE726" s="436">
        <f>IF(NFI_Expiration=1,IF($A726&lt;VLOOKUP(N$5,NFI,5,0),1,0)*Table_NFI[[#This Row],[Kitchen Set]],Table_NFI[Kitchen Set])</f>
        <v>0</v>
      </c>
      <c r="AF726" s="436">
        <f>IF(NFI_Expiration=1,IF($A726&lt;VLOOKUP(O$5,NFI,5,0),1,0)*Table_NFI[[#This Row],[Clothes Kit]],Table_NFI[Clothes Kit])</f>
        <v>0</v>
      </c>
      <c r="AG726" s="436">
        <f>IF(NFI_Expiration=1,IF($A726&lt;VLOOKUP(P$5,NFI,5,0),1,0)*Table_NFI[[#This Row],[Plastic Bucket]],Table_NFI[Plastic Bucket])</f>
        <v>0</v>
      </c>
      <c r="AH726" s="436">
        <f>IF(NFI_Expiration=1,IF($A726&lt;VLOOKUP(Q$5,NFI,5,0),1,0)*Table_NFI[[#This Row],[Plastic Mat]],Table_NFI[Plastic Mat])*IF(Table_NFI[[#This Row],[Distribution Date]]&gt;"2014-04-01",1,2.5)</f>
        <v>0</v>
      </c>
      <c r="AI726" s="436">
        <f>IF(NFI_Expiration=1,IF($A726&lt;VLOOKUP(R$5,NFI,5,0),1,0)*Table_NFI[[#This Row],[Winter Clothes Adult]],Table_NFI[Winter Clothes Adult])</f>
        <v>0</v>
      </c>
      <c r="AJ726" s="436">
        <f>IF(NFI_Expiration=1,IF($A726&lt;VLOOKUP(S$5,NFI,5,0),1,0)*Table_NFI[[#This Row],[Winter Clothes Children]],Table_NFI[Winter Clothes Children])</f>
        <v>0</v>
      </c>
      <c r="AK726" s="436">
        <f>IF(NFI_Expiration=1,IF($A726&lt;VLOOKUP(T$5,NFI,5,0),1,0)*Table_NFI[[#This Row],[Winter Items Other]],Table_NFI[Winter Items Other])</f>
        <v>0</v>
      </c>
      <c r="AL726" s="436">
        <f>IF(NFI_Expiration=1,IF($A726&lt;VLOOKUP(M$5,NFI,5,0),1,0)*Table_NFI[[#This Row],[Winter Blanket]],Table_NFI[[#This Row],[Winter Blanket]])</f>
        <v>0</v>
      </c>
      <c r="AM726" s="436">
        <f>IF(Table_NFI[[#This Row],[Winter Clothes Adult]]+Table_NFI[[#This Row],[Winter Clothes Children]]+Table_NFI[[#This Row],[Winter Items Other]]+Table_NFI[[#This Row],[Winter Blanket]]&gt;0,1,0)</f>
        <v>0</v>
      </c>
      <c r="AN726" s="439">
        <f>IF(NFI_Expiration=1,IF($A726&lt;VLOOKUP(V$5,NFI,5,0),1,0)*Table_NFI[[#This Row],[Jerry Can]],Table_NFI[Jerry Can])</f>
        <v>0</v>
      </c>
      <c r="AO726" s="771" t="str">
        <f>IFERROR(VLOOKUP(Table_NFI[[#This Row],[Camp Name]],CL,2,0),"")</f>
        <v>MMR001CMP042</v>
      </c>
      <c r="AP726" s="772">
        <f ca="1">IF(Table_NFI[[#This Row],[Pcode]]="","",IF(OFFSET(CampList[Opening Date],MATCH(Table_NFI[[#This Row],[Pcode]],CampList[CP_Pcode],0)-1,0,1,1)&gt;=NFI_Monitor_Date,1,0))</f>
        <v>0</v>
      </c>
      <c r="AQ726" s="781" t="str">
        <f>IFERROR(VLOOKUP(Table_NFI[[#This Row],[Camp Name]],CL,3,0),"")</f>
        <v>Open</v>
      </c>
      <c r="AR726" s="439" t="str">
        <f ca="1">IF(Table_NFI[[#This Row],[Pcode]]="","",OFFSET(CampList[Priority],MATCH(Table_NFI[[#This Row],[Pcode]],CampList[CP_Pcode],0)-1,0,1,1))</f>
        <v>P1</v>
      </c>
      <c r="AS726" s="438">
        <f>IFERROR(Table_NFI[[#This Row],[Kitchen Set]]/VLOOKUP(Table_NFI[[#This Row],[Camp Name]],CL,4,0),"")</f>
        <v>0.10185185185185185</v>
      </c>
      <c r="AT726" s="769" t="s">
        <v>1099</v>
      </c>
      <c r="AU726" s="773"/>
    </row>
    <row r="727" spans="1:47" x14ac:dyDescent="0.25">
      <c r="A727" s="451">
        <f t="shared" si="11"/>
        <v>40.033333333333331</v>
      </c>
      <c r="B727" s="768">
        <v>41169</v>
      </c>
      <c r="C727" s="769" t="s">
        <v>454</v>
      </c>
      <c r="D727" s="769" t="s">
        <v>454</v>
      </c>
      <c r="E727" s="769" t="s">
        <v>380</v>
      </c>
      <c r="F727" s="435" t="s">
        <v>185</v>
      </c>
      <c r="G727" s="435" t="s">
        <v>202</v>
      </c>
      <c r="H727" s="436"/>
      <c r="I727" s="436"/>
      <c r="J727" s="436"/>
      <c r="K727" s="436">
        <v>86</v>
      </c>
      <c r="L727" s="437">
        <v>43</v>
      </c>
      <c r="M727" s="437">
        <v>86</v>
      </c>
      <c r="N727" s="437">
        <v>43</v>
      </c>
      <c r="O727" s="437">
        <v>43</v>
      </c>
      <c r="P727" s="439">
        <v>43</v>
      </c>
      <c r="Q727" s="439">
        <v>43</v>
      </c>
      <c r="R727" s="436"/>
      <c r="S727" s="436"/>
      <c r="T727" s="436"/>
      <c r="U727" s="436"/>
      <c r="V727" s="436"/>
      <c r="W727" s="436"/>
      <c r="X727" s="436"/>
      <c r="Y727" s="436">
        <f>IF(NFI_Expiration=1,IF($A727&lt;VLOOKUP(H$5,NFI,5,0),1,0)*Table_NFI[[#This Row],[Hygiene Kit]],Table_NFI[Hygiene Kit])</f>
        <v>0</v>
      </c>
      <c r="Z727" s="436">
        <f>IF(NFI_Expiration=1,IF($A727&lt;VLOOKUP(I$5,NFI,5,0),1,0)*Table_NFI[[#This Row],[NFI Core Kit]],Table_NFI[NFI Core Kit])</f>
        <v>0</v>
      </c>
      <c r="AA727" s="436">
        <f>IF(NFI_Expiration=1,IF($A727&lt;VLOOKUP(J$5,NFI,5,0),1,0)*Table_NFI[[#This Row],[Sanitary Kit]],Table_NFI[Sanitary Kit])</f>
        <v>0</v>
      </c>
      <c r="AB727" s="436">
        <f>IF(NFI_Expiration=1,IF($A727&lt;VLOOKUP(K$5,NFI,5,0),1,0)*Table_NFI[[#This Row],[Mosquito net]],Table_NFI[Mosquito net])</f>
        <v>0</v>
      </c>
      <c r="AC727" s="436">
        <f>IF(NFI_Expiration=1,IF($A727&lt;VLOOKUP(L$5,NFI,5,0),1,0)*Table_NFI[[#This Row],[Tarpaulin]],Table_NFI[[#This Row],[Tarpaulin]])</f>
        <v>0</v>
      </c>
      <c r="AD727" s="436">
        <f>IF(NFI_Expiration=1,IF($A727&lt;VLOOKUP(M$5,NFI,5,0),1,0)*Table_NFI[[#This Row],[Blanket]],Table_NFI[[#This Row],[Blanket]])</f>
        <v>0</v>
      </c>
      <c r="AE727" s="436">
        <f>IF(NFI_Expiration=1,IF($A727&lt;VLOOKUP(N$5,NFI,5,0),1,0)*Table_NFI[[#This Row],[Kitchen Set]],Table_NFI[Kitchen Set])</f>
        <v>0</v>
      </c>
      <c r="AF727" s="436">
        <f>IF(NFI_Expiration=1,IF($A727&lt;VLOOKUP(O$5,NFI,5,0),1,0)*Table_NFI[[#This Row],[Clothes Kit]],Table_NFI[Clothes Kit])</f>
        <v>0</v>
      </c>
      <c r="AG727" s="436">
        <f>IF(NFI_Expiration=1,IF($A727&lt;VLOOKUP(P$5,NFI,5,0),1,0)*Table_NFI[[#This Row],[Plastic Bucket]],Table_NFI[Plastic Bucket])</f>
        <v>0</v>
      </c>
      <c r="AH727" s="436">
        <f>IF(NFI_Expiration=1,IF($A727&lt;VLOOKUP(Q$5,NFI,5,0),1,0)*Table_NFI[[#This Row],[Plastic Mat]],Table_NFI[Plastic Mat])*IF(Table_NFI[[#This Row],[Distribution Date]]&gt;"2014-04-01",1,2.5)</f>
        <v>0</v>
      </c>
      <c r="AI727" s="436">
        <f>IF(NFI_Expiration=1,IF($A727&lt;VLOOKUP(R$5,NFI,5,0),1,0)*Table_NFI[[#This Row],[Winter Clothes Adult]],Table_NFI[Winter Clothes Adult])</f>
        <v>0</v>
      </c>
      <c r="AJ727" s="436">
        <f>IF(NFI_Expiration=1,IF($A727&lt;VLOOKUP(S$5,NFI,5,0),1,0)*Table_NFI[[#This Row],[Winter Clothes Children]],Table_NFI[Winter Clothes Children])</f>
        <v>0</v>
      </c>
      <c r="AK727" s="436">
        <f>IF(NFI_Expiration=1,IF($A727&lt;VLOOKUP(T$5,NFI,5,0),1,0)*Table_NFI[[#This Row],[Winter Items Other]],Table_NFI[Winter Items Other])</f>
        <v>0</v>
      </c>
      <c r="AL727" s="436">
        <f>IF(NFI_Expiration=1,IF($A727&lt;VLOOKUP(M$5,NFI,5,0),1,0)*Table_NFI[[#This Row],[Winter Blanket]],Table_NFI[[#This Row],[Winter Blanket]])</f>
        <v>0</v>
      </c>
      <c r="AM727" s="436">
        <f>IF(Table_NFI[[#This Row],[Winter Clothes Adult]]+Table_NFI[[#This Row],[Winter Clothes Children]]+Table_NFI[[#This Row],[Winter Items Other]]+Table_NFI[[#This Row],[Winter Blanket]]&gt;0,1,0)</f>
        <v>0</v>
      </c>
      <c r="AN727" s="439">
        <f>IF(NFI_Expiration=1,IF($A727&lt;VLOOKUP(V$5,NFI,5,0),1,0)*Table_NFI[[#This Row],[Jerry Can]],Table_NFI[Jerry Can])</f>
        <v>0</v>
      </c>
      <c r="AO727" s="771" t="str">
        <f>IFERROR(VLOOKUP(Table_NFI[[#This Row],[Camp Name]],CL,2,0),"")</f>
        <v>MMR001CMP062</v>
      </c>
      <c r="AP727" s="772">
        <f ca="1">IF(Table_NFI[[#This Row],[Pcode]]="","",IF(OFFSET(CampList[Opening Date],MATCH(Table_NFI[[#This Row],[Pcode]],CampList[CP_Pcode],0)-1,0,1,1)&gt;=NFI_Monitor_Date,1,0))</f>
        <v>0</v>
      </c>
      <c r="AQ727" s="781" t="str">
        <f>IFERROR(VLOOKUP(Table_NFI[[#This Row],[Camp Name]],CL,3,0),"")</f>
        <v>Open</v>
      </c>
      <c r="AR727" s="439" t="str">
        <f ca="1">IF(Table_NFI[[#This Row],[Pcode]]="","",OFFSET(CampList[Priority],MATCH(Table_NFI[[#This Row],[Pcode]],CampList[CP_Pcode],0)-1,0,1,1))</f>
        <v>P4</v>
      </c>
      <c r="AS727" s="438">
        <f>IFERROR(Table_NFI[[#This Row],[Kitchen Set]]/VLOOKUP(Table_NFI[[#This Row],[Camp Name]],CL,4,0),"")</f>
        <v>0.16475095785440613</v>
      </c>
      <c r="AT727" s="769" t="s">
        <v>1099</v>
      </c>
      <c r="AU727" s="773"/>
    </row>
    <row r="728" spans="1:47" x14ac:dyDescent="0.25">
      <c r="A728" s="451">
        <f t="shared" si="11"/>
        <v>40.033333333333331</v>
      </c>
      <c r="B728" s="768">
        <v>41169</v>
      </c>
      <c r="C728" s="769" t="s">
        <v>454</v>
      </c>
      <c r="D728" s="769" t="s">
        <v>454</v>
      </c>
      <c r="E728" s="769" t="s">
        <v>380</v>
      </c>
      <c r="F728" s="435" t="s">
        <v>185</v>
      </c>
      <c r="G728" s="435" t="s">
        <v>211</v>
      </c>
      <c r="H728" s="436"/>
      <c r="I728" s="436"/>
      <c r="J728" s="436"/>
      <c r="K728" s="436">
        <v>86</v>
      </c>
      <c r="L728" s="439">
        <v>43</v>
      </c>
      <c r="M728" s="439">
        <v>86</v>
      </c>
      <c r="N728" s="439">
        <v>43</v>
      </c>
      <c r="O728" s="439">
        <v>43</v>
      </c>
      <c r="P728" s="439">
        <v>43</v>
      </c>
      <c r="Q728" s="439">
        <v>43</v>
      </c>
      <c r="R728" s="436"/>
      <c r="S728" s="436"/>
      <c r="T728" s="436"/>
      <c r="U728" s="436"/>
      <c r="V728" s="436"/>
      <c r="W728" s="436"/>
      <c r="X728" s="436"/>
      <c r="Y728" s="436">
        <f>IF(NFI_Expiration=1,IF($A728&lt;VLOOKUP(H$5,NFI,5,0),1,0)*Table_NFI[[#This Row],[Hygiene Kit]],Table_NFI[Hygiene Kit])</f>
        <v>0</v>
      </c>
      <c r="Z728" s="436">
        <f>IF(NFI_Expiration=1,IF($A728&lt;VLOOKUP(I$5,NFI,5,0),1,0)*Table_NFI[[#This Row],[NFI Core Kit]],Table_NFI[NFI Core Kit])</f>
        <v>0</v>
      </c>
      <c r="AA728" s="436">
        <f>IF(NFI_Expiration=1,IF($A728&lt;VLOOKUP(J$5,NFI,5,0),1,0)*Table_NFI[[#This Row],[Sanitary Kit]],Table_NFI[Sanitary Kit])</f>
        <v>0</v>
      </c>
      <c r="AB728" s="436">
        <f>IF(NFI_Expiration=1,IF($A728&lt;VLOOKUP(K$5,NFI,5,0),1,0)*Table_NFI[[#This Row],[Mosquito net]],Table_NFI[Mosquito net])</f>
        <v>0</v>
      </c>
      <c r="AC728" s="436">
        <f>IF(NFI_Expiration=1,IF($A728&lt;VLOOKUP(L$5,NFI,5,0),1,0)*Table_NFI[[#This Row],[Tarpaulin]],Table_NFI[[#This Row],[Tarpaulin]])</f>
        <v>0</v>
      </c>
      <c r="AD728" s="436">
        <f>IF(NFI_Expiration=1,IF($A728&lt;VLOOKUP(M$5,NFI,5,0),1,0)*Table_NFI[[#This Row],[Blanket]],Table_NFI[[#This Row],[Blanket]])</f>
        <v>0</v>
      </c>
      <c r="AE728" s="436">
        <f>IF(NFI_Expiration=1,IF($A728&lt;VLOOKUP(N$5,NFI,5,0),1,0)*Table_NFI[[#This Row],[Kitchen Set]],Table_NFI[Kitchen Set])</f>
        <v>0</v>
      </c>
      <c r="AF728" s="436">
        <f>IF(NFI_Expiration=1,IF($A728&lt;VLOOKUP(O$5,NFI,5,0),1,0)*Table_NFI[[#This Row],[Clothes Kit]],Table_NFI[Clothes Kit])</f>
        <v>0</v>
      </c>
      <c r="AG728" s="436">
        <f>IF(NFI_Expiration=1,IF($A728&lt;VLOOKUP(P$5,NFI,5,0),1,0)*Table_NFI[[#This Row],[Plastic Bucket]],Table_NFI[Plastic Bucket])</f>
        <v>0</v>
      </c>
      <c r="AH728" s="436">
        <f>IF(NFI_Expiration=1,IF($A728&lt;VLOOKUP(Q$5,NFI,5,0),1,0)*Table_NFI[[#This Row],[Plastic Mat]],Table_NFI[Plastic Mat])*IF(Table_NFI[[#This Row],[Distribution Date]]&gt;"2014-04-01",1,2.5)</f>
        <v>0</v>
      </c>
      <c r="AI728" s="436">
        <f>IF(NFI_Expiration=1,IF($A728&lt;VLOOKUP(R$5,NFI,5,0),1,0)*Table_NFI[[#This Row],[Winter Clothes Adult]],Table_NFI[Winter Clothes Adult])</f>
        <v>0</v>
      </c>
      <c r="AJ728" s="436">
        <f>IF(NFI_Expiration=1,IF($A728&lt;VLOOKUP(S$5,NFI,5,0),1,0)*Table_NFI[[#This Row],[Winter Clothes Children]],Table_NFI[Winter Clothes Children])</f>
        <v>0</v>
      </c>
      <c r="AK728" s="436">
        <f>IF(NFI_Expiration=1,IF($A728&lt;VLOOKUP(T$5,NFI,5,0),1,0)*Table_NFI[[#This Row],[Winter Items Other]],Table_NFI[Winter Items Other])</f>
        <v>0</v>
      </c>
      <c r="AL728" s="436">
        <f>IF(NFI_Expiration=1,IF($A728&lt;VLOOKUP(M$5,NFI,5,0),1,0)*Table_NFI[[#This Row],[Winter Blanket]],Table_NFI[[#This Row],[Winter Blanket]])</f>
        <v>0</v>
      </c>
      <c r="AM728" s="436">
        <f>IF(Table_NFI[[#This Row],[Winter Clothes Adult]]+Table_NFI[[#This Row],[Winter Clothes Children]]+Table_NFI[[#This Row],[Winter Items Other]]+Table_NFI[[#This Row],[Winter Blanket]]&gt;0,1,0)</f>
        <v>0</v>
      </c>
      <c r="AN728" s="439">
        <f>IF(NFI_Expiration=1,IF($A728&lt;VLOOKUP(V$5,NFI,5,0),1,0)*Table_NFI[[#This Row],[Jerry Can]],Table_NFI[Jerry Can])</f>
        <v>0</v>
      </c>
      <c r="AO728" s="771" t="str">
        <f>IFERROR(VLOOKUP(Table_NFI[[#This Row],[Camp Name]],CL,2,0),"")</f>
        <v>MMR001CMP057</v>
      </c>
      <c r="AP728" s="772">
        <f ca="1">IF(Table_NFI[[#This Row],[Pcode]]="","",IF(OFFSET(CampList[Opening Date],MATCH(Table_NFI[[#This Row],[Pcode]],CampList[CP_Pcode],0)-1,0,1,1)&gt;=NFI_Monitor_Date,1,0))</f>
        <v>0</v>
      </c>
      <c r="AQ728" s="781" t="str">
        <f>IFERROR(VLOOKUP(Table_NFI[[#This Row],[Camp Name]],CL,3,0),"")</f>
        <v>Closed</v>
      </c>
      <c r="AR728" s="439" t="str">
        <f ca="1">IF(Table_NFI[[#This Row],[Pcode]]="","",OFFSET(CampList[Priority],MATCH(Table_NFI[[#This Row],[Pcode]],CampList[CP_Pcode],0)-1,0,1,1))</f>
        <v>P4</v>
      </c>
      <c r="AS728" s="438" t="str">
        <f>IFERROR(Table_NFI[[#This Row],[Kitchen Set]]/VLOOKUP(Table_NFI[[#This Row],[Camp Name]],CL,4,0),"")</f>
        <v/>
      </c>
      <c r="AT728" s="769" t="s">
        <v>1099</v>
      </c>
      <c r="AU728" s="773"/>
    </row>
    <row r="729" spans="1:47" x14ac:dyDescent="0.25">
      <c r="A729" s="451">
        <f t="shared" si="11"/>
        <v>40.133333333333333</v>
      </c>
      <c r="B729" s="768">
        <v>41166</v>
      </c>
      <c r="C729" s="769" t="s">
        <v>454</v>
      </c>
      <c r="D729" s="769" t="s">
        <v>454</v>
      </c>
      <c r="E729" s="769" t="s">
        <v>380</v>
      </c>
      <c r="F729" s="435" t="s">
        <v>310</v>
      </c>
      <c r="G729" s="435" t="s">
        <v>330</v>
      </c>
      <c r="H729" s="436"/>
      <c r="I729" s="436"/>
      <c r="J729" s="436"/>
      <c r="K729" s="436">
        <v>94</v>
      </c>
      <c r="L729" s="437">
        <v>48</v>
      </c>
      <c r="M729" s="437">
        <v>94</v>
      </c>
      <c r="N729" s="437">
        <v>48</v>
      </c>
      <c r="O729" s="437">
        <v>48</v>
      </c>
      <c r="P729" s="439">
        <v>48</v>
      </c>
      <c r="Q729" s="439">
        <v>48</v>
      </c>
      <c r="R729" s="436"/>
      <c r="S729" s="436"/>
      <c r="T729" s="436"/>
      <c r="U729" s="436"/>
      <c r="V729" s="436"/>
      <c r="W729" s="436"/>
      <c r="X729" s="436"/>
      <c r="Y729" s="436">
        <f>IF(NFI_Expiration=1,IF($A729&lt;VLOOKUP(H$5,NFI,5,0),1,0)*Table_NFI[[#This Row],[Hygiene Kit]],Table_NFI[Hygiene Kit])</f>
        <v>0</v>
      </c>
      <c r="Z729" s="436">
        <f>IF(NFI_Expiration=1,IF($A729&lt;VLOOKUP(I$5,NFI,5,0),1,0)*Table_NFI[[#This Row],[NFI Core Kit]],Table_NFI[NFI Core Kit])</f>
        <v>0</v>
      </c>
      <c r="AA729" s="436">
        <f>IF(NFI_Expiration=1,IF($A729&lt;VLOOKUP(J$5,NFI,5,0),1,0)*Table_NFI[[#This Row],[Sanitary Kit]],Table_NFI[Sanitary Kit])</f>
        <v>0</v>
      </c>
      <c r="AB729" s="436">
        <f>IF(NFI_Expiration=1,IF($A729&lt;VLOOKUP(K$5,NFI,5,0),1,0)*Table_NFI[[#This Row],[Mosquito net]],Table_NFI[Mosquito net])</f>
        <v>0</v>
      </c>
      <c r="AC729" s="436">
        <f>IF(NFI_Expiration=1,IF($A729&lt;VLOOKUP(L$5,NFI,5,0),1,0)*Table_NFI[[#This Row],[Tarpaulin]],Table_NFI[[#This Row],[Tarpaulin]])</f>
        <v>0</v>
      </c>
      <c r="AD729" s="436">
        <f>IF(NFI_Expiration=1,IF($A729&lt;VLOOKUP(M$5,NFI,5,0),1,0)*Table_NFI[[#This Row],[Blanket]],Table_NFI[[#This Row],[Blanket]])</f>
        <v>0</v>
      </c>
      <c r="AE729" s="436">
        <f>IF(NFI_Expiration=1,IF($A729&lt;VLOOKUP(N$5,NFI,5,0),1,0)*Table_NFI[[#This Row],[Kitchen Set]],Table_NFI[Kitchen Set])</f>
        <v>0</v>
      </c>
      <c r="AF729" s="436">
        <f>IF(NFI_Expiration=1,IF($A729&lt;VLOOKUP(O$5,NFI,5,0),1,0)*Table_NFI[[#This Row],[Clothes Kit]],Table_NFI[Clothes Kit])</f>
        <v>0</v>
      </c>
      <c r="AG729" s="436">
        <f>IF(NFI_Expiration=1,IF($A729&lt;VLOOKUP(P$5,NFI,5,0),1,0)*Table_NFI[[#This Row],[Plastic Bucket]],Table_NFI[Plastic Bucket])</f>
        <v>0</v>
      </c>
      <c r="AH729" s="436">
        <f>IF(NFI_Expiration=1,IF($A729&lt;VLOOKUP(Q$5,NFI,5,0),1,0)*Table_NFI[[#This Row],[Plastic Mat]],Table_NFI[Plastic Mat])*IF(Table_NFI[[#This Row],[Distribution Date]]&gt;"2014-04-01",1,2.5)</f>
        <v>0</v>
      </c>
      <c r="AI729" s="436">
        <f>IF(NFI_Expiration=1,IF($A729&lt;VLOOKUP(R$5,NFI,5,0),1,0)*Table_NFI[[#This Row],[Winter Clothes Adult]],Table_NFI[Winter Clothes Adult])</f>
        <v>0</v>
      </c>
      <c r="AJ729" s="436">
        <f>IF(NFI_Expiration=1,IF($A729&lt;VLOOKUP(S$5,NFI,5,0),1,0)*Table_NFI[[#This Row],[Winter Clothes Children]],Table_NFI[Winter Clothes Children])</f>
        <v>0</v>
      </c>
      <c r="AK729" s="436">
        <f>IF(NFI_Expiration=1,IF($A729&lt;VLOOKUP(T$5,NFI,5,0),1,0)*Table_NFI[[#This Row],[Winter Items Other]],Table_NFI[Winter Items Other])</f>
        <v>0</v>
      </c>
      <c r="AL729" s="436">
        <f>IF(NFI_Expiration=1,IF($A729&lt;VLOOKUP(M$5,NFI,5,0),1,0)*Table_NFI[[#This Row],[Winter Blanket]],Table_NFI[[#This Row],[Winter Blanket]])</f>
        <v>0</v>
      </c>
      <c r="AM729" s="436">
        <f>IF(Table_NFI[[#This Row],[Winter Clothes Adult]]+Table_NFI[[#This Row],[Winter Clothes Children]]+Table_NFI[[#This Row],[Winter Items Other]]+Table_NFI[[#This Row],[Winter Blanket]]&gt;0,1,0)</f>
        <v>0</v>
      </c>
      <c r="AN729" s="439">
        <f>IF(NFI_Expiration=1,IF($A729&lt;VLOOKUP(V$5,NFI,5,0),1,0)*Table_NFI[[#This Row],[Jerry Can]],Table_NFI[Jerry Can])</f>
        <v>0</v>
      </c>
      <c r="AO729" s="771" t="str">
        <f>IFERROR(VLOOKUP(Table_NFI[[#This Row],[Camp Name]],CL,2,0),"")</f>
        <v>MMR001CMP029</v>
      </c>
      <c r="AP729" s="772">
        <f ca="1">IF(Table_NFI[[#This Row],[Pcode]]="","",IF(OFFSET(CampList[Opening Date],MATCH(Table_NFI[[#This Row],[Pcode]],CampList[CP_Pcode],0)-1,0,1,1)&gt;=NFI_Monitor_Date,1,0))</f>
        <v>0</v>
      </c>
      <c r="AQ729" s="781" t="str">
        <f>IFERROR(VLOOKUP(Table_NFI[[#This Row],[Camp Name]],CL,3,0),"")</f>
        <v>Open</v>
      </c>
      <c r="AR729" s="439" t="str">
        <f ca="1">IF(Table_NFI[[#This Row],[Pcode]]="","",OFFSET(CampList[Priority],MATCH(Table_NFI[[#This Row],[Pcode]],CampList[CP_Pcode],0)-1,0,1,1))</f>
        <v>P4</v>
      </c>
      <c r="AS729" s="438">
        <f>IFERROR(Table_NFI[[#This Row],[Kitchen Set]]/VLOOKUP(Table_NFI[[#This Row],[Camp Name]],CL,4,0),"")</f>
        <v>0.21145374449339208</v>
      </c>
      <c r="AT729" s="769" t="s">
        <v>1099</v>
      </c>
      <c r="AU729" s="773"/>
    </row>
    <row r="730" spans="1:47" x14ac:dyDescent="0.25">
      <c r="A730" s="451">
        <f t="shared" si="11"/>
        <v>40.133333333333333</v>
      </c>
      <c r="B730" s="768">
        <v>41166</v>
      </c>
      <c r="C730" s="769" t="s">
        <v>454</v>
      </c>
      <c r="D730" s="769" t="s">
        <v>454</v>
      </c>
      <c r="E730" s="769" t="s">
        <v>380</v>
      </c>
      <c r="F730" s="769" t="s">
        <v>310</v>
      </c>
      <c r="G730" s="435" t="s">
        <v>316</v>
      </c>
      <c r="H730" s="436"/>
      <c r="I730" s="436"/>
      <c r="J730" s="436"/>
      <c r="K730" s="436">
        <v>14</v>
      </c>
      <c r="L730" s="437">
        <v>8</v>
      </c>
      <c r="M730" s="437">
        <v>14</v>
      </c>
      <c r="N730" s="437">
        <v>8</v>
      </c>
      <c r="O730" s="437">
        <v>8</v>
      </c>
      <c r="P730" s="437">
        <v>8</v>
      </c>
      <c r="Q730" s="437">
        <v>8</v>
      </c>
      <c r="R730" s="436"/>
      <c r="S730" s="436"/>
      <c r="T730" s="436"/>
      <c r="U730" s="436"/>
      <c r="V730" s="436"/>
      <c r="W730" s="436"/>
      <c r="X730" s="436"/>
      <c r="Y730" s="436">
        <f>IF(NFI_Expiration=1,IF($A730&lt;VLOOKUP(H$5,NFI,5,0),1,0)*Table_NFI[[#This Row],[Hygiene Kit]],Table_NFI[Hygiene Kit])</f>
        <v>0</v>
      </c>
      <c r="Z730" s="436">
        <f>IF(NFI_Expiration=1,IF($A730&lt;VLOOKUP(I$5,NFI,5,0),1,0)*Table_NFI[[#This Row],[NFI Core Kit]],Table_NFI[NFI Core Kit])</f>
        <v>0</v>
      </c>
      <c r="AA730" s="436">
        <f>IF(NFI_Expiration=1,IF($A730&lt;VLOOKUP(J$5,NFI,5,0),1,0)*Table_NFI[[#This Row],[Sanitary Kit]],Table_NFI[Sanitary Kit])</f>
        <v>0</v>
      </c>
      <c r="AB730" s="436">
        <f>IF(NFI_Expiration=1,IF($A730&lt;VLOOKUP(K$5,NFI,5,0),1,0)*Table_NFI[[#This Row],[Mosquito net]],Table_NFI[Mosquito net])</f>
        <v>0</v>
      </c>
      <c r="AC730" s="436">
        <f>IF(NFI_Expiration=1,IF($A730&lt;VLOOKUP(L$5,NFI,5,0),1,0)*Table_NFI[[#This Row],[Tarpaulin]],Table_NFI[[#This Row],[Tarpaulin]])</f>
        <v>0</v>
      </c>
      <c r="AD730" s="436">
        <f>IF(NFI_Expiration=1,IF($A730&lt;VLOOKUP(M$5,NFI,5,0),1,0)*Table_NFI[[#This Row],[Blanket]],Table_NFI[[#This Row],[Blanket]])</f>
        <v>0</v>
      </c>
      <c r="AE730" s="436">
        <f>IF(NFI_Expiration=1,IF($A730&lt;VLOOKUP(N$5,NFI,5,0),1,0)*Table_NFI[[#This Row],[Kitchen Set]],Table_NFI[Kitchen Set])</f>
        <v>0</v>
      </c>
      <c r="AF730" s="436">
        <f>IF(NFI_Expiration=1,IF($A730&lt;VLOOKUP(O$5,NFI,5,0),1,0)*Table_NFI[[#This Row],[Clothes Kit]],Table_NFI[Clothes Kit])</f>
        <v>0</v>
      </c>
      <c r="AG730" s="436">
        <f>IF(NFI_Expiration=1,IF($A730&lt;VLOOKUP(P$5,NFI,5,0),1,0)*Table_NFI[[#This Row],[Plastic Bucket]],Table_NFI[Plastic Bucket])</f>
        <v>0</v>
      </c>
      <c r="AH730" s="436">
        <f>IF(NFI_Expiration=1,IF($A730&lt;VLOOKUP(Q$5,NFI,5,0),1,0)*Table_NFI[[#This Row],[Plastic Mat]],Table_NFI[Plastic Mat])*IF(Table_NFI[[#This Row],[Distribution Date]]&gt;"2014-04-01",1,2.5)</f>
        <v>0</v>
      </c>
      <c r="AI730" s="436">
        <f>IF(NFI_Expiration=1,IF($A730&lt;VLOOKUP(R$5,NFI,5,0),1,0)*Table_NFI[[#This Row],[Winter Clothes Adult]],Table_NFI[Winter Clothes Adult])</f>
        <v>0</v>
      </c>
      <c r="AJ730" s="436">
        <f>IF(NFI_Expiration=1,IF($A730&lt;VLOOKUP(S$5,NFI,5,0),1,0)*Table_NFI[[#This Row],[Winter Clothes Children]],Table_NFI[Winter Clothes Children])</f>
        <v>0</v>
      </c>
      <c r="AK730" s="436">
        <f>IF(NFI_Expiration=1,IF($A730&lt;VLOOKUP(T$5,NFI,5,0),1,0)*Table_NFI[[#This Row],[Winter Items Other]],Table_NFI[Winter Items Other])</f>
        <v>0</v>
      </c>
      <c r="AL730" s="436">
        <f>IF(NFI_Expiration=1,IF($A730&lt;VLOOKUP(M$5,NFI,5,0),1,0)*Table_NFI[[#This Row],[Winter Blanket]],Table_NFI[[#This Row],[Winter Blanket]])</f>
        <v>0</v>
      </c>
      <c r="AM730" s="436">
        <f>IF(Table_NFI[[#This Row],[Winter Clothes Adult]]+Table_NFI[[#This Row],[Winter Clothes Children]]+Table_NFI[[#This Row],[Winter Items Other]]+Table_NFI[[#This Row],[Winter Blanket]]&gt;0,1,0)</f>
        <v>0</v>
      </c>
      <c r="AN730" s="439">
        <f>IF(NFI_Expiration=1,IF($A730&lt;VLOOKUP(V$5,NFI,5,0),1,0)*Table_NFI[[#This Row],[Jerry Can]],Table_NFI[Jerry Can])</f>
        <v>0</v>
      </c>
      <c r="AO730" s="771" t="str">
        <f>IFERROR(VLOOKUP(Table_NFI[[#This Row],[Camp Name]],CL,2,0),"")</f>
        <v>MMR001CMP038</v>
      </c>
      <c r="AP730" s="772">
        <f ca="1">IF(Table_NFI[[#This Row],[Pcode]]="","",IF(OFFSET(CampList[Opening Date],MATCH(Table_NFI[[#This Row],[Pcode]],CampList[CP_Pcode],0)-1,0,1,1)&gt;=NFI_Monitor_Date,1,0))</f>
        <v>0</v>
      </c>
      <c r="AQ730" s="781" t="str">
        <f>IFERROR(VLOOKUP(Table_NFI[[#This Row],[Camp Name]],CL,3,0),"")</f>
        <v>Open</v>
      </c>
      <c r="AR730" s="439" t="str">
        <f ca="1">IF(Table_NFI[[#This Row],[Pcode]]="","",OFFSET(CampList[Priority],MATCH(Table_NFI[[#This Row],[Pcode]],CampList[CP_Pcode],0)-1,0,1,1))</f>
        <v>P4</v>
      </c>
      <c r="AS730" s="438">
        <f>IFERROR(Table_NFI[[#This Row],[Kitchen Set]]/VLOOKUP(Table_NFI[[#This Row],[Camp Name]],CL,4,0),"")</f>
        <v>8.8888888888888892E-2</v>
      </c>
      <c r="AT730" s="769" t="s">
        <v>1099</v>
      </c>
      <c r="AU730" s="773"/>
    </row>
    <row r="731" spans="1:47" x14ac:dyDescent="0.25">
      <c r="A731" s="451">
        <f t="shared" si="11"/>
        <v>40.266666666666666</v>
      </c>
      <c r="B731" s="768">
        <v>41162</v>
      </c>
      <c r="C731" s="769" t="s">
        <v>454</v>
      </c>
      <c r="D731" s="770" t="s">
        <v>454</v>
      </c>
      <c r="E731" s="769" t="s">
        <v>380</v>
      </c>
      <c r="F731" s="435" t="s">
        <v>237</v>
      </c>
      <c r="G731" s="435" t="s">
        <v>267</v>
      </c>
      <c r="H731" s="436"/>
      <c r="I731" s="436"/>
      <c r="J731" s="436"/>
      <c r="K731" s="436">
        <v>10</v>
      </c>
      <c r="L731" s="437">
        <v>6</v>
      </c>
      <c r="M731" s="437">
        <v>10</v>
      </c>
      <c r="N731" s="437">
        <v>6</v>
      </c>
      <c r="O731" s="437">
        <v>6</v>
      </c>
      <c r="P731" s="437">
        <v>6</v>
      </c>
      <c r="Q731" s="437">
        <v>6</v>
      </c>
      <c r="R731" s="436"/>
      <c r="S731" s="436"/>
      <c r="T731" s="436"/>
      <c r="U731" s="436"/>
      <c r="V731" s="436"/>
      <c r="W731" s="436"/>
      <c r="X731" s="436"/>
      <c r="Y731" s="436">
        <f>IF(NFI_Expiration=1,IF($A731&lt;VLOOKUP(H$5,NFI,5,0),1,0)*Table_NFI[[#This Row],[Hygiene Kit]],Table_NFI[Hygiene Kit])</f>
        <v>0</v>
      </c>
      <c r="Z731" s="436">
        <f>IF(NFI_Expiration=1,IF($A731&lt;VLOOKUP(I$5,NFI,5,0),1,0)*Table_NFI[[#This Row],[NFI Core Kit]],Table_NFI[NFI Core Kit])</f>
        <v>0</v>
      </c>
      <c r="AA731" s="436">
        <f>IF(NFI_Expiration=1,IF($A731&lt;VLOOKUP(J$5,NFI,5,0),1,0)*Table_NFI[[#This Row],[Sanitary Kit]],Table_NFI[Sanitary Kit])</f>
        <v>0</v>
      </c>
      <c r="AB731" s="436">
        <f>IF(NFI_Expiration=1,IF($A731&lt;VLOOKUP(K$5,NFI,5,0),1,0)*Table_NFI[[#This Row],[Mosquito net]],Table_NFI[Mosquito net])</f>
        <v>0</v>
      </c>
      <c r="AC731" s="436">
        <f>IF(NFI_Expiration=1,IF($A731&lt;VLOOKUP(L$5,NFI,5,0),1,0)*Table_NFI[[#This Row],[Tarpaulin]],Table_NFI[[#This Row],[Tarpaulin]])</f>
        <v>0</v>
      </c>
      <c r="AD731" s="436">
        <f>IF(NFI_Expiration=1,IF($A731&lt;VLOOKUP(M$5,NFI,5,0),1,0)*Table_NFI[[#This Row],[Blanket]],Table_NFI[[#This Row],[Blanket]])</f>
        <v>0</v>
      </c>
      <c r="AE731" s="436">
        <f>IF(NFI_Expiration=1,IF($A731&lt;VLOOKUP(N$5,NFI,5,0),1,0)*Table_NFI[[#This Row],[Kitchen Set]],Table_NFI[Kitchen Set])</f>
        <v>0</v>
      </c>
      <c r="AF731" s="436">
        <f>IF(NFI_Expiration=1,IF($A731&lt;VLOOKUP(O$5,NFI,5,0),1,0)*Table_NFI[[#This Row],[Clothes Kit]],Table_NFI[Clothes Kit])</f>
        <v>0</v>
      </c>
      <c r="AG731" s="436">
        <f>IF(NFI_Expiration=1,IF($A731&lt;VLOOKUP(P$5,NFI,5,0),1,0)*Table_NFI[[#This Row],[Plastic Bucket]],Table_NFI[Plastic Bucket])</f>
        <v>0</v>
      </c>
      <c r="AH731" s="436">
        <f>IF(NFI_Expiration=1,IF($A731&lt;VLOOKUP(Q$5,NFI,5,0),1,0)*Table_NFI[[#This Row],[Plastic Mat]],Table_NFI[Plastic Mat])*IF(Table_NFI[[#This Row],[Distribution Date]]&gt;"2014-04-01",1,2.5)</f>
        <v>0</v>
      </c>
      <c r="AI731" s="436">
        <f>IF(NFI_Expiration=1,IF($A731&lt;VLOOKUP(R$5,NFI,5,0),1,0)*Table_NFI[[#This Row],[Winter Clothes Adult]],Table_NFI[Winter Clothes Adult])</f>
        <v>0</v>
      </c>
      <c r="AJ731" s="436">
        <f>IF(NFI_Expiration=1,IF($A731&lt;VLOOKUP(S$5,NFI,5,0),1,0)*Table_NFI[[#This Row],[Winter Clothes Children]],Table_NFI[Winter Clothes Children])</f>
        <v>0</v>
      </c>
      <c r="AK731" s="436">
        <f>IF(NFI_Expiration=1,IF($A731&lt;VLOOKUP(T$5,NFI,5,0),1,0)*Table_NFI[[#This Row],[Winter Items Other]],Table_NFI[Winter Items Other])</f>
        <v>0</v>
      </c>
      <c r="AL731" s="436">
        <f>IF(NFI_Expiration=1,IF($A731&lt;VLOOKUP(M$5,NFI,5,0),1,0)*Table_NFI[[#This Row],[Winter Blanket]],Table_NFI[[#This Row],[Winter Blanket]])</f>
        <v>0</v>
      </c>
      <c r="AM731" s="436">
        <f>IF(Table_NFI[[#This Row],[Winter Clothes Adult]]+Table_NFI[[#This Row],[Winter Clothes Children]]+Table_NFI[[#This Row],[Winter Items Other]]+Table_NFI[[#This Row],[Winter Blanket]]&gt;0,1,0)</f>
        <v>0</v>
      </c>
      <c r="AN731" s="439">
        <f>IF(NFI_Expiration=1,IF($A731&lt;VLOOKUP(V$5,NFI,5,0),1,0)*Table_NFI[[#This Row],[Jerry Can]],Table_NFI[Jerry Can])</f>
        <v>0</v>
      </c>
      <c r="AO731" s="771" t="str">
        <f>IFERROR(VLOOKUP(Table_NFI[[#This Row],[Camp Name]],CL,2,0),"")</f>
        <v>MMR001CMP017</v>
      </c>
      <c r="AP731" s="772">
        <f ca="1">IF(Table_NFI[[#This Row],[Pcode]]="","",IF(OFFSET(CampList[Opening Date],MATCH(Table_NFI[[#This Row],[Pcode]],CampList[CP_Pcode],0)-1,0,1,1)&gt;=NFI_Monitor_Date,1,0))</f>
        <v>0</v>
      </c>
      <c r="AQ731" s="781" t="str">
        <f>IFERROR(VLOOKUP(Table_NFI[[#This Row],[Camp Name]],CL,3,0),"")</f>
        <v>Closed</v>
      </c>
      <c r="AR731" s="439" t="str">
        <f ca="1">IF(Table_NFI[[#This Row],[Pcode]]="","",OFFSET(CampList[Priority],MATCH(Table_NFI[[#This Row],[Pcode]],CampList[CP_Pcode],0)-1,0,1,1))</f>
        <v>P4</v>
      </c>
      <c r="AS731" s="438" t="str">
        <f>IFERROR(Table_NFI[[#This Row],[Kitchen Set]]/VLOOKUP(Table_NFI[[#This Row],[Camp Name]],CL,4,0),"")</f>
        <v/>
      </c>
      <c r="AT731" s="769" t="s">
        <v>1099</v>
      </c>
      <c r="AU731" s="773"/>
    </row>
    <row r="732" spans="1:47" x14ac:dyDescent="0.25">
      <c r="A732" s="451">
        <f t="shared" si="11"/>
        <v>40.43333333333333</v>
      </c>
      <c r="B732" s="768">
        <v>41157</v>
      </c>
      <c r="C732" s="769" t="s">
        <v>454</v>
      </c>
      <c r="D732" s="769" t="s">
        <v>454</v>
      </c>
      <c r="E732" s="769" t="s">
        <v>380</v>
      </c>
      <c r="F732" s="435" t="s">
        <v>185</v>
      </c>
      <c r="G732" s="435" t="s">
        <v>186</v>
      </c>
      <c r="H732" s="436"/>
      <c r="I732" s="436"/>
      <c r="J732" s="436"/>
      <c r="K732" s="436">
        <v>40</v>
      </c>
      <c r="L732" s="437">
        <v>17</v>
      </c>
      <c r="M732" s="437">
        <v>40</v>
      </c>
      <c r="N732" s="437">
        <v>17</v>
      </c>
      <c r="O732" s="437">
        <v>17</v>
      </c>
      <c r="P732" s="439">
        <v>17</v>
      </c>
      <c r="Q732" s="439">
        <v>17</v>
      </c>
      <c r="R732" s="436"/>
      <c r="S732" s="436"/>
      <c r="T732" s="436"/>
      <c r="U732" s="436"/>
      <c r="V732" s="436"/>
      <c r="W732" s="436"/>
      <c r="X732" s="436"/>
      <c r="Y732" s="436">
        <f>IF(NFI_Expiration=1,IF($A732&lt;VLOOKUP(H$5,NFI,5,0),1,0)*Table_NFI[[#This Row],[Hygiene Kit]],Table_NFI[Hygiene Kit])</f>
        <v>0</v>
      </c>
      <c r="Z732" s="436">
        <f>IF(NFI_Expiration=1,IF($A732&lt;VLOOKUP(I$5,NFI,5,0),1,0)*Table_NFI[[#This Row],[NFI Core Kit]],Table_NFI[NFI Core Kit])</f>
        <v>0</v>
      </c>
      <c r="AA732" s="436">
        <f>IF(NFI_Expiration=1,IF($A732&lt;VLOOKUP(J$5,NFI,5,0),1,0)*Table_NFI[[#This Row],[Sanitary Kit]],Table_NFI[Sanitary Kit])</f>
        <v>0</v>
      </c>
      <c r="AB732" s="436">
        <f>IF(NFI_Expiration=1,IF($A732&lt;VLOOKUP(K$5,NFI,5,0),1,0)*Table_NFI[[#This Row],[Mosquito net]],Table_NFI[Mosquito net])</f>
        <v>0</v>
      </c>
      <c r="AC732" s="436">
        <f>IF(NFI_Expiration=1,IF($A732&lt;VLOOKUP(L$5,NFI,5,0),1,0)*Table_NFI[[#This Row],[Tarpaulin]],Table_NFI[[#This Row],[Tarpaulin]])</f>
        <v>0</v>
      </c>
      <c r="AD732" s="436">
        <f>IF(NFI_Expiration=1,IF($A732&lt;VLOOKUP(M$5,NFI,5,0),1,0)*Table_NFI[[#This Row],[Blanket]],Table_NFI[[#This Row],[Blanket]])</f>
        <v>0</v>
      </c>
      <c r="AE732" s="436">
        <f>IF(NFI_Expiration=1,IF($A732&lt;VLOOKUP(N$5,NFI,5,0),1,0)*Table_NFI[[#This Row],[Kitchen Set]],Table_NFI[Kitchen Set])</f>
        <v>0</v>
      </c>
      <c r="AF732" s="436">
        <f>IF(NFI_Expiration=1,IF($A732&lt;VLOOKUP(O$5,NFI,5,0),1,0)*Table_NFI[[#This Row],[Clothes Kit]],Table_NFI[Clothes Kit])</f>
        <v>0</v>
      </c>
      <c r="AG732" s="436">
        <f>IF(NFI_Expiration=1,IF($A732&lt;VLOOKUP(P$5,NFI,5,0),1,0)*Table_NFI[[#This Row],[Plastic Bucket]],Table_NFI[Plastic Bucket])</f>
        <v>0</v>
      </c>
      <c r="AH732" s="436">
        <f>IF(NFI_Expiration=1,IF($A732&lt;VLOOKUP(Q$5,NFI,5,0),1,0)*Table_NFI[[#This Row],[Plastic Mat]],Table_NFI[Plastic Mat])*IF(Table_NFI[[#This Row],[Distribution Date]]&gt;"2014-04-01",1,2.5)</f>
        <v>0</v>
      </c>
      <c r="AI732" s="436">
        <f>IF(NFI_Expiration=1,IF($A732&lt;VLOOKUP(R$5,NFI,5,0),1,0)*Table_NFI[[#This Row],[Winter Clothes Adult]],Table_NFI[Winter Clothes Adult])</f>
        <v>0</v>
      </c>
      <c r="AJ732" s="436">
        <f>IF(NFI_Expiration=1,IF($A732&lt;VLOOKUP(S$5,NFI,5,0),1,0)*Table_NFI[[#This Row],[Winter Clothes Children]],Table_NFI[Winter Clothes Children])</f>
        <v>0</v>
      </c>
      <c r="AK732" s="436">
        <f>IF(NFI_Expiration=1,IF($A732&lt;VLOOKUP(T$5,NFI,5,0),1,0)*Table_NFI[[#This Row],[Winter Items Other]],Table_NFI[Winter Items Other])</f>
        <v>0</v>
      </c>
      <c r="AL732" s="436">
        <f>IF(NFI_Expiration=1,IF($A732&lt;VLOOKUP(M$5,NFI,5,0),1,0)*Table_NFI[[#This Row],[Winter Blanket]],Table_NFI[[#This Row],[Winter Blanket]])</f>
        <v>0</v>
      </c>
      <c r="AM732" s="436">
        <f>IF(Table_NFI[[#This Row],[Winter Clothes Adult]]+Table_NFI[[#This Row],[Winter Clothes Children]]+Table_NFI[[#This Row],[Winter Items Other]]+Table_NFI[[#This Row],[Winter Blanket]]&gt;0,1,0)</f>
        <v>0</v>
      </c>
      <c r="AN732" s="439">
        <f>IF(NFI_Expiration=1,IF($A732&lt;VLOOKUP(V$5,NFI,5,0),1,0)*Table_NFI[[#This Row],[Jerry Can]],Table_NFI[Jerry Can])</f>
        <v>0</v>
      </c>
      <c r="AO732" s="771" t="str">
        <f>IFERROR(VLOOKUP(Table_NFI[[#This Row],[Camp Name]],CL,2,0),"")</f>
        <v>MMR001CMP071</v>
      </c>
      <c r="AP732" s="772">
        <f ca="1">IF(Table_NFI[[#This Row],[Pcode]]="","",IF(OFFSET(CampList[Opening Date],MATCH(Table_NFI[[#This Row],[Pcode]],CampList[CP_Pcode],0)-1,0,1,1)&gt;=NFI_Monitor_Date,1,0))</f>
        <v>0</v>
      </c>
      <c r="AQ732" s="781" t="str">
        <f>IFERROR(VLOOKUP(Table_NFI[[#This Row],[Camp Name]],CL,3,0),"")</f>
        <v>Open</v>
      </c>
      <c r="AR732" s="439" t="str">
        <f ca="1">IF(Table_NFI[[#This Row],[Pcode]]="","",OFFSET(CampList[Priority],MATCH(Table_NFI[[#This Row],[Pcode]],CampList[CP_Pcode],0)-1,0,1,1))</f>
        <v>P3</v>
      </c>
      <c r="AS732" s="438">
        <f>IFERROR(Table_NFI[[#This Row],[Kitchen Set]]/VLOOKUP(Table_NFI[[#This Row],[Camp Name]],CL,4,0),"")</f>
        <v>0.58620689655172409</v>
      </c>
      <c r="AT732" s="769" t="s">
        <v>1099</v>
      </c>
      <c r="AU732" s="773"/>
    </row>
    <row r="733" spans="1:47" x14ac:dyDescent="0.25">
      <c r="A733" s="451">
        <f t="shared" si="11"/>
        <v>40.43333333333333</v>
      </c>
      <c r="B733" s="768">
        <v>41157</v>
      </c>
      <c r="C733" s="769" t="s">
        <v>454</v>
      </c>
      <c r="D733" s="770" t="s">
        <v>454</v>
      </c>
      <c r="E733" s="769" t="s">
        <v>380</v>
      </c>
      <c r="F733" s="435" t="s">
        <v>185</v>
      </c>
      <c r="G733" s="435" t="s">
        <v>223</v>
      </c>
      <c r="H733" s="436"/>
      <c r="I733" s="436"/>
      <c r="J733" s="436"/>
      <c r="K733" s="436">
        <v>21</v>
      </c>
      <c r="L733" s="437">
        <v>10</v>
      </c>
      <c r="M733" s="437">
        <v>21</v>
      </c>
      <c r="N733" s="437">
        <v>10</v>
      </c>
      <c r="O733" s="437">
        <v>10</v>
      </c>
      <c r="P733" s="437">
        <v>10</v>
      </c>
      <c r="Q733" s="437">
        <v>10</v>
      </c>
      <c r="R733" s="436"/>
      <c r="S733" s="436"/>
      <c r="T733" s="436"/>
      <c r="U733" s="436"/>
      <c r="V733" s="436"/>
      <c r="W733" s="436"/>
      <c r="X733" s="436"/>
      <c r="Y733" s="436">
        <f>IF(NFI_Expiration=1,IF($A733&lt;VLOOKUP(H$5,NFI,5,0),1,0)*Table_NFI[[#This Row],[Hygiene Kit]],Table_NFI[Hygiene Kit])</f>
        <v>0</v>
      </c>
      <c r="Z733" s="436">
        <f>IF(NFI_Expiration=1,IF($A733&lt;VLOOKUP(I$5,NFI,5,0),1,0)*Table_NFI[[#This Row],[NFI Core Kit]],Table_NFI[NFI Core Kit])</f>
        <v>0</v>
      </c>
      <c r="AA733" s="436">
        <f>IF(NFI_Expiration=1,IF($A733&lt;VLOOKUP(J$5,NFI,5,0),1,0)*Table_NFI[[#This Row],[Sanitary Kit]],Table_NFI[Sanitary Kit])</f>
        <v>0</v>
      </c>
      <c r="AB733" s="436">
        <f>IF(NFI_Expiration=1,IF($A733&lt;VLOOKUP(K$5,NFI,5,0),1,0)*Table_NFI[[#This Row],[Mosquito net]],Table_NFI[Mosquito net])</f>
        <v>0</v>
      </c>
      <c r="AC733" s="436">
        <f>IF(NFI_Expiration=1,IF($A733&lt;VLOOKUP(L$5,NFI,5,0),1,0)*Table_NFI[[#This Row],[Tarpaulin]],Table_NFI[[#This Row],[Tarpaulin]])</f>
        <v>0</v>
      </c>
      <c r="AD733" s="436">
        <f>IF(NFI_Expiration=1,IF($A733&lt;VLOOKUP(M$5,NFI,5,0),1,0)*Table_NFI[[#This Row],[Blanket]],Table_NFI[[#This Row],[Blanket]])</f>
        <v>0</v>
      </c>
      <c r="AE733" s="436">
        <f>IF(NFI_Expiration=1,IF($A733&lt;VLOOKUP(N$5,NFI,5,0),1,0)*Table_NFI[[#This Row],[Kitchen Set]],Table_NFI[Kitchen Set])</f>
        <v>0</v>
      </c>
      <c r="AF733" s="436">
        <f>IF(NFI_Expiration=1,IF($A733&lt;VLOOKUP(O$5,NFI,5,0),1,0)*Table_NFI[[#This Row],[Clothes Kit]],Table_NFI[Clothes Kit])</f>
        <v>0</v>
      </c>
      <c r="AG733" s="436">
        <f>IF(NFI_Expiration=1,IF($A733&lt;VLOOKUP(P$5,NFI,5,0),1,0)*Table_NFI[[#This Row],[Plastic Bucket]],Table_NFI[Plastic Bucket])</f>
        <v>0</v>
      </c>
      <c r="AH733" s="436">
        <f>IF(NFI_Expiration=1,IF($A733&lt;VLOOKUP(Q$5,NFI,5,0),1,0)*Table_NFI[[#This Row],[Plastic Mat]],Table_NFI[Plastic Mat])*IF(Table_NFI[[#This Row],[Distribution Date]]&gt;"2014-04-01",1,2.5)</f>
        <v>0</v>
      </c>
      <c r="AI733" s="436">
        <f>IF(NFI_Expiration=1,IF($A733&lt;VLOOKUP(R$5,NFI,5,0),1,0)*Table_NFI[[#This Row],[Winter Clothes Adult]],Table_NFI[Winter Clothes Adult])</f>
        <v>0</v>
      </c>
      <c r="AJ733" s="436">
        <f>IF(NFI_Expiration=1,IF($A733&lt;VLOOKUP(S$5,NFI,5,0),1,0)*Table_NFI[[#This Row],[Winter Clothes Children]],Table_NFI[Winter Clothes Children])</f>
        <v>0</v>
      </c>
      <c r="AK733" s="436">
        <f>IF(NFI_Expiration=1,IF($A733&lt;VLOOKUP(T$5,NFI,5,0),1,0)*Table_NFI[[#This Row],[Winter Items Other]],Table_NFI[Winter Items Other])</f>
        <v>0</v>
      </c>
      <c r="AL733" s="436">
        <f>IF(NFI_Expiration=1,IF($A733&lt;VLOOKUP(M$5,NFI,5,0),1,0)*Table_NFI[[#This Row],[Winter Blanket]],Table_NFI[[#This Row],[Winter Blanket]])</f>
        <v>0</v>
      </c>
      <c r="AM733" s="436">
        <f>IF(Table_NFI[[#This Row],[Winter Clothes Adult]]+Table_NFI[[#This Row],[Winter Clothes Children]]+Table_NFI[[#This Row],[Winter Items Other]]+Table_NFI[[#This Row],[Winter Blanket]]&gt;0,1,0)</f>
        <v>0</v>
      </c>
      <c r="AN733" s="439">
        <f>IF(NFI_Expiration=1,IF($A733&lt;VLOOKUP(V$5,NFI,5,0),1,0)*Table_NFI[[#This Row],[Jerry Can]],Table_NFI[Jerry Can])</f>
        <v>0</v>
      </c>
      <c r="AO733" s="771" t="str">
        <f>IFERROR(VLOOKUP(Table_NFI[[#This Row],[Camp Name]],CL,2,0),"")</f>
        <v>MMR001CMP069</v>
      </c>
      <c r="AP733" s="772">
        <f ca="1">IF(Table_NFI[[#This Row],[Pcode]]="","",IF(OFFSET(CampList[Opening Date],MATCH(Table_NFI[[#This Row],[Pcode]],CampList[CP_Pcode],0)-1,0,1,1)&gt;=NFI_Monitor_Date,1,0))</f>
        <v>0</v>
      </c>
      <c r="AQ733" s="781" t="str">
        <f>IFERROR(VLOOKUP(Table_NFI[[#This Row],[Camp Name]],CL,3,0),"")</f>
        <v>Open</v>
      </c>
      <c r="AR733" s="439" t="str">
        <f ca="1">IF(Table_NFI[[#This Row],[Pcode]]="","",OFFSET(CampList[Priority],MATCH(Table_NFI[[#This Row],[Pcode]],CampList[CP_Pcode],0)-1,0,1,1))</f>
        <v>P3</v>
      </c>
      <c r="AS733" s="438">
        <f>IFERROR(Table_NFI[[#This Row],[Kitchen Set]]/VLOOKUP(Table_NFI[[#This Row],[Camp Name]],CL,4,0),"")</f>
        <v>8.0645161290322578E-2</v>
      </c>
      <c r="AT733" s="769" t="s">
        <v>1099</v>
      </c>
      <c r="AU733" s="773"/>
    </row>
    <row r="734" spans="1:47" x14ac:dyDescent="0.25">
      <c r="A734" s="451">
        <f t="shared" si="11"/>
        <v>40.43333333333333</v>
      </c>
      <c r="B734" s="768">
        <v>41157</v>
      </c>
      <c r="C734" s="769" t="s">
        <v>454</v>
      </c>
      <c r="D734" s="769" t="s">
        <v>454</v>
      </c>
      <c r="E734" s="769" t="s">
        <v>380</v>
      </c>
      <c r="F734" s="769" t="s">
        <v>185</v>
      </c>
      <c r="G734" s="435" t="s">
        <v>190</v>
      </c>
      <c r="H734" s="436"/>
      <c r="I734" s="436"/>
      <c r="J734" s="436"/>
      <c r="K734" s="436">
        <v>133</v>
      </c>
      <c r="L734" s="437">
        <v>62</v>
      </c>
      <c r="M734" s="437">
        <v>133</v>
      </c>
      <c r="N734" s="437">
        <v>62</v>
      </c>
      <c r="O734" s="437">
        <v>62</v>
      </c>
      <c r="P734" s="439">
        <v>62</v>
      </c>
      <c r="Q734" s="439">
        <v>62</v>
      </c>
      <c r="R734" s="436"/>
      <c r="S734" s="436"/>
      <c r="T734" s="436"/>
      <c r="U734" s="436"/>
      <c r="V734" s="436"/>
      <c r="W734" s="436"/>
      <c r="X734" s="436"/>
      <c r="Y734" s="436">
        <f>IF(NFI_Expiration=1,IF($A734&lt;VLOOKUP(H$5,NFI,5,0),1,0)*Table_NFI[[#This Row],[Hygiene Kit]],Table_NFI[Hygiene Kit])</f>
        <v>0</v>
      </c>
      <c r="Z734" s="436">
        <f>IF(NFI_Expiration=1,IF($A734&lt;VLOOKUP(I$5,NFI,5,0),1,0)*Table_NFI[[#This Row],[NFI Core Kit]],Table_NFI[NFI Core Kit])</f>
        <v>0</v>
      </c>
      <c r="AA734" s="436">
        <f>IF(NFI_Expiration=1,IF($A734&lt;VLOOKUP(J$5,NFI,5,0),1,0)*Table_NFI[[#This Row],[Sanitary Kit]],Table_NFI[Sanitary Kit])</f>
        <v>0</v>
      </c>
      <c r="AB734" s="436">
        <f>IF(NFI_Expiration=1,IF($A734&lt;VLOOKUP(K$5,NFI,5,0),1,0)*Table_NFI[[#This Row],[Mosquito net]],Table_NFI[Mosquito net])</f>
        <v>0</v>
      </c>
      <c r="AC734" s="436">
        <f>IF(NFI_Expiration=1,IF($A734&lt;VLOOKUP(L$5,NFI,5,0),1,0)*Table_NFI[[#This Row],[Tarpaulin]],Table_NFI[[#This Row],[Tarpaulin]])</f>
        <v>0</v>
      </c>
      <c r="AD734" s="436">
        <f>IF(NFI_Expiration=1,IF($A734&lt;VLOOKUP(M$5,NFI,5,0),1,0)*Table_NFI[[#This Row],[Blanket]],Table_NFI[[#This Row],[Blanket]])</f>
        <v>0</v>
      </c>
      <c r="AE734" s="436">
        <f>IF(NFI_Expiration=1,IF($A734&lt;VLOOKUP(N$5,NFI,5,0),1,0)*Table_NFI[[#This Row],[Kitchen Set]],Table_NFI[Kitchen Set])</f>
        <v>0</v>
      </c>
      <c r="AF734" s="436">
        <f>IF(NFI_Expiration=1,IF($A734&lt;VLOOKUP(O$5,NFI,5,0),1,0)*Table_NFI[[#This Row],[Clothes Kit]],Table_NFI[Clothes Kit])</f>
        <v>0</v>
      </c>
      <c r="AG734" s="436">
        <f>IF(NFI_Expiration=1,IF($A734&lt;VLOOKUP(P$5,NFI,5,0),1,0)*Table_NFI[[#This Row],[Plastic Bucket]],Table_NFI[Plastic Bucket])</f>
        <v>0</v>
      </c>
      <c r="AH734" s="436">
        <f>IF(NFI_Expiration=1,IF($A734&lt;VLOOKUP(Q$5,NFI,5,0),1,0)*Table_NFI[[#This Row],[Plastic Mat]],Table_NFI[Plastic Mat])*IF(Table_NFI[[#This Row],[Distribution Date]]&gt;"2014-04-01",1,2.5)</f>
        <v>0</v>
      </c>
      <c r="AI734" s="436">
        <f>IF(NFI_Expiration=1,IF($A734&lt;VLOOKUP(R$5,NFI,5,0),1,0)*Table_NFI[[#This Row],[Winter Clothes Adult]],Table_NFI[Winter Clothes Adult])</f>
        <v>0</v>
      </c>
      <c r="AJ734" s="436">
        <f>IF(NFI_Expiration=1,IF($A734&lt;VLOOKUP(S$5,NFI,5,0),1,0)*Table_NFI[[#This Row],[Winter Clothes Children]],Table_NFI[Winter Clothes Children])</f>
        <v>0</v>
      </c>
      <c r="AK734" s="436">
        <f>IF(NFI_Expiration=1,IF($A734&lt;VLOOKUP(T$5,NFI,5,0),1,0)*Table_NFI[[#This Row],[Winter Items Other]],Table_NFI[Winter Items Other])</f>
        <v>0</v>
      </c>
      <c r="AL734" s="436">
        <f>IF(NFI_Expiration=1,IF($A734&lt;VLOOKUP(M$5,NFI,5,0),1,0)*Table_NFI[[#This Row],[Winter Blanket]],Table_NFI[[#This Row],[Winter Blanket]])</f>
        <v>0</v>
      </c>
      <c r="AM734" s="436">
        <f>IF(Table_NFI[[#This Row],[Winter Clothes Adult]]+Table_NFI[[#This Row],[Winter Clothes Children]]+Table_NFI[[#This Row],[Winter Items Other]]+Table_NFI[[#This Row],[Winter Blanket]]&gt;0,1,0)</f>
        <v>0</v>
      </c>
      <c r="AN734" s="439">
        <f>IF(NFI_Expiration=1,IF($A734&lt;VLOOKUP(V$5,NFI,5,0),1,0)*Table_NFI[[#This Row],[Jerry Can]],Table_NFI[Jerry Can])</f>
        <v>0</v>
      </c>
      <c r="AO734" s="771" t="str">
        <f>IFERROR(VLOOKUP(Table_NFI[[#This Row],[Camp Name]],CL,2,0),"")</f>
        <v>MMR001CMP070</v>
      </c>
      <c r="AP734" s="772">
        <f ca="1">IF(Table_NFI[[#This Row],[Pcode]]="","",IF(OFFSET(CampList[Opening Date],MATCH(Table_NFI[[#This Row],[Pcode]],CampList[CP_Pcode],0)-1,0,1,1)&gt;=NFI_Monitor_Date,1,0))</f>
        <v>0</v>
      </c>
      <c r="AQ734" s="781" t="str">
        <f>IFERROR(VLOOKUP(Table_NFI[[#This Row],[Camp Name]],CL,3,0),"")</f>
        <v>Open</v>
      </c>
      <c r="AR734" s="439" t="str">
        <f ca="1">IF(Table_NFI[[#This Row],[Pcode]]="","",OFFSET(CampList[Priority],MATCH(Table_NFI[[#This Row],[Pcode]],CampList[CP_Pcode],0)-1,0,1,1))</f>
        <v>P3</v>
      </c>
      <c r="AS734" s="438">
        <f>IFERROR(Table_NFI[[#This Row],[Kitchen Set]]/VLOOKUP(Table_NFI[[#This Row],[Camp Name]],CL,4,0),"")</f>
        <v>0.32978723404255317</v>
      </c>
      <c r="AT734" s="769" t="s">
        <v>1099</v>
      </c>
      <c r="AU734" s="773"/>
    </row>
    <row r="735" spans="1:47" x14ac:dyDescent="0.25">
      <c r="A735" s="451">
        <f t="shared" si="11"/>
        <v>40.43333333333333</v>
      </c>
      <c r="B735" s="768">
        <v>41157</v>
      </c>
      <c r="C735" s="769" t="s">
        <v>454</v>
      </c>
      <c r="D735" s="770" t="s">
        <v>454</v>
      </c>
      <c r="E735" s="769" t="s">
        <v>380</v>
      </c>
      <c r="F735" s="435" t="s">
        <v>185</v>
      </c>
      <c r="G735" s="435" t="s">
        <v>225</v>
      </c>
      <c r="H735" s="436"/>
      <c r="I735" s="436"/>
      <c r="J735" s="436"/>
      <c r="K735" s="436">
        <v>26</v>
      </c>
      <c r="L735" s="437">
        <v>11</v>
      </c>
      <c r="M735" s="437">
        <v>26</v>
      </c>
      <c r="N735" s="437">
        <v>11</v>
      </c>
      <c r="O735" s="437">
        <v>11</v>
      </c>
      <c r="P735" s="437">
        <v>11</v>
      </c>
      <c r="Q735" s="437">
        <v>11</v>
      </c>
      <c r="R735" s="436"/>
      <c r="S735" s="436"/>
      <c r="T735" s="436"/>
      <c r="U735" s="436"/>
      <c r="V735" s="436"/>
      <c r="W735" s="436"/>
      <c r="X735" s="436"/>
      <c r="Y735" s="436">
        <f>IF(NFI_Expiration=1,IF($A735&lt;VLOOKUP(H$5,NFI,5,0),1,0)*Table_NFI[[#This Row],[Hygiene Kit]],Table_NFI[Hygiene Kit])</f>
        <v>0</v>
      </c>
      <c r="Z735" s="436">
        <f>IF(NFI_Expiration=1,IF($A735&lt;VLOOKUP(I$5,NFI,5,0),1,0)*Table_NFI[[#This Row],[NFI Core Kit]],Table_NFI[NFI Core Kit])</f>
        <v>0</v>
      </c>
      <c r="AA735" s="436">
        <f>IF(NFI_Expiration=1,IF($A735&lt;VLOOKUP(J$5,NFI,5,0),1,0)*Table_NFI[[#This Row],[Sanitary Kit]],Table_NFI[Sanitary Kit])</f>
        <v>0</v>
      </c>
      <c r="AB735" s="436">
        <f>IF(NFI_Expiration=1,IF($A735&lt;VLOOKUP(K$5,NFI,5,0),1,0)*Table_NFI[[#This Row],[Mosquito net]],Table_NFI[Mosquito net])</f>
        <v>0</v>
      </c>
      <c r="AC735" s="436">
        <f>IF(NFI_Expiration=1,IF($A735&lt;VLOOKUP(L$5,NFI,5,0),1,0)*Table_NFI[[#This Row],[Tarpaulin]],Table_NFI[[#This Row],[Tarpaulin]])</f>
        <v>0</v>
      </c>
      <c r="AD735" s="436">
        <f>IF(NFI_Expiration=1,IF($A735&lt;VLOOKUP(M$5,NFI,5,0),1,0)*Table_NFI[[#This Row],[Blanket]],Table_NFI[[#This Row],[Blanket]])</f>
        <v>0</v>
      </c>
      <c r="AE735" s="436">
        <f>IF(NFI_Expiration=1,IF($A735&lt;VLOOKUP(N$5,NFI,5,0),1,0)*Table_NFI[[#This Row],[Kitchen Set]],Table_NFI[Kitchen Set])</f>
        <v>0</v>
      </c>
      <c r="AF735" s="436">
        <f>IF(NFI_Expiration=1,IF($A735&lt;VLOOKUP(O$5,NFI,5,0),1,0)*Table_NFI[[#This Row],[Clothes Kit]],Table_NFI[Clothes Kit])</f>
        <v>0</v>
      </c>
      <c r="AG735" s="436">
        <f>IF(NFI_Expiration=1,IF($A735&lt;VLOOKUP(P$5,NFI,5,0),1,0)*Table_NFI[[#This Row],[Plastic Bucket]],Table_NFI[Plastic Bucket])</f>
        <v>0</v>
      </c>
      <c r="AH735" s="436">
        <f>IF(NFI_Expiration=1,IF($A735&lt;VLOOKUP(Q$5,NFI,5,0),1,0)*Table_NFI[[#This Row],[Plastic Mat]],Table_NFI[Plastic Mat])*IF(Table_NFI[[#This Row],[Distribution Date]]&gt;"2014-04-01",1,2.5)</f>
        <v>0</v>
      </c>
      <c r="AI735" s="436">
        <f>IF(NFI_Expiration=1,IF($A735&lt;VLOOKUP(R$5,NFI,5,0),1,0)*Table_NFI[[#This Row],[Winter Clothes Adult]],Table_NFI[Winter Clothes Adult])</f>
        <v>0</v>
      </c>
      <c r="AJ735" s="436">
        <f>IF(NFI_Expiration=1,IF($A735&lt;VLOOKUP(S$5,NFI,5,0),1,0)*Table_NFI[[#This Row],[Winter Clothes Children]],Table_NFI[Winter Clothes Children])</f>
        <v>0</v>
      </c>
      <c r="AK735" s="436">
        <f>IF(NFI_Expiration=1,IF($A735&lt;VLOOKUP(T$5,NFI,5,0),1,0)*Table_NFI[[#This Row],[Winter Items Other]],Table_NFI[Winter Items Other])</f>
        <v>0</v>
      </c>
      <c r="AL735" s="436">
        <f>IF(NFI_Expiration=1,IF($A735&lt;VLOOKUP(M$5,NFI,5,0),1,0)*Table_NFI[[#This Row],[Winter Blanket]],Table_NFI[[#This Row],[Winter Blanket]])</f>
        <v>0</v>
      </c>
      <c r="AM735" s="436">
        <f>IF(Table_NFI[[#This Row],[Winter Clothes Adult]]+Table_NFI[[#This Row],[Winter Clothes Children]]+Table_NFI[[#This Row],[Winter Items Other]]+Table_NFI[[#This Row],[Winter Blanket]]&gt;0,1,0)</f>
        <v>0</v>
      </c>
      <c r="AN735" s="439">
        <f>IF(NFI_Expiration=1,IF($A735&lt;VLOOKUP(V$5,NFI,5,0),1,0)*Table_NFI[[#This Row],[Jerry Can]],Table_NFI[Jerry Can])</f>
        <v>0</v>
      </c>
      <c r="AO735" s="771" t="str">
        <f>IFERROR(VLOOKUP(Table_NFI[[#This Row],[Camp Name]],CL,2,0),"")</f>
        <v>MMR001CMP073</v>
      </c>
      <c r="AP735" s="772">
        <f ca="1">IF(Table_NFI[[#This Row],[Pcode]]="","",IF(OFFSET(CampList[Opening Date],MATCH(Table_NFI[[#This Row],[Pcode]],CampList[CP_Pcode],0)-1,0,1,1)&gt;=NFI_Monitor_Date,1,0))</f>
        <v>0</v>
      </c>
      <c r="AQ735" s="781" t="str">
        <f>IFERROR(VLOOKUP(Table_NFI[[#This Row],[Camp Name]],CL,3,0),"")</f>
        <v>Open</v>
      </c>
      <c r="AR735" s="439" t="str">
        <f ca="1">IF(Table_NFI[[#This Row],[Pcode]]="","",OFFSET(CampList[Priority],MATCH(Table_NFI[[#This Row],[Pcode]],CampList[CP_Pcode],0)-1,0,1,1))</f>
        <v>P3</v>
      </c>
      <c r="AS735" s="438">
        <f>IFERROR(Table_NFI[[#This Row],[Kitchen Set]]/VLOOKUP(Table_NFI[[#This Row],[Camp Name]],CL,4,0),"")</f>
        <v>0.24444444444444444</v>
      </c>
      <c r="AT735" s="769" t="s">
        <v>1099</v>
      </c>
      <c r="AU735" s="773"/>
    </row>
    <row r="736" spans="1:47" x14ac:dyDescent="0.25">
      <c r="A736" s="451">
        <f t="shared" si="11"/>
        <v>40.666666666666664</v>
      </c>
      <c r="B736" s="768">
        <v>41150</v>
      </c>
      <c r="C736" s="769" t="s">
        <v>454</v>
      </c>
      <c r="D736" s="770" t="s">
        <v>454</v>
      </c>
      <c r="E736" s="769" t="s">
        <v>380</v>
      </c>
      <c r="F736" s="435" t="s">
        <v>185</v>
      </c>
      <c r="G736" s="435" t="s">
        <v>229</v>
      </c>
      <c r="H736" s="436"/>
      <c r="I736" s="436"/>
      <c r="J736" s="436"/>
      <c r="K736" s="436">
        <v>112</v>
      </c>
      <c r="L736" s="437">
        <v>41</v>
      </c>
      <c r="M736" s="437">
        <v>112</v>
      </c>
      <c r="N736" s="437">
        <v>41</v>
      </c>
      <c r="O736" s="437">
        <v>41</v>
      </c>
      <c r="P736" s="437">
        <v>41</v>
      </c>
      <c r="Q736" s="437">
        <v>41</v>
      </c>
      <c r="R736" s="436"/>
      <c r="S736" s="436"/>
      <c r="T736" s="436"/>
      <c r="U736" s="436"/>
      <c r="V736" s="436"/>
      <c r="W736" s="436"/>
      <c r="X736" s="436"/>
      <c r="Y736" s="436">
        <f>IF(NFI_Expiration=1,IF($A736&lt;VLOOKUP(H$5,NFI,5,0),1,0)*Table_NFI[[#This Row],[Hygiene Kit]],Table_NFI[Hygiene Kit])</f>
        <v>0</v>
      </c>
      <c r="Z736" s="436">
        <f>IF(NFI_Expiration=1,IF($A736&lt;VLOOKUP(I$5,NFI,5,0),1,0)*Table_NFI[[#This Row],[NFI Core Kit]],Table_NFI[NFI Core Kit])</f>
        <v>0</v>
      </c>
      <c r="AA736" s="436">
        <f>IF(NFI_Expiration=1,IF($A736&lt;VLOOKUP(J$5,NFI,5,0),1,0)*Table_NFI[[#This Row],[Sanitary Kit]],Table_NFI[Sanitary Kit])</f>
        <v>0</v>
      </c>
      <c r="AB736" s="436">
        <f>IF(NFI_Expiration=1,IF($A736&lt;VLOOKUP(K$5,NFI,5,0),1,0)*Table_NFI[[#This Row],[Mosquito net]],Table_NFI[Mosquito net])</f>
        <v>0</v>
      </c>
      <c r="AC736" s="436">
        <f>IF(NFI_Expiration=1,IF($A736&lt;VLOOKUP(L$5,NFI,5,0),1,0)*Table_NFI[[#This Row],[Tarpaulin]],Table_NFI[[#This Row],[Tarpaulin]])</f>
        <v>0</v>
      </c>
      <c r="AD736" s="436">
        <f>IF(NFI_Expiration=1,IF($A736&lt;VLOOKUP(M$5,NFI,5,0),1,0)*Table_NFI[[#This Row],[Blanket]],Table_NFI[[#This Row],[Blanket]])</f>
        <v>0</v>
      </c>
      <c r="AE736" s="436">
        <f>IF(NFI_Expiration=1,IF($A736&lt;VLOOKUP(N$5,NFI,5,0),1,0)*Table_NFI[[#This Row],[Kitchen Set]],Table_NFI[Kitchen Set])</f>
        <v>0</v>
      </c>
      <c r="AF736" s="436">
        <f>IF(NFI_Expiration=1,IF($A736&lt;VLOOKUP(O$5,NFI,5,0),1,0)*Table_NFI[[#This Row],[Clothes Kit]],Table_NFI[Clothes Kit])</f>
        <v>0</v>
      </c>
      <c r="AG736" s="436">
        <f>IF(NFI_Expiration=1,IF($A736&lt;VLOOKUP(P$5,NFI,5,0),1,0)*Table_NFI[[#This Row],[Plastic Bucket]],Table_NFI[Plastic Bucket])</f>
        <v>0</v>
      </c>
      <c r="AH736" s="436">
        <f>IF(NFI_Expiration=1,IF($A736&lt;VLOOKUP(Q$5,NFI,5,0),1,0)*Table_NFI[[#This Row],[Plastic Mat]],Table_NFI[Plastic Mat])*IF(Table_NFI[[#This Row],[Distribution Date]]&gt;"2014-04-01",1,2.5)</f>
        <v>0</v>
      </c>
      <c r="AI736" s="436">
        <f>IF(NFI_Expiration=1,IF($A736&lt;VLOOKUP(R$5,NFI,5,0),1,0)*Table_NFI[[#This Row],[Winter Clothes Adult]],Table_NFI[Winter Clothes Adult])</f>
        <v>0</v>
      </c>
      <c r="AJ736" s="436">
        <f>IF(NFI_Expiration=1,IF($A736&lt;VLOOKUP(S$5,NFI,5,0),1,0)*Table_NFI[[#This Row],[Winter Clothes Children]],Table_NFI[Winter Clothes Children])</f>
        <v>0</v>
      </c>
      <c r="AK736" s="436">
        <f>IF(NFI_Expiration=1,IF($A736&lt;VLOOKUP(T$5,NFI,5,0),1,0)*Table_NFI[[#This Row],[Winter Items Other]],Table_NFI[Winter Items Other])</f>
        <v>0</v>
      </c>
      <c r="AL736" s="436">
        <f>IF(NFI_Expiration=1,IF($A736&lt;VLOOKUP(M$5,NFI,5,0),1,0)*Table_NFI[[#This Row],[Winter Blanket]],Table_NFI[[#This Row],[Winter Blanket]])</f>
        <v>0</v>
      </c>
      <c r="AM736" s="436">
        <f>IF(Table_NFI[[#This Row],[Winter Clothes Adult]]+Table_NFI[[#This Row],[Winter Clothes Children]]+Table_NFI[[#This Row],[Winter Items Other]]+Table_NFI[[#This Row],[Winter Blanket]]&gt;0,1,0)</f>
        <v>0</v>
      </c>
      <c r="AN736" s="439">
        <f>IF(NFI_Expiration=1,IF($A736&lt;VLOOKUP(V$5,NFI,5,0),1,0)*Table_NFI[[#This Row],[Jerry Can]],Table_NFI[Jerry Can])</f>
        <v>0</v>
      </c>
      <c r="AO736" s="771" t="str">
        <f>IFERROR(VLOOKUP(Table_NFI[[#This Row],[Camp Name]],CL,2,0),"")</f>
        <v>MMR001CMP072</v>
      </c>
      <c r="AP736" s="772">
        <f ca="1">IF(Table_NFI[[#This Row],[Pcode]]="","",IF(OFFSET(CampList[Opening Date],MATCH(Table_NFI[[#This Row],[Pcode]],CampList[CP_Pcode],0)-1,0,1,1)&gt;=NFI_Monitor_Date,1,0))</f>
        <v>0</v>
      </c>
      <c r="AQ736" s="781" t="str">
        <f>IFERROR(VLOOKUP(Table_NFI[[#This Row],[Camp Name]],CL,3,0),"")</f>
        <v>Open</v>
      </c>
      <c r="AR736" s="439" t="str">
        <f ca="1">IF(Table_NFI[[#This Row],[Pcode]]="","",OFFSET(CampList[Priority],MATCH(Table_NFI[[#This Row],[Pcode]],CampList[CP_Pcode],0)-1,0,1,1))</f>
        <v>P3</v>
      </c>
      <c r="AS736" s="438">
        <f>IFERROR(Table_NFI[[#This Row],[Kitchen Set]]/VLOOKUP(Table_NFI[[#This Row],[Camp Name]],CL,4,0),"")</f>
        <v>0.82</v>
      </c>
      <c r="AT736" s="769" t="s">
        <v>1099</v>
      </c>
      <c r="AU736" s="773"/>
    </row>
    <row r="737" spans="1:47" x14ac:dyDescent="0.25">
      <c r="A737" s="451">
        <f t="shared" si="11"/>
        <v>40.733333333333334</v>
      </c>
      <c r="B737" s="768">
        <v>41148</v>
      </c>
      <c r="C737" s="769" t="s">
        <v>454</v>
      </c>
      <c r="D737" s="770" t="s">
        <v>454</v>
      </c>
      <c r="E737" s="769" t="s">
        <v>380</v>
      </c>
      <c r="F737" s="435" t="s">
        <v>237</v>
      </c>
      <c r="G737" s="435" t="s">
        <v>253</v>
      </c>
      <c r="H737" s="436"/>
      <c r="I737" s="436"/>
      <c r="J737" s="436"/>
      <c r="K737" s="436">
        <v>7</v>
      </c>
      <c r="L737" s="437">
        <v>4</v>
      </c>
      <c r="M737" s="437">
        <v>7</v>
      </c>
      <c r="N737" s="437">
        <v>3</v>
      </c>
      <c r="O737" s="437">
        <v>3</v>
      </c>
      <c r="P737" s="437">
        <v>3</v>
      </c>
      <c r="Q737" s="437">
        <v>3</v>
      </c>
      <c r="R737" s="436"/>
      <c r="S737" s="436"/>
      <c r="T737" s="436"/>
      <c r="U737" s="436"/>
      <c r="V737" s="436"/>
      <c r="W737" s="436"/>
      <c r="X737" s="436"/>
      <c r="Y737" s="436">
        <f>IF(NFI_Expiration=1,IF($A737&lt;VLOOKUP(H$5,NFI,5,0),1,0)*Table_NFI[[#This Row],[Hygiene Kit]],Table_NFI[Hygiene Kit])</f>
        <v>0</v>
      </c>
      <c r="Z737" s="436">
        <f>IF(NFI_Expiration=1,IF($A737&lt;VLOOKUP(I$5,NFI,5,0),1,0)*Table_NFI[[#This Row],[NFI Core Kit]],Table_NFI[NFI Core Kit])</f>
        <v>0</v>
      </c>
      <c r="AA737" s="436">
        <f>IF(NFI_Expiration=1,IF($A737&lt;VLOOKUP(J$5,NFI,5,0),1,0)*Table_NFI[[#This Row],[Sanitary Kit]],Table_NFI[Sanitary Kit])</f>
        <v>0</v>
      </c>
      <c r="AB737" s="436">
        <f>IF(NFI_Expiration=1,IF($A737&lt;VLOOKUP(K$5,NFI,5,0),1,0)*Table_NFI[[#This Row],[Mosquito net]],Table_NFI[Mosquito net])</f>
        <v>0</v>
      </c>
      <c r="AC737" s="436">
        <f>IF(NFI_Expiration=1,IF($A737&lt;VLOOKUP(L$5,NFI,5,0),1,0)*Table_NFI[[#This Row],[Tarpaulin]],Table_NFI[[#This Row],[Tarpaulin]])</f>
        <v>0</v>
      </c>
      <c r="AD737" s="436">
        <f>IF(NFI_Expiration=1,IF($A737&lt;VLOOKUP(M$5,NFI,5,0),1,0)*Table_NFI[[#This Row],[Blanket]],Table_NFI[[#This Row],[Blanket]])</f>
        <v>0</v>
      </c>
      <c r="AE737" s="436">
        <f>IF(NFI_Expiration=1,IF($A737&lt;VLOOKUP(N$5,NFI,5,0),1,0)*Table_NFI[[#This Row],[Kitchen Set]],Table_NFI[Kitchen Set])</f>
        <v>0</v>
      </c>
      <c r="AF737" s="436">
        <f>IF(NFI_Expiration=1,IF($A737&lt;VLOOKUP(O$5,NFI,5,0),1,0)*Table_NFI[[#This Row],[Clothes Kit]],Table_NFI[Clothes Kit])</f>
        <v>0</v>
      </c>
      <c r="AG737" s="436">
        <f>IF(NFI_Expiration=1,IF($A737&lt;VLOOKUP(P$5,NFI,5,0),1,0)*Table_NFI[[#This Row],[Plastic Bucket]],Table_NFI[Plastic Bucket])</f>
        <v>0</v>
      </c>
      <c r="AH737" s="436">
        <f>IF(NFI_Expiration=1,IF($A737&lt;VLOOKUP(Q$5,NFI,5,0),1,0)*Table_NFI[[#This Row],[Plastic Mat]],Table_NFI[Plastic Mat])*IF(Table_NFI[[#This Row],[Distribution Date]]&gt;"2014-04-01",1,2.5)</f>
        <v>0</v>
      </c>
      <c r="AI737" s="436">
        <f>IF(NFI_Expiration=1,IF($A737&lt;VLOOKUP(R$5,NFI,5,0),1,0)*Table_NFI[[#This Row],[Winter Clothes Adult]],Table_NFI[Winter Clothes Adult])</f>
        <v>0</v>
      </c>
      <c r="AJ737" s="436">
        <f>IF(NFI_Expiration=1,IF($A737&lt;VLOOKUP(S$5,NFI,5,0),1,0)*Table_NFI[[#This Row],[Winter Clothes Children]],Table_NFI[Winter Clothes Children])</f>
        <v>0</v>
      </c>
      <c r="AK737" s="436">
        <f>IF(NFI_Expiration=1,IF($A737&lt;VLOOKUP(T$5,NFI,5,0),1,0)*Table_NFI[[#This Row],[Winter Items Other]],Table_NFI[Winter Items Other])</f>
        <v>0</v>
      </c>
      <c r="AL737" s="436">
        <f>IF(NFI_Expiration=1,IF($A737&lt;VLOOKUP(M$5,NFI,5,0),1,0)*Table_NFI[[#This Row],[Winter Blanket]],Table_NFI[[#This Row],[Winter Blanket]])</f>
        <v>0</v>
      </c>
      <c r="AM737" s="436">
        <f>IF(Table_NFI[[#This Row],[Winter Clothes Adult]]+Table_NFI[[#This Row],[Winter Clothes Children]]+Table_NFI[[#This Row],[Winter Items Other]]+Table_NFI[[#This Row],[Winter Blanket]]&gt;0,1,0)</f>
        <v>0</v>
      </c>
      <c r="AN737" s="439">
        <f>IF(NFI_Expiration=1,IF($A737&lt;VLOOKUP(V$5,NFI,5,0),1,0)*Table_NFI[[#This Row],[Jerry Can]],Table_NFI[Jerry Can])</f>
        <v>0</v>
      </c>
      <c r="AO737" s="771" t="str">
        <f>IFERROR(VLOOKUP(Table_NFI[[#This Row],[Camp Name]],CL,2,0),"")</f>
        <v>MMR001CMP018</v>
      </c>
      <c r="AP737" s="772">
        <f ca="1">IF(Table_NFI[[#This Row],[Pcode]]="","",IF(OFFSET(CampList[Opening Date],MATCH(Table_NFI[[#This Row],[Pcode]],CampList[CP_Pcode],0)-1,0,1,1)&gt;=NFI_Monitor_Date,1,0))</f>
        <v>0</v>
      </c>
      <c r="AQ737" s="781" t="str">
        <f>IFERROR(VLOOKUP(Table_NFI[[#This Row],[Camp Name]],CL,3,0),"")</f>
        <v>Open</v>
      </c>
      <c r="AR737" s="439" t="str">
        <f ca="1">IF(Table_NFI[[#This Row],[Pcode]]="","",OFFSET(CampList[Priority],MATCH(Table_NFI[[#This Row],[Pcode]],CampList[CP_Pcode],0)-1,0,1,1))</f>
        <v>P4</v>
      </c>
      <c r="AS737" s="438">
        <f>IFERROR(Table_NFI[[#This Row],[Kitchen Set]]/VLOOKUP(Table_NFI[[#This Row],[Camp Name]],CL,4,0),"")</f>
        <v>1.4778325123152709E-2</v>
      </c>
      <c r="AT737" s="769" t="s">
        <v>1099</v>
      </c>
      <c r="AU737" s="773"/>
    </row>
    <row r="738" spans="1:47" x14ac:dyDescent="0.25">
      <c r="A738" s="451">
        <f t="shared" si="11"/>
        <v>40.733333333333334</v>
      </c>
      <c r="B738" s="768">
        <v>41148</v>
      </c>
      <c r="C738" s="769" t="s">
        <v>454</v>
      </c>
      <c r="D738" s="769" t="s">
        <v>454</v>
      </c>
      <c r="E738" s="769" t="s">
        <v>380</v>
      </c>
      <c r="F738" s="435" t="s">
        <v>237</v>
      </c>
      <c r="G738" s="435" t="s">
        <v>259</v>
      </c>
      <c r="H738" s="436"/>
      <c r="I738" s="436"/>
      <c r="J738" s="436"/>
      <c r="K738" s="436">
        <v>2</v>
      </c>
      <c r="L738" s="437">
        <v>1</v>
      </c>
      <c r="M738" s="437">
        <v>2</v>
      </c>
      <c r="N738" s="437">
        <v>1</v>
      </c>
      <c r="O738" s="437">
        <v>1</v>
      </c>
      <c r="P738" s="439">
        <v>1</v>
      </c>
      <c r="Q738" s="439">
        <v>1</v>
      </c>
      <c r="R738" s="436"/>
      <c r="S738" s="436"/>
      <c r="T738" s="436"/>
      <c r="U738" s="436"/>
      <c r="V738" s="436"/>
      <c r="W738" s="436"/>
      <c r="X738" s="436"/>
      <c r="Y738" s="436">
        <f>IF(NFI_Expiration=1,IF($A738&lt;VLOOKUP(H$5,NFI,5,0),1,0)*Table_NFI[[#This Row],[Hygiene Kit]],Table_NFI[Hygiene Kit])</f>
        <v>0</v>
      </c>
      <c r="Z738" s="436">
        <f>IF(NFI_Expiration=1,IF($A738&lt;VLOOKUP(I$5,NFI,5,0),1,0)*Table_NFI[[#This Row],[NFI Core Kit]],Table_NFI[NFI Core Kit])</f>
        <v>0</v>
      </c>
      <c r="AA738" s="436">
        <f>IF(NFI_Expiration=1,IF($A738&lt;VLOOKUP(J$5,NFI,5,0),1,0)*Table_NFI[[#This Row],[Sanitary Kit]],Table_NFI[Sanitary Kit])</f>
        <v>0</v>
      </c>
      <c r="AB738" s="436">
        <f>IF(NFI_Expiration=1,IF($A738&lt;VLOOKUP(K$5,NFI,5,0),1,0)*Table_NFI[[#This Row],[Mosquito net]],Table_NFI[Mosquito net])</f>
        <v>0</v>
      </c>
      <c r="AC738" s="436">
        <f>IF(NFI_Expiration=1,IF($A738&lt;VLOOKUP(L$5,NFI,5,0),1,0)*Table_NFI[[#This Row],[Tarpaulin]],Table_NFI[[#This Row],[Tarpaulin]])</f>
        <v>0</v>
      </c>
      <c r="AD738" s="436">
        <f>IF(NFI_Expiration=1,IF($A738&lt;VLOOKUP(M$5,NFI,5,0),1,0)*Table_NFI[[#This Row],[Blanket]],Table_NFI[[#This Row],[Blanket]])</f>
        <v>0</v>
      </c>
      <c r="AE738" s="436">
        <f>IF(NFI_Expiration=1,IF($A738&lt;VLOOKUP(N$5,NFI,5,0),1,0)*Table_NFI[[#This Row],[Kitchen Set]],Table_NFI[Kitchen Set])</f>
        <v>0</v>
      </c>
      <c r="AF738" s="436">
        <f>IF(NFI_Expiration=1,IF($A738&lt;VLOOKUP(O$5,NFI,5,0),1,0)*Table_NFI[[#This Row],[Clothes Kit]],Table_NFI[Clothes Kit])</f>
        <v>0</v>
      </c>
      <c r="AG738" s="436">
        <f>IF(NFI_Expiration=1,IF($A738&lt;VLOOKUP(P$5,NFI,5,0),1,0)*Table_NFI[[#This Row],[Plastic Bucket]],Table_NFI[Plastic Bucket])</f>
        <v>0</v>
      </c>
      <c r="AH738" s="436">
        <f>IF(NFI_Expiration=1,IF($A738&lt;VLOOKUP(Q$5,NFI,5,0),1,0)*Table_NFI[[#This Row],[Plastic Mat]],Table_NFI[Plastic Mat])*IF(Table_NFI[[#This Row],[Distribution Date]]&gt;"2014-04-01",1,2.5)</f>
        <v>0</v>
      </c>
      <c r="AI738" s="436">
        <f>IF(NFI_Expiration=1,IF($A738&lt;VLOOKUP(R$5,NFI,5,0),1,0)*Table_NFI[[#This Row],[Winter Clothes Adult]],Table_NFI[Winter Clothes Adult])</f>
        <v>0</v>
      </c>
      <c r="AJ738" s="436">
        <f>IF(NFI_Expiration=1,IF($A738&lt;VLOOKUP(S$5,NFI,5,0),1,0)*Table_NFI[[#This Row],[Winter Clothes Children]],Table_NFI[Winter Clothes Children])</f>
        <v>0</v>
      </c>
      <c r="AK738" s="436">
        <f>IF(NFI_Expiration=1,IF($A738&lt;VLOOKUP(T$5,NFI,5,0),1,0)*Table_NFI[[#This Row],[Winter Items Other]],Table_NFI[Winter Items Other])</f>
        <v>0</v>
      </c>
      <c r="AL738" s="436">
        <f>IF(NFI_Expiration=1,IF($A738&lt;VLOOKUP(M$5,NFI,5,0),1,0)*Table_NFI[[#This Row],[Winter Blanket]],Table_NFI[[#This Row],[Winter Blanket]])</f>
        <v>0</v>
      </c>
      <c r="AM738" s="436">
        <f>IF(Table_NFI[[#This Row],[Winter Clothes Adult]]+Table_NFI[[#This Row],[Winter Clothes Children]]+Table_NFI[[#This Row],[Winter Items Other]]+Table_NFI[[#This Row],[Winter Blanket]]&gt;0,1,0)</f>
        <v>0</v>
      </c>
      <c r="AN738" s="439">
        <f>IF(NFI_Expiration=1,IF($A738&lt;VLOOKUP(V$5,NFI,5,0),1,0)*Table_NFI[[#This Row],[Jerry Can]],Table_NFI[Jerry Can])</f>
        <v>0</v>
      </c>
      <c r="AO738" s="771" t="str">
        <f>IFERROR(VLOOKUP(Table_NFI[[#This Row],[Camp Name]],CL,2,0),"")</f>
        <v>MMR001CMP016</v>
      </c>
      <c r="AP738" s="772">
        <f ca="1">IF(Table_NFI[[#This Row],[Pcode]]="","",IF(OFFSET(CampList[Opening Date],MATCH(Table_NFI[[#This Row],[Pcode]],CampList[CP_Pcode],0)-1,0,1,1)&gt;=NFI_Monitor_Date,1,0))</f>
        <v>0</v>
      </c>
      <c r="AQ738" s="781" t="str">
        <f>IFERROR(VLOOKUP(Table_NFI[[#This Row],[Camp Name]],CL,3,0),"")</f>
        <v>Open</v>
      </c>
      <c r="AR738" s="439" t="str">
        <f ca="1">IF(Table_NFI[[#This Row],[Pcode]]="","",OFFSET(CampList[Priority],MATCH(Table_NFI[[#This Row],[Pcode]],CampList[CP_Pcode],0)-1,0,1,1))</f>
        <v>P4</v>
      </c>
      <c r="AS738" s="438">
        <f>IFERROR(Table_NFI[[#This Row],[Kitchen Set]]/VLOOKUP(Table_NFI[[#This Row],[Camp Name]],CL,4,0),"")</f>
        <v>1.3888888888888888E-2</v>
      </c>
      <c r="AT738" s="769" t="s">
        <v>1099</v>
      </c>
      <c r="AU738" s="773"/>
    </row>
    <row r="739" spans="1:47" x14ac:dyDescent="0.25">
      <c r="A739" s="451">
        <f t="shared" si="11"/>
        <v>40.733333333333334</v>
      </c>
      <c r="B739" s="768">
        <v>41148</v>
      </c>
      <c r="C739" s="769" t="s">
        <v>454</v>
      </c>
      <c r="D739" s="770" t="s">
        <v>454</v>
      </c>
      <c r="E739" s="769" t="s">
        <v>380</v>
      </c>
      <c r="F739" s="435" t="s">
        <v>237</v>
      </c>
      <c r="G739" s="435" t="s">
        <v>263</v>
      </c>
      <c r="H739" s="436"/>
      <c r="I739" s="436"/>
      <c r="J739" s="436"/>
      <c r="K739" s="436">
        <v>2</v>
      </c>
      <c r="L739" s="437">
        <v>1</v>
      </c>
      <c r="M739" s="437">
        <v>2</v>
      </c>
      <c r="N739" s="437">
        <v>1</v>
      </c>
      <c r="O739" s="437">
        <v>1</v>
      </c>
      <c r="P739" s="437">
        <v>1</v>
      </c>
      <c r="Q739" s="437">
        <v>1</v>
      </c>
      <c r="R739" s="436"/>
      <c r="S739" s="436"/>
      <c r="T739" s="436"/>
      <c r="U739" s="436"/>
      <c r="V739" s="436"/>
      <c r="W739" s="436"/>
      <c r="X739" s="436"/>
      <c r="Y739" s="436">
        <f>IF(NFI_Expiration=1,IF($A739&lt;VLOOKUP(H$5,NFI,5,0),1,0)*Table_NFI[[#This Row],[Hygiene Kit]],Table_NFI[Hygiene Kit])</f>
        <v>0</v>
      </c>
      <c r="Z739" s="436">
        <f>IF(NFI_Expiration=1,IF($A739&lt;VLOOKUP(I$5,NFI,5,0),1,0)*Table_NFI[[#This Row],[NFI Core Kit]],Table_NFI[NFI Core Kit])</f>
        <v>0</v>
      </c>
      <c r="AA739" s="436">
        <f>IF(NFI_Expiration=1,IF($A739&lt;VLOOKUP(J$5,NFI,5,0),1,0)*Table_NFI[[#This Row],[Sanitary Kit]],Table_NFI[Sanitary Kit])</f>
        <v>0</v>
      </c>
      <c r="AB739" s="436">
        <f>IF(NFI_Expiration=1,IF($A739&lt;VLOOKUP(K$5,NFI,5,0),1,0)*Table_NFI[[#This Row],[Mosquito net]],Table_NFI[Mosquito net])</f>
        <v>0</v>
      </c>
      <c r="AC739" s="436">
        <f>IF(NFI_Expiration=1,IF($A739&lt;VLOOKUP(L$5,NFI,5,0),1,0)*Table_NFI[[#This Row],[Tarpaulin]],Table_NFI[[#This Row],[Tarpaulin]])</f>
        <v>0</v>
      </c>
      <c r="AD739" s="436">
        <f>IF(NFI_Expiration=1,IF($A739&lt;VLOOKUP(M$5,NFI,5,0),1,0)*Table_NFI[[#This Row],[Blanket]],Table_NFI[[#This Row],[Blanket]])</f>
        <v>0</v>
      </c>
      <c r="AE739" s="436">
        <f>IF(NFI_Expiration=1,IF($A739&lt;VLOOKUP(N$5,NFI,5,0),1,0)*Table_NFI[[#This Row],[Kitchen Set]],Table_NFI[Kitchen Set])</f>
        <v>0</v>
      </c>
      <c r="AF739" s="436">
        <f>IF(NFI_Expiration=1,IF($A739&lt;VLOOKUP(O$5,NFI,5,0),1,0)*Table_NFI[[#This Row],[Clothes Kit]],Table_NFI[Clothes Kit])</f>
        <v>0</v>
      </c>
      <c r="AG739" s="436">
        <f>IF(NFI_Expiration=1,IF($A739&lt;VLOOKUP(P$5,NFI,5,0),1,0)*Table_NFI[[#This Row],[Plastic Bucket]],Table_NFI[Plastic Bucket])</f>
        <v>0</v>
      </c>
      <c r="AH739" s="436">
        <f>IF(NFI_Expiration=1,IF($A739&lt;VLOOKUP(Q$5,NFI,5,0),1,0)*Table_NFI[[#This Row],[Plastic Mat]],Table_NFI[Plastic Mat])*IF(Table_NFI[[#This Row],[Distribution Date]]&gt;"2014-04-01",1,2.5)</f>
        <v>0</v>
      </c>
      <c r="AI739" s="436">
        <f>IF(NFI_Expiration=1,IF($A739&lt;VLOOKUP(R$5,NFI,5,0),1,0)*Table_NFI[[#This Row],[Winter Clothes Adult]],Table_NFI[Winter Clothes Adult])</f>
        <v>0</v>
      </c>
      <c r="AJ739" s="436">
        <f>IF(NFI_Expiration=1,IF($A739&lt;VLOOKUP(S$5,NFI,5,0),1,0)*Table_NFI[[#This Row],[Winter Clothes Children]],Table_NFI[Winter Clothes Children])</f>
        <v>0</v>
      </c>
      <c r="AK739" s="436">
        <f>IF(NFI_Expiration=1,IF($A739&lt;VLOOKUP(T$5,NFI,5,0),1,0)*Table_NFI[[#This Row],[Winter Items Other]],Table_NFI[Winter Items Other])</f>
        <v>0</v>
      </c>
      <c r="AL739" s="436">
        <f>IF(NFI_Expiration=1,IF($A739&lt;VLOOKUP(M$5,NFI,5,0),1,0)*Table_NFI[[#This Row],[Winter Blanket]],Table_NFI[[#This Row],[Winter Blanket]])</f>
        <v>0</v>
      </c>
      <c r="AM739" s="436">
        <f>IF(Table_NFI[[#This Row],[Winter Clothes Adult]]+Table_NFI[[#This Row],[Winter Clothes Children]]+Table_NFI[[#This Row],[Winter Items Other]]+Table_NFI[[#This Row],[Winter Blanket]]&gt;0,1,0)</f>
        <v>0</v>
      </c>
      <c r="AN739" s="439">
        <f>IF(NFI_Expiration=1,IF($A739&lt;VLOOKUP(V$5,NFI,5,0),1,0)*Table_NFI[[#This Row],[Jerry Can]],Table_NFI[Jerry Can])</f>
        <v>0</v>
      </c>
      <c r="AO739" s="771" t="str">
        <f>IFERROR(VLOOKUP(Table_NFI[[#This Row],[Camp Name]],CL,2,0),"")</f>
        <v>MMR001CMP020</v>
      </c>
      <c r="AP739" s="772">
        <f ca="1">IF(Table_NFI[[#This Row],[Pcode]]="","",IF(OFFSET(CampList[Opening Date],MATCH(Table_NFI[[#This Row],[Pcode]],CampList[CP_Pcode],0)-1,0,1,1)&gt;=NFI_Monitor_Date,1,0))</f>
        <v>0</v>
      </c>
      <c r="AQ739" s="781" t="str">
        <f>IFERROR(VLOOKUP(Table_NFI[[#This Row],[Camp Name]],CL,3,0),"")</f>
        <v>Open</v>
      </c>
      <c r="AR739" s="439" t="str">
        <f ca="1">IF(Table_NFI[[#This Row],[Pcode]]="","",OFFSET(CampList[Priority],MATCH(Table_NFI[[#This Row],[Pcode]],CampList[CP_Pcode],0)-1,0,1,1))</f>
        <v>P4</v>
      </c>
      <c r="AS739" s="438">
        <f>IFERROR(Table_NFI[[#This Row],[Kitchen Set]]/VLOOKUP(Table_NFI[[#This Row],[Camp Name]],CL,4,0),"")</f>
        <v>4.5454545454545456E-2</v>
      </c>
      <c r="AT739" s="769" t="s">
        <v>1099</v>
      </c>
      <c r="AU739" s="773"/>
    </row>
    <row r="740" spans="1:47" x14ac:dyDescent="0.25">
      <c r="A740" s="451">
        <f t="shared" si="11"/>
        <v>40.733333333333334</v>
      </c>
      <c r="B740" s="768">
        <v>41148</v>
      </c>
      <c r="C740" s="769" t="s">
        <v>454</v>
      </c>
      <c r="D740" s="770" t="s">
        <v>454</v>
      </c>
      <c r="E740" s="769" t="s">
        <v>380</v>
      </c>
      <c r="F740" s="435" t="s">
        <v>237</v>
      </c>
      <c r="G740" s="435" t="s">
        <v>265</v>
      </c>
      <c r="H740" s="436"/>
      <c r="I740" s="436"/>
      <c r="J740" s="436"/>
      <c r="K740" s="436">
        <v>10</v>
      </c>
      <c r="L740" s="437">
        <v>5</v>
      </c>
      <c r="M740" s="437">
        <v>10</v>
      </c>
      <c r="N740" s="437">
        <v>5</v>
      </c>
      <c r="O740" s="437">
        <v>5</v>
      </c>
      <c r="P740" s="437">
        <v>5</v>
      </c>
      <c r="Q740" s="437">
        <v>5</v>
      </c>
      <c r="R740" s="436"/>
      <c r="S740" s="436"/>
      <c r="T740" s="436"/>
      <c r="U740" s="436"/>
      <c r="V740" s="436"/>
      <c r="W740" s="436"/>
      <c r="X740" s="436"/>
      <c r="Y740" s="436">
        <f>IF(NFI_Expiration=1,IF($A740&lt;VLOOKUP(H$5,NFI,5,0),1,0)*Table_NFI[[#This Row],[Hygiene Kit]],Table_NFI[Hygiene Kit])</f>
        <v>0</v>
      </c>
      <c r="Z740" s="436">
        <f>IF(NFI_Expiration=1,IF($A740&lt;VLOOKUP(I$5,NFI,5,0),1,0)*Table_NFI[[#This Row],[NFI Core Kit]],Table_NFI[NFI Core Kit])</f>
        <v>0</v>
      </c>
      <c r="AA740" s="436">
        <f>IF(NFI_Expiration=1,IF($A740&lt;VLOOKUP(J$5,NFI,5,0),1,0)*Table_NFI[[#This Row],[Sanitary Kit]],Table_NFI[Sanitary Kit])</f>
        <v>0</v>
      </c>
      <c r="AB740" s="436">
        <f>IF(NFI_Expiration=1,IF($A740&lt;VLOOKUP(K$5,NFI,5,0),1,0)*Table_NFI[[#This Row],[Mosquito net]],Table_NFI[Mosquito net])</f>
        <v>0</v>
      </c>
      <c r="AC740" s="436">
        <f>IF(NFI_Expiration=1,IF($A740&lt;VLOOKUP(L$5,NFI,5,0),1,0)*Table_NFI[[#This Row],[Tarpaulin]],Table_NFI[[#This Row],[Tarpaulin]])</f>
        <v>0</v>
      </c>
      <c r="AD740" s="436">
        <f>IF(NFI_Expiration=1,IF($A740&lt;VLOOKUP(M$5,NFI,5,0),1,0)*Table_NFI[[#This Row],[Blanket]],Table_NFI[[#This Row],[Blanket]])</f>
        <v>0</v>
      </c>
      <c r="AE740" s="436">
        <f>IF(NFI_Expiration=1,IF($A740&lt;VLOOKUP(N$5,NFI,5,0),1,0)*Table_NFI[[#This Row],[Kitchen Set]],Table_NFI[Kitchen Set])</f>
        <v>0</v>
      </c>
      <c r="AF740" s="436">
        <f>IF(NFI_Expiration=1,IF($A740&lt;VLOOKUP(O$5,NFI,5,0),1,0)*Table_NFI[[#This Row],[Clothes Kit]],Table_NFI[Clothes Kit])</f>
        <v>0</v>
      </c>
      <c r="AG740" s="436">
        <f>IF(NFI_Expiration=1,IF($A740&lt;VLOOKUP(P$5,NFI,5,0),1,0)*Table_NFI[[#This Row],[Plastic Bucket]],Table_NFI[Plastic Bucket])</f>
        <v>0</v>
      </c>
      <c r="AH740" s="436">
        <f>IF(NFI_Expiration=1,IF($A740&lt;VLOOKUP(Q$5,NFI,5,0),1,0)*Table_NFI[[#This Row],[Plastic Mat]],Table_NFI[Plastic Mat])*IF(Table_NFI[[#This Row],[Distribution Date]]&gt;"2014-04-01",1,2.5)</f>
        <v>0</v>
      </c>
      <c r="AI740" s="436">
        <f>IF(NFI_Expiration=1,IF($A740&lt;VLOOKUP(R$5,NFI,5,0),1,0)*Table_NFI[[#This Row],[Winter Clothes Adult]],Table_NFI[Winter Clothes Adult])</f>
        <v>0</v>
      </c>
      <c r="AJ740" s="436">
        <f>IF(NFI_Expiration=1,IF($A740&lt;VLOOKUP(S$5,NFI,5,0),1,0)*Table_NFI[[#This Row],[Winter Clothes Children]],Table_NFI[Winter Clothes Children])</f>
        <v>0</v>
      </c>
      <c r="AK740" s="436">
        <f>IF(NFI_Expiration=1,IF($A740&lt;VLOOKUP(T$5,NFI,5,0),1,0)*Table_NFI[[#This Row],[Winter Items Other]],Table_NFI[Winter Items Other])</f>
        <v>0</v>
      </c>
      <c r="AL740" s="436">
        <f>IF(NFI_Expiration=1,IF($A740&lt;VLOOKUP(M$5,NFI,5,0),1,0)*Table_NFI[[#This Row],[Winter Blanket]],Table_NFI[[#This Row],[Winter Blanket]])</f>
        <v>0</v>
      </c>
      <c r="AM740" s="436">
        <f>IF(Table_NFI[[#This Row],[Winter Clothes Adult]]+Table_NFI[[#This Row],[Winter Clothes Children]]+Table_NFI[[#This Row],[Winter Items Other]]+Table_NFI[[#This Row],[Winter Blanket]]&gt;0,1,0)</f>
        <v>0</v>
      </c>
      <c r="AN740" s="439">
        <f>IF(NFI_Expiration=1,IF($A740&lt;VLOOKUP(V$5,NFI,5,0),1,0)*Table_NFI[[#This Row],[Jerry Can]],Table_NFI[Jerry Can])</f>
        <v>0</v>
      </c>
      <c r="AO740" s="771" t="str">
        <f>IFERROR(VLOOKUP(Table_NFI[[#This Row],[Camp Name]],CL,2,0),"")</f>
        <v>MMR001CMP021</v>
      </c>
      <c r="AP740" s="772">
        <f ca="1">IF(Table_NFI[[#This Row],[Pcode]]="","",IF(OFFSET(CampList[Opening Date],MATCH(Table_NFI[[#This Row],[Pcode]],CampList[CP_Pcode],0)-1,0,1,1)&gt;=NFI_Monitor_Date,1,0))</f>
        <v>0</v>
      </c>
      <c r="AQ740" s="781" t="str">
        <f>IFERROR(VLOOKUP(Table_NFI[[#This Row],[Camp Name]],CL,3,0),"")</f>
        <v>Open</v>
      </c>
      <c r="AR740" s="439" t="str">
        <f ca="1">IF(Table_NFI[[#This Row],[Pcode]]="","",OFFSET(CampList[Priority],MATCH(Table_NFI[[#This Row],[Pcode]],CampList[CP_Pcode],0)-1,0,1,1))</f>
        <v>P4</v>
      </c>
      <c r="AS740" s="438">
        <f>IFERROR(Table_NFI[[#This Row],[Kitchen Set]]/VLOOKUP(Table_NFI[[#This Row],[Camp Name]],CL,4,0),"")</f>
        <v>0.35714285714285715</v>
      </c>
      <c r="AT740" s="769" t="s">
        <v>1099</v>
      </c>
      <c r="AU740" s="773"/>
    </row>
    <row r="741" spans="1:47" x14ac:dyDescent="0.25">
      <c r="A741" s="451">
        <f t="shared" si="11"/>
        <v>40.733333333333334</v>
      </c>
      <c r="B741" s="768">
        <v>41148</v>
      </c>
      <c r="C741" s="769" t="s">
        <v>454</v>
      </c>
      <c r="D741" s="770" t="s">
        <v>454</v>
      </c>
      <c r="E741" s="769" t="s">
        <v>380</v>
      </c>
      <c r="F741" s="435" t="s">
        <v>237</v>
      </c>
      <c r="G741" s="435" t="s">
        <v>283</v>
      </c>
      <c r="H741" s="436"/>
      <c r="I741" s="436"/>
      <c r="J741" s="436"/>
      <c r="K741" s="436">
        <v>10</v>
      </c>
      <c r="L741" s="437">
        <v>5</v>
      </c>
      <c r="M741" s="437">
        <v>10</v>
      </c>
      <c r="N741" s="437">
        <v>5</v>
      </c>
      <c r="O741" s="437">
        <v>5</v>
      </c>
      <c r="P741" s="437">
        <v>5</v>
      </c>
      <c r="Q741" s="437">
        <v>5</v>
      </c>
      <c r="R741" s="436"/>
      <c r="S741" s="436"/>
      <c r="T741" s="436"/>
      <c r="U741" s="436"/>
      <c r="V741" s="436"/>
      <c r="W741" s="436"/>
      <c r="X741" s="436"/>
      <c r="Y741" s="436">
        <f>IF(NFI_Expiration=1,IF($A741&lt;VLOOKUP(H$5,NFI,5,0),1,0)*Table_NFI[[#This Row],[Hygiene Kit]],Table_NFI[Hygiene Kit])</f>
        <v>0</v>
      </c>
      <c r="Z741" s="436">
        <f>IF(NFI_Expiration=1,IF($A741&lt;VLOOKUP(I$5,NFI,5,0),1,0)*Table_NFI[[#This Row],[NFI Core Kit]],Table_NFI[NFI Core Kit])</f>
        <v>0</v>
      </c>
      <c r="AA741" s="436">
        <f>IF(NFI_Expiration=1,IF($A741&lt;VLOOKUP(J$5,NFI,5,0),1,0)*Table_NFI[[#This Row],[Sanitary Kit]],Table_NFI[Sanitary Kit])</f>
        <v>0</v>
      </c>
      <c r="AB741" s="436">
        <f>IF(NFI_Expiration=1,IF($A741&lt;VLOOKUP(K$5,NFI,5,0),1,0)*Table_NFI[[#This Row],[Mosquito net]],Table_NFI[Mosquito net])</f>
        <v>0</v>
      </c>
      <c r="AC741" s="436">
        <f>IF(NFI_Expiration=1,IF($A741&lt;VLOOKUP(L$5,NFI,5,0),1,0)*Table_NFI[[#This Row],[Tarpaulin]],Table_NFI[[#This Row],[Tarpaulin]])</f>
        <v>0</v>
      </c>
      <c r="AD741" s="436">
        <f>IF(NFI_Expiration=1,IF($A741&lt;VLOOKUP(M$5,NFI,5,0),1,0)*Table_NFI[[#This Row],[Blanket]],Table_NFI[[#This Row],[Blanket]])</f>
        <v>0</v>
      </c>
      <c r="AE741" s="436">
        <f>IF(NFI_Expiration=1,IF($A741&lt;VLOOKUP(N$5,NFI,5,0),1,0)*Table_NFI[[#This Row],[Kitchen Set]],Table_NFI[Kitchen Set])</f>
        <v>0</v>
      </c>
      <c r="AF741" s="436">
        <f>IF(NFI_Expiration=1,IF($A741&lt;VLOOKUP(O$5,NFI,5,0),1,0)*Table_NFI[[#This Row],[Clothes Kit]],Table_NFI[Clothes Kit])</f>
        <v>0</v>
      </c>
      <c r="AG741" s="436">
        <f>IF(NFI_Expiration=1,IF($A741&lt;VLOOKUP(P$5,NFI,5,0),1,0)*Table_NFI[[#This Row],[Plastic Bucket]],Table_NFI[Plastic Bucket])</f>
        <v>0</v>
      </c>
      <c r="AH741" s="436">
        <f>IF(NFI_Expiration=1,IF($A741&lt;VLOOKUP(Q$5,NFI,5,0),1,0)*Table_NFI[[#This Row],[Plastic Mat]],Table_NFI[Plastic Mat])*IF(Table_NFI[[#This Row],[Distribution Date]]&gt;"2014-04-01",1,2.5)</f>
        <v>0</v>
      </c>
      <c r="AI741" s="436">
        <f>IF(NFI_Expiration=1,IF($A741&lt;VLOOKUP(R$5,NFI,5,0),1,0)*Table_NFI[[#This Row],[Winter Clothes Adult]],Table_NFI[Winter Clothes Adult])</f>
        <v>0</v>
      </c>
      <c r="AJ741" s="436">
        <f>IF(NFI_Expiration=1,IF($A741&lt;VLOOKUP(S$5,NFI,5,0),1,0)*Table_NFI[[#This Row],[Winter Clothes Children]],Table_NFI[Winter Clothes Children])</f>
        <v>0</v>
      </c>
      <c r="AK741" s="436">
        <f>IF(NFI_Expiration=1,IF($A741&lt;VLOOKUP(T$5,NFI,5,0),1,0)*Table_NFI[[#This Row],[Winter Items Other]],Table_NFI[Winter Items Other])</f>
        <v>0</v>
      </c>
      <c r="AL741" s="436">
        <f>IF(NFI_Expiration=1,IF($A741&lt;VLOOKUP(M$5,NFI,5,0),1,0)*Table_NFI[[#This Row],[Winter Blanket]],Table_NFI[[#This Row],[Winter Blanket]])</f>
        <v>0</v>
      </c>
      <c r="AM741" s="436">
        <f>IF(Table_NFI[[#This Row],[Winter Clothes Adult]]+Table_NFI[[#This Row],[Winter Clothes Children]]+Table_NFI[[#This Row],[Winter Items Other]]+Table_NFI[[#This Row],[Winter Blanket]]&gt;0,1,0)</f>
        <v>0</v>
      </c>
      <c r="AN741" s="439">
        <f>IF(NFI_Expiration=1,IF($A741&lt;VLOOKUP(V$5,NFI,5,0),1,0)*Table_NFI[[#This Row],[Jerry Can]],Table_NFI[Jerry Can])</f>
        <v>0</v>
      </c>
      <c r="AO741" s="771" t="str">
        <f>IFERROR(VLOOKUP(Table_NFI[[#This Row],[Camp Name]],CL,2,0),"")</f>
        <v>MMR001CMP022</v>
      </c>
      <c r="AP741" s="772">
        <f ca="1">IF(Table_NFI[[#This Row],[Pcode]]="","",IF(OFFSET(CampList[Opening Date],MATCH(Table_NFI[[#This Row],[Pcode]],CampList[CP_Pcode],0)-1,0,1,1)&gt;=NFI_Monitor_Date,1,0))</f>
        <v>0</v>
      </c>
      <c r="AQ741" s="781" t="str">
        <f>IFERROR(VLOOKUP(Table_NFI[[#This Row],[Camp Name]],CL,3,0),"")</f>
        <v>Open</v>
      </c>
      <c r="AR741" s="439" t="str">
        <f ca="1">IF(Table_NFI[[#This Row],[Pcode]]="","",OFFSET(CampList[Priority],MATCH(Table_NFI[[#This Row],[Pcode]],CampList[CP_Pcode],0)-1,0,1,1))</f>
        <v>P4</v>
      </c>
      <c r="AS741" s="438">
        <f>IFERROR(Table_NFI[[#This Row],[Kitchen Set]]/VLOOKUP(Table_NFI[[#This Row],[Camp Name]],CL,4,0),"")</f>
        <v>0.7142857142857143</v>
      </c>
      <c r="AT741" s="769" t="s">
        <v>1099</v>
      </c>
      <c r="AU741" s="773"/>
    </row>
    <row r="742" spans="1:47" x14ac:dyDescent="0.25">
      <c r="A742" s="451">
        <f t="shared" si="11"/>
        <v>41.2</v>
      </c>
      <c r="B742" s="768">
        <v>41134</v>
      </c>
      <c r="C742" s="769" t="s">
        <v>454</v>
      </c>
      <c r="D742" s="770" t="s">
        <v>575</v>
      </c>
      <c r="E742" s="769" t="s">
        <v>380</v>
      </c>
      <c r="F742" s="435" t="s">
        <v>5</v>
      </c>
      <c r="G742" s="435" t="s">
        <v>22</v>
      </c>
      <c r="H742" s="436"/>
      <c r="I742" s="436"/>
      <c r="J742" s="436"/>
      <c r="K742" s="436">
        <v>310</v>
      </c>
      <c r="L742" s="437">
        <v>151</v>
      </c>
      <c r="M742" s="437">
        <v>310</v>
      </c>
      <c r="N742" s="437">
        <v>151</v>
      </c>
      <c r="O742" s="437">
        <v>151</v>
      </c>
      <c r="P742" s="437">
        <v>151</v>
      </c>
      <c r="Q742" s="437">
        <v>151</v>
      </c>
      <c r="R742" s="436"/>
      <c r="S742" s="436"/>
      <c r="T742" s="436"/>
      <c r="U742" s="436"/>
      <c r="V742" s="436"/>
      <c r="W742" s="436"/>
      <c r="X742" s="436"/>
      <c r="Y742" s="436">
        <f>IF(NFI_Expiration=1,IF($A742&lt;VLOOKUP(H$5,NFI,5,0),1,0)*Table_NFI[[#This Row],[Hygiene Kit]],Table_NFI[Hygiene Kit])</f>
        <v>0</v>
      </c>
      <c r="Z742" s="436">
        <f>IF(NFI_Expiration=1,IF($A742&lt;VLOOKUP(I$5,NFI,5,0),1,0)*Table_NFI[[#This Row],[NFI Core Kit]],Table_NFI[NFI Core Kit])</f>
        <v>0</v>
      </c>
      <c r="AA742" s="436">
        <f>IF(NFI_Expiration=1,IF($A742&lt;VLOOKUP(J$5,NFI,5,0),1,0)*Table_NFI[[#This Row],[Sanitary Kit]],Table_NFI[Sanitary Kit])</f>
        <v>0</v>
      </c>
      <c r="AB742" s="436">
        <f>IF(NFI_Expiration=1,IF($A742&lt;VLOOKUP(K$5,NFI,5,0),1,0)*Table_NFI[[#This Row],[Mosquito net]],Table_NFI[Mosquito net])</f>
        <v>0</v>
      </c>
      <c r="AC742" s="436">
        <f>IF(NFI_Expiration=1,IF($A742&lt;VLOOKUP(L$5,NFI,5,0),1,0)*Table_NFI[[#This Row],[Tarpaulin]],Table_NFI[[#This Row],[Tarpaulin]])</f>
        <v>0</v>
      </c>
      <c r="AD742" s="436">
        <f>IF(NFI_Expiration=1,IF($A742&lt;VLOOKUP(M$5,NFI,5,0),1,0)*Table_NFI[[#This Row],[Blanket]],Table_NFI[[#This Row],[Blanket]])</f>
        <v>0</v>
      </c>
      <c r="AE742" s="436">
        <f>IF(NFI_Expiration=1,IF($A742&lt;VLOOKUP(N$5,NFI,5,0),1,0)*Table_NFI[[#This Row],[Kitchen Set]],Table_NFI[Kitchen Set])</f>
        <v>0</v>
      </c>
      <c r="AF742" s="436">
        <f>IF(NFI_Expiration=1,IF($A742&lt;VLOOKUP(O$5,NFI,5,0),1,0)*Table_NFI[[#This Row],[Clothes Kit]],Table_NFI[Clothes Kit])</f>
        <v>0</v>
      </c>
      <c r="AG742" s="436">
        <f>IF(NFI_Expiration=1,IF($A742&lt;VLOOKUP(P$5,NFI,5,0),1,0)*Table_NFI[[#This Row],[Plastic Bucket]],Table_NFI[Plastic Bucket])</f>
        <v>0</v>
      </c>
      <c r="AH742" s="436">
        <f>IF(NFI_Expiration=1,IF($A742&lt;VLOOKUP(Q$5,NFI,5,0),1,0)*Table_NFI[[#This Row],[Plastic Mat]],Table_NFI[Plastic Mat])*IF(Table_NFI[[#This Row],[Distribution Date]]&gt;"2014-04-01",1,2.5)</f>
        <v>0</v>
      </c>
      <c r="AI742" s="436">
        <f>IF(NFI_Expiration=1,IF($A742&lt;VLOOKUP(R$5,NFI,5,0),1,0)*Table_NFI[[#This Row],[Winter Clothes Adult]],Table_NFI[Winter Clothes Adult])</f>
        <v>0</v>
      </c>
      <c r="AJ742" s="436">
        <f>IF(NFI_Expiration=1,IF($A742&lt;VLOOKUP(S$5,NFI,5,0),1,0)*Table_NFI[[#This Row],[Winter Clothes Children]],Table_NFI[Winter Clothes Children])</f>
        <v>0</v>
      </c>
      <c r="AK742" s="436">
        <f>IF(NFI_Expiration=1,IF($A742&lt;VLOOKUP(T$5,NFI,5,0),1,0)*Table_NFI[[#This Row],[Winter Items Other]],Table_NFI[Winter Items Other])</f>
        <v>0</v>
      </c>
      <c r="AL742" s="436">
        <f>IF(NFI_Expiration=1,IF($A742&lt;VLOOKUP(M$5,NFI,5,0),1,0)*Table_NFI[[#This Row],[Winter Blanket]],Table_NFI[[#This Row],[Winter Blanket]])</f>
        <v>0</v>
      </c>
      <c r="AM742" s="436">
        <f>IF(Table_NFI[[#This Row],[Winter Clothes Adult]]+Table_NFI[[#This Row],[Winter Clothes Children]]+Table_NFI[[#This Row],[Winter Items Other]]+Table_NFI[[#This Row],[Winter Blanket]]&gt;0,1,0)</f>
        <v>0</v>
      </c>
      <c r="AN742" s="439">
        <f>IF(NFI_Expiration=1,IF($A742&lt;VLOOKUP(V$5,NFI,5,0),1,0)*Table_NFI[[#This Row],[Jerry Can]],Table_NFI[Jerry Can])</f>
        <v>0</v>
      </c>
      <c r="AO742" s="771" t="str">
        <f>IFERROR(VLOOKUP(Table_NFI[[#This Row],[Camp Name]],CL,2,0),"")</f>
        <v>MMR001CMP047</v>
      </c>
      <c r="AP742" s="772">
        <f ca="1">IF(Table_NFI[[#This Row],[Pcode]]="","",IF(OFFSET(CampList[Opening Date],MATCH(Table_NFI[[#This Row],[Pcode]],CampList[CP_Pcode],0)-1,0,1,1)&gt;=NFI_Monitor_Date,1,0))</f>
        <v>0</v>
      </c>
      <c r="AQ742" s="781" t="str">
        <f>IFERROR(VLOOKUP(Table_NFI[[#This Row],[Camp Name]],CL,3,0),"")</f>
        <v>Open</v>
      </c>
      <c r="AR742" s="439" t="str">
        <f ca="1">IF(Table_NFI[[#This Row],[Pcode]]="","",OFFSET(CampList[Priority],MATCH(Table_NFI[[#This Row],[Pcode]],CampList[CP_Pcode],0)-1,0,1,1))</f>
        <v>P4</v>
      </c>
      <c r="AS742" s="438">
        <f>IFERROR(Table_NFI[[#This Row],[Kitchen Set]]/VLOOKUP(Table_NFI[[#This Row],[Camp Name]],CL,4,0),"")</f>
        <v>0.23159509202453987</v>
      </c>
      <c r="AT742" s="769" t="s">
        <v>1099</v>
      </c>
      <c r="AU742" s="773"/>
    </row>
    <row r="743" spans="1:47" x14ac:dyDescent="0.25">
      <c r="A743" s="451">
        <f t="shared" si="11"/>
        <v>41.333333333333336</v>
      </c>
      <c r="B743" s="768">
        <v>41130</v>
      </c>
      <c r="C743" s="769" t="s">
        <v>454</v>
      </c>
      <c r="D743" s="770" t="s">
        <v>454</v>
      </c>
      <c r="E743" s="769" t="s">
        <v>380</v>
      </c>
      <c r="F743" s="435" t="s">
        <v>237</v>
      </c>
      <c r="G743" s="435" t="s">
        <v>253</v>
      </c>
      <c r="H743" s="436"/>
      <c r="I743" s="441"/>
      <c r="J743" s="434"/>
      <c r="K743" s="434">
        <v>7</v>
      </c>
      <c r="L743" s="434">
        <v>3</v>
      </c>
      <c r="M743" s="434">
        <v>7</v>
      </c>
      <c r="N743" s="434">
        <v>3</v>
      </c>
      <c r="O743" s="434">
        <v>3</v>
      </c>
      <c r="P743" s="437">
        <v>3</v>
      </c>
      <c r="Q743" s="437">
        <v>3</v>
      </c>
      <c r="R743" s="436"/>
      <c r="S743" s="436"/>
      <c r="T743" s="436"/>
      <c r="U743" s="436"/>
      <c r="V743" s="436"/>
      <c r="W743" s="436"/>
      <c r="X743" s="436"/>
      <c r="Y743" s="436">
        <f>IF(NFI_Expiration=1,IF($A743&lt;VLOOKUP(H$5,NFI,5,0),1,0)*Table_NFI[[#This Row],[Hygiene Kit]],Table_NFI[Hygiene Kit])</f>
        <v>0</v>
      </c>
      <c r="Z743" s="436">
        <f>IF(NFI_Expiration=1,IF($A743&lt;VLOOKUP(I$5,NFI,5,0),1,0)*Table_NFI[[#This Row],[NFI Core Kit]],Table_NFI[NFI Core Kit])</f>
        <v>0</v>
      </c>
      <c r="AA743" s="436">
        <f>IF(NFI_Expiration=1,IF($A743&lt;VLOOKUP(J$5,NFI,5,0),1,0)*Table_NFI[[#This Row],[Sanitary Kit]],Table_NFI[Sanitary Kit])</f>
        <v>0</v>
      </c>
      <c r="AB743" s="436">
        <f>IF(NFI_Expiration=1,IF($A743&lt;VLOOKUP(K$5,NFI,5,0),1,0)*Table_NFI[[#This Row],[Mosquito net]],Table_NFI[Mosquito net])</f>
        <v>0</v>
      </c>
      <c r="AC743" s="436">
        <f>IF(NFI_Expiration=1,IF($A743&lt;VLOOKUP(L$5,NFI,5,0),1,0)*Table_NFI[[#This Row],[Tarpaulin]],Table_NFI[[#This Row],[Tarpaulin]])</f>
        <v>0</v>
      </c>
      <c r="AD743" s="436">
        <f>IF(NFI_Expiration=1,IF($A743&lt;VLOOKUP(M$5,NFI,5,0),1,0)*Table_NFI[[#This Row],[Blanket]],Table_NFI[[#This Row],[Blanket]])</f>
        <v>0</v>
      </c>
      <c r="AE743" s="436">
        <f>IF(NFI_Expiration=1,IF($A743&lt;VLOOKUP(N$5,NFI,5,0),1,0)*Table_NFI[[#This Row],[Kitchen Set]],Table_NFI[Kitchen Set])</f>
        <v>0</v>
      </c>
      <c r="AF743" s="436">
        <f>IF(NFI_Expiration=1,IF($A743&lt;VLOOKUP(O$5,NFI,5,0),1,0)*Table_NFI[[#This Row],[Clothes Kit]],Table_NFI[Clothes Kit])</f>
        <v>0</v>
      </c>
      <c r="AG743" s="436">
        <f>IF(NFI_Expiration=1,IF($A743&lt;VLOOKUP(P$5,NFI,5,0),1,0)*Table_NFI[[#This Row],[Plastic Bucket]],Table_NFI[Plastic Bucket])</f>
        <v>0</v>
      </c>
      <c r="AH743" s="436">
        <f>IF(NFI_Expiration=1,IF($A743&lt;VLOOKUP(Q$5,NFI,5,0),1,0)*Table_NFI[[#This Row],[Plastic Mat]],Table_NFI[Plastic Mat])*IF(Table_NFI[[#This Row],[Distribution Date]]&gt;"2014-04-01",1,2.5)</f>
        <v>0</v>
      </c>
      <c r="AI743" s="436">
        <f>IF(NFI_Expiration=1,IF($A743&lt;VLOOKUP(R$5,NFI,5,0),1,0)*Table_NFI[[#This Row],[Winter Clothes Adult]],Table_NFI[Winter Clothes Adult])</f>
        <v>0</v>
      </c>
      <c r="AJ743" s="436">
        <f>IF(NFI_Expiration=1,IF($A743&lt;VLOOKUP(S$5,NFI,5,0),1,0)*Table_NFI[[#This Row],[Winter Clothes Children]],Table_NFI[Winter Clothes Children])</f>
        <v>0</v>
      </c>
      <c r="AK743" s="436">
        <f>IF(NFI_Expiration=1,IF($A743&lt;VLOOKUP(T$5,NFI,5,0),1,0)*Table_NFI[[#This Row],[Winter Items Other]],Table_NFI[Winter Items Other])</f>
        <v>0</v>
      </c>
      <c r="AL743" s="436">
        <f>IF(NFI_Expiration=1,IF($A743&lt;VLOOKUP(M$5,NFI,5,0),1,0)*Table_NFI[[#This Row],[Winter Blanket]],Table_NFI[[#This Row],[Winter Blanket]])</f>
        <v>0</v>
      </c>
      <c r="AM743" s="436">
        <f>IF(Table_NFI[[#This Row],[Winter Clothes Adult]]+Table_NFI[[#This Row],[Winter Clothes Children]]+Table_NFI[[#This Row],[Winter Items Other]]+Table_NFI[[#This Row],[Winter Blanket]]&gt;0,1,0)</f>
        <v>0</v>
      </c>
      <c r="AN743" s="439">
        <f>IF(NFI_Expiration=1,IF($A743&lt;VLOOKUP(V$5,NFI,5,0),1,0)*Table_NFI[[#This Row],[Jerry Can]],Table_NFI[Jerry Can])</f>
        <v>0</v>
      </c>
      <c r="AO743" s="771" t="str">
        <f>IFERROR(VLOOKUP(Table_NFI[[#This Row],[Camp Name]],CL,2,0),"")</f>
        <v>MMR001CMP018</v>
      </c>
      <c r="AP743" s="772">
        <f ca="1">IF(Table_NFI[[#This Row],[Pcode]]="","",IF(OFFSET(CampList[Opening Date],MATCH(Table_NFI[[#This Row],[Pcode]],CampList[CP_Pcode],0)-1,0,1,1)&gt;=NFI_Monitor_Date,1,0))</f>
        <v>0</v>
      </c>
      <c r="AQ743" s="781" t="str">
        <f>IFERROR(VLOOKUP(Table_NFI[[#This Row],[Camp Name]],CL,3,0),"")</f>
        <v>Open</v>
      </c>
      <c r="AR743" s="439" t="str">
        <f ca="1">IF(Table_NFI[[#This Row],[Pcode]]="","",OFFSET(CampList[Priority],MATCH(Table_NFI[[#This Row],[Pcode]],CampList[CP_Pcode],0)-1,0,1,1))</f>
        <v>P4</v>
      </c>
      <c r="AS743" s="438">
        <f>IFERROR(Table_NFI[[#This Row],[Kitchen Set]]/VLOOKUP(Table_NFI[[#This Row],[Camp Name]],CL,4,0),"")</f>
        <v>1.4778325123152709E-2</v>
      </c>
      <c r="AT743" s="769" t="s">
        <v>1099</v>
      </c>
      <c r="AU743" s="773"/>
    </row>
    <row r="744" spans="1:47" x14ac:dyDescent="0.25">
      <c r="A744" s="451">
        <f t="shared" si="11"/>
        <v>41.333333333333336</v>
      </c>
      <c r="B744" s="768">
        <v>41130</v>
      </c>
      <c r="C744" s="769" t="s">
        <v>454</v>
      </c>
      <c r="D744" s="770" t="s">
        <v>454</v>
      </c>
      <c r="E744" s="769" t="s">
        <v>380</v>
      </c>
      <c r="F744" s="435" t="s">
        <v>237</v>
      </c>
      <c r="G744" s="435" t="s">
        <v>259</v>
      </c>
      <c r="H744" s="436"/>
      <c r="I744" s="436"/>
      <c r="J744" s="436"/>
      <c r="K744" s="436">
        <v>2</v>
      </c>
      <c r="L744" s="437">
        <v>1</v>
      </c>
      <c r="M744" s="437">
        <v>2</v>
      </c>
      <c r="N744" s="437">
        <v>1</v>
      </c>
      <c r="O744" s="437">
        <v>1</v>
      </c>
      <c r="P744" s="437">
        <v>1</v>
      </c>
      <c r="Q744" s="437">
        <v>1</v>
      </c>
      <c r="R744" s="436"/>
      <c r="S744" s="436"/>
      <c r="T744" s="436"/>
      <c r="U744" s="436"/>
      <c r="V744" s="436"/>
      <c r="W744" s="436"/>
      <c r="X744" s="436"/>
      <c r="Y744" s="436">
        <f>IF(NFI_Expiration=1,IF($A744&lt;VLOOKUP(H$5,NFI,5,0),1,0)*Table_NFI[[#This Row],[Hygiene Kit]],Table_NFI[Hygiene Kit])</f>
        <v>0</v>
      </c>
      <c r="Z744" s="436">
        <f>IF(NFI_Expiration=1,IF($A744&lt;VLOOKUP(I$5,NFI,5,0),1,0)*Table_NFI[[#This Row],[NFI Core Kit]],Table_NFI[NFI Core Kit])</f>
        <v>0</v>
      </c>
      <c r="AA744" s="436">
        <f>IF(NFI_Expiration=1,IF($A744&lt;VLOOKUP(J$5,NFI,5,0),1,0)*Table_NFI[[#This Row],[Sanitary Kit]],Table_NFI[Sanitary Kit])</f>
        <v>0</v>
      </c>
      <c r="AB744" s="436">
        <f>IF(NFI_Expiration=1,IF($A744&lt;VLOOKUP(K$5,NFI,5,0),1,0)*Table_NFI[[#This Row],[Mosquito net]],Table_NFI[Mosquito net])</f>
        <v>0</v>
      </c>
      <c r="AC744" s="436">
        <f>IF(NFI_Expiration=1,IF($A744&lt;VLOOKUP(L$5,NFI,5,0),1,0)*Table_NFI[[#This Row],[Tarpaulin]],Table_NFI[[#This Row],[Tarpaulin]])</f>
        <v>0</v>
      </c>
      <c r="AD744" s="436">
        <f>IF(NFI_Expiration=1,IF($A744&lt;VLOOKUP(M$5,NFI,5,0),1,0)*Table_NFI[[#This Row],[Blanket]],Table_NFI[[#This Row],[Blanket]])</f>
        <v>0</v>
      </c>
      <c r="AE744" s="436">
        <f>IF(NFI_Expiration=1,IF($A744&lt;VLOOKUP(N$5,NFI,5,0),1,0)*Table_NFI[[#This Row],[Kitchen Set]],Table_NFI[Kitchen Set])</f>
        <v>0</v>
      </c>
      <c r="AF744" s="436">
        <f>IF(NFI_Expiration=1,IF($A744&lt;VLOOKUP(O$5,NFI,5,0),1,0)*Table_NFI[[#This Row],[Clothes Kit]],Table_NFI[Clothes Kit])</f>
        <v>0</v>
      </c>
      <c r="AG744" s="436">
        <f>IF(NFI_Expiration=1,IF($A744&lt;VLOOKUP(P$5,NFI,5,0),1,0)*Table_NFI[[#This Row],[Plastic Bucket]],Table_NFI[Plastic Bucket])</f>
        <v>0</v>
      </c>
      <c r="AH744" s="436">
        <f>IF(NFI_Expiration=1,IF($A744&lt;VLOOKUP(Q$5,NFI,5,0),1,0)*Table_NFI[[#This Row],[Plastic Mat]],Table_NFI[Plastic Mat])*IF(Table_NFI[[#This Row],[Distribution Date]]&gt;"2014-04-01",1,2.5)</f>
        <v>0</v>
      </c>
      <c r="AI744" s="436">
        <f>IF(NFI_Expiration=1,IF($A744&lt;VLOOKUP(R$5,NFI,5,0),1,0)*Table_NFI[[#This Row],[Winter Clothes Adult]],Table_NFI[Winter Clothes Adult])</f>
        <v>0</v>
      </c>
      <c r="AJ744" s="436">
        <f>IF(NFI_Expiration=1,IF($A744&lt;VLOOKUP(S$5,NFI,5,0),1,0)*Table_NFI[[#This Row],[Winter Clothes Children]],Table_NFI[Winter Clothes Children])</f>
        <v>0</v>
      </c>
      <c r="AK744" s="436">
        <f>IF(NFI_Expiration=1,IF($A744&lt;VLOOKUP(T$5,NFI,5,0),1,0)*Table_NFI[[#This Row],[Winter Items Other]],Table_NFI[Winter Items Other])</f>
        <v>0</v>
      </c>
      <c r="AL744" s="436">
        <f>IF(NFI_Expiration=1,IF($A744&lt;VLOOKUP(M$5,NFI,5,0),1,0)*Table_NFI[[#This Row],[Winter Blanket]],Table_NFI[[#This Row],[Winter Blanket]])</f>
        <v>0</v>
      </c>
      <c r="AM744" s="436">
        <f>IF(Table_NFI[[#This Row],[Winter Clothes Adult]]+Table_NFI[[#This Row],[Winter Clothes Children]]+Table_NFI[[#This Row],[Winter Items Other]]+Table_NFI[[#This Row],[Winter Blanket]]&gt;0,1,0)</f>
        <v>0</v>
      </c>
      <c r="AN744" s="439">
        <f>IF(NFI_Expiration=1,IF($A744&lt;VLOOKUP(V$5,NFI,5,0),1,0)*Table_NFI[[#This Row],[Jerry Can]],Table_NFI[Jerry Can])</f>
        <v>0</v>
      </c>
      <c r="AO744" s="771" t="str">
        <f>IFERROR(VLOOKUP(Table_NFI[[#This Row],[Camp Name]],CL,2,0),"")</f>
        <v>MMR001CMP016</v>
      </c>
      <c r="AP744" s="772">
        <f ca="1">IF(Table_NFI[[#This Row],[Pcode]]="","",IF(OFFSET(CampList[Opening Date],MATCH(Table_NFI[[#This Row],[Pcode]],CampList[CP_Pcode],0)-1,0,1,1)&gt;=NFI_Monitor_Date,1,0))</f>
        <v>0</v>
      </c>
      <c r="AQ744" s="781" t="str">
        <f>IFERROR(VLOOKUP(Table_NFI[[#This Row],[Camp Name]],CL,3,0),"")</f>
        <v>Open</v>
      </c>
      <c r="AR744" s="439" t="str">
        <f ca="1">IF(Table_NFI[[#This Row],[Pcode]]="","",OFFSET(CampList[Priority],MATCH(Table_NFI[[#This Row],[Pcode]],CampList[CP_Pcode],0)-1,0,1,1))</f>
        <v>P4</v>
      </c>
      <c r="AS744" s="438">
        <f>IFERROR(Table_NFI[[#This Row],[Kitchen Set]]/VLOOKUP(Table_NFI[[#This Row],[Camp Name]],CL,4,0),"")</f>
        <v>1.3888888888888888E-2</v>
      </c>
      <c r="AT744" s="769" t="s">
        <v>1099</v>
      </c>
      <c r="AU744" s="773"/>
    </row>
    <row r="745" spans="1:47" x14ac:dyDescent="0.25">
      <c r="A745" s="451">
        <f t="shared" si="11"/>
        <v>41.333333333333336</v>
      </c>
      <c r="B745" s="768">
        <v>41130</v>
      </c>
      <c r="C745" s="769" t="s">
        <v>454</v>
      </c>
      <c r="D745" s="769" t="s">
        <v>454</v>
      </c>
      <c r="E745" s="769" t="s">
        <v>380</v>
      </c>
      <c r="F745" s="435" t="s">
        <v>237</v>
      </c>
      <c r="G745" s="435" t="s">
        <v>263</v>
      </c>
      <c r="H745" s="436"/>
      <c r="I745" s="436"/>
      <c r="J745" s="436"/>
      <c r="K745" s="436">
        <v>2</v>
      </c>
      <c r="L745" s="437">
        <v>1</v>
      </c>
      <c r="M745" s="437">
        <v>2</v>
      </c>
      <c r="N745" s="437">
        <v>1</v>
      </c>
      <c r="O745" s="437">
        <v>1</v>
      </c>
      <c r="P745" s="439">
        <v>1</v>
      </c>
      <c r="Q745" s="439">
        <v>1</v>
      </c>
      <c r="R745" s="436"/>
      <c r="S745" s="436"/>
      <c r="T745" s="436"/>
      <c r="U745" s="436"/>
      <c r="V745" s="436"/>
      <c r="W745" s="436"/>
      <c r="X745" s="436"/>
      <c r="Y745" s="436">
        <f>IF(NFI_Expiration=1,IF($A745&lt;VLOOKUP(H$5,NFI,5,0),1,0)*Table_NFI[[#This Row],[Hygiene Kit]],Table_NFI[Hygiene Kit])</f>
        <v>0</v>
      </c>
      <c r="Z745" s="436">
        <f>IF(NFI_Expiration=1,IF($A745&lt;VLOOKUP(I$5,NFI,5,0),1,0)*Table_NFI[[#This Row],[NFI Core Kit]],Table_NFI[NFI Core Kit])</f>
        <v>0</v>
      </c>
      <c r="AA745" s="436">
        <f>IF(NFI_Expiration=1,IF($A745&lt;VLOOKUP(J$5,NFI,5,0),1,0)*Table_NFI[[#This Row],[Sanitary Kit]],Table_NFI[Sanitary Kit])</f>
        <v>0</v>
      </c>
      <c r="AB745" s="436">
        <f>IF(NFI_Expiration=1,IF($A745&lt;VLOOKUP(K$5,NFI,5,0),1,0)*Table_NFI[[#This Row],[Mosquito net]],Table_NFI[Mosquito net])</f>
        <v>0</v>
      </c>
      <c r="AC745" s="436">
        <f>IF(NFI_Expiration=1,IF($A745&lt;VLOOKUP(L$5,NFI,5,0),1,0)*Table_NFI[[#This Row],[Tarpaulin]],Table_NFI[[#This Row],[Tarpaulin]])</f>
        <v>0</v>
      </c>
      <c r="AD745" s="436">
        <f>IF(NFI_Expiration=1,IF($A745&lt;VLOOKUP(M$5,NFI,5,0),1,0)*Table_NFI[[#This Row],[Blanket]],Table_NFI[[#This Row],[Blanket]])</f>
        <v>0</v>
      </c>
      <c r="AE745" s="436">
        <f>IF(NFI_Expiration=1,IF($A745&lt;VLOOKUP(N$5,NFI,5,0),1,0)*Table_NFI[[#This Row],[Kitchen Set]],Table_NFI[Kitchen Set])</f>
        <v>0</v>
      </c>
      <c r="AF745" s="436">
        <f>IF(NFI_Expiration=1,IF($A745&lt;VLOOKUP(O$5,NFI,5,0),1,0)*Table_NFI[[#This Row],[Clothes Kit]],Table_NFI[Clothes Kit])</f>
        <v>0</v>
      </c>
      <c r="AG745" s="436">
        <f>IF(NFI_Expiration=1,IF($A745&lt;VLOOKUP(P$5,NFI,5,0),1,0)*Table_NFI[[#This Row],[Plastic Bucket]],Table_NFI[Plastic Bucket])</f>
        <v>0</v>
      </c>
      <c r="AH745" s="436">
        <f>IF(NFI_Expiration=1,IF($A745&lt;VLOOKUP(Q$5,NFI,5,0),1,0)*Table_NFI[[#This Row],[Plastic Mat]],Table_NFI[Plastic Mat])*IF(Table_NFI[[#This Row],[Distribution Date]]&gt;"2014-04-01",1,2.5)</f>
        <v>0</v>
      </c>
      <c r="AI745" s="436">
        <f>IF(NFI_Expiration=1,IF($A745&lt;VLOOKUP(R$5,NFI,5,0),1,0)*Table_NFI[[#This Row],[Winter Clothes Adult]],Table_NFI[Winter Clothes Adult])</f>
        <v>0</v>
      </c>
      <c r="AJ745" s="436">
        <f>IF(NFI_Expiration=1,IF($A745&lt;VLOOKUP(S$5,NFI,5,0),1,0)*Table_NFI[[#This Row],[Winter Clothes Children]],Table_NFI[Winter Clothes Children])</f>
        <v>0</v>
      </c>
      <c r="AK745" s="436">
        <f>IF(NFI_Expiration=1,IF($A745&lt;VLOOKUP(T$5,NFI,5,0),1,0)*Table_NFI[[#This Row],[Winter Items Other]],Table_NFI[Winter Items Other])</f>
        <v>0</v>
      </c>
      <c r="AL745" s="436">
        <f>IF(NFI_Expiration=1,IF($A745&lt;VLOOKUP(M$5,NFI,5,0),1,0)*Table_NFI[[#This Row],[Winter Blanket]],Table_NFI[[#This Row],[Winter Blanket]])</f>
        <v>0</v>
      </c>
      <c r="AM745" s="436">
        <f>IF(Table_NFI[[#This Row],[Winter Clothes Adult]]+Table_NFI[[#This Row],[Winter Clothes Children]]+Table_NFI[[#This Row],[Winter Items Other]]+Table_NFI[[#This Row],[Winter Blanket]]&gt;0,1,0)</f>
        <v>0</v>
      </c>
      <c r="AN745" s="439">
        <f>IF(NFI_Expiration=1,IF($A745&lt;VLOOKUP(V$5,NFI,5,0),1,0)*Table_NFI[[#This Row],[Jerry Can]],Table_NFI[Jerry Can])</f>
        <v>0</v>
      </c>
      <c r="AO745" s="771" t="str">
        <f>IFERROR(VLOOKUP(Table_NFI[[#This Row],[Camp Name]],CL,2,0),"")</f>
        <v>MMR001CMP020</v>
      </c>
      <c r="AP745" s="772">
        <f ca="1">IF(Table_NFI[[#This Row],[Pcode]]="","",IF(OFFSET(CampList[Opening Date],MATCH(Table_NFI[[#This Row],[Pcode]],CampList[CP_Pcode],0)-1,0,1,1)&gt;=NFI_Monitor_Date,1,0))</f>
        <v>0</v>
      </c>
      <c r="AQ745" s="781" t="str">
        <f>IFERROR(VLOOKUP(Table_NFI[[#This Row],[Camp Name]],CL,3,0),"")</f>
        <v>Open</v>
      </c>
      <c r="AR745" s="439" t="str">
        <f ca="1">IF(Table_NFI[[#This Row],[Pcode]]="","",OFFSET(CampList[Priority],MATCH(Table_NFI[[#This Row],[Pcode]],CampList[CP_Pcode],0)-1,0,1,1))</f>
        <v>P4</v>
      </c>
      <c r="AS745" s="438">
        <f>IFERROR(Table_NFI[[#This Row],[Kitchen Set]]/VLOOKUP(Table_NFI[[#This Row],[Camp Name]],CL,4,0),"")</f>
        <v>4.5454545454545456E-2</v>
      </c>
      <c r="AT745" s="769" t="s">
        <v>1099</v>
      </c>
      <c r="AU745" s="773"/>
    </row>
    <row r="746" spans="1:47" x14ac:dyDescent="0.25">
      <c r="A746" s="451">
        <f t="shared" si="11"/>
        <v>41.333333333333336</v>
      </c>
      <c r="B746" s="768">
        <v>41130</v>
      </c>
      <c r="C746" s="769" t="s">
        <v>454</v>
      </c>
      <c r="D746" s="769" t="s">
        <v>454</v>
      </c>
      <c r="E746" s="769" t="s">
        <v>380</v>
      </c>
      <c r="F746" s="435" t="s">
        <v>237</v>
      </c>
      <c r="G746" s="435" t="s">
        <v>265</v>
      </c>
      <c r="H746" s="436"/>
      <c r="I746" s="436"/>
      <c r="J746" s="436"/>
      <c r="K746" s="436">
        <v>10</v>
      </c>
      <c r="L746" s="437">
        <v>5</v>
      </c>
      <c r="M746" s="437">
        <v>10</v>
      </c>
      <c r="N746" s="437">
        <v>5</v>
      </c>
      <c r="O746" s="437">
        <v>5</v>
      </c>
      <c r="P746" s="439">
        <v>5</v>
      </c>
      <c r="Q746" s="439">
        <v>5</v>
      </c>
      <c r="R746" s="436"/>
      <c r="S746" s="436"/>
      <c r="T746" s="436"/>
      <c r="U746" s="436"/>
      <c r="V746" s="436"/>
      <c r="W746" s="436"/>
      <c r="X746" s="436"/>
      <c r="Y746" s="436">
        <f>IF(NFI_Expiration=1,IF($A746&lt;VLOOKUP(H$5,NFI,5,0),1,0)*Table_NFI[[#This Row],[Hygiene Kit]],Table_NFI[Hygiene Kit])</f>
        <v>0</v>
      </c>
      <c r="Z746" s="436">
        <f>IF(NFI_Expiration=1,IF($A746&lt;VLOOKUP(I$5,NFI,5,0),1,0)*Table_NFI[[#This Row],[NFI Core Kit]],Table_NFI[NFI Core Kit])</f>
        <v>0</v>
      </c>
      <c r="AA746" s="436">
        <f>IF(NFI_Expiration=1,IF($A746&lt;VLOOKUP(J$5,NFI,5,0),1,0)*Table_NFI[[#This Row],[Sanitary Kit]],Table_NFI[Sanitary Kit])</f>
        <v>0</v>
      </c>
      <c r="AB746" s="436">
        <f>IF(NFI_Expiration=1,IF($A746&lt;VLOOKUP(K$5,NFI,5,0),1,0)*Table_NFI[[#This Row],[Mosquito net]],Table_NFI[Mosquito net])</f>
        <v>0</v>
      </c>
      <c r="AC746" s="436">
        <f>IF(NFI_Expiration=1,IF($A746&lt;VLOOKUP(L$5,NFI,5,0),1,0)*Table_NFI[[#This Row],[Tarpaulin]],Table_NFI[[#This Row],[Tarpaulin]])</f>
        <v>0</v>
      </c>
      <c r="AD746" s="436">
        <f>IF(NFI_Expiration=1,IF($A746&lt;VLOOKUP(M$5,NFI,5,0),1,0)*Table_NFI[[#This Row],[Blanket]],Table_NFI[[#This Row],[Blanket]])</f>
        <v>0</v>
      </c>
      <c r="AE746" s="436">
        <f>IF(NFI_Expiration=1,IF($A746&lt;VLOOKUP(N$5,NFI,5,0),1,0)*Table_NFI[[#This Row],[Kitchen Set]],Table_NFI[Kitchen Set])</f>
        <v>0</v>
      </c>
      <c r="AF746" s="436">
        <f>IF(NFI_Expiration=1,IF($A746&lt;VLOOKUP(O$5,NFI,5,0),1,0)*Table_NFI[[#This Row],[Clothes Kit]],Table_NFI[Clothes Kit])</f>
        <v>0</v>
      </c>
      <c r="AG746" s="436">
        <f>IF(NFI_Expiration=1,IF($A746&lt;VLOOKUP(P$5,NFI,5,0),1,0)*Table_NFI[[#This Row],[Plastic Bucket]],Table_NFI[Plastic Bucket])</f>
        <v>0</v>
      </c>
      <c r="AH746" s="436">
        <f>IF(NFI_Expiration=1,IF($A746&lt;VLOOKUP(Q$5,NFI,5,0),1,0)*Table_NFI[[#This Row],[Plastic Mat]],Table_NFI[Plastic Mat])*IF(Table_NFI[[#This Row],[Distribution Date]]&gt;"2014-04-01",1,2.5)</f>
        <v>0</v>
      </c>
      <c r="AI746" s="436">
        <f>IF(NFI_Expiration=1,IF($A746&lt;VLOOKUP(R$5,NFI,5,0),1,0)*Table_NFI[[#This Row],[Winter Clothes Adult]],Table_NFI[Winter Clothes Adult])</f>
        <v>0</v>
      </c>
      <c r="AJ746" s="436">
        <f>IF(NFI_Expiration=1,IF($A746&lt;VLOOKUP(S$5,NFI,5,0),1,0)*Table_NFI[[#This Row],[Winter Clothes Children]],Table_NFI[Winter Clothes Children])</f>
        <v>0</v>
      </c>
      <c r="AK746" s="436">
        <f>IF(NFI_Expiration=1,IF($A746&lt;VLOOKUP(T$5,NFI,5,0),1,0)*Table_NFI[[#This Row],[Winter Items Other]],Table_NFI[Winter Items Other])</f>
        <v>0</v>
      </c>
      <c r="AL746" s="436">
        <f>IF(NFI_Expiration=1,IF($A746&lt;VLOOKUP(M$5,NFI,5,0),1,0)*Table_NFI[[#This Row],[Winter Blanket]],Table_NFI[[#This Row],[Winter Blanket]])</f>
        <v>0</v>
      </c>
      <c r="AM746" s="436">
        <f>IF(Table_NFI[[#This Row],[Winter Clothes Adult]]+Table_NFI[[#This Row],[Winter Clothes Children]]+Table_NFI[[#This Row],[Winter Items Other]]+Table_NFI[[#This Row],[Winter Blanket]]&gt;0,1,0)</f>
        <v>0</v>
      </c>
      <c r="AN746" s="439">
        <f>IF(NFI_Expiration=1,IF($A746&lt;VLOOKUP(V$5,NFI,5,0),1,0)*Table_NFI[[#This Row],[Jerry Can]],Table_NFI[Jerry Can])</f>
        <v>0</v>
      </c>
      <c r="AO746" s="771" t="str">
        <f>IFERROR(VLOOKUP(Table_NFI[[#This Row],[Camp Name]],CL,2,0),"")</f>
        <v>MMR001CMP021</v>
      </c>
      <c r="AP746" s="772">
        <f ca="1">IF(Table_NFI[[#This Row],[Pcode]]="","",IF(OFFSET(CampList[Opening Date],MATCH(Table_NFI[[#This Row],[Pcode]],CampList[CP_Pcode],0)-1,0,1,1)&gt;=NFI_Monitor_Date,1,0))</f>
        <v>0</v>
      </c>
      <c r="AQ746" s="781" t="str">
        <f>IFERROR(VLOOKUP(Table_NFI[[#This Row],[Camp Name]],CL,3,0),"")</f>
        <v>Open</v>
      </c>
      <c r="AR746" s="439" t="str">
        <f ca="1">IF(Table_NFI[[#This Row],[Pcode]]="","",OFFSET(CampList[Priority],MATCH(Table_NFI[[#This Row],[Pcode]],CampList[CP_Pcode],0)-1,0,1,1))</f>
        <v>P4</v>
      </c>
      <c r="AS746" s="438">
        <f>IFERROR(Table_NFI[[#This Row],[Kitchen Set]]/VLOOKUP(Table_NFI[[#This Row],[Camp Name]],CL,4,0),"")</f>
        <v>0.35714285714285715</v>
      </c>
      <c r="AT746" s="769" t="s">
        <v>1099</v>
      </c>
      <c r="AU746" s="773"/>
    </row>
    <row r="747" spans="1:47" x14ac:dyDescent="0.25">
      <c r="A747" s="451">
        <f t="shared" si="11"/>
        <v>41.333333333333336</v>
      </c>
      <c r="B747" s="768">
        <v>41130</v>
      </c>
      <c r="C747" s="769" t="s">
        <v>454</v>
      </c>
      <c r="D747" s="770" t="s">
        <v>454</v>
      </c>
      <c r="E747" s="769" t="s">
        <v>380</v>
      </c>
      <c r="F747" s="435" t="s">
        <v>237</v>
      </c>
      <c r="G747" s="435" t="s">
        <v>271</v>
      </c>
      <c r="H747" s="436"/>
      <c r="I747" s="436"/>
      <c r="J747" s="436"/>
      <c r="K747" s="436">
        <v>42</v>
      </c>
      <c r="L747" s="437">
        <v>20</v>
      </c>
      <c r="M747" s="437">
        <v>42</v>
      </c>
      <c r="N747" s="437">
        <v>20</v>
      </c>
      <c r="O747" s="437">
        <v>20</v>
      </c>
      <c r="P747" s="437">
        <v>20</v>
      </c>
      <c r="Q747" s="437">
        <v>20</v>
      </c>
      <c r="R747" s="436"/>
      <c r="S747" s="436"/>
      <c r="T747" s="436"/>
      <c r="U747" s="436"/>
      <c r="V747" s="436"/>
      <c r="W747" s="436"/>
      <c r="X747" s="436"/>
      <c r="Y747" s="436">
        <f>IF(NFI_Expiration=1,IF($A747&lt;VLOOKUP(H$5,NFI,5,0),1,0)*Table_NFI[[#This Row],[Hygiene Kit]],Table_NFI[Hygiene Kit])</f>
        <v>0</v>
      </c>
      <c r="Z747" s="436">
        <f>IF(NFI_Expiration=1,IF($A747&lt;VLOOKUP(I$5,NFI,5,0),1,0)*Table_NFI[[#This Row],[NFI Core Kit]],Table_NFI[NFI Core Kit])</f>
        <v>0</v>
      </c>
      <c r="AA747" s="436">
        <f>IF(NFI_Expiration=1,IF($A747&lt;VLOOKUP(J$5,NFI,5,0),1,0)*Table_NFI[[#This Row],[Sanitary Kit]],Table_NFI[Sanitary Kit])</f>
        <v>0</v>
      </c>
      <c r="AB747" s="436">
        <f>IF(NFI_Expiration=1,IF($A747&lt;VLOOKUP(K$5,NFI,5,0),1,0)*Table_NFI[[#This Row],[Mosquito net]],Table_NFI[Mosquito net])</f>
        <v>0</v>
      </c>
      <c r="AC747" s="436">
        <f>IF(NFI_Expiration=1,IF($A747&lt;VLOOKUP(L$5,NFI,5,0),1,0)*Table_NFI[[#This Row],[Tarpaulin]],Table_NFI[[#This Row],[Tarpaulin]])</f>
        <v>0</v>
      </c>
      <c r="AD747" s="436">
        <f>IF(NFI_Expiration=1,IF($A747&lt;VLOOKUP(M$5,NFI,5,0),1,0)*Table_NFI[[#This Row],[Blanket]],Table_NFI[[#This Row],[Blanket]])</f>
        <v>0</v>
      </c>
      <c r="AE747" s="436">
        <f>IF(NFI_Expiration=1,IF($A747&lt;VLOOKUP(N$5,NFI,5,0),1,0)*Table_NFI[[#This Row],[Kitchen Set]],Table_NFI[Kitchen Set])</f>
        <v>0</v>
      </c>
      <c r="AF747" s="436">
        <f>IF(NFI_Expiration=1,IF($A747&lt;VLOOKUP(O$5,NFI,5,0),1,0)*Table_NFI[[#This Row],[Clothes Kit]],Table_NFI[Clothes Kit])</f>
        <v>0</v>
      </c>
      <c r="AG747" s="436">
        <f>IF(NFI_Expiration=1,IF($A747&lt;VLOOKUP(P$5,NFI,5,0),1,0)*Table_NFI[[#This Row],[Plastic Bucket]],Table_NFI[Plastic Bucket])</f>
        <v>0</v>
      </c>
      <c r="AH747" s="436">
        <f>IF(NFI_Expiration=1,IF($A747&lt;VLOOKUP(Q$5,NFI,5,0),1,0)*Table_NFI[[#This Row],[Plastic Mat]],Table_NFI[Plastic Mat])*IF(Table_NFI[[#This Row],[Distribution Date]]&gt;"2014-04-01",1,2.5)</f>
        <v>0</v>
      </c>
      <c r="AI747" s="436">
        <f>IF(NFI_Expiration=1,IF($A747&lt;VLOOKUP(R$5,NFI,5,0),1,0)*Table_NFI[[#This Row],[Winter Clothes Adult]],Table_NFI[Winter Clothes Adult])</f>
        <v>0</v>
      </c>
      <c r="AJ747" s="436">
        <f>IF(NFI_Expiration=1,IF($A747&lt;VLOOKUP(S$5,NFI,5,0),1,0)*Table_NFI[[#This Row],[Winter Clothes Children]],Table_NFI[Winter Clothes Children])</f>
        <v>0</v>
      </c>
      <c r="AK747" s="436">
        <f>IF(NFI_Expiration=1,IF($A747&lt;VLOOKUP(T$5,NFI,5,0),1,0)*Table_NFI[[#This Row],[Winter Items Other]],Table_NFI[Winter Items Other])</f>
        <v>0</v>
      </c>
      <c r="AL747" s="436">
        <f>IF(NFI_Expiration=1,IF($A747&lt;VLOOKUP(M$5,NFI,5,0),1,0)*Table_NFI[[#This Row],[Winter Blanket]],Table_NFI[[#This Row],[Winter Blanket]])</f>
        <v>0</v>
      </c>
      <c r="AM747" s="436">
        <f>IF(Table_NFI[[#This Row],[Winter Clothes Adult]]+Table_NFI[[#This Row],[Winter Clothes Children]]+Table_NFI[[#This Row],[Winter Items Other]]+Table_NFI[[#This Row],[Winter Blanket]]&gt;0,1,0)</f>
        <v>0</v>
      </c>
      <c r="AN747" s="439">
        <f>IF(NFI_Expiration=1,IF($A747&lt;VLOOKUP(V$5,NFI,5,0),1,0)*Table_NFI[[#This Row],[Jerry Can]],Table_NFI[Jerry Can])</f>
        <v>0</v>
      </c>
      <c r="AO747" s="771" t="str">
        <f>IFERROR(VLOOKUP(Table_NFI[[#This Row],[Camp Name]],CL,2,0),"")</f>
        <v>MMR001CMP024</v>
      </c>
      <c r="AP747" s="772">
        <f ca="1">IF(Table_NFI[[#This Row],[Pcode]]="","",IF(OFFSET(CampList[Opening Date],MATCH(Table_NFI[[#This Row],[Pcode]],CampList[CP_Pcode],0)-1,0,1,1)&gt;=NFI_Monitor_Date,1,0))</f>
        <v>0</v>
      </c>
      <c r="AQ747" s="781" t="str">
        <f>IFERROR(VLOOKUP(Table_NFI[[#This Row],[Camp Name]],CL,3,0),"")</f>
        <v>Open</v>
      </c>
      <c r="AR747" s="439" t="str">
        <f ca="1">IF(Table_NFI[[#This Row],[Pcode]]="","",OFFSET(CampList[Priority],MATCH(Table_NFI[[#This Row],[Pcode]],CampList[CP_Pcode],0)-1,0,1,1))</f>
        <v>P4</v>
      </c>
      <c r="AS747" s="438">
        <f>IFERROR(Table_NFI[[#This Row],[Kitchen Set]]/VLOOKUP(Table_NFI[[#This Row],[Camp Name]],CL,4,0),"")</f>
        <v>0.28985507246376813</v>
      </c>
      <c r="AT747" s="769" t="s">
        <v>1099</v>
      </c>
      <c r="AU747" s="773"/>
    </row>
    <row r="748" spans="1:47" x14ac:dyDescent="0.25">
      <c r="A748" s="451">
        <f t="shared" si="11"/>
        <v>41.333333333333336</v>
      </c>
      <c r="B748" s="768">
        <v>41130</v>
      </c>
      <c r="C748" s="769" t="s">
        <v>454</v>
      </c>
      <c r="D748" s="769" t="s">
        <v>454</v>
      </c>
      <c r="E748" s="769" t="s">
        <v>380</v>
      </c>
      <c r="F748" s="435" t="s">
        <v>237</v>
      </c>
      <c r="G748" s="435" t="s">
        <v>283</v>
      </c>
      <c r="H748" s="436"/>
      <c r="I748" s="436"/>
      <c r="J748" s="436"/>
      <c r="K748" s="436">
        <v>10</v>
      </c>
      <c r="L748" s="437">
        <v>5</v>
      </c>
      <c r="M748" s="437">
        <v>10</v>
      </c>
      <c r="N748" s="437">
        <v>5</v>
      </c>
      <c r="O748" s="437">
        <v>5</v>
      </c>
      <c r="P748" s="439">
        <v>5</v>
      </c>
      <c r="Q748" s="439">
        <v>5</v>
      </c>
      <c r="R748" s="436"/>
      <c r="S748" s="436"/>
      <c r="T748" s="436"/>
      <c r="U748" s="436"/>
      <c r="V748" s="436"/>
      <c r="W748" s="436"/>
      <c r="X748" s="436"/>
      <c r="Y748" s="436">
        <f>IF(NFI_Expiration=1,IF($A748&lt;VLOOKUP(H$5,NFI,5,0),1,0)*Table_NFI[[#This Row],[Hygiene Kit]],Table_NFI[Hygiene Kit])</f>
        <v>0</v>
      </c>
      <c r="Z748" s="436">
        <f>IF(NFI_Expiration=1,IF($A748&lt;VLOOKUP(I$5,NFI,5,0),1,0)*Table_NFI[[#This Row],[NFI Core Kit]],Table_NFI[NFI Core Kit])</f>
        <v>0</v>
      </c>
      <c r="AA748" s="436">
        <f>IF(NFI_Expiration=1,IF($A748&lt;VLOOKUP(J$5,NFI,5,0),1,0)*Table_NFI[[#This Row],[Sanitary Kit]],Table_NFI[Sanitary Kit])</f>
        <v>0</v>
      </c>
      <c r="AB748" s="436">
        <f>IF(NFI_Expiration=1,IF($A748&lt;VLOOKUP(K$5,NFI,5,0),1,0)*Table_NFI[[#This Row],[Mosquito net]],Table_NFI[Mosquito net])</f>
        <v>0</v>
      </c>
      <c r="AC748" s="436">
        <f>IF(NFI_Expiration=1,IF($A748&lt;VLOOKUP(L$5,NFI,5,0),1,0)*Table_NFI[[#This Row],[Tarpaulin]],Table_NFI[[#This Row],[Tarpaulin]])</f>
        <v>0</v>
      </c>
      <c r="AD748" s="436">
        <f>IF(NFI_Expiration=1,IF($A748&lt;VLOOKUP(M$5,NFI,5,0),1,0)*Table_NFI[[#This Row],[Blanket]],Table_NFI[[#This Row],[Blanket]])</f>
        <v>0</v>
      </c>
      <c r="AE748" s="436">
        <f>IF(NFI_Expiration=1,IF($A748&lt;VLOOKUP(N$5,NFI,5,0),1,0)*Table_NFI[[#This Row],[Kitchen Set]],Table_NFI[Kitchen Set])</f>
        <v>0</v>
      </c>
      <c r="AF748" s="436">
        <f>IF(NFI_Expiration=1,IF($A748&lt;VLOOKUP(O$5,NFI,5,0),1,0)*Table_NFI[[#This Row],[Clothes Kit]],Table_NFI[Clothes Kit])</f>
        <v>0</v>
      </c>
      <c r="AG748" s="436">
        <f>IF(NFI_Expiration=1,IF($A748&lt;VLOOKUP(P$5,NFI,5,0),1,0)*Table_NFI[[#This Row],[Plastic Bucket]],Table_NFI[Plastic Bucket])</f>
        <v>0</v>
      </c>
      <c r="AH748" s="436">
        <f>IF(NFI_Expiration=1,IF($A748&lt;VLOOKUP(Q$5,NFI,5,0),1,0)*Table_NFI[[#This Row],[Plastic Mat]],Table_NFI[Plastic Mat])*IF(Table_NFI[[#This Row],[Distribution Date]]&gt;"2014-04-01",1,2.5)</f>
        <v>0</v>
      </c>
      <c r="AI748" s="436">
        <f>IF(NFI_Expiration=1,IF($A748&lt;VLOOKUP(R$5,NFI,5,0),1,0)*Table_NFI[[#This Row],[Winter Clothes Adult]],Table_NFI[Winter Clothes Adult])</f>
        <v>0</v>
      </c>
      <c r="AJ748" s="436">
        <f>IF(NFI_Expiration=1,IF($A748&lt;VLOOKUP(S$5,NFI,5,0),1,0)*Table_NFI[[#This Row],[Winter Clothes Children]],Table_NFI[Winter Clothes Children])</f>
        <v>0</v>
      </c>
      <c r="AK748" s="436">
        <f>IF(NFI_Expiration=1,IF($A748&lt;VLOOKUP(T$5,NFI,5,0),1,0)*Table_NFI[[#This Row],[Winter Items Other]],Table_NFI[Winter Items Other])</f>
        <v>0</v>
      </c>
      <c r="AL748" s="436">
        <f>IF(NFI_Expiration=1,IF($A748&lt;VLOOKUP(M$5,NFI,5,0),1,0)*Table_NFI[[#This Row],[Winter Blanket]],Table_NFI[[#This Row],[Winter Blanket]])</f>
        <v>0</v>
      </c>
      <c r="AM748" s="436">
        <f>IF(Table_NFI[[#This Row],[Winter Clothes Adult]]+Table_NFI[[#This Row],[Winter Clothes Children]]+Table_NFI[[#This Row],[Winter Items Other]]+Table_NFI[[#This Row],[Winter Blanket]]&gt;0,1,0)</f>
        <v>0</v>
      </c>
      <c r="AN748" s="439">
        <f>IF(NFI_Expiration=1,IF($A748&lt;VLOOKUP(V$5,NFI,5,0),1,0)*Table_NFI[[#This Row],[Jerry Can]],Table_NFI[Jerry Can])</f>
        <v>0</v>
      </c>
      <c r="AO748" s="771" t="str">
        <f>IFERROR(VLOOKUP(Table_NFI[[#This Row],[Camp Name]],CL,2,0),"")</f>
        <v>MMR001CMP022</v>
      </c>
      <c r="AP748" s="772">
        <f ca="1">IF(Table_NFI[[#This Row],[Pcode]]="","",IF(OFFSET(CampList[Opening Date],MATCH(Table_NFI[[#This Row],[Pcode]],CampList[CP_Pcode],0)-1,0,1,1)&gt;=NFI_Monitor_Date,1,0))</f>
        <v>0</v>
      </c>
      <c r="AQ748" s="781" t="str">
        <f>IFERROR(VLOOKUP(Table_NFI[[#This Row],[Camp Name]],CL,3,0),"")</f>
        <v>Open</v>
      </c>
      <c r="AR748" s="439" t="str">
        <f ca="1">IF(Table_NFI[[#This Row],[Pcode]]="","",OFFSET(CampList[Priority],MATCH(Table_NFI[[#This Row],[Pcode]],CampList[CP_Pcode],0)-1,0,1,1))</f>
        <v>P4</v>
      </c>
      <c r="AS748" s="438">
        <f>IFERROR(Table_NFI[[#This Row],[Kitchen Set]]/VLOOKUP(Table_NFI[[#This Row],[Camp Name]],CL,4,0),"")</f>
        <v>0.7142857142857143</v>
      </c>
      <c r="AT748" s="769" t="s">
        <v>1099</v>
      </c>
      <c r="AU748" s="773"/>
    </row>
    <row r="749" spans="1:47" x14ac:dyDescent="0.25">
      <c r="A749" s="451">
        <f t="shared" si="11"/>
        <v>41.4</v>
      </c>
      <c r="B749" s="768">
        <v>41128</v>
      </c>
      <c r="C749" s="769" t="s">
        <v>454</v>
      </c>
      <c r="D749" s="770" t="s">
        <v>575</v>
      </c>
      <c r="E749" s="769" t="s">
        <v>380</v>
      </c>
      <c r="F749" s="435" t="s">
        <v>151</v>
      </c>
      <c r="G749" s="435" t="s">
        <v>152</v>
      </c>
      <c r="H749" s="436"/>
      <c r="I749" s="436"/>
      <c r="J749" s="436"/>
      <c r="K749" s="436">
        <v>0</v>
      </c>
      <c r="L749" s="437">
        <v>73</v>
      </c>
      <c r="M749" s="437">
        <v>0</v>
      </c>
      <c r="N749" s="437">
        <v>73</v>
      </c>
      <c r="O749" s="437">
        <v>73</v>
      </c>
      <c r="P749" s="437">
        <v>73</v>
      </c>
      <c r="Q749" s="437">
        <v>73</v>
      </c>
      <c r="R749" s="436"/>
      <c r="S749" s="436"/>
      <c r="T749" s="436"/>
      <c r="U749" s="436"/>
      <c r="V749" s="436"/>
      <c r="W749" s="436"/>
      <c r="X749" s="436"/>
      <c r="Y749" s="436">
        <f>IF(NFI_Expiration=1,IF($A749&lt;VLOOKUP(H$5,NFI,5,0),1,0)*Table_NFI[[#This Row],[Hygiene Kit]],Table_NFI[Hygiene Kit])</f>
        <v>0</v>
      </c>
      <c r="Z749" s="436">
        <f>IF(NFI_Expiration=1,IF($A749&lt;VLOOKUP(I$5,NFI,5,0),1,0)*Table_NFI[[#This Row],[NFI Core Kit]],Table_NFI[NFI Core Kit])</f>
        <v>0</v>
      </c>
      <c r="AA749" s="436">
        <f>IF(NFI_Expiration=1,IF($A749&lt;VLOOKUP(J$5,NFI,5,0),1,0)*Table_NFI[[#This Row],[Sanitary Kit]],Table_NFI[Sanitary Kit])</f>
        <v>0</v>
      </c>
      <c r="AB749" s="436">
        <f>IF(NFI_Expiration=1,IF($A749&lt;VLOOKUP(K$5,NFI,5,0),1,0)*Table_NFI[[#This Row],[Mosquito net]],Table_NFI[Mosquito net])</f>
        <v>0</v>
      </c>
      <c r="AC749" s="436">
        <f>IF(NFI_Expiration=1,IF($A749&lt;VLOOKUP(L$5,NFI,5,0),1,0)*Table_NFI[[#This Row],[Tarpaulin]],Table_NFI[[#This Row],[Tarpaulin]])</f>
        <v>0</v>
      </c>
      <c r="AD749" s="436">
        <f>IF(NFI_Expiration=1,IF($A749&lt;VLOOKUP(M$5,NFI,5,0),1,0)*Table_NFI[[#This Row],[Blanket]],Table_NFI[[#This Row],[Blanket]])</f>
        <v>0</v>
      </c>
      <c r="AE749" s="436">
        <f>IF(NFI_Expiration=1,IF($A749&lt;VLOOKUP(N$5,NFI,5,0),1,0)*Table_NFI[[#This Row],[Kitchen Set]],Table_NFI[Kitchen Set])</f>
        <v>0</v>
      </c>
      <c r="AF749" s="436">
        <f>IF(NFI_Expiration=1,IF($A749&lt;VLOOKUP(O$5,NFI,5,0),1,0)*Table_NFI[[#This Row],[Clothes Kit]],Table_NFI[Clothes Kit])</f>
        <v>0</v>
      </c>
      <c r="AG749" s="436">
        <f>IF(NFI_Expiration=1,IF($A749&lt;VLOOKUP(P$5,NFI,5,0),1,0)*Table_NFI[[#This Row],[Plastic Bucket]],Table_NFI[Plastic Bucket])</f>
        <v>0</v>
      </c>
      <c r="AH749" s="436">
        <f>IF(NFI_Expiration=1,IF($A749&lt;VLOOKUP(Q$5,NFI,5,0),1,0)*Table_NFI[[#This Row],[Plastic Mat]],Table_NFI[Plastic Mat])*IF(Table_NFI[[#This Row],[Distribution Date]]&gt;"2014-04-01",1,2.5)</f>
        <v>0</v>
      </c>
      <c r="AI749" s="436">
        <f>IF(NFI_Expiration=1,IF($A749&lt;VLOOKUP(R$5,NFI,5,0),1,0)*Table_NFI[[#This Row],[Winter Clothes Adult]],Table_NFI[Winter Clothes Adult])</f>
        <v>0</v>
      </c>
      <c r="AJ749" s="436">
        <f>IF(NFI_Expiration=1,IF($A749&lt;VLOOKUP(S$5,NFI,5,0),1,0)*Table_NFI[[#This Row],[Winter Clothes Children]],Table_NFI[Winter Clothes Children])</f>
        <v>0</v>
      </c>
      <c r="AK749" s="436">
        <f>IF(NFI_Expiration=1,IF($A749&lt;VLOOKUP(T$5,NFI,5,0),1,0)*Table_NFI[[#This Row],[Winter Items Other]],Table_NFI[Winter Items Other])</f>
        <v>0</v>
      </c>
      <c r="AL749" s="436">
        <f>IF(NFI_Expiration=1,IF($A749&lt;VLOOKUP(M$5,NFI,5,0),1,0)*Table_NFI[[#This Row],[Winter Blanket]],Table_NFI[[#This Row],[Winter Blanket]])</f>
        <v>0</v>
      </c>
      <c r="AM749" s="436">
        <f>IF(Table_NFI[[#This Row],[Winter Clothes Adult]]+Table_NFI[[#This Row],[Winter Clothes Children]]+Table_NFI[[#This Row],[Winter Items Other]]+Table_NFI[[#This Row],[Winter Blanket]]&gt;0,1,0)</f>
        <v>0</v>
      </c>
      <c r="AN749" s="439">
        <f>IF(NFI_Expiration=1,IF($A749&lt;VLOOKUP(V$5,NFI,5,0),1,0)*Table_NFI[[#This Row],[Jerry Can]],Table_NFI[Jerry Can])</f>
        <v>0</v>
      </c>
      <c r="AO749" s="771" t="str">
        <f>IFERROR(VLOOKUP(Table_NFI[[#This Row],[Camp Name]],CL,2,0),"")</f>
        <v>MMR001CMP066</v>
      </c>
      <c r="AP749" s="772">
        <f ca="1">IF(Table_NFI[[#This Row],[Pcode]]="","",IF(OFFSET(CampList[Opening Date],MATCH(Table_NFI[[#This Row],[Pcode]],CampList[CP_Pcode],0)-1,0,1,1)&gt;=NFI_Monitor_Date,1,0))</f>
        <v>0</v>
      </c>
      <c r="AQ749" s="781" t="str">
        <f>IFERROR(VLOOKUP(Table_NFI[[#This Row],[Camp Name]],CL,3,0),"")</f>
        <v>Open</v>
      </c>
      <c r="AR749" s="439" t="str">
        <f ca="1">IF(Table_NFI[[#This Row],[Pcode]]="","",OFFSET(CampList[Priority],MATCH(Table_NFI[[#This Row],[Pcode]],CampList[CP_Pcode],0)-1,0,1,1))</f>
        <v>P4</v>
      </c>
      <c r="AS749" s="438">
        <f>IFERROR(Table_NFI[[#This Row],[Kitchen Set]]/VLOOKUP(Table_NFI[[#This Row],[Camp Name]],CL,4,0),"")</f>
        <v>0.33031674208144796</v>
      </c>
      <c r="AT749" s="769" t="s">
        <v>1099</v>
      </c>
      <c r="AU749" s="773"/>
    </row>
    <row r="750" spans="1:47" x14ac:dyDescent="0.25">
      <c r="A750" s="451">
        <f t="shared" si="11"/>
        <v>41.766666666666666</v>
      </c>
      <c r="B750" s="768">
        <v>41117</v>
      </c>
      <c r="C750" s="769" t="s">
        <v>454</v>
      </c>
      <c r="D750" s="770" t="s">
        <v>454</v>
      </c>
      <c r="E750" s="769" t="s">
        <v>380</v>
      </c>
      <c r="F750" s="435" t="s">
        <v>173</v>
      </c>
      <c r="G750" s="435" t="s">
        <v>174</v>
      </c>
      <c r="H750" s="436"/>
      <c r="I750" s="436"/>
      <c r="J750" s="436"/>
      <c r="K750" s="436">
        <v>35</v>
      </c>
      <c r="L750" s="437">
        <v>14</v>
      </c>
      <c r="M750" s="437">
        <v>35</v>
      </c>
      <c r="N750" s="437">
        <v>14</v>
      </c>
      <c r="O750" s="437">
        <v>14</v>
      </c>
      <c r="P750" s="437">
        <v>14</v>
      </c>
      <c r="Q750" s="437">
        <v>14</v>
      </c>
      <c r="R750" s="436"/>
      <c r="S750" s="436"/>
      <c r="T750" s="436"/>
      <c r="U750" s="436"/>
      <c r="V750" s="436"/>
      <c r="W750" s="436"/>
      <c r="X750" s="436"/>
      <c r="Y750" s="436">
        <f>IF(NFI_Expiration=1,IF($A750&lt;VLOOKUP(H$5,NFI,5,0),1,0)*Table_NFI[[#This Row],[Hygiene Kit]],Table_NFI[Hygiene Kit])</f>
        <v>0</v>
      </c>
      <c r="Z750" s="436">
        <f>IF(NFI_Expiration=1,IF($A750&lt;VLOOKUP(I$5,NFI,5,0),1,0)*Table_NFI[[#This Row],[NFI Core Kit]],Table_NFI[NFI Core Kit])</f>
        <v>0</v>
      </c>
      <c r="AA750" s="436">
        <f>IF(NFI_Expiration=1,IF($A750&lt;VLOOKUP(J$5,NFI,5,0),1,0)*Table_NFI[[#This Row],[Sanitary Kit]],Table_NFI[Sanitary Kit])</f>
        <v>0</v>
      </c>
      <c r="AB750" s="436">
        <f>IF(NFI_Expiration=1,IF($A750&lt;VLOOKUP(K$5,NFI,5,0),1,0)*Table_NFI[[#This Row],[Mosquito net]],Table_NFI[Mosquito net])</f>
        <v>0</v>
      </c>
      <c r="AC750" s="436">
        <f>IF(NFI_Expiration=1,IF($A750&lt;VLOOKUP(L$5,NFI,5,0),1,0)*Table_NFI[[#This Row],[Tarpaulin]],Table_NFI[[#This Row],[Tarpaulin]])</f>
        <v>0</v>
      </c>
      <c r="AD750" s="436">
        <f>IF(NFI_Expiration=1,IF($A750&lt;VLOOKUP(M$5,NFI,5,0),1,0)*Table_NFI[[#This Row],[Blanket]],Table_NFI[[#This Row],[Blanket]])</f>
        <v>0</v>
      </c>
      <c r="AE750" s="436">
        <f>IF(NFI_Expiration=1,IF($A750&lt;VLOOKUP(N$5,NFI,5,0),1,0)*Table_NFI[[#This Row],[Kitchen Set]],Table_NFI[Kitchen Set])</f>
        <v>0</v>
      </c>
      <c r="AF750" s="436">
        <f>IF(NFI_Expiration=1,IF($A750&lt;VLOOKUP(O$5,NFI,5,0),1,0)*Table_NFI[[#This Row],[Clothes Kit]],Table_NFI[Clothes Kit])</f>
        <v>0</v>
      </c>
      <c r="AG750" s="436">
        <f>IF(NFI_Expiration=1,IF($A750&lt;VLOOKUP(P$5,NFI,5,0),1,0)*Table_NFI[[#This Row],[Plastic Bucket]],Table_NFI[Plastic Bucket])</f>
        <v>0</v>
      </c>
      <c r="AH750" s="436">
        <f>IF(NFI_Expiration=1,IF($A750&lt;VLOOKUP(Q$5,NFI,5,0),1,0)*Table_NFI[[#This Row],[Plastic Mat]],Table_NFI[Plastic Mat])*IF(Table_NFI[[#This Row],[Distribution Date]]&gt;"2014-04-01",1,2.5)</f>
        <v>0</v>
      </c>
      <c r="AI750" s="436">
        <f>IF(NFI_Expiration=1,IF($A750&lt;VLOOKUP(R$5,NFI,5,0),1,0)*Table_NFI[[#This Row],[Winter Clothes Adult]],Table_NFI[Winter Clothes Adult])</f>
        <v>0</v>
      </c>
      <c r="AJ750" s="436">
        <f>IF(NFI_Expiration=1,IF($A750&lt;VLOOKUP(S$5,NFI,5,0),1,0)*Table_NFI[[#This Row],[Winter Clothes Children]],Table_NFI[Winter Clothes Children])</f>
        <v>0</v>
      </c>
      <c r="AK750" s="436">
        <f>IF(NFI_Expiration=1,IF($A750&lt;VLOOKUP(T$5,NFI,5,0),1,0)*Table_NFI[[#This Row],[Winter Items Other]],Table_NFI[Winter Items Other])</f>
        <v>0</v>
      </c>
      <c r="AL750" s="436">
        <f>IF(NFI_Expiration=1,IF($A750&lt;VLOOKUP(M$5,NFI,5,0),1,0)*Table_NFI[[#This Row],[Winter Blanket]],Table_NFI[[#This Row],[Winter Blanket]])</f>
        <v>0</v>
      </c>
      <c r="AM750" s="436">
        <f>IF(Table_NFI[[#This Row],[Winter Clothes Adult]]+Table_NFI[[#This Row],[Winter Clothes Children]]+Table_NFI[[#This Row],[Winter Items Other]]+Table_NFI[[#This Row],[Winter Blanket]]&gt;0,1,0)</f>
        <v>0</v>
      </c>
      <c r="AN750" s="439">
        <f>IF(NFI_Expiration=1,IF($A750&lt;VLOOKUP(V$5,NFI,5,0),1,0)*Table_NFI[[#This Row],[Jerry Can]],Table_NFI[Jerry Can])</f>
        <v>0</v>
      </c>
      <c r="AO750" s="771" t="str">
        <f>IFERROR(VLOOKUP(Table_NFI[[#This Row],[Camp Name]],CL,2,0),"")</f>
        <v>MMR001CMP078</v>
      </c>
      <c r="AP750" s="772">
        <f ca="1">IF(Table_NFI[[#This Row],[Pcode]]="","",IF(OFFSET(CampList[Opening Date],MATCH(Table_NFI[[#This Row],[Pcode]],CampList[CP_Pcode],0)-1,0,1,1)&gt;=NFI_Monitor_Date,1,0))</f>
        <v>0</v>
      </c>
      <c r="AQ750" s="781" t="str">
        <f>IFERROR(VLOOKUP(Table_NFI[[#This Row],[Camp Name]],CL,3,0),"")</f>
        <v>Open</v>
      </c>
      <c r="AR750" s="439" t="str">
        <f ca="1">IF(Table_NFI[[#This Row],[Pcode]]="","",OFFSET(CampList[Priority],MATCH(Table_NFI[[#This Row],[Pcode]],CampList[CP_Pcode],0)-1,0,1,1))</f>
        <v>P4</v>
      </c>
      <c r="AS750" s="438">
        <f>IFERROR(Table_NFI[[#This Row],[Kitchen Set]]/VLOOKUP(Table_NFI[[#This Row],[Camp Name]],CL,4,0),"")</f>
        <v>0.875</v>
      </c>
      <c r="AT750" s="769" t="s">
        <v>1099</v>
      </c>
      <c r="AU750" s="773"/>
    </row>
    <row r="751" spans="1:47" x14ac:dyDescent="0.25">
      <c r="A751" s="451">
        <f t="shared" si="11"/>
        <v>41.766666666666666</v>
      </c>
      <c r="B751" s="768">
        <v>41117</v>
      </c>
      <c r="C751" s="769" t="s">
        <v>454</v>
      </c>
      <c r="D751" s="770" t="s">
        <v>454</v>
      </c>
      <c r="E751" s="769" t="s">
        <v>380</v>
      </c>
      <c r="F751" s="435" t="s">
        <v>180</v>
      </c>
      <c r="G751" s="435" t="s">
        <v>181</v>
      </c>
      <c r="H751" s="436"/>
      <c r="I751" s="436"/>
      <c r="J751" s="436"/>
      <c r="K751" s="436">
        <v>0</v>
      </c>
      <c r="L751" s="437">
        <v>8</v>
      </c>
      <c r="M751" s="437">
        <v>0</v>
      </c>
      <c r="N751" s="437">
        <v>8</v>
      </c>
      <c r="O751" s="437">
        <v>8</v>
      </c>
      <c r="P751" s="437">
        <v>8</v>
      </c>
      <c r="Q751" s="437">
        <v>8</v>
      </c>
      <c r="R751" s="436"/>
      <c r="S751" s="436"/>
      <c r="T751" s="436"/>
      <c r="U751" s="436"/>
      <c r="V751" s="436"/>
      <c r="W751" s="436"/>
      <c r="X751" s="436"/>
      <c r="Y751" s="436">
        <f>IF(NFI_Expiration=1,IF($A751&lt;VLOOKUP(H$5,NFI,5,0),1,0)*Table_NFI[[#This Row],[Hygiene Kit]],Table_NFI[Hygiene Kit])</f>
        <v>0</v>
      </c>
      <c r="Z751" s="436">
        <f>IF(NFI_Expiration=1,IF($A751&lt;VLOOKUP(I$5,NFI,5,0),1,0)*Table_NFI[[#This Row],[NFI Core Kit]],Table_NFI[NFI Core Kit])</f>
        <v>0</v>
      </c>
      <c r="AA751" s="436">
        <f>IF(NFI_Expiration=1,IF($A751&lt;VLOOKUP(J$5,NFI,5,0),1,0)*Table_NFI[[#This Row],[Sanitary Kit]],Table_NFI[Sanitary Kit])</f>
        <v>0</v>
      </c>
      <c r="AB751" s="436">
        <f>IF(NFI_Expiration=1,IF($A751&lt;VLOOKUP(K$5,NFI,5,0),1,0)*Table_NFI[[#This Row],[Mosquito net]],Table_NFI[Mosquito net])</f>
        <v>0</v>
      </c>
      <c r="AC751" s="436">
        <f>IF(NFI_Expiration=1,IF($A751&lt;VLOOKUP(L$5,NFI,5,0),1,0)*Table_NFI[[#This Row],[Tarpaulin]],Table_NFI[[#This Row],[Tarpaulin]])</f>
        <v>0</v>
      </c>
      <c r="AD751" s="436">
        <f>IF(NFI_Expiration=1,IF($A751&lt;VLOOKUP(M$5,NFI,5,0),1,0)*Table_NFI[[#This Row],[Blanket]],Table_NFI[[#This Row],[Blanket]])</f>
        <v>0</v>
      </c>
      <c r="AE751" s="436">
        <f>IF(NFI_Expiration=1,IF($A751&lt;VLOOKUP(N$5,NFI,5,0),1,0)*Table_NFI[[#This Row],[Kitchen Set]],Table_NFI[Kitchen Set])</f>
        <v>0</v>
      </c>
      <c r="AF751" s="436">
        <f>IF(NFI_Expiration=1,IF($A751&lt;VLOOKUP(O$5,NFI,5,0),1,0)*Table_NFI[[#This Row],[Clothes Kit]],Table_NFI[Clothes Kit])</f>
        <v>0</v>
      </c>
      <c r="AG751" s="436">
        <f>IF(NFI_Expiration=1,IF($A751&lt;VLOOKUP(P$5,NFI,5,0),1,0)*Table_NFI[[#This Row],[Plastic Bucket]],Table_NFI[Plastic Bucket])</f>
        <v>0</v>
      </c>
      <c r="AH751" s="436">
        <f>IF(NFI_Expiration=1,IF($A751&lt;VLOOKUP(Q$5,NFI,5,0),1,0)*Table_NFI[[#This Row],[Plastic Mat]],Table_NFI[Plastic Mat])*IF(Table_NFI[[#This Row],[Distribution Date]]&gt;"2014-04-01",1,2.5)</f>
        <v>0</v>
      </c>
      <c r="AI751" s="436">
        <f>IF(NFI_Expiration=1,IF($A751&lt;VLOOKUP(R$5,NFI,5,0),1,0)*Table_NFI[[#This Row],[Winter Clothes Adult]],Table_NFI[Winter Clothes Adult])</f>
        <v>0</v>
      </c>
      <c r="AJ751" s="436">
        <f>IF(NFI_Expiration=1,IF($A751&lt;VLOOKUP(S$5,NFI,5,0),1,0)*Table_NFI[[#This Row],[Winter Clothes Children]],Table_NFI[Winter Clothes Children])</f>
        <v>0</v>
      </c>
      <c r="AK751" s="436">
        <f>IF(NFI_Expiration=1,IF($A751&lt;VLOOKUP(T$5,NFI,5,0),1,0)*Table_NFI[[#This Row],[Winter Items Other]],Table_NFI[Winter Items Other])</f>
        <v>0</v>
      </c>
      <c r="AL751" s="436">
        <f>IF(NFI_Expiration=1,IF($A751&lt;VLOOKUP(M$5,NFI,5,0),1,0)*Table_NFI[[#This Row],[Winter Blanket]],Table_NFI[[#This Row],[Winter Blanket]])</f>
        <v>0</v>
      </c>
      <c r="AM751" s="436">
        <f>IF(Table_NFI[[#This Row],[Winter Clothes Adult]]+Table_NFI[[#This Row],[Winter Clothes Children]]+Table_NFI[[#This Row],[Winter Items Other]]+Table_NFI[[#This Row],[Winter Blanket]]&gt;0,1,0)</f>
        <v>0</v>
      </c>
      <c r="AN751" s="439">
        <f>IF(NFI_Expiration=1,IF($A751&lt;VLOOKUP(V$5,NFI,5,0),1,0)*Table_NFI[[#This Row],[Jerry Can]],Table_NFI[Jerry Can])</f>
        <v>0</v>
      </c>
      <c r="AO751" s="771" t="str">
        <f>IFERROR(VLOOKUP(Table_NFI[[#This Row],[Camp Name]],CL,2,0),"")</f>
        <v>MMR001CMP080</v>
      </c>
      <c r="AP751" s="772">
        <f ca="1">IF(Table_NFI[[#This Row],[Pcode]]="","",IF(OFFSET(CampList[Opening Date],MATCH(Table_NFI[[#This Row],[Pcode]],CampList[CP_Pcode],0)-1,0,1,1)&gt;=NFI_Monitor_Date,1,0))</f>
        <v>0</v>
      </c>
      <c r="AQ751" s="781" t="str">
        <f>IFERROR(VLOOKUP(Table_NFI[[#This Row],[Camp Name]],CL,3,0),"")</f>
        <v>Open</v>
      </c>
      <c r="AR751" s="439" t="str">
        <f ca="1">IF(Table_NFI[[#This Row],[Pcode]]="","",OFFSET(CampList[Priority],MATCH(Table_NFI[[#This Row],[Pcode]],CampList[CP_Pcode],0)-1,0,1,1))</f>
        <v>P4</v>
      </c>
      <c r="AS751" s="438">
        <f>IFERROR(Table_NFI[[#This Row],[Kitchen Set]]/VLOOKUP(Table_NFI[[#This Row],[Camp Name]],CL,4,0),"")</f>
        <v>0.66666666666666663</v>
      </c>
      <c r="AT751" s="769" t="s">
        <v>1099</v>
      </c>
      <c r="AU751" s="773"/>
    </row>
    <row r="752" spans="1:47" x14ac:dyDescent="0.25">
      <c r="A752" s="451">
        <f t="shared" si="11"/>
        <v>41.8</v>
      </c>
      <c r="B752" s="768">
        <v>41116</v>
      </c>
      <c r="C752" s="769" t="s">
        <v>454</v>
      </c>
      <c r="D752" s="769" t="s">
        <v>454</v>
      </c>
      <c r="E752" s="769" t="s">
        <v>380</v>
      </c>
      <c r="F752" s="769" t="s">
        <v>173</v>
      </c>
      <c r="G752" s="435" t="s">
        <v>176</v>
      </c>
      <c r="H752" s="436"/>
      <c r="I752" s="436"/>
      <c r="J752" s="436"/>
      <c r="K752" s="436">
        <v>31</v>
      </c>
      <c r="L752" s="437">
        <v>15</v>
      </c>
      <c r="M752" s="437">
        <v>31</v>
      </c>
      <c r="N752" s="437">
        <v>15</v>
      </c>
      <c r="O752" s="437">
        <v>16</v>
      </c>
      <c r="P752" s="439">
        <v>16</v>
      </c>
      <c r="Q752" s="439">
        <v>16</v>
      </c>
      <c r="R752" s="436"/>
      <c r="S752" s="436"/>
      <c r="T752" s="436"/>
      <c r="U752" s="436"/>
      <c r="V752" s="436"/>
      <c r="W752" s="436"/>
      <c r="X752" s="436"/>
      <c r="Y752" s="436">
        <f>IF(NFI_Expiration=1,IF($A752&lt;VLOOKUP(H$5,NFI,5,0),1,0)*Table_NFI[[#This Row],[Hygiene Kit]],Table_NFI[Hygiene Kit])</f>
        <v>0</v>
      </c>
      <c r="Z752" s="436">
        <f>IF(NFI_Expiration=1,IF($A752&lt;VLOOKUP(I$5,NFI,5,0),1,0)*Table_NFI[[#This Row],[NFI Core Kit]],Table_NFI[NFI Core Kit])</f>
        <v>0</v>
      </c>
      <c r="AA752" s="436">
        <f>IF(NFI_Expiration=1,IF($A752&lt;VLOOKUP(J$5,NFI,5,0),1,0)*Table_NFI[[#This Row],[Sanitary Kit]],Table_NFI[Sanitary Kit])</f>
        <v>0</v>
      </c>
      <c r="AB752" s="436">
        <f>IF(NFI_Expiration=1,IF($A752&lt;VLOOKUP(K$5,NFI,5,0),1,0)*Table_NFI[[#This Row],[Mosquito net]],Table_NFI[Mosquito net])</f>
        <v>0</v>
      </c>
      <c r="AC752" s="436">
        <f>IF(NFI_Expiration=1,IF($A752&lt;VLOOKUP(L$5,NFI,5,0),1,0)*Table_NFI[[#This Row],[Tarpaulin]],Table_NFI[[#This Row],[Tarpaulin]])</f>
        <v>0</v>
      </c>
      <c r="AD752" s="436">
        <f>IF(NFI_Expiration=1,IF($A752&lt;VLOOKUP(M$5,NFI,5,0),1,0)*Table_NFI[[#This Row],[Blanket]],Table_NFI[[#This Row],[Blanket]])</f>
        <v>0</v>
      </c>
      <c r="AE752" s="436">
        <f>IF(NFI_Expiration=1,IF($A752&lt;VLOOKUP(N$5,NFI,5,0),1,0)*Table_NFI[[#This Row],[Kitchen Set]],Table_NFI[Kitchen Set])</f>
        <v>0</v>
      </c>
      <c r="AF752" s="436">
        <f>IF(NFI_Expiration=1,IF($A752&lt;VLOOKUP(O$5,NFI,5,0),1,0)*Table_NFI[[#This Row],[Clothes Kit]],Table_NFI[Clothes Kit])</f>
        <v>0</v>
      </c>
      <c r="AG752" s="436">
        <f>IF(NFI_Expiration=1,IF($A752&lt;VLOOKUP(P$5,NFI,5,0),1,0)*Table_NFI[[#This Row],[Plastic Bucket]],Table_NFI[Plastic Bucket])</f>
        <v>0</v>
      </c>
      <c r="AH752" s="436">
        <f>IF(NFI_Expiration=1,IF($A752&lt;VLOOKUP(Q$5,NFI,5,0),1,0)*Table_NFI[[#This Row],[Plastic Mat]],Table_NFI[Plastic Mat])*IF(Table_NFI[[#This Row],[Distribution Date]]&gt;"2014-04-01",1,2.5)</f>
        <v>0</v>
      </c>
      <c r="AI752" s="436">
        <f>IF(NFI_Expiration=1,IF($A752&lt;VLOOKUP(R$5,NFI,5,0),1,0)*Table_NFI[[#This Row],[Winter Clothes Adult]],Table_NFI[Winter Clothes Adult])</f>
        <v>0</v>
      </c>
      <c r="AJ752" s="436">
        <f>IF(NFI_Expiration=1,IF($A752&lt;VLOOKUP(S$5,NFI,5,0),1,0)*Table_NFI[[#This Row],[Winter Clothes Children]],Table_NFI[Winter Clothes Children])</f>
        <v>0</v>
      </c>
      <c r="AK752" s="436">
        <f>IF(NFI_Expiration=1,IF($A752&lt;VLOOKUP(T$5,NFI,5,0),1,0)*Table_NFI[[#This Row],[Winter Items Other]],Table_NFI[Winter Items Other])</f>
        <v>0</v>
      </c>
      <c r="AL752" s="436">
        <f>IF(NFI_Expiration=1,IF($A752&lt;VLOOKUP(M$5,NFI,5,0),1,0)*Table_NFI[[#This Row],[Winter Blanket]],Table_NFI[[#This Row],[Winter Blanket]])</f>
        <v>0</v>
      </c>
      <c r="AM752" s="436">
        <f>IF(Table_NFI[[#This Row],[Winter Clothes Adult]]+Table_NFI[[#This Row],[Winter Clothes Children]]+Table_NFI[[#This Row],[Winter Items Other]]+Table_NFI[[#This Row],[Winter Blanket]]&gt;0,1,0)</f>
        <v>0</v>
      </c>
      <c r="AN752" s="439">
        <f>IF(NFI_Expiration=1,IF($A752&lt;VLOOKUP(V$5,NFI,5,0),1,0)*Table_NFI[[#This Row],[Jerry Can]],Table_NFI[Jerry Can])</f>
        <v>0</v>
      </c>
      <c r="AO752" s="771" t="str">
        <f>IFERROR(VLOOKUP(Table_NFI[[#This Row],[Camp Name]],CL,2,0),"")</f>
        <v>MMR001CMP077</v>
      </c>
      <c r="AP752" s="772">
        <f ca="1">IF(Table_NFI[[#This Row],[Pcode]]="","",IF(OFFSET(CampList[Opening Date],MATCH(Table_NFI[[#This Row],[Pcode]],CampList[CP_Pcode],0)-1,0,1,1)&gt;=NFI_Monitor_Date,1,0))</f>
        <v>0</v>
      </c>
      <c r="AQ752" s="781" t="str">
        <f>IFERROR(VLOOKUP(Table_NFI[[#This Row],[Camp Name]],CL,3,0),"")</f>
        <v>Open</v>
      </c>
      <c r="AR752" s="439" t="str">
        <f ca="1">IF(Table_NFI[[#This Row],[Pcode]]="","",OFFSET(CampList[Priority],MATCH(Table_NFI[[#This Row],[Pcode]],CampList[CP_Pcode],0)-1,0,1,1))</f>
        <v>P4</v>
      </c>
      <c r="AS752" s="438">
        <f>IFERROR(Table_NFI[[#This Row],[Kitchen Set]]/VLOOKUP(Table_NFI[[#This Row],[Camp Name]],CL,4,0),"")</f>
        <v>0.83333333333333337</v>
      </c>
      <c r="AT752" s="769" t="s">
        <v>1099</v>
      </c>
      <c r="AU752" s="773"/>
    </row>
    <row r="753" spans="1:47" x14ac:dyDescent="0.25">
      <c r="A753" s="451">
        <f t="shared" si="11"/>
        <v>41.8</v>
      </c>
      <c r="B753" s="768">
        <v>41116</v>
      </c>
      <c r="C753" s="769" t="s">
        <v>454</v>
      </c>
      <c r="D753" s="770" t="s">
        <v>454</v>
      </c>
      <c r="E753" s="769" t="s">
        <v>380</v>
      </c>
      <c r="F753" s="435" t="s">
        <v>173</v>
      </c>
      <c r="G753" s="435" t="s">
        <v>178</v>
      </c>
      <c r="H753" s="436"/>
      <c r="I753" s="436"/>
      <c r="J753" s="436"/>
      <c r="K753" s="436">
        <v>21</v>
      </c>
      <c r="L753" s="437">
        <v>17</v>
      </c>
      <c r="M753" s="437">
        <v>21</v>
      </c>
      <c r="N753" s="437">
        <v>17</v>
      </c>
      <c r="O753" s="437">
        <v>17</v>
      </c>
      <c r="P753" s="437">
        <v>17</v>
      </c>
      <c r="Q753" s="437">
        <v>17</v>
      </c>
      <c r="R753" s="436"/>
      <c r="S753" s="436"/>
      <c r="T753" s="436"/>
      <c r="U753" s="436"/>
      <c r="V753" s="436"/>
      <c r="W753" s="436"/>
      <c r="X753" s="436"/>
      <c r="Y753" s="436">
        <f>IF(NFI_Expiration=1,IF($A753&lt;VLOOKUP(H$5,NFI,5,0),1,0)*Table_NFI[[#This Row],[Hygiene Kit]],Table_NFI[Hygiene Kit])</f>
        <v>0</v>
      </c>
      <c r="Z753" s="436">
        <f>IF(NFI_Expiration=1,IF($A753&lt;VLOOKUP(I$5,NFI,5,0),1,0)*Table_NFI[[#This Row],[NFI Core Kit]],Table_NFI[NFI Core Kit])</f>
        <v>0</v>
      </c>
      <c r="AA753" s="436">
        <f>IF(NFI_Expiration=1,IF($A753&lt;VLOOKUP(J$5,NFI,5,0),1,0)*Table_NFI[[#This Row],[Sanitary Kit]],Table_NFI[Sanitary Kit])</f>
        <v>0</v>
      </c>
      <c r="AB753" s="436">
        <f>IF(NFI_Expiration=1,IF($A753&lt;VLOOKUP(K$5,NFI,5,0),1,0)*Table_NFI[[#This Row],[Mosquito net]],Table_NFI[Mosquito net])</f>
        <v>0</v>
      </c>
      <c r="AC753" s="436">
        <f>IF(NFI_Expiration=1,IF($A753&lt;VLOOKUP(L$5,NFI,5,0),1,0)*Table_NFI[[#This Row],[Tarpaulin]],Table_NFI[[#This Row],[Tarpaulin]])</f>
        <v>0</v>
      </c>
      <c r="AD753" s="436">
        <f>IF(NFI_Expiration=1,IF($A753&lt;VLOOKUP(M$5,NFI,5,0),1,0)*Table_NFI[[#This Row],[Blanket]],Table_NFI[[#This Row],[Blanket]])</f>
        <v>0</v>
      </c>
      <c r="AE753" s="436">
        <f>IF(NFI_Expiration=1,IF($A753&lt;VLOOKUP(N$5,NFI,5,0),1,0)*Table_NFI[[#This Row],[Kitchen Set]],Table_NFI[Kitchen Set])</f>
        <v>0</v>
      </c>
      <c r="AF753" s="436">
        <f>IF(NFI_Expiration=1,IF($A753&lt;VLOOKUP(O$5,NFI,5,0),1,0)*Table_NFI[[#This Row],[Clothes Kit]],Table_NFI[Clothes Kit])</f>
        <v>0</v>
      </c>
      <c r="AG753" s="436">
        <f>IF(NFI_Expiration=1,IF($A753&lt;VLOOKUP(P$5,NFI,5,0),1,0)*Table_NFI[[#This Row],[Plastic Bucket]],Table_NFI[Plastic Bucket])</f>
        <v>0</v>
      </c>
      <c r="AH753" s="436">
        <f>IF(NFI_Expiration=1,IF($A753&lt;VLOOKUP(Q$5,NFI,5,0),1,0)*Table_NFI[[#This Row],[Plastic Mat]],Table_NFI[Plastic Mat])*IF(Table_NFI[[#This Row],[Distribution Date]]&gt;"2014-04-01",1,2.5)</f>
        <v>0</v>
      </c>
      <c r="AI753" s="436">
        <f>IF(NFI_Expiration=1,IF($A753&lt;VLOOKUP(R$5,NFI,5,0),1,0)*Table_NFI[[#This Row],[Winter Clothes Adult]],Table_NFI[Winter Clothes Adult])</f>
        <v>0</v>
      </c>
      <c r="AJ753" s="436">
        <f>IF(NFI_Expiration=1,IF($A753&lt;VLOOKUP(S$5,NFI,5,0),1,0)*Table_NFI[[#This Row],[Winter Clothes Children]],Table_NFI[Winter Clothes Children])</f>
        <v>0</v>
      </c>
      <c r="AK753" s="436">
        <f>IF(NFI_Expiration=1,IF($A753&lt;VLOOKUP(T$5,NFI,5,0),1,0)*Table_NFI[[#This Row],[Winter Items Other]],Table_NFI[Winter Items Other])</f>
        <v>0</v>
      </c>
      <c r="AL753" s="436">
        <f>IF(NFI_Expiration=1,IF($A753&lt;VLOOKUP(M$5,NFI,5,0),1,0)*Table_NFI[[#This Row],[Winter Blanket]],Table_NFI[[#This Row],[Winter Blanket]])</f>
        <v>0</v>
      </c>
      <c r="AM753" s="436">
        <f>IF(Table_NFI[[#This Row],[Winter Clothes Adult]]+Table_NFI[[#This Row],[Winter Clothes Children]]+Table_NFI[[#This Row],[Winter Items Other]]+Table_NFI[[#This Row],[Winter Blanket]]&gt;0,1,0)</f>
        <v>0</v>
      </c>
      <c r="AN753" s="439">
        <f>IF(NFI_Expiration=1,IF($A753&lt;VLOOKUP(V$5,NFI,5,0),1,0)*Table_NFI[[#This Row],[Jerry Can]],Table_NFI[Jerry Can])</f>
        <v>0</v>
      </c>
      <c r="AO753" s="771" t="str">
        <f>IFERROR(VLOOKUP(Table_NFI[[#This Row],[Camp Name]],CL,2,0),"")</f>
        <v>MMR001CMP079</v>
      </c>
      <c r="AP753" s="772">
        <f ca="1">IF(Table_NFI[[#This Row],[Pcode]]="","",IF(OFFSET(CampList[Opening Date],MATCH(Table_NFI[[#This Row],[Pcode]],CampList[CP_Pcode],0)-1,0,1,1)&gt;=NFI_Monitor_Date,1,0))</f>
        <v>0</v>
      </c>
      <c r="AQ753" s="781" t="str">
        <f>IFERROR(VLOOKUP(Table_NFI[[#This Row],[Camp Name]],CL,3,0),"")</f>
        <v>Open</v>
      </c>
      <c r="AR753" s="439" t="str">
        <f ca="1">IF(Table_NFI[[#This Row],[Pcode]]="","",OFFSET(CampList[Priority],MATCH(Table_NFI[[#This Row],[Pcode]],CampList[CP_Pcode],0)-1,0,1,1))</f>
        <v>P4</v>
      </c>
      <c r="AS753" s="438">
        <f>IFERROR(Table_NFI[[#This Row],[Kitchen Set]]/VLOOKUP(Table_NFI[[#This Row],[Camp Name]],CL,4,0),"")</f>
        <v>1.2142857142857142</v>
      </c>
      <c r="AT753" s="769" t="s">
        <v>1099</v>
      </c>
      <c r="AU753" s="773"/>
    </row>
    <row r="754" spans="1:47" x14ac:dyDescent="0.25">
      <c r="A754" s="451">
        <f t="shared" si="11"/>
        <v>41.9</v>
      </c>
      <c r="B754" s="768">
        <v>41113</v>
      </c>
      <c r="C754" s="769" t="s">
        <v>454</v>
      </c>
      <c r="D754" s="770" t="s">
        <v>454</v>
      </c>
      <c r="E754" s="769" t="s">
        <v>380</v>
      </c>
      <c r="F754" s="435" t="s">
        <v>237</v>
      </c>
      <c r="G754" s="435" t="s">
        <v>255</v>
      </c>
      <c r="H754" s="436"/>
      <c r="I754" s="436"/>
      <c r="J754" s="436"/>
      <c r="K754" s="436">
        <v>19</v>
      </c>
      <c r="L754" s="437">
        <v>10</v>
      </c>
      <c r="M754" s="437">
        <v>19</v>
      </c>
      <c r="N754" s="437">
        <v>10</v>
      </c>
      <c r="O754" s="437">
        <v>11</v>
      </c>
      <c r="P754" s="437">
        <v>11</v>
      </c>
      <c r="Q754" s="437">
        <v>11</v>
      </c>
      <c r="R754" s="436"/>
      <c r="S754" s="436"/>
      <c r="T754" s="436"/>
      <c r="U754" s="436"/>
      <c r="V754" s="436"/>
      <c r="W754" s="436"/>
      <c r="X754" s="436"/>
      <c r="Y754" s="436">
        <f>IF(NFI_Expiration=1,IF($A754&lt;VLOOKUP(H$5,NFI,5,0),1,0)*Table_NFI[[#This Row],[Hygiene Kit]],Table_NFI[Hygiene Kit])</f>
        <v>0</v>
      </c>
      <c r="Z754" s="436">
        <f>IF(NFI_Expiration=1,IF($A754&lt;VLOOKUP(I$5,NFI,5,0),1,0)*Table_NFI[[#This Row],[NFI Core Kit]],Table_NFI[NFI Core Kit])</f>
        <v>0</v>
      </c>
      <c r="AA754" s="436">
        <f>IF(NFI_Expiration=1,IF($A754&lt;VLOOKUP(J$5,NFI,5,0),1,0)*Table_NFI[[#This Row],[Sanitary Kit]],Table_NFI[Sanitary Kit])</f>
        <v>0</v>
      </c>
      <c r="AB754" s="436">
        <f>IF(NFI_Expiration=1,IF($A754&lt;VLOOKUP(K$5,NFI,5,0),1,0)*Table_NFI[[#This Row],[Mosquito net]],Table_NFI[Mosquito net])</f>
        <v>0</v>
      </c>
      <c r="AC754" s="436">
        <f>IF(NFI_Expiration=1,IF($A754&lt;VLOOKUP(L$5,NFI,5,0),1,0)*Table_NFI[[#This Row],[Tarpaulin]],Table_NFI[[#This Row],[Tarpaulin]])</f>
        <v>0</v>
      </c>
      <c r="AD754" s="436">
        <f>IF(NFI_Expiration=1,IF($A754&lt;VLOOKUP(M$5,NFI,5,0),1,0)*Table_NFI[[#This Row],[Blanket]],Table_NFI[[#This Row],[Blanket]])</f>
        <v>0</v>
      </c>
      <c r="AE754" s="436">
        <f>IF(NFI_Expiration=1,IF($A754&lt;VLOOKUP(N$5,NFI,5,0),1,0)*Table_NFI[[#This Row],[Kitchen Set]],Table_NFI[Kitchen Set])</f>
        <v>0</v>
      </c>
      <c r="AF754" s="436">
        <f>IF(NFI_Expiration=1,IF($A754&lt;VLOOKUP(O$5,NFI,5,0),1,0)*Table_NFI[[#This Row],[Clothes Kit]],Table_NFI[Clothes Kit])</f>
        <v>0</v>
      </c>
      <c r="AG754" s="436">
        <f>IF(NFI_Expiration=1,IF($A754&lt;VLOOKUP(P$5,NFI,5,0),1,0)*Table_NFI[[#This Row],[Plastic Bucket]],Table_NFI[Plastic Bucket])</f>
        <v>0</v>
      </c>
      <c r="AH754" s="436">
        <f>IF(NFI_Expiration=1,IF($A754&lt;VLOOKUP(Q$5,NFI,5,0),1,0)*Table_NFI[[#This Row],[Plastic Mat]],Table_NFI[Plastic Mat])*IF(Table_NFI[[#This Row],[Distribution Date]]&gt;"2014-04-01",1,2.5)</f>
        <v>0</v>
      </c>
      <c r="AI754" s="436">
        <f>IF(NFI_Expiration=1,IF($A754&lt;VLOOKUP(R$5,NFI,5,0),1,0)*Table_NFI[[#This Row],[Winter Clothes Adult]],Table_NFI[Winter Clothes Adult])</f>
        <v>0</v>
      </c>
      <c r="AJ754" s="436">
        <f>IF(NFI_Expiration=1,IF($A754&lt;VLOOKUP(S$5,NFI,5,0),1,0)*Table_NFI[[#This Row],[Winter Clothes Children]],Table_NFI[Winter Clothes Children])</f>
        <v>0</v>
      </c>
      <c r="AK754" s="436">
        <f>IF(NFI_Expiration=1,IF($A754&lt;VLOOKUP(T$5,NFI,5,0),1,0)*Table_NFI[[#This Row],[Winter Items Other]],Table_NFI[Winter Items Other])</f>
        <v>0</v>
      </c>
      <c r="AL754" s="436">
        <f>IF(NFI_Expiration=1,IF($A754&lt;VLOOKUP(M$5,NFI,5,0),1,0)*Table_NFI[[#This Row],[Winter Blanket]],Table_NFI[[#This Row],[Winter Blanket]])</f>
        <v>0</v>
      </c>
      <c r="AM754" s="436">
        <f>IF(Table_NFI[[#This Row],[Winter Clothes Adult]]+Table_NFI[[#This Row],[Winter Clothes Children]]+Table_NFI[[#This Row],[Winter Items Other]]+Table_NFI[[#This Row],[Winter Blanket]]&gt;0,1,0)</f>
        <v>0</v>
      </c>
      <c r="AN754" s="439">
        <f>IF(NFI_Expiration=1,IF($A754&lt;VLOOKUP(V$5,NFI,5,0),1,0)*Table_NFI[[#This Row],[Jerry Can]],Table_NFI[Jerry Can])</f>
        <v>0</v>
      </c>
      <c r="AO754" s="771" t="str">
        <f>IFERROR(VLOOKUP(Table_NFI[[#This Row],[Camp Name]],CL,2,0),"")</f>
        <v>MMR001CMP019</v>
      </c>
      <c r="AP754" s="772">
        <f ca="1">IF(Table_NFI[[#This Row],[Pcode]]="","",IF(OFFSET(CampList[Opening Date],MATCH(Table_NFI[[#This Row],[Pcode]],CampList[CP_Pcode],0)-1,0,1,1)&gt;=NFI_Monitor_Date,1,0))</f>
        <v>0</v>
      </c>
      <c r="AQ754" s="781" t="str">
        <f>IFERROR(VLOOKUP(Table_NFI[[#This Row],[Camp Name]],CL,3,0),"")</f>
        <v>Open</v>
      </c>
      <c r="AR754" s="439" t="str">
        <f ca="1">IF(Table_NFI[[#This Row],[Pcode]]="","",OFFSET(CampList[Priority],MATCH(Table_NFI[[#This Row],[Pcode]],CampList[CP_Pcode],0)-1,0,1,1))</f>
        <v>P4</v>
      </c>
      <c r="AS754" s="438">
        <f>IFERROR(Table_NFI[[#This Row],[Kitchen Set]]/VLOOKUP(Table_NFI[[#This Row],[Camp Name]],CL,4,0),"")</f>
        <v>9.1743119266055051E-2</v>
      </c>
      <c r="AT754" s="769" t="s">
        <v>1099</v>
      </c>
      <c r="AU754" s="773"/>
    </row>
    <row r="755" spans="1:47" x14ac:dyDescent="0.25">
      <c r="A755" s="451">
        <f t="shared" si="11"/>
        <v>41.9</v>
      </c>
      <c r="B755" s="768">
        <v>41113</v>
      </c>
      <c r="C755" s="769" t="s">
        <v>454</v>
      </c>
      <c r="D755" s="770" t="s">
        <v>454</v>
      </c>
      <c r="E755" s="769" t="s">
        <v>380</v>
      </c>
      <c r="F755" s="435" t="s">
        <v>237</v>
      </c>
      <c r="G755" s="435" t="s">
        <v>259</v>
      </c>
      <c r="H755" s="436"/>
      <c r="I755" s="436"/>
      <c r="J755" s="436"/>
      <c r="K755" s="436">
        <v>72</v>
      </c>
      <c r="L755" s="437">
        <v>39</v>
      </c>
      <c r="M755" s="437">
        <v>72</v>
      </c>
      <c r="N755" s="437">
        <v>39</v>
      </c>
      <c r="O755" s="437">
        <v>39</v>
      </c>
      <c r="P755" s="437">
        <v>39</v>
      </c>
      <c r="Q755" s="437">
        <v>39</v>
      </c>
      <c r="R755" s="436"/>
      <c r="S755" s="436"/>
      <c r="T755" s="436"/>
      <c r="U755" s="436"/>
      <c r="V755" s="436"/>
      <c r="W755" s="436"/>
      <c r="X755" s="436"/>
      <c r="Y755" s="436">
        <f>IF(NFI_Expiration=1,IF($A755&lt;VLOOKUP(H$5,NFI,5,0),1,0)*Table_NFI[[#This Row],[Hygiene Kit]],Table_NFI[Hygiene Kit])</f>
        <v>0</v>
      </c>
      <c r="Z755" s="436">
        <f>IF(NFI_Expiration=1,IF($A755&lt;VLOOKUP(I$5,NFI,5,0),1,0)*Table_NFI[[#This Row],[NFI Core Kit]],Table_NFI[NFI Core Kit])</f>
        <v>0</v>
      </c>
      <c r="AA755" s="436">
        <f>IF(NFI_Expiration=1,IF($A755&lt;VLOOKUP(J$5,NFI,5,0),1,0)*Table_NFI[[#This Row],[Sanitary Kit]],Table_NFI[Sanitary Kit])</f>
        <v>0</v>
      </c>
      <c r="AB755" s="436">
        <f>IF(NFI_Expiration=1,IF($A755&lt;VLOOKUP(K$5,NFI,5,0),1,0)*Table_NFI[[#This Row],[Mosquito net]],Table_NFI[Mosquito net])</f>
        <v>0</v>
      </c>
      <c r="AC755" s="436">
        <f>IF(NFI_Expiration=1,IF($A755&lt;VLOOKUP(L$5,NFI,5,0),1,0)*Table_NFI[[#This Row],[Tarpaulin]],Table_NFI[[#This Row],[Tarpaulin]])</f>
        <v>0</v>
      </c>
      <c r="AD755" s="436">
        <f>IF(NFI_Expiration=1,IF($A755&lt;VLOOKUP(M$5,NFI,5,0),1,0)*Table_NFI[[#This Row],[Blanket]],Table_NFI[[#This Row],[Blanket]])</f>
        <v>0</v>
      </c>
      <c r="AE755" s="436">
        <f>IF(NFI_Expiration=1,IF($A755&lt;VLOOKUP(N$5,NFI,5,0),1,0)*Table_NFI[[#This Row],[Kitchen Set]],Table_NFI[Kitchen Set])</f>
        <v>0</v>
      </c>
      <c r="AF755" s="436">
        <f>IF(NFI_Expiration=1,IF($A755&lt;VLOOKUP(O$5,NFI,5,0),1,0)*Table_NFI[[#This Row],[Clothes Kit]],Table_NFI[Clothes Kit])</f>
        <v>0</v>
      </c>
      <c r="AG755" s="436">
        <f>IF(NFI_Expiration=1,IF($A755&lt;VLOOKUP(P$5,NFI,5,0),1,0)*Table_NFI[[#This Row],[Plastic Bucket]],Table_NFI[Plastic Bucket])</f>
        <v>0</v>
      </c>
      <c r="AH755" s="436">
        <f>IF(NFI_Expiration=1,IF($A755&lt;VLOOKUP(Q$5,NFI,5,0),1,0)*Table_NFI[[#This Row],[Plastic Mat]],Table_NFI[Plastic Mat])*IF(Table_NFI[[#This Row],[Distribution Date]]&gt;"2014-04-01",1,2.5)</f>
        <v>0</v>
      </c>
      <c r="AI755" s="436">
        <f>IF(NFI_Expiration=1,IF($A755&lt;VLOOKUP(R$5,NFI,5,0),1,0)*Table_NFI[[#This Row],[Winter Clothes Adult]],Table_NFI[Winter Clothes Adult])</f>
        <v>0</v>
      </c>
      <c r="AJ755" s="436">
        <f>IF(NFI_Expiration=1,IF($A755&lt;VLOOKUP(S$5,NFI,5,0),1,0)*Table_NFI[[#This Row],[Winter Clothes Children]],Table_NFI[Winter Clothes Children])</f>
        <v>0</v>
      </c>
      <c r="AK755" s="436">
        <f>IF(NFI_Expiration=1,IF($A755&lt;VLOOKUP(T$5,NFI,5,0),1,0)*Table_NFI[[#This Row],[Winter Items Other]],Table_NFI[Winter Items Other])</f>
        <v>0</v>
      </c>
      <c r="AL755" s="436">
        <f>IF(NFI_Expiration=1,IF($A755&lt;VLOOKUP(M$5,NFI,5,0),1,0)*Table_NFI[[#This Row],[Winter Blanket]],Table_NFI[[#This Row],[Winter Blanket]])</f>
        <v>0</v>
      </c>
      <c r="AM755" s="436">
        <f>IF(Table_NFI[[#This Row],[Winter Clothes Adult]]+Table_NFI[[#This Row],[Winter Clothes Children]]+Table_NFI[[#This Row],[Winter Items Other]]+Table_NFI[[#This Row],[Winter Blanket]]&gt;0,1,0)</f>
        <v>0</v>
      </c>
      <c r="AN755" s="439">
        <f>IF(NFI_Expiration=1,IF($A755&lt;VLOOKUP(V$5,NFI,5,0),1,0)*Table_NFI[[#This Row],[Jerry Can]],Table_NFI[Jerry Can])</f>
        <v>0</v>
      </c>
      <c r="AO755" s="771" t="str">
        <f>IFERROR(VLOOKUP(Table_NFI[[#This Row],[Camp Name]],CL,2,0),"")</f>
        <v>MMR001CMP016</v>
      </c>
      <c r="AP755" s="772">
        <f ca="1">IF(Table_NFI[[#This Row],[Pcode]]="","",IF(OFFSET(CampList[Opening Date],MATCH(Table_NFI[[#This Row],[Pcode]],CampList[CP_Pcode],0)-1,0,1,1)&gt;=NFI_Monitor_Date,1,0))</f>
        <v>0</v>
      </c>
      <c r="AQ755" s="781" t="str">
        <f>IFERROR(VLOOKUP(Table_NFI[[#This Row],[Camp Name]],CL,3,0),"")</f>
        <v>Open</v>
      </c>
      <c r="AR755" s="439" t="str">
        <f ca="1">IF(Table_NFI[[#This Row],[Pcode]]="","",OFFSET(CampList[Priority],MATCH(Table_NFI[[#This Row],[Pcode]],CampList[CP_Pcode],0)-1,0,1,1))</f>
        <v>P4</v>
      </c>
      <c r="AS755" s="438">
        <f>IFERROR(Table_NFI[[#This Row],[Kitchen Set]]/VLOOKUP(Table_NFI[[#This Row],[Camp Name]],CL,4,0),"")</f>
        <v>0.54166666666666663</v>
      </c>
      <c r="AT755" s="769" t="s">
        <v>1099</v>
      </c>
      <c r="AU755" s="773"/>
    </row>
    <row r="756" spans="1:47" x14ac:dyDescent="0.25">
      <c r="A756" s="451">
        <f t="shared" si="11"/>
        <v>41.9</v>
      </c>
      <c r="B756" s="768">
        <v>41113</v>
      </c>
      <c r="C756" s="769" t="s">
        <v>454</v>
      </c>
      <c r="D756" s="770" t="s">
        <v>454</v>
      </c>
      <c r="E756" s="769" t="s">
        <v>380</v>
      </c>
      <c r="F756" s="435" t="s">
        <v>237</v>
      </c>
      <c r="G756" s="435" t="s">
        <v>279</v>
      </c>
      <c r="H756" s="436"/>
      <c r="I756" s="441"/>
      <c r="J756" s="434"/>
      <c r="K756" s="434">
        <v>30</v>
      </c>
      <c r="L756" s="434">
        <v>12</v>
      </c>
      <c r="M756" s="434">
        <v>30</v>
      </c>
      <c r="N756" s="434">
        <v>12</v>
      </c>
      <c r="O756" s="434">
        <v>14</v>
      </c>
      <c r="P756" s="437">
        <v>14</v>
      </c>
      <c r="Q756" s="437">
        <v>14</v>
      </c>
      <c r="R756" s="436"/>
      <c r="S756" s="436"/>
      <c r="T756" s="436"/>
      <c r="U756" s="436"/>
      <c r="V756" s="436"/>
      <c r="W756" s="436"/>
      <c r="X756" s="436"/>
      <c r="Y756" s="436">
        <f>IF(NFI_Expiration=1,IF($A756&lt;VLOOKUP(H$5,NFI,5,0),1,0)*Table_NFI[[#This Row],[Hygiene Kit]],Table_NFI[Hygiene Kit])</f>
        <v>0</v>
      </c>
      <c r="Z756" s="436">
        <f>IF(NFI_Expiration=1,IF($A756&lt;VLOOKUP(I$5,NFI,5,0),1,0)*Table_NFI[[#This Row],[NFI Core Kit]],Table_NFI[NFI Core Kit])</f>
        <v>0</v>
      </c>
      <c r="AA756" s="436">
        <f>IF(NFI_Expiration=1,IF($A756&lt;VLOOKUP(J$5,NFI,5,0),1,0)*Table_NFI[[#This Row],[Sanitary Kit]],Table_NFI[Sanitary Kit])</f>
        <v>0</v>
      </c>
      <c r="AB756" s="436">
        <f>IF(NFI_Expiration=1,IF($A756&lt;VLOOKUP(K$5,NFI,5,0),1,0)*Table_NFI[[#This Row],[Mosquito net]],Table_NFI[Mosquito net])</f>
        <v>0</v>
      </c>
      <c r="AC756" s="436">
        <f>IF(NFI_Expiration=1,IF($A756&lt;VLOOKUP(L$5,NFI,5,0),1,0)*Table_NFI[[#This Row],[Tarpaulin]],Table_NFI[[#This Row],[Tarpaulin]])</f>
        <v>0</v>
      </c>
      <c r="AD756" s="436">
        <f>IF(NFI_Expiration=1,IF($A756&lt;VLOOKUP(M$5,NFI,5,0),1,0)*Table_NFI[[#This Row],[Blanket]],Table_NFI[[#This Row],[Blanket]])</f>
        <v>0</v>
      </c>
      <c r="AE756" s="436">
        <f>IF(NFI_Expiration=1,IF($A756&lt;VLOOKUP(N$5,NFI,5,0),1,0)*Table_NFI[[#This Row],[Kitchen Set]],Table_NFI[Kitchen Set])</f>
        <v>0</v>
      </c>
      <c r="AF756" s="436">
        <f>IF(NFI_Expiration=1,IF($A756&lt;VLOOKUP(O$5,NFI,5,0),1,0)*Table_NFI[[#This Row],[Clothes Kit]],Table_NFI[Clothes Kit])</f>
        <v>0</v>
      </c>
      <c r="AG756" s="436">
        <f>IF(NFI_Expiration=1,IF($A756&lt;VLOOKUP(P$5,NFI,5,0),1,0)*Table_NFI[[#This Row],[Plastic Bucket]],Table_NFI[Plastic Bucket])</f>
        <v>0</v>
      </c>
      <c r="AH756" s="436">
        <f>IF(NFI_Expiration=1,IF($A756&lt;VLOOKUP(Q$5,NFI,5,0),1,0)*Table_NFI[[#This Row],[Plastic Mat]],Table_NFI[Plastic Mat])*IF(Table_NFI[[#This Row],[Distribution Date]]&gt;"2014-04-01",1,2.5)</f>
        <v>0</v>
      </c>
      <c r="AI756" s="436">
        <f>IF(NFI_Expiration=1,IF($A756&lt;VLOOKUP(R$5,NFI,5,0),1,0)*Table_NFI[[#This Row],[Winter Clothes Adult]],Table_NFI[Winter Clothes Adult])</f>
        <v>0</v>
      </c>
      <c r="AJ756" s="436">
        <f>IF(NFI_Expiration=1,IF($A756&lt;VLOOKUP(S$5,NFI,5,0),1,0)*Table_NFI[[#This Row],[Winter Clothes Children]],Table_NFI[Winter Clothes Children])</f>
        <v>0</v>
      </c>
      <c r="AK756" s="436">
        <f>IF(NFI_Expiration=1,IF($A756&lt;VLOOKUP(T$5,NFI,5,0),1,0)*Table_NFI[[#This Row],[Winter Items Other]],Table_NFI[Winter Items Other])</f>
        <v>0</v>
      </c>
      <c r="AL756" s="436">
        <f>IF(NFI_Expiration=1,IF($A756&lt;VLOOKUP(M$5,NFI,5,0),1,0)*Table_NFI[[#This Row],[Winter Blanket]],Table_NFI[[#This Row],[Winter Blanket]])</f>
        <v>0</v>
      </c>
      <c r="AM756" s="436">
        <f>IF(Table_NFI[[#This Row],[Winter Clothes Adult]]+Table_NFI[[#This Row],[Winter Clothes Children]]+Table_NFI[[#This Row],[Winter Items Other]]+Table_NFI[[#This Row],[Winter Blanket]]&gt;0,1,0)</f>
        <v>0</v>
      </c>
      <c r="AN756" s="439">
        <f>IF(NFI_Expiration=1,IF($A756&lt;VLOOKUP(V$5,NFI,5,0),1,0)*Table_NFI[[#This Row],[Jerry Can]],Table_NFI[Jerry Can])</f>
        <v>0</v>
      </c>
      <c r="AO756" s="771" t="str">
        <f>IFERROR(VLOOKUP(Table_NFI[[#This Row],[Camp Name]],CL,2,0),"")</f>
        <v>MMR001CMP007</v>
      </c>
      <c r="AP756" s="772">
        <f ca="1">IF(Table_NFI[[#This Row],[Pcode]]="","",IF(OFFSET(CampList[Opening Date],MATCH(Table_NFI[[#This Row],[Pcode]],CampList[CP_Pcode],0)-1,0,1,1)&gt;=NFI_Monitor_Date,1,0))</f>
        <v>0</v>
      </c>
      <c r="AQ756" s="781" t="str">
        <f>IFERROR(VLOOKUP(Table_NFI[[#This Row],[Camp Name]],CL,3,0),"")</f>
        <v>Open</v>
      </c>
      <c r="AR756" s="439" t="str">
        <f ca="1">IF(Table_NFI[[#This Row],[Pcode]]="","",OFFSET(CampList[Priority],MATCH(Table_NFI[[#This Row],[Pcode]],CampList[CP_Pcode],0)-1,0,1,1))</f>
        <v>P4</v>
      </c>
      <c r="AS756" s="438">
        <f>IFERROR(Table_NFI[[#This Row],[Kitchen Set]]/VLOOKUP(Table_NFI[[#This Row],[Camp Name]],CL,4,0),"")</f>
        <v>0.42857142857142855</v>
      </c>
      <c r="AT756" s="769" t="s">
        <v>1099</v>
      </c>
      <c r="AU756" s="773"/>
    </row>
    <row r="757" spans="1:47" x14ac:dyDescent="0.25">
      <c r="A757" s="451">
        <f t="shared" si="11"/>
        <v>41.9</v>
      </c>
      <c r="B757" s="768">
        <v>41113</v>
      </c>
      <c r="C757" s="769" t="s">
        <v>454</v>
      </c>
      <c r="D757" s="769" t="s">
        <v>454</v>
      </c>
      <c r="E757" s="769" t="s">
        <v>380</v>
      </c>
      <c r="F757" s="435" t="s">
        <v>237</v>
      </c>
      <c r="G757" s="435" t="s">
        <v>275</v>
      </c>
      <c r="H757" s="436"/>
      <c r="I757" s="436"/>
      <c r="J757" s="436"/>
      <c r="K757" s="436">
        <v>24</v>
      </c>
      <c r="L757" s="437">
        <v>8</v>
      </c>
      <c r="M757" s="437">
        <v>24</v>
      </c>
      <c r="N757" s="437">
        <v>8</v>
      </c>
      <c r="O757" s="437">
        <v>13</v>
      </c>
      <c r="P757" s="439">
        <v>13</v>
      </c>
      <c r="Q757" s="439">
        <v>13</v>
      </c>
      <c r="R757" s="436"/>
      <c r="S757" s="436"/>
      <c r="T757" s="436"/>
      <c r="U757" s="436"/>
      <c r="V757" s="436"/>
      <c r="W757" s="436"/>
      <c r="X757" s="436"/>
      <c r="Y757" s="436">
        <f>IF(NFI_Expiration=1,IF($A757&lt;VLOOKUP(H$5,NFI,5,0),1,0)*Table_NFI[[#This Row],[Hygiene Kit]],Table_NFI[Hygiene Kit])</f>
        <v>0</v>
      </c>
      <c r="Z757" s="436">
        <f>IF(NFI_Expiration=1,IF($A757&lt;VLOOKUP(I$5,NFI,5,0),1,0)*Table_NFI[[#This Row],[NFI Core Kit]],Table_NFI[NFI Core Kit])</f>
        <v>0</v>
      </c>
      <c r="AA757" s="436">
        <f>IF(NFI_Expiration=1,IF($A757&lt;VLOOKUP(J$5,NFI,5,0),1,0)*Table_NFI[[#This Row],[Sanitary Kit]],Table_NFI[Sanitary Kit])</f>
        <v>0</v>
      </c>
      <c r="AB757" s="436">
        <f>IF(NFI_Expiration=1,IF($A757&lt;VLOOKUP(K$5,NFI,5,0),1,0)*Table_NFI[[#This Row],[Mosquito net]],Table_NFI[Mosquito net])</f>
        <v>0</v>
      </c>
      <c r="AC757" s="436">
        <f>IF(NFI_Expiration=1,IF($A757&lt;VLOOKUP(L$5,NFI,5,0),1,0)*Table_NFI[[#This Row],[Tarpaulin]],Table_NFI[[#This Row],[Tarpaulin]])</f>
        <v>0</v>
      </c>
      <c r="AD757" s="436">
        <f>IF(NFI_Expiration=1,IF($A757&lt;VLOOKUP(M$5,NFI,5,0),1,0)*Table_NFI[[#This Row],[Blanket]],Table_NFI[[#This Row],[Blanket]])</f>
        <v>0</v>
      </c>
      <c r="AE757" s="436">
        <f>IF(NFI_Expiration=1,IF($A757&lt;VLOOKUP(N$5,NFI,5,0),1,0)*Table_NFI[[#This Row],[Kitchen Set]],Table_NFI[Kitchen Set])</f>
        <v>0</v>
      </c>
      <c r="AF757" s="436">
        <f>IF(NFI_Expiration=1,IF($A757&lt;VLOOKUP(O$5,NFI,5,0),1,0)*Table_NFI[[#This Row],[Clothes Kit]],Table_NFI[Clothes Kit])</f>
        <v>0</v>
      </c>
      <c r="AG757" s="436">
        <f>IF(NFI_Expiration=1,IF($A757&lt;VLOOKUP(P$5,NFI,5,0),1,0)*Table_NFI[[#This Row],[Plastic Bucket]],Table_NFI[Plastic Bucket])</f>
        <v>0</v>
      </c>
      <c r="AH757" s="436">
        <f>IF(NFI_Expiration=1,IF($A757&lt;VLOOKUP(Q$5,NFI,5,0),1,0)*Table_NFI[[#This Row],[Plastic Mat]],Table_NFI[Plastic Mat])*IF(Table_NFI[[#This Row],[Distribution Date]]&gt;"2014-04-01",1,2.5)</f>
        <v>0</v>
      </c>
      <c r="AI757" s="436">
        <f>IF(NFI_Expiration=1,IF($A757&lt;VLOOKUP(R$5,NFI,5,0),1,0)*Table_NFI[[#This Row],[Winter Clothes Adult]],Table_NFI[Winter Clothes Adult])</f>
        <v>0</v>
      </c>
      <c r="AJ757" s="436">
        <f>IF(NFI_Expiration=1,IF($A757&lt;VLOOKUP(S$5,NFI,5,0),1,0)*Table_NFI[[#This Row],[Winter Clothes Children]],Table_NFI[Winter Clothes Children])</f>
        <v>0</v>
      </c>
      <c r="AK757" s="436">
        <f>IF(NFI_Expiration=1,IF($A757&lt;VLOOKUP(T$5,NFI,5,0),1,0)*Table_NFI[[#This Row],[Winter Items Other]],Table_NFI[Winter Items Other])</f>
        <v>0</v>
      </c>
      <c r="AL757" s="436">
        <f>IF(NFI_Expiration=1,IF($A757&lt;VLOOKUP(M$5,NFI,5,0),1,0)*Table_NFI[[#This Row],[Winter Blanket]],Table_NFI[[#This Row],[Winter Blanket]])</f>
        <v>0</v>
      </c>
      <c r="AM757" s="436">
        <f>IF(Table_NFI[[#This Row],[Winter Clothes Adult]]+Table_NFI[[#This Row],[Winter Clothes Children]]+Table_NFI[[#This Row],[Winter Items Other]]+Table_NFI[[#This Row],[Winter Blanket]]&gt;0,1,0)</f>
        <v>0</v>
      </c>
      <c r="AN757" s="439">
        <f>IF(NFI_Expiration=1,IF($A757&lt;VLOOKUP(V$5,NFI,5,0),1,0)*Table_NFI[[#This Row],[Jerry Can]],Table_NFI[Jerry Can])</f>
        <v>0</v>
      </c>
      <c r="AO757" s="771" t="str">
        <f>IFERROR(VLOOKUP(Table_NFI[[#This Row],[Camp Name]],CL,2,0),"")</f>
        <v>MMR001CMP005</v>
      </c>
      <c r="AP757" s="772">
        <f ca="1">IF(Table_NFI[[#This Row],[Pcode]]="","",IF(OFFSET(CampList[Opening Date],MATCH(Table_NFI[[#This Row],[Pcode]],CampList[CP_Pcode],0)-1,0,1,1)&gt;=NFI_Monitor_Date,1,0))</f>
        <v>0</v>
      </c>
      <c r="AQ757" s="781" t="str">
        <f>IFERROR(VLOOKUP(Table_NFI[[#This Row],[Camp Name]],CL,3,0),"")</f>
        <v>Open</v>
      </c>
      <c r="AR757" s="439" t="str">
        <f ca="1">IF(Table_NFI[[#This Row],[Pcode]]="","",OFFSET(CampList[Priority],MATCH(Table_NFI[[#This Row],[Pcode]],CampList[CP_Pcode],0)-1,0,1,1))</f>
        <v>P4</v>
      </c>
      <c r="AS757" s="438">
        <f>IFERROR(Table_NFI[[#This Row],[Kitchen Set]]/VLOOKUP(Table_NFI[[#This Row],[Camp Name]],CL,4,0),"")</f>
        <v>0.18181818181818182</v>
      </c>
      <c r="AT757" s="769" t="s">
        <v>1099</v>
      </c>
      <c r="AU757" s="773"/>
    </row>
    <row r="758" spans="1:47" x14ac:dyDescent="0.25">
      <c r="A758" s="451">
        <f t="shared" si="11"/>
        <v>42.033333333333331</v>
      </c>
      <c r="B758" s="768">
        <v>41109</v>
      </c>
      <c r="C758" s="769" t="s">
        <v>454</v>
      </c>
      <c r="D758" s="770" t="s">
        <v>454</v>
      </c>
      <c r="E758" s="769" t="s">
        <v>380</v>
      </c>
      <c r="F758" s="435" t="s">
        <v>237</v>
      </c>
      <c r="G758" s="435" t="s">
        <v>257</v>
      </c>
      <c r="H758" s="436"/>
      <c r="I758" s="436"/>
      <c r="J758" s="436"/>
      <c r="K758" s="436">
        <v>6</v>
      </c>
      <c r="L758" s="437">
        <v>4</v>
      </c>
      <c r="M758" s="437">
        <v>6</v>
      </c>
      <c r="N758" s="437">
        <v>4</v>
      </c>
      <c r="O758" s="437">
        <v>4</v>
      </c>
      <c r="P758" s="437">
        <v>4</v>
      </c>
      <c r="Q758" s="437">
        <v>4</v>
      </c>
      <c r="R758" s="436"/>
      <c r="S758" s="436"/>
      <c r="T758" s="436"/>
      <c r="U758" s="436"/>
      <c r="V758" s="436"/>
      <c r="W758" s="436"/>
      <c r="X758" s="436"/>
      <c r="Y758" s="436">
        <f>IF(NFI_Expiration=1,IF($A758&lt;VLOOKUP(H$5,NFI,5,0),1,0)*Table_NFI[[#This Row],[Hygiene Kit]],Table_NFI[Hygiene Kit])</f>
        <v>0</v>
      </c>
      <c r="Z758" s="436">
        <f>IF(NFI_Expiration=1,IF($A758&lt;VLOOKUP(I$5,NFI,5,0),1,0)*Table_NFI[[#This Row],[NFI Core Kit]],Table_NFI[NFI Core Kit])</f>
        <v>0</v>
      </c>
      <c r="AA758" s="436">
        <f>IF(NFI_Expiration=1,IF($A758&lt;VLOOKUP(J$5,NFI,5,0),1,0)*Table_NFI[[#This Row],[Sanitary Kit]],Table_NFI[Sanitary Kit])</f>
        <v>0</v>
      </c>
      <c r="AB758" s="436">
        <f>IF(NFI_Expiration=1,IF($A758&lt;VLOOKUP(K$5,NFI,5,0),1,0)*Table_NFI[[#This Row],[Mosquito net]],Table_NFI[Mosquito net])</f>
        <v>0</v>
      </c>
      <c r="AC758" s="436">
        <f>IF(NFI_Expiration=1,IF($A758&lt;VLOOKUP(L$5,NFI,5,0),1,0)*Table_NFI[[#This Row],[Tarpaulin]],Table_NFI[[#This Row],[Tarpaulin]])</f>
        <v>0</v>
      </c>
      <c r="AD758" s="436">
        <f>IF(NFI_Expiration=1,IF($A758&lt;VLOOKUP(M$5,NFI,5,0),1,0)*Table_NFI[[#This Row],[Blanket]],Table_NFI[[#This Row],[Blanket]])</f>
        <v>0</v>
      </c>
      <c r="AE758" s="436">
        <f>IF(NFI_Expiration=1,IF($A758&lt;VLOOKUP(N$5,NFI,5,0),1,0)*Table_NFI[[#This Row],[Kitchen Set]],Table_NFI[Kitchen Set])</f>
        <v>0</v>
      </c>
      <c r="AF758" s="436">
        <f>IF(NFI_Expiration=1,IF($A758&lt;VLOOKUP(O$5,NFI,5,0),1,0)*Table_NFI[[#This Row],[Clothes Kit]],Table_NFI[Clothes Kit])</f>
        <v>0</v>
      </c>
      <c r="AG758" s="436">
        <f>IF(NFI_Expiration=1,IF($A758&lt;VLOOKUP(P$5,NFI,5,0),1,0)*Table_NFI[[#This Row],[Plastic Bucket]],Table_NFI[Plastic Bucket])</f>
        <v>0</v>
      </c>
      <c r="AH758" s="436">
        <f>IF(NFI_Expiration=1,IF($A758&lt;VLOOKUP(Q$5,NFI,5,0),1,0)*Table_NFI[[#This Row],[Plastic Mat]],Table_NFI[Plastic Mat])*IF(Table_NFI[[#This Row],[Distribution Date]]&gt;"2014-04-01",1,2.5)</f>
        <v>0</v>
      </c>
      <c r="AI758" s="436">
        <f>IF(NFI_Expiration=1,IF($A758&lt;VLOOKUP(R$5,NFI,5,0),1,0)*Table_NFI[[#This Row],[Winter Clothes Adult]],Table_NFI[Winter Clothes Adult])</f>
        <v>0</v>
      </c>
      <c r="AJ758" s="436">
        <f>IF(NFI_Expiration=1,IF($A758&lt;VLOOKUP(S$5,NFI,5,0),1,0)*Table_NFI[[#This Row],[Winter Clothes Children]],Table_NFI[Winter Clothes Children])</f>
        <v>0</v>
      </c>
      <c r="AK758" s="436">
        <f>IF(NFI_Expiration=1,IF($A758&lt;VLOOKUP(T$5,NFI,5,0),1,0)*Table_NFI[[#This Row],[Winter Items Other]],Table_NFI[Winter Items Other])</f>
        <v>0</v>
      </c>
      <c r="AL758" s="436">
        <f>IF(NFI_Expiration=1,IF($A758&lt;VLOOKUP(M$5,NFI,5,0),1,0)*Table_NFI[[#This Row],[Winter Blanket]],Table_NFI[[#This Row],[Winter Blanket]])</f>
        <v>0</v>
      </c>
      <c r="AM758" s="436">
        <f>IF(Table_NFI[[#This Row],[Winter Clothes Adult]]+Table_NFI[[#This Row],[Winter Clothes Children]]+Table_NFI[[#This Row],[Winter Items Other]]+Table_NFI[[#This Row],[Winter Blanket]]&gt;0,1,0)</f>
        <v>0</v>
      </c>
      <c r="AN758" s="439">
        <f>IF(NFI_Expiration=1,IF($A758&lt;VLOOKUP(V$5,NFI,5,0),1,0)*Table_NFI[[#This Row],[Jerry Can]],Table_NFI[Jerry Can])</f>
        <v>0</v>
      </c>
      <c r="AO758" s="771" t="str">
        <f>IFERROR(VLOOKUP(Table_NFI[[#This Row],[Camp Name]],CL,2,0),"")</f>
        <v>MMR001CMP013</v>
      </c>
      <c r="AP758" s="772">
        <f ca="1">IF(Table_NFI[[#This Row],[Pcode]]="","",IF(OFFSET(CampList[Opening Date],MATCH(Table_NFI[[#This Row],[Pcode]],CampList[CP_Pcode],0)-1,0,1,1)&gt;=NFI_Monitor_Date,1,0))</f>
        <v>0</v>
      </c>
      <c r="AQ758" s="781" t="str">
        <f>IFERROR(VLOOKUP(Table_NFI[[#This Row],[Camp Name]],CL,3,0),"")</f>
        <v>Open</v>
      </c>
      <c r="AR758" s="439" t="str">
        <f ca="1">IF(Table_NFI[[#This Row],[Pcode]]="","",OFFSET(CampList[Priority],MATCH(Table_NFI[[#This Row],[Pcode]],CampList[CP_Pcode],0)-1,0,1,1))</f>
        <v>P4</v>
      </c>
      <c r="AS758" s="438">
        <f>IFERROR(Table_NFI[[#This Row],[Kitchen Set]]/VLOOKUP(Table_NFI[[#This Row],[Camp Name]],CL,4,0),"")</f>
        <v>8.8888888888888892E-2</v>
      </c>
      <c r="AT758" s="769" t="s">
        <v>1099</v>
      </c>
      <c r="AU758" s="773"/>
    </row>
    <row r="759" spans="1:47" x14ac:dyDescent="0.25">
      <c r="A759" s="451">
        <f t="shared" si="11"/>
        <v>42.033333333333331</v>
      </c>
      <c r="B759" s="768">
        <v>41109</v>
      </c>
      <c r="C759" s="769" t="s">
        <v>454</v>
      </c>
      <c r="D759" s="769" t="s">
        <v>454</v>
      </c>
      <c r="E759" s="769" t="s">
        <v>380</v>
      </c>
      <c r="F759" s="435" t="s">
        <v>237</v>
      </c>
      <c r="G759" s="435" t="s">
        <v>1258</v>
      </c>
      <c r="H759" s="436"/>
      <c r="I759" s="436"/>
      <c r="J759" s="436"/>
      <c r="K759" s="436">
        <v>3</v>
      </c>
      <c r="L759" s="437">
        <v>2</v>
      </c>
      <c r="M759" s="437">
        <v>3</v>
      </c>
      <c r="N759" s="437">
        <v>2</v>
      </c>
      <c r="O759" s="437">
        <v>2</v>
      </c>
      <c r="P759" s="439">
        <v>2</v>
      </c>
      <c r="Q759" s="439">
        <v>2</v>
      </c>
      <c r="R759" s="436"/>
      <c r="S759" s="436"/>
      <c r="T759" s="436"/>
      <c r="U759" s="436"/>
      <c r="V759" s="436"/>
      <c r="W759" s="436"/>
      <c r="X759" s="436"/>
      <c r="Y759" s="436">
        <f>IF(NFI_Expiration=1,IF($A759&lt;VLOOKUP(H$5,NFI,5,0),1,0)*Table_NFI[[#This Row],[Hygiene Kit]],Table_NFI[Hygiene Kit])</f>
        <v>0</v>
      </c>
      <c r="Z759" s="436">
        <f>IF(NFI_Expiration=1,IF($A759&lt;VLOOKUP(I$5,NFI,5,0),1,0)*Table_NFI[[#This Row],[NFI Core Kit]],Table_NFI[NFI Core Kit])</f>
        <v>0</v>
      </c>
      <c r="AA759" s="436">
        <f>IF(NFI_Expiration=1,IF($A759&lt;VLOOKUP(J$5,NFI,5,0),1,0)*Table_NFI[[#This Row],[Sanitary Kit]],Table_NFI[Sanitary Kit])</f>
        <v>0</v>
      </c>
      <c r="AB759" s="436">
        <f>IF(NFI_Expiration=1,IF($A759&lt;VLOOKUP(K$5,NFI,5,0),1,0)*Table_NFI[[#This Row],[Mosquito net]],Table_NFI[Mosquito net])</f>
        <v>0</v>
      </c>
      <c r="AC759" s="436">
        <f>IF(NFI_Expiration=1,IF($A759&lt;VLOOKUP(L$5,NFI,5,0),1,0)*Table_NFI[[#This Row],[Tarpaulin]],Table_NFI[[#This Row],[Tarpaulin]])</f>
        <v>0</v>
      </c>
      <c r="AD759" s="436">
        <f>IF(NFI_Expiration=1,IF($A759&lt;VLOOKUP(M$5,NFI,5,0),1,0)*Table_NFI[[#This Row],[Blanket]],Table_NFI[[#This Row],[Blanket]])</f>
        <v>0</v>
      </c>
      <c r="AE759" s="436">
        <f>IF(NFI_Expiration=1,IF($A759&lt;VLOOKUP(N$5,NFI,5,0),1,0)*Table_NFI[[#This Row],[Kitchen Set]],Table_NFI[Kitchen Set])</f>
        <v>0</v>
      </c>
      <c r="AF759" s="436">
        <f>IF(NFI_Expiration=1,IF($A759&lt;VLOOKUP(O$5,NFI,5,0),1,0)*Table_NFI[[#This Row],[Clothes Kit]],Table_NFI[Clothes Kit])</f>
        <v>0</v>
      </c>
      <c r="AG759" s="436">
        <f>IF(NFI_Expiration=1,IF($A759&lt;VLOOKUP(P$5,NFI,5,0),1,0)*Table_NFI[[#This Row],[Plastic Bucket]],Table_NFI[Plastic Bucket])</f>
        <v>0</v>
      </c>
      <c r="AH759" s="436">
        <f>IF(NFI_Expiration=1,IF($A759&lt;VLOOKUP(Q$5,NFI,5,0),1,0)*Table_NFI[[#This Row],[Plastic Mat]],Table_NFI[Plastic Mat])*IF(Table_NFI[[#This Row],[Distribution Date]]&gt;"2014-04-01",1,2.5)</f>
        <v>0</v>
      </c>
      <c r="AI759" s="436">
        <f>IF(NFI_Expiration=1,IF($A759&lt;VLOOKUP(R$5,NFI,5,0),1,0)*Table_NFI[[#This Row],[Winter Clothes Adult]],Table_NFI[Winter Clothes Adult])</f>
        <v>0</v>
      </c>
      <c r="AJ759" s="436">
        <f>IF(NFI_Expiration=1,IF($A759&lt;VLOOKUP(S$5,NFI,5,0),1,0)*Table_NFI[[#This Row],[Winter Clothes Children]],Table_NFI[Winter Clothes Children])</f>
        <v>0</v>
      </c>
      <c r="AK759" s="436">
        <f>IF(NFI_Expiration=1,IF($A759&lt;VLOOKUP(T$5,NFI,5,0),1,0)*Table_NFI[[#This Row],[Winter Items Other]],Table_NFI[Winter Items Other])</f>
        <v>0</v>
      </c>
      <c r="AL759" s="436">
        <f>IF(NFI_Expiration=1,IF($A759&lt;VLOOKUP(M$5,NFI,5,0),1,0)*Table_NFI[[#This Row],[Winter Blanket]],Table_NFI[[#This Row],[Winter Blanket]])</f>
        <v>0</v>
      </c>
      <c r="AM759" s="436">
        <f>IF(Table_NFI[[#This Row],[Winter Clothes Adult]]+Table_NFI[[#This Row],[Winter Clothes Children]]+Table_NFI[[#This Row],[Winter Items Other]]+Table_NFI[[#This Row],[Winter Blanket]]&gt;0,1,0)</f>
        <v>0</v>
      </c>
      <c r="AN759" s="439">
        <f>IF(NFI_Expiration=1,IF($A759&lt;VLOOKUP(V$5,NFI,5,0),1,0)*Table_NFI[[#This Row],[Jerry Can]],Table_NFI[Jerry Can])</f>
        <v>0</v>
      </c>
      <c r="AO759" s="771" t="str">
        <f>IFERROR(VLOOKUP(Table_NFI[[#This Row],[Camp Name]],CL,2,0),"")</f>
        <v>MMR001CMP023</v>
      </c>
      <c r="AP759" s="772">
        <f ca="1">IF(Table_NFI[[#This Row],[Pcode]]="","",IF(OFFSET(CampList[Opening Date],MATCH(Table_NFI[[#This Row],[Pcode]],CampList[CP_Pcode],0)-1,0,1,1)&gt;=NFI_Monitor_Date,1,0))</f>
        <v>0</v>
      </c>
      <c r="AQ759" s="781" t="str">
        <f>IFERROR(VLOOKUP(Table_NFI[[#This Row],[Camp Name]],CL,3,0),"")</f>
        <v>Open</v>
      </c>
      <c r="AR759" s="439" t="str">
        <f ca="1">IF(Table_NFI[[#This Row],[Pcode]]="","",OFFSET(CampList[Priority],MATCH(Table_NFI[[#This Row],[Pcode]],CampList[CP_Pcode],0)-1,0,1,1))</f>
        <v>P4</v>
      </c>
      <c r="AS759" s="438">
        <f>IFERROR(Table_NFI[[#This Row],[Kitchen Set]]/VLOOKUP(Table_NFI[[#This Row],[Camp Name]],CL,4,0),"")</f>
        <v>2.9411764705882353E-2</v>
      </c>
      <c r="AT759" s="769" t="s">
        <v>1099</v>
      </c>
      <c r="AU759" s="773"/>
    </row>
    <row r="760" spans="1:47" x14ac:dyDescent="0.25">
      <c r="A760" s="451">
        <f t="shared" si="11"/>
        <v>42.033333333333331</v>
      </c>
      <c r="B760" s="768">
        <v>41109</v>
      </c>
      <c r="C760" s="769" t="s">
        <v>454</v>
      </c>
      <c r="D760" s="769" t="s">
        <v>454</v>
      </c>
      <c r="E760" s="769" t="s">
        <v>380</v>
      </c>
      <c r="F760" s="435" t="s">
        <v>237</v>
      </c>
      <c r="G760" s="435" t="s">
        <v>283</v>
      </c>
      <c r="H760" s="436"/>
      <c r="I760" s="436"/>
      <c r="J760" s="436"/>
      <c r="K760" s="436">
        <v>9</v>
      </c>
      <c r="L760" s="437">
        <v>5</v>
      </c>
      <c r="M760" s="437">
        <v>9</v>
      </c>
      <c r="N760" s="437">
        <v>5</v>
      </c>
      <c r="O760" s="437">
        <v>5</v>
      </c>
      <c r="P760" s="439">
        <v>5</v>
      </c>
      <c r="Q760" s="439">
        <v>5</v>
      </c>
      <c r="R760" s="436"/>
      <c r="S760" s="436"/>
      <c r="T760" s="436"/>
      <c r="U760" s="436"/>
      <c r="V760" s="436"/>
      <c r="W760" s="436"/>
      <c r="X760" s="436"/>
      <c r="Y760" s="436">
        <f>IF(NFI_Expiration=1,IF($A760&lt;VLOOKUP(H$5,NFI,5,0),1,0)*Table_NFI[[#This Row],[Hygiene Kit]],Table_NFI[Hygiene Kit])</f>
        <v>0</v>
      </c>
      <c r="Z760" s="436">
        <f>IF(NFI_Expiration=1,IF($A760&lt;VLOOKUP(I$5,NFI,5,0),1,0)*Table_NFI[[#This Row],[NFI Core Kit]],Table_NFI[NFI Core Kit])</f>
        <v>0</v>
      </c>
      <c r="AA760" s="436">
        <f>IF(NFI_Expiration=1,IF($A760&lt;VLOOKUP(J$5,NFI,5,0),1,0)*Table_NFI[[#This Row],[Sanitary Kit]],Table_NFI[Sanitary Kit])</f>
        <v>0</v>
      </c>
      <c r="AB760" s="436">
        <f>IF(NFI_Expiration=1,IF($A760&lt;VLOOKUP(K$5,NFI,5,0),1,0)*Table_NFI[[#This Row],[Mosquito net]],Table_NFI[Mosquito net])</f>
        <v>0</v>
      </c>
      <c r="AC760" s="436">
        <f>IF(NFI_Expiration=1,IF($A760&lt;VLOOKUP(L$5,NFI,5,0),1,0)*Table_NFI[[#This Row],[Tarpaulin]],Table_NFI[[#This Row],[Tarpaulin]])</f>
        <v>0</v>
      </c>
      <c r="AD760" s="436">
        <f>IF(NFI_Expiration=1,IF($A760&lt;VLOOKUP(M$5,NFI,5,0),1,0)*Table_NFI[[#This Row],[Blanket]],Table_NFI[[#This Row],[Blanket]])</f>
        <v>0</v>
      </c>
      <c r="AE760" s="436">
        <f>IF(NFI_Expiration=1,IF($A760&lt;VLOOKUP(N$5,NFI,5,0),1,0)*Table_NFI[[#This Row],[Kitchen Set]],Table_NFI[Kitchen Set])</f>
        <v>0</v>
      </c>
      <c r="AF760" s="436">
        <f>IF(NFI_Expiration=1,IF($A760&lt;VLOOKUP(O$5,NFI,5,0),1,0)*Table_NFI[[#This Row],[Clothes Kit]],Table_NFI[Clothes Kit])</f>
        <v>0</v>
      </c>
      <c r="AG760" s="436">
        <f>IF(NFI_Expiration=1,IF($A760&lt;VLOOKUP(P$5,NFI,5,0),1,0)*Table_NFI[[#This Row],[Plastic Bucket]],Table_NFI[Plastic Bucket])</f>
        <v>0</v>
      </c>
      <c r="AH760" s="436">
        <f>IF(NFI_Expiration=1,IF($A760&lt;VLOOKUP(Q$5,NFI,5,0),1,0)*Table_NFI[[#This Row],[Plastic Mat]],Table_NFI[Plastic Mat])*IF(Table_NFI[[#This Row],[Distribution Date]]&gt;"2014-04-01",1,2.5)</f>
        <v>0</v>
      </c>
      <c r="AI760" s="436">
        <f>IF(NFI_Expiration=1,IF($A760&lt;VLOOKUP(R$5,NFI,5,0),1,0)*Table_NFI[[#This Row],[Winter Clothes Adult]],Table_NFI[Winter Clothes Adult])</f>
        <v>0</v>
      </c>
      <c r="AJ760" s="436">
        <f>IF(NFI_Expiration=1,IF($A760&lt;VLOOKUP(S$5,NFI,5,0),1,0)*Table_NFI[[#This Row],[Winter Clothes Children]],Table_NFI[Winter Clothes Children])</f>
        <v>0</v>
      </c>
      <c r="AK760" s="436">
        <f>IF(NFI_Expiration=1,IF($A760&lt;VLOOKUP(T$5,NFI,5,0),1,0)*Table_NFI[[#This Row],[Winter Items Other]],Table_NFI[Winter Items Other])</f>
        <v>0</v>
      </c>
      <c r="AL760" s="436">
        <f>IF(NFI_Expiration=1,IF($A760&lt;VLOOKUP(M$5,NFI,5,0),1,0)*Table_NFI[[#This Row],[Winter Blanket]],Table_NFI[[#This Row],[Winter Blanket]])</f>
        <v>0</v>
      </c>
      <c r="AM760" s="436">
        <f>IF(Table_NFI[[#This Row],[Winter Clothes Adult]]+Table_NFI[[#This Row],[Winter Clothes Children]]+Table_NFI[[#This Row],[Winter Items Other]]+Table_NFI[[#This Row],[Winter Blanket]]&gt;0,1,0)</f>
        <v>0</v>
      </c>
      <c r="AN760" s="439">
        <f>IF(NFI_Expiration=1,IF($A760&lt;VLOOKUP(V$5,NFI,5,0),1,0)*Table_NFI[[#This Row],[Jerry Can]],Table_NFI[Jerry Can])</f>
        <v>0</v>
      </c>
      <c r="AO760" s="771" t="str">
        <f>IFERROR(VLOOKUP(Table_NFI[[#This Row],[Camp Name]],CL,2,0),"")</f>
        <v>MMR001CMP022</v>
      </c>
      <c r="AP760" s="772">
        <f ca="1">IF(Table_NFI[[#This Row],[Pcode]]="","",IF(OFFSET(CampList[Opening Date],MATCH(Table_NFI[[#This Row],[Pcode]],CampList[CP_Pcode],0)-1,0,1,1)&gt;=NFI_Monitor_Date,1,0))</f>
        <v>0</v>
      </c>
      <c r="AQ760" s="781" t="str">
        <f>IFERROR(VLOOKUP(Table_NFI[[#This Row],[Camp Name]],CL,3,0),"")</f>
        <v>Open</v>
      </c>
      <c r="AR760" s="439" t="str">
        <f ca="1">IF(Table_NFI[[#This Row],[Pcode]]="","",OFFSET(CampList[Priority],MATCH(Table_NFI[[#This Row],[Pcode]],CampList[CP_Pcode],0)-1,0,1,1))</f>
        <v>P4</v>
      </c>
      <c r="AS760" s="438">
        <f>IFERROR(Table_NFI[[#This Row],[Kitchen Set]]/VLOOKUP(Table_NFI[[#This Row],[Camp Name]],CL,4,0),"")</f>
        <v>0.7142857142857143</v>
      </c>
      <c r="AT760" s="769" t="s">
        <v>1099</v>
      </c>
      <c r="AU760" s="773"/>
    </row>
    <row r="761" spans="1:47" x14ac:dyDescent="0.25">
      <c r="A761" s="451">
        <f t="shared" si="11"/>
        <v>42.06666666666667</v>
      </c>
      <c r="B761" s="768">
        <v>41108</v>
      </c>
      <c r="C761" s="769" t="s">
        <v>454</v>
      </c>
      <c r="D761" s="770" t="s">
        <v>454</v>
      </c>
      <c r="E761" s="769" t="s">
        <v>380</v>
      </c>
      <c r="F761" s="435" t="s">
        <v>151</v>
      </c>
      <c r="G761" s="435" t="s">
        <v>520</v>
      </c>
      <c r="H761" s="436"/>
      <c r="I761" s="436"/>
      <c r="J761" s="436"/>
      <c r="K761" s="436">
        <v>170</v>
      </c>
      <c r="L761" s="437">
        <v>16</v>
      </c>
      <c r="M761" s="437">
        <v>170</v>
      </c>
      <c r="N761" s="437">
        <v>85</v>
      </c>
      <c r="O761" s="437">
        <v>85</v>
      </c>
      <c r="P761" s="437">
        <v>85</v>
      </c>
      <c r="Q761" s="437">
        <v>85</v>
      </c>
      <c r="R761" s="436"/>
      <c r="S761" s="436"/>
      <c r="T761" s="436"/>
      <c r="U761" s="436"/>
      <c r="V761" s="436"/>
      <c r="W761" s="436"/>
      <c r="X761" s="436"/>
      <c r="Y761" s="436">
        <f>IF(NFI_Expiration=1,IF($A761&lt;VLOOKUP(H$5,NFI,5,0),1,0)*Table_NFI[[#This Row],[Hygiene Kit]],Table_NFI[Hygiene Kit])</f>
        <v>0</v>
      </c>
      <c r="Z761" s="436">
        <f>IF(NFI_Expiration=1,IF($A761&lt;VLOOKUP(I$5,NFI,5,0),1,0)*Table_NFI[[#This Row],[NFI Core Kit]],Table_NFI[NFI Core Kit])</f>
        <v>0</v>
      </c>
      <c r="AA761" s="436">
        <f>IF(NFI_Expiration=1,IF($A761&lt;VLOOKUP(J$5,NFI,5,0),1,0)*Table_NFI[[#This Row],[Sanitary Kit]],Table_NFI[Sanitary Kit])</f>
        <v>0</v>
      </c>
      <c r="AB761" s="436">
        <f>IF(NFI_Expiration=1,IF($A761&lt;VLOOKUP(K$5,NFI,5,0),1,0)*Table_NFI[[#This Row],[Mosquito net]],Table_NFI[Mosquito net])</f>
        <v>0</v>
      </c>
      <c r="AC761" s="436">
        <f>IF(NFI_Expiration=1,IF($A761&lt;VLOOKUP(L$5,NFI,5,0),1,0)*Table_NFI[[#This Row],[Tarpaulin]],Table_NFI[[#This Row],[Tarpaulin]])</f>
        <v>0</v>
      </c>
      <c r="AD761" s="436">
        <f>IF(NFI_Expiration=1,IF($A761&lt;VLOOKUP(M$5,NFI,5,0),1,0)*Table_NFI[[#This Row],[Blanket]],Table_NFI[[#This Row],[Blanket]])</f>
        <v>0</v>
      </c>
      <c r="AE761" s="436">
        <f>IF(NFI_Expiration=1,IF($A761&lt;VLOOKUP(N$5,NFI,5,0),1,0)*Table_NFI[[#This Row],[Kitchen Set]],Table_NFI[Kitchen Set])</f>
        <v>0</v>
      </c>
      <c r="AF761" s="436">
        <f>IF(NFI_Expiration=1,IF($A761&lt;VLOOKUP(O$5,NFI,5,0),1,0)*Table_NFI[[#This Row],[Clothes Kit]],Table_NFI[Clothes Kit])</f>
        <v>0</v>
      </c>
      <c r="AG761" s="436">
        <f>IF(NFI_Expiration=1,IF($A761&lt;VLOOKUP(P$5,NFI,5,0),1,0)*Table_NFI[[#This Row],[Plastic Bucket]],Table_NFI[Plastic Bucket])</f>
        <v>0</v>
      </c>
      <c r="AH761" s="436">
        <f>IF(NFI_Expiration=1,IF($A761&lt;VLOOKUP(Q$5,NFI,5,0),1,0)*Table_NFI[[#This Row],[Plastic Mat]],Table_NFI[Plastic Mat])*IF(Table_NFI[[#This Row],[Distribution Date]]&gt;"2014-04-01",1,2.5)</f>
        <v>0</v>
      </c>
      <c r="AI761" s="436">
        <f>IF(NFI_Expiration=1,IF($A761&lt;VLOOKUP(R$5,NFI,5,0),1,0)*Table_NFI[[#This Row],[Winter Clothes Adult]],Table_NFI[Winter Clothes Adult])</f>
        <v>0</v>
      </c>
      <c r="AJ761" s="436">
        <f>IF(NFI_Expiration=1,IF($A761&lt;VLOOKUP(S$5,NFI,5,0),1,0)*Table_NFI[[#This Row],[Winter Clothes Children]],Table_NFI[Winter Clothes Children])</f>
        <v>0</v>
      </c>
      <c r="AK761" s="436">
        <f>IF(NFI_Expiration=1,IF($A761&lt;VLOOKUP(T$5,NFI,5,0),1,0)*Table_NFI[[#This Row],[Winter Items Other]],Table_NFI[Winter Items Other])</f>
        <v>0</v>
      </c>
      <c r="AL761" s="436">
        <f>IF(NFI_Expiration=1,IF($A761&lt;VLOOKUP(M$5,NFI,5,0),1,0)*Table_NFI[[#This Row],[Winter Blanket]],Table_NFI[[#This Row],[Winter Blanket]])</f>
        <v>0</v>
      </c>
      <c r="AM761" s="436">
        <f>IF(Table_NFI[[#This Row],[Winter Clothes Adult]]+Table_NFI[[#This Row],[Winter Clothes Children]]+Table_NFI[[#This Row],[Winter Items Other]]+Table_NFI[[#This Row],[Winter Blanket]]&gt;0,1,0)</f>
        <v>0</v>
      </c>
      <c r="AN761" s="439">
        <f>IF(NFI_Expiration=1,IF($A761&lt;VLOOKUP(V$5,NFI,5,0),1,0)*Table_NFI[[#This Row],[Jerry Can]],Table_NFI[Jerry Can])</f>
        <v>0</v>
      </c>
      <c r="AO761" s="771" t="str">
        <f>IFERROR(VLOOKUP(Table_NFI[[#This Row],[Camp Name]],CL,2,0),"")</f>
        <v>MMR001CMP203</v>
      </c>
      <c r="AP761" s="772">
        <f ca="1">IF(Table_NFI[[#This Row],[Pcode]]="","",IF(OFFSET(CampList[Opening Date],MATCH(Table_NFI[[#This Row],[Pcode]],CampList[CP_Pcode],0)-1,0,1,1)&gt;=NFI_Monitor_Date,1,0))</f>
        <v>0</v>
      </c>
      <c r="AQ761" s="781" t="str">
        <f>IFERROR(VLOOKUP(Table_NFI[[#This Row],[Camp Name]],CL,3,0),"")</f>
        <v>Closed</v>
      </c>
      <c r="AR761" s="439" t="str">
        <f ca="1">IF(Table_NFI[[#This Row],[Pcode]]="","",OFFSET(CampList[Priority],MATCH(Table_NFI[[#This Row],[Pcode]],CampList[CP_Pcode],0)-1,0,1,1))</f>
        <v/>
      </c>
      <c r="AS761" s="438" t="str">
        <f>IFERROR(Table_NFI[[#This Row],[Kitchen Set]]/VLOOKUP(Table_NFI[[#This Row],[Camp Name]],CL,4,0),"")</f>
        <v/>
      </c>
      <c r="AT761" s="769" t="s">
        <v>1099</v>
      </c>
      <c r="AU761" s="773"/>
    </row>
    <row r="762" spans="1:47" x14ac:dyDescent="0.25">
      <c r="A762" s="451">
        <f t="shared" si="11"/>
        <v>42.06666666666667</v>
      </c>
      <c r="B762" s="768">
        <v>41108</v>
      </c>
      <c r="C762" s="769" t="s">
        <v>454</v>
      </c>
      <c r="D762" s="770" t="s">
        <v>454</v>
      </c>
      <c r="E762" s="769" t="s">
        <v>380</v>
      </c>
      <c r="F762" s="435" t="s">
        <v>151</v>
      </c>
      <c r="G762" s="435" t="s">
        <v>164</v>
      </c>
      <c r="H762" s="436"/>
      <c r="I762" s="436"/>
      <c r="J762" s="436"/>
      <c r="K762" s="436">
        <v>206</v>
      </c>
      <c r="L762" s="437">
        <v>78</v>
      </c>
      <c r="M762" s="437">
        <v>206</v>
      </c>
      <c r="N762" s="437">
        <v>103</v>
      </c>
      <c r="O762" s="437">
        <v>103</v>
      </c>
      <c r="P762" s="437">
        <v>103</v>
      </c>
      <c r="Q762" s="437">
        <v>103</v>
      </c>
      <c r="R762" s="436"/>
      <c r="S762" s="436"/>
      <c r="T762" s="436"/>
      <c r="U762" s="436"/>
      <c r="V762" s="436"/>
      <c r="W762" s="436"/>
      <c r="X762" s="436"/>
      <c r="Y762" s="436">
        <f>IF(NFI_Expiration=1,IF($A762&lt;VLOOKUP(H$5,NFI,5,0),1,0)*Table_NFI[[#This Row],[Hygiene Kit]],Table_NFI[Hygiene Kit])</f>
        <v>0</v>
      </c>
      <c r="Z762" s="436">
        <f>IF(NFI_Expiration=1,IF($A762&lt;VLOOKUP(I$5,NFI,5,0),1,0)*Table_NFI[[#This Row],[NFI Core Kit]],Table_NFI[NFI Core Kit])</f>
        <v>0</v>
      </c>
      <c r="AA762" s="436">
        <f>IF(NFI_Expiration=1,IF($A762&lt;VLOOKUP(J$5,NFI,5,0),1,0)*Table_NFI[[#This Row],[Sanitary Kit]],Table_NFI[Sanitary Kit])</f>
        <v>0</v>
      </c>
      <c r="AB762" s="436">
        <f>IF(NFI_Expiration=1,IF($A762&lt;VLOOKUP(K$5,NFI,5,0),1,0)*Table_NFI[[#This Row],[Mosquito net]],Table_NFI[Mosquito net])</f>
        <v>0</v>
      </c>
      <c r="AC762" s="436">
        <f>IF(NFI_Expiration=1,IF($A762&lt;VLOOKUP(L$5,NFI,5,0),1,0)*Table_NFI[[#This Row],[Tarpaulin]],Table_NFI[[#This Row],[Tarpaulin]])</f>
        <v>0</v>
      </c>
      <c r="AD762" s="436">
        <f>IF(NFI_Expiration=1,IF($A762&lt;VLOOKUP(M$5,NFI,5,0),1,0)*Table_NFI[[#This Row],[Blanket]],Table_NFI[[#This Row],[Blanket]])</f>
        <v>0</v>
      </c>
      <c r="AE762" s="436">
        <f>IF(NFI_Expiration=1,IF($A762&lt;VLOOKUP(N$5,NFI,5,0),1,0)*Table_NFI[[#This Row],[Kitchen Set]],Table_NFI[Kitchen Set])</f>
        <v>0</v>
      </c>
      <c r="AF762" s="436">
        <f>IF(NFI_Expiration=1,IF($A762&lt;VLOOKUP(O$5,NFI,5,0),1,0)*Table_NFI[[#This Row],[Clothes Kit]],Table_NFI[Clothes Kit])</f>
        <v>0</v>
      </c>
      <c r="AG762" s="436">
        <f>IF(NFI_Expiration=1,IF($A762&lt;VLOOKUP(P$5,NFI,5,0),1,0)*Table_NFI[[#This Row],[Plastic Bucket]],Table_NFI[Plastic Bucket])</f>
        <v>0</v>
      </c>
      <c r="AH762" s="436">
        <f>IF(NFI_Expiration=1,IF($A762&lt;VLOOKUP(Q$5,NFI,5,0),1,0)*Table_NFI[[#This Row],[Plastic Mat]],Table_NFI[Plastic Mat])*IF(Table_NFI[[#This Row],[Distribution Date]]&gt;"2014-04-01",1,2.5)</f>
        <v>0</v>
      </c>
      <c r="AI762" s="436">
        <f>IF(NFI_Expiration=1,IF($A762&lt;VLOOKUP(R$5,NFI,5,0),1,0)*Table_NFI[[#This Row],[Winter Clothes Adult]],Table_NFI[Winter Clothes Adult])</f>
        <v>0</v>
      </c>
      <c r="AJ762" s="436">
        <f>IF(NFI_Expiration=1,IF($A762&lt;VLOOKUP(S$5,NFI,5,0),1,0)*Table_NFI[[#This Row],[Winter Clothes Children]],Table_NFI[Winter Clothes Children])</f>
        <v>0</v>
      </c>
      <c r="AK762" s="436">
        <f>IF(NFI_Expiration=1,IF($A762&lt;VLOOKUP(T$5,NFI,5,0),1,0)*Table_NFI[[#This Row],[Winter Items Other]],Table_NFI[Winter Items Other])</f>
        <v>0</v>
      </c>
      <c r="AL762" s="436">
        <f>IF(NFI_Expiration=1,IF($A762&lt;VLOOKUP(M$5,NFI,5,0),1,0)*Table_NFI[[#This Row],[Winter Blanket]],Table_NFI[[#This Row],[Winter Blanket]])</f>
        <v>0</v>
      </c>
      <c r="AM762" s="436">
        <f>IF(Table_NFI[[#This Row],[Winter Clothes Adult]]+Table_NFI[[#This Row],[Winter Clothes Children]]+Table_NFI[[#This Row],[Winter Items Other]]+Table_NFI[[#This Row],[Winter Blanket]]&gt;0,1,0)</f>
        <v>0</v>
      </c>
      <c r="AN762" s="439">
        <f>IF(NFI_Expiration=1,IF($A762&lt;VLOOKUP(V$5,NFI,5,0),1,0)*Table_NFI[[#This Row],[Jerry Can]],Table_NFI[Jerry Can])</f>
        <v>0</v>
      </c>
      <c r="AO762" s="771" t="str">
        <f>IFERROR(VLOOKUP(Table_NFI[[#This Row],[Camp Name]],CL,2,0),"")</f>
        <v>MMR001CMP137</v>
      </c>
      <c r="AP762" s="772">
        <f ca="1">IF(Table_NFI[[#This Row],[Pcode]]="","",IF(OFFSET(CampList[Opening Date],MATCH(Table_NFI[[#This Row],[Pcode]],CampList[CP_Pcode],0)-1,0,1,1)&gt;=NFI_Monitor_Date,1,0))</f>
        <v>0</v>
      </c>
      <c r="AQ762" s="781" t="str">
        <f>IFERROR(VLOOKUP(Table_NFI[[#This Row],[Camp Name]],CL,3,0),"")</f>
        <v>Closed</v>
      </c>
      <c r="AR762" s="439" t="str">
        <f ca="1">IF(Table_NFI[[#This Row],[Pcode]]="","",OFFSET(CampList[Priority],MATCH(Table_NFI[[#This Row],[Pcode]],CampList[CP_Pcode],0)-1,0,1,1))</f>
        <v/>
      </c>
      <c r="AS762" s="438" t="str">
        <f>IFERROR(Table_NFI[[#This Row],[Kitchen Set]]/VLOOKUP(Table_NFI[[#This Row],[Camp Name]],CL,4,0),"")</f>
        <v/>
      </c>
      <c r="AT762" s="769" t="s">
        <v>1099</v>
      </c>
      <c r="AU762" s="773"/>
    </row>
    <row r="763" spans="1:47" x14ac:dyDescent="0.25">
      <c r="A763" s="451">
        <f t="shared" si="11"/>
        <v>42.1</v>
      </c>
      <c r="B763" s="768">
        <v>41107</v>
      </c>
      <c r="C763" s="769" t="s">
        <v>454</v>
      </c>
      <c r="D763" s="769" t="s">
        <v>454</v>
      </c>
      <c r="E763" s="769" t="s">
        <v>380</v>
      </c>
      <c r="F763" s="769" t="s">
        <v>310</v>
      </c>
      <c r="G763" s="435" t="s">
        <v>334</v>
      </c>
      <c r="H763" s="436"/>
      <c r="I763" s="436"/>
      <c r="J763" s="436"/>
      <c r="K763" s="436">
        <v>19</v>
      </c>
      <c r="L763" s="437">
        <v>19</v>
      </c>
      <c r="M763" s="437">
        <v>19</v>
      </c>
      <c r="N763" s="437">
        <v>19</v>
      </c>
      <c r="O763" s="437">
        <v>19</v>
      </c>
      <c r="P763" s="437">
        <v>19</v>
      </c>
      <c r="Q763" s="437">
        <v>19</v>
      </c>
      <c r="R763" s="436"/>
      <c r="S763" s="436"/>
      <c r="T763" s="436"/>
      <c r="U763" s="436"/>
      <c r="V763" s="436"/>
      <c r="W763" s="436"/>
      <c r="X763" s="436"/>
      <c r="Y763" s="436">
        <f>IF(NFI_Expiration=1,IF($A763&lt;VLOOKUP(H$5,NFI,5,0),1,0)*Table_NFI[[#This Row],[Hygiene Kit]],Table_NFI[Hygiene Kit])</f>
        <v>0</v>
      </c>
      <c r="Z763" s="436">
        <f>IF(NFI_Expiration=1,IF($A763&lt;VLOOKUP(I$5,NFI,5,0),1,0)*Table_NFI[[#This Row],[NFI Core Kit]],Table_NFI[NFI Core Kit])</f>
        <v>0</v>
      </c>
      <c r="AA763" s="436">
        <f>IF(NFI_Expiration=1,IF($A763&lt;VLOOKUP(J$5,NFI,5,0),1,0)*Table_NFI[[#This Row],[Sanitary Kit]],Table_NFI[Sanitary Kit])</f>
        <v>0</v>
      </c>
      <c r="AB763" s="436">
        <f>IF(NFI_Expiration=1,IF($A763&lt;VLOOKUP(K$5,NFI,5,0),1,0)*Table_NFI[[#This Row],[Mosquito net]],Table_NFI[Mosquito net])</f>
        <v>0</v>
      </c>
      <c r="AC763" s="436">
        <f>IF(NFI_Expiration=1,IF($A763&lt;VLOOKUP(L$5,NFI,5,0),1,0)*Table_NFI[[#This Row],[Tarpaulin]],Table_NFI[[#This Row],[Tarpaulin]])</f>
        <v>0</v>
      </c>
      <c r="AD763" s="436">
        <f>IF(NFI_Expiration=1,IF($A763&lt;VLOOKUP(M$5,NFI,5,0),1,0)*Table_NFI[[#This Row],[Blanket]],Table_NFI[[#This Row],[Blanket]])</f>
        <v>0</v>
      </c>
      <c r="AE763" s="436">
        <f>IF(NFI_Expiration=1,IF($A763&lt;VLOOKUP(N$5,NFI,5,0),1,0)*Table_NFI[[#This Row],[Kitchen Set]],Table_NFI[Kitchen Set])</f>
        <v>0</v>
      </c>
      <c r="AF763" s="436">
        <f>IF(NFI_Expiration=1,IF($A763&lt;VLOOKUP(O$5,NFI,5,0),1,0)*Table_NFI[[#This Row],[Clothes Kit]],Table_NFI[Clothes Kit])</f>
        <v>0</v>
      </c>
      <c r="AG763" s="436">
        <f>IF(NFI_Expiration=1,IF($A763&lt;VLOOKUP(P$5,NFI,5,0),1,0)*Table_NFI[[#This Row],[Plastic Bucket]],Table_NFI[Plastic Bucket])</f>
        <v>0</v>
      </c>
      <c r="AH763" s="436">
        <f>IF(NFI_Expiration=1,IF($A763&lt;VLOOKUP(Q$5,NFI,5,0),1,0)*Table_NFI[[#This Row],[Plastic Mat]],Table_NFI[Plastic Mat])*IF(Table_NFI[[#This Row],[Distribution Date]]&gt;"2014-04-01",1,2.5)</f>
        <v>0</v>
      </c>
      <c r="AI763" s="436">
        <f>IF(NFI_Expiration=1,IF($A763&lt;VLOOKUP(R$5,NFI,5,0),1,0)*Table_NFI[[#This Row],[Winter Clothes Adult]],Table_NFI[Winter Clothes Adult])</f>
        <v>0</v>
      </c>
      <c r="AJ763" s="436">
        <f>IF(NFI_Expiration=1,IF($A763&lt;VLOOKUP(S$5,NFI,5,0),1,0)*Table_NFI[[#This Row],[Winter Clothes Children]],Table_NFI[Winter Clothes Children])</f>
        <v>0</v>
      </c>
      <c r="AK763" s="436">
        <f>IF(NFI_Expiration=1,IF($A763&lt;VLOOKUP(T$5,NFI,5,0),1,0)*Table_NFI[[#This Row],[Winter Items Other]],Table_NFI[Winter Items Other])</f>
        <v>0</v>
      </c>
      <c r="AL763" s="436">
        <f>IF(NFI_Expiration=1,IF($A763&lt;VLOOKUP(M$5,NFI,5,0),1,0)*Table_NFI[[#This Row],[Winter Blanket]],Table_NFI[[#This Row],[Winter Blanket]])</f>
        <v>0</v>
      </c>
      <c r="AM763" s="436">
        <f>IF(Table_NFI[[#This Row],[Winter Clothes Adult]]+Table_NFI[[#This Row],[Winter Clothes Children]]+Table_NFI[[#This Row],[Winter Items Other]]+Table_NFI[[#This Row],[Winter Blanket]]&gt;0,1,0)</f>
        <v>0</v>
      </c>
      <c r="AN763" s="439">
        <f>IF(NFI_Expiration=1,IF($A763&lt;VLOOKUP(V$5,NFI,5,0),1,0)*Table_NFI[[#This Row],[Jerry Can]],Table_NFI[Jerry Can])</f>
        <v>0</v>
      </c>
      <c r="AO763" s="771" t="str">
        <f>IFERROR(VLOOKUP(Table_NFI[[#This Row],[Camp Name]],CL,2,0),"")</f>
        <v>MMR001CMP113</v>
      </c>
      <c r="AP763" s="772">
        <f ca="1">IF(Table_NFI[[#This Row],[Pcode]]="","",IF(OFFSET(CampList[Opening Date],MATCH(Table_NFI[[#This Row],[Pcode]],CampList[CP_Pcode],0)-1,0,1,1)&gt;=NFI_Monitor_Date,1,0))</f>
        <v>0</v>
      </c>
      <c r="AQ763" s="781" t="str">
        <f>IFERROR(VLOOKUP(Table_NFI[[#This Row],[Camp Name]],CL,3,0),"")</f>
        <v>Open</v>
      </c>
      <c r="AR763" s="439" t="str">
        <f ca="1">IF(Table_NFI[[#This Row],[Pcode]]="","",OFFSET(CampList[Priority],MATCH(Table_NFI[[#This Row],[Pcode]],CampList[CP_Pcode],0)-1,0,1,1))</f>
        <v>P1</v>
      </c>
      <c r="AS763" s="438">
        <f>IFERROR(Table_NFI[[#This Row],[Kitchen Set]]/VLOOKUP(Table_NFI[[#This Row],[Camp Name]],CL,4,0),"")</f>
        <v>0.12258064516129032</v>
      </c>
      <c r="AT763" s="769" t="s">
        <v>1099</v>
      </c>
      <c r="AU763" s="773"/>
    </row>
    <row r="764" spans="1:47" x14ac:dyDescent="0.25">
      <c r="A764" s="451">
        <f t="shared" si="11"/>
        <v>42.1</v>
      </c>
      <c r="B764" s="768">
        <v>41107</v>
      </c>
      <c r="C764" s="769" t="s">
        <v>454</v>
      </c>
      <c r="D764" s="770" t="s">
        <v>454</v>
      </c>
      <c r="E764" s="769" t="s">
        <v>380</v>
      </c>
      <c r="F764" s="435" t="s">
        <v>237</v>
      </c>
      <c r="G764" s="435" t="s">
        <v>243</v>
      </c>
      <c r="H764" s="436"/>
      <c r="I764" s="436"/>
      <c r="J764" s="436"/>
      <c r="K764" s="436">
        <v>5</v>
      </c>
      <c r="L764" s="437">
        <v>5</v>
      </c>
      <c r="M764" s="437">
        <v>5</v>
      </c>
      <c r="N764" s="437">
        <v>5</v>
      </c>
      <c r="O764" s="437">
        <v>5</v>
      </c>
      <c r="P764" s="437">
        <v>5</v>
      </c>
      <c r="Q764" s="437">
        <v>5</v>
      </c>
      <c r="R764" s="436"/>
      <c r="S764" s="436"/>
      <c r="T764" s="436"/>
      <c r="U764" s="436"/>
      <c r="V764" s="436"/>
      <c r="W764" s="436"/>
      <c r="X764" s="436"/>
      <c r="Y764" s="436">
        <f>IF(NFI_Expiration=1,IF($A764&lt;VLOOKUP(H$5,NFI,5,0),1,0)*Table_NFI[[#This Row],[Hygiene Kit]],Table_NFI[Hygiene Kit])</f>
        <v>0</v>
      </c>
      <c r="Z764" s="436">
        <f>IF(NFI_Expiration=1,IF($A764&lt;VLOOKUP(I$5,NFI,5,0),1,0)*Table_NFI[[#This Row],[NFI Core Kit]],Table_NFI[NFI Core Kit])</f>
        <v>0</v>
      </c>
      <c r="AA764" s="436">
        <f>IF(NFI_Expiration=1,IF($A764&lt;VLOOKUP(J$5,NFI,5,0),1,0)*Table_NFI[[#This Row],[Sanitary Kit]],Table_NFI[Sanitary Kit])</f>
        <v>0</v>
      </c>
      <c r="AB764" s="436">
        <f>IF(NFI_Expiration=1,IF($A764&lt;VLOOKUP(K$5,NFI,5,0),1,0)*Table_NFI[[#This Row],[Mosquito net]],Table_NFI[Mosquito net])</f>
        <v>0</v>
      </c>
      <c r="AC764" s="436">
        <f>IF(NFI_Expiration=1,IF($A764&lt;VLOOKUP(L$5,NFI,5,0),1,0)*Table_NFI[[#This Row],[Tarpaulin]],Table_NFI[[#This Row],[Tarpaulin]])</f>
        <v>0</v>
      </c>
      <c r="AD764" s="436">
        <f>IF(NFI_Expiration=1,IF($A764&lt;VLOOKUP(M$5,NFI,5,0),1,0)*Table_NFI[[#This Row],[Blanket]],Table_NFI[[#This Row],[Blanket]])</f>
        <v>0</v>
      </c>
      <c r="AE764" s="436">
        <f>IF(NFI_Expiration=1,IF($A764&lt;VLOOKUP(N$5,NFI,5,0),1,0)*Table_NFI[[#This Row],[Kitchen Set]],Table_NFI[Kitchen Set])</f>
        <v>0</v>
      </c>
      <c r="AF764" s="436">
        <f>IF(NFI_Expiration=1,IF($A764&lt;VLOOKUP(O$5,NFI,5,0),1,0)*Table_NFI[[#This Row],[Clothes Kit]],Table_NFI[Clothes Kit])</f>
        <v>0</v>
      </c>
      <c r="AG764" s="436">
        <f>IF(NFI_Expiration=1,IF($A764&lt;VLOOKUP(P$5,NFI,5,0),1,0)*Table_NFI[[#This Row],[Plastic Bucket]],Table_NFI[Plastic Bucket])</f>
        <v>0</v>
      </c>
      <c r="AH764" s="436">
        <f>IF(NFI_Expiration=1,IF($A764&lt;VLOOKUP(Q$5,NFI,5,0),1,0)*Table_NFI[[#This Row],[Plastic Mat]],Table_NFI[Plastic Mat])*IF(Table_NFI[[#This Row],[Distribution Date]]&gt;"2014-04-01",1,2.5)</f>
        <v>0</v>
      </c>
      <c r="AI764" s="436">
        <f>IF(NFI_Expiration=1,IF($A764&lt;VLOOKUP(R$5,NFI,5,0),1,0)*Table_NFI[[#This Row],[Winter Clothes Adult]],Table_NFI[Winter Clothes Adult])</f>
        <v>0</v>
      </c>
      <c r="AJ764" s="436">
        <f>IF(NFI_Expiration=1,IF($A764&lt;VLOOKUP(S$5,NFI,5,0),1,0)*Table_NFI[[#This Row],[Winter Clothes Children]],Table_NFI[Winter Clothes Children])</f>
        <v>0</v>
      </c>
      <c r="AK764" s="436">
        <f>IF(NFI_Expiration=1,IF($A764&lt;VLOOKUP(T$5,NFI,5,0),1,0)*Table_NFI[[#This Row],[Winter Items Other]],Table_NFI[Winter Items Other])</f>
        <v>0</v>
      </c>
      <c r="AL764" s="436">
        <f>IF(NFI_Expiration=1,IF($A764&lt;VLOOKUP(M$5,NFI,5,0),1,0)*Table_NFI[[#This Row],[Winter Blanket]],Table_NFI[[#This Row],[Winter Blanket]])</f>
        <v>0</v>
      </c>
      <c r="AM764" s="436">
        <f>IF(Table_NFI[[#This Row],[Winter Clothes Adult]]+Table_NFI[[#This Row],[Winter Clothes Children]]+Table_NFI[[#This Row],[Winter Items Other]]+Table_NFI[[#This Row],[Winter Blanket]]&gt;0,1,0)</f>
        <v>0</v>
      </c>
      <c r="AN764" s="439">
        <f>IF(NFI_Expiration=1,IF($A764&lt;VLOOKUP(V$5,NFI,5,0),1,0)*Table_NFI[[#This Row],[Jerry Can]],Table_NFI[Jerry Can])</f>
        <v>0</v>
      </c>
      <c r="AO764" s="771" t="str">
        <f>IFERROR(VLOOKUP(Table_NFI[[#This Row],[Camp Name]],CL,2,0),"")</f>
        <v>MMR001CMP012</v>
      </c>
      <c r="AP764" s="772">
        <f ca="1">IF(Table_NFI[[#This Row],[Pcode]]="","",IF(OFFSET(CampList[Opening Date],MATCH(Table_NFI[[#This Row],[Pcode]],CampList[CP_Pcode],0)-1,0,1,1)&gt;=NFI_Monitor_Date,1,0))</f>
        <v>0</v>
      </c>
      <c r="AQ764" s="781" t="str">
        <f>IFERROR(VLOOKUP(Table_NFI[[#This Row],[Camp Name]],CL,3,0),"")</f>
        <v>Open</v>
      </c>
      <c r="AR764" s="439" t="str">
        <f ca="1">IF(Table_NFI[[#This Row],[Pcode]]="","",OFFSET(CampList[Priority],MATCH(Table_NFI[[#This Row],[Pcode]],CampList[CP_Pcode],0)-1,0,1,1))</f>
        <v>P4</v>
      </c>
      <c r="AS764" s="438">
        <f>IFERROR(Table_NFI[[#This Row],[Kitchen Set]]/VLOOKUP(Table_NFI[[#This Row],[Camp Name]],CL,4,0),"")</f>
        <v>0.83333333333333337</v>
      </c>
      <c r="AT764" s="769" t="s">
        <v>1099</v>
      </c>
      <c r="AU764" s="773"/>
    </row>
    <row r="765" spans="1:47" x14ac:dyDescent="0.25">
      <c r="A765" s="451">
        <f t="shared" si="11"/>
        <v>42.1</v>
      </c>
      <c r="B765" s="768">
        <v>41107</v>
      </c>
      <c r="C765" s="769" t="s">
        <v>454</v>
      </c>
      <c r="D765" s="769" t="s">
        <v>454</v>
      </c>
      <c r="E765" s="769" t="s">
        <v>380</v>
      </c>
      <c r="F765" s="435" t="s">
        <v>237</v>
      </c>
      <c r="G765" s="435" t="s">
        <v>245</v>
      </c>
      <c r="H765" s="436"/>
      <c r="I765" s="436"/>
      <c r="J765" s="436"/>
      <c r="K765" s="436">
        <v>6</v>
      </c>
      <c r="L765" s="437">
        <v>6</v>
      </c>
      <c r="M765" s="437">
        <v>6</v>
      </c>
      <c r="N765" s="437">
        <v>6</v>
      </c>
      <c r="O765" s="437">
        <v>6</v>
      </c>
      <c r="P765" s="437">
        <v>6</v>
      </c>
      <c r="Q765" s="437">
        <v>6</v>
      </c>
      <c r="R765" s="436"/>
      <c r="S765" s="436"/>
      <c r="T765" s="436"/>
      <c r="U765" s="436"/>
      <c r="V765" s="436"/>
      <c r="W765" s="436"/>
      <c r="X765" s="436"/>
      <c r="Y765" s="436">
        <f>IF(NFI_Expiration=1,IF($A765&lt;VLOOKUP(H$5,NFI,5,0),1,0)*Table_NFI[[#This Row],[Hygiene Kit]],Table_NFI[Hygiene Kit])</f>
        <v>0</v>
      </c>
      <c r="Z765" s="436">
        <f>IF(NFI_Expiration=1,IF($A765&lt;VLOOKUP(I$5,NFI,5,0),1,0)*Table_NFI[[#This Row],[NFI Core Kit]],Table_NFI[NFI Core Kit])</f>
        <v>0</v>
      </c>
      <c r="AA765" s="436">
        <f>IF(NFI_Expiration=1,IF($A765&lt;VLOOKUP(J$5,NFI,5,0),1,0)*Table_NFI[[#This Row],[Sanitary Kit]],Table_NFI[Sanitary Kit])</f>
        <v>0</v>
      </c>
      <c r="AB765" s="436">
        <f>IF(NFI_Expiration=1,IF($A765&lt;VLOOKUP(K$5,NFI,5,0),1,0)*Table_NFI[[#This Row],[Mosquito net]],Table_NFI[Mosquito net])</f>
        <v>0</v>
      </c>
      <c r="AC765" s="436">
        <f>IF(NFI_Expiration=1,IF($A765&lt;VLOOKUP(L$5,NFI,5,0),1,0)*Table_NFI[[#This Row],[Tarpaulin]],Table_NFI[[#This Row],[Tarpaulin]])</f>
        <v>0</v>
      </c>
      <c r="AD765" s="436">
        <f>IF(NFI_Expiration=1,IF($A765&lt;VLOOKUP(M$5,NFI,5,0),1,0)*Table_NFI[[#This Row],[Blanket]],Table_NFI[[#This Row],[Blanket]])</f>
        <v>0</v>
      </c>
      <c r="AE765" s="436">
        <f>IF(NFI_Expiration=1,IF($A765&lt;VLOOKUP(N$5,NFI,5,0),1,0)*Table_NFI[[#This Row],[Kitchen Set]],Table_NFI[Kitchen Set])</f>
        <v>0</v>
      </c>
      <c r="AF765" s="436">
        <f>IF(NFI_Expiration=1,IF($A765&lt;VLOOKUP(O$5,NFI,5,0),1,0)*Table_NFI[[#This Row],[Clothes Kit]],Table_NFI[Clothes Kit])</f>
        <v>0</v>
      </c>
      <c r="AG765" s="436">
        <f>IF(NFI_Expiration=1,IF($A765&lt;VLOOKUP(P$5,NFI,5,0),1,0)*Table_NFI[[#This Row],[Plastic Bucket]],Table_NFI[Plastic Bucket])</f>
        <v>0</v>
      </c>
      <c r="AH765" s="436">
        <f>IF(NFI_Expiration=1,IF($A765&lt;VLOOKUP(Q$5,NFI,5,0),1,0)*Table_NFI[[#This Row],[Plastic Mat]],Table_NFI[Plastic Mat])*IF(Table_NFI[[#This Row],[Distribution Date]]&gt;"2014-04-01",1,2.5)</f>
        <v>0</v>
      </c>
      <c r="AI765" s="436">
        <f>IF(NFI_Expiration=1,IF($A765&lt;VLOOKUP(R$5,NFI,5,0),1,0)*Table_NFI[[#This Row],[Winter Clothes Adult]],Table_NFI[Winter Clothes Adult])</f>
        <v>0</v>
      </c>
      <c r="AJ765" s="436">
        <f>IF(NFI_Expiration=1,IF($A765&lt;VLOOKUP(S$5,NFI,5,0),1,0)*Table_NFI[[#This Row],[Winter Clothes Children]],Table_NFI[Winter Clothes Children])</f>
        <v>0</v>
      </c>
      <c r="AK765" s="436">
        <f>IF(NFI_Expiration=1,IF($A765&lt;VLOOKUP(T$5,NFI,5,0),1,0)*Table_NFI[[#This Row],[Winter Items Other]],Table_NFI[Winter Items Other])</f>
        <v>0</v>
      </c>
      <c r="AL765" s="436">
        <f>IF(NFI_Expiration=1,IF($A765&lt;VLOOKUP(M$5,NFI,5,0),1,0)*Table_NFI[[#This Row],[Winter Blanket]],Table_NFI[[#This Row],[Winter Blanket]])</f>
        <v>0</v>
      </c>
      <c r="AM765" s="436">
        <f>IF(Table_NFI[[#This Row],[Winter Clothes Adult]]+Table_NFI[[#This Row],[Winter Clothes Children]]+Table_NFI[[#This Row],[Winter Items Other]]+Table_NFI[[#This Row],[Winter Blanket]]&gt;0,1,0)</f>
        <v>0</v>
      </c>
      <c r="AN765" s="439">
        <f>IF(NFI_Expiration=1,IF($A765&lt;VLOOKUP(V$5,NFI,5,0),1,0)*Table_NFI[[#This Row],[Jerry Can]],Table_NFI[Jerry Can])</f>
        <v>0</v>
      </c>
      <c r="AO765" s="771" t="str">
        <f>IFERROR(VLOOKUP(Table_NFI[[#This Row],[Camp Name]],CL,2,0),"")</f>
        <v>MMR001CMP010</v>
      </c>
      <c r="AP765" s="772">
        <f ca="1">IF(Table_NFI[[#This Row],[Pcode]]="","",IF(OFFSET(CampList[Opening Date],MATCH(Table_NFI[[#This Row],[Pcode]],CampList[CP_Pcode],0)-1,0,1,1)&gt;=NFI_Monitor_Date,1,0))</f>
        <v>0</v>
      </c>
      <c r="AQ765" s="781" t="str">
        <f>IFERROR(VLOOKUP(Table_NFI[[#This Row],[Camp Name]],CL,3,0),"")</f>
        <v>Open</v>
      </c>
      <c r="AR765" s="439" t="str">
        <f ca="1">IF(Table_NFI[[#This Row],[Pcode]]="","",OFFSET(CampList[Priority],MATCH(Table_NFI[[#This Row],[Pcode]],CampList[CP_Pcode],0)-1,0,1,1))</f>
        <v>P4</v>
      </c>
      <c r="AS765" s="438">
        <f>IFERROR(Table_NFI[[#This Row],[Kitchen Set]]/VLOOKUP(Table_NFI[[#This Row],[Camp Name]],CL,4,0),"")</f>
        <v>1</v>
      </c>
      <c r="AT765" s="769" t="s">
        <v>1099</v>
      </c>
      <c r="AU765" s="773"/>
    </row>
    <row r="766" spans="1:47" x14ac:dyDescent="0.25">
      <c r="A766" s="451">
        <f t="shared" si="11"/>
        <v>42.1</v>
      </c>
      <c r="B766" s="768">
        <v>41107</v>
      </c>
      <c r="C766" s="769" t="s">
        <v>454</v>
      </c>
      <c r="D766" s="769" t="s">
        <v>454</v>
      </c>
      <c r="E766" s="769" t="s">
        <v>380</v>
      </c>
      <c r="F766" s="435" t="s">
        <v>237</v>
      </c>
      <c r="G766" s="435" t="s">
        <v>247</v>
      </c>
      <c r="H766" s="436"/>
      <c r="I766" s="436"/>
      <c r="J766" s="436"/>
      <c r="K766" s="436">
        <v>6</v>
      </c>
      <c r="L766" s="437">
        <v>6</v>
      </c>
      <c r="M766" s="437">
        <v>6</v>
      </c>
      <c r="N766" s="437">
        <v>6</v>
      </c>
      <c r="O766" s="437">
        <v>6</v>
      </c>
      <c r="P766" s="437">
        <v>6</v>
      </c>
      <c r="Q766" s="437">
        <v>6</v>
      </c>
      <c r="R766" s="436"/>
      <c r="S766" s="436"/>
      <c r="T766" s="436"/>
      <c r="U766" s="436"/>
      <c r="V766" s="436"/>
      <c r="W766" s="436"/>
      <c r="X766" s="436"/>
      <c r="Y766" s="436">
        <f>IF(NFI_Expiration=1,IF($A766&lt;VLOOKUP(H$5,NFI,5,0),1,0)*Table_NFI[[#This Row],[Hygiene Kit]],Table_NFI[Hygiene Kit])</f>
        <v>0</v>
      </c>
      <c r="Z766" s="436">
        <f>IF(NFI_Expiration=1,IF($A766&lt;VLOOKUP(I$5,NFI,5,0),1,0)*Table_NFI[[#This Row],[NFI Core Kit]],Table_NFI[NFI Core Kit])</f>
        <v>0</v>
      </c>
      <c r="AA766" s="436">
        <f>IF(NFI_Expiration=1,IF($A766&lt;VLOOKUP(J$5,NFI,5,0),1,0)*Table_NFI[[#This Row],[Sanitary Kit]],Table_NFI[Sanitary Kit])</f>
        <v>0</v>
      </c>
      <c r="AB766" s="436">
        <f>IF(NFI_Expiration=1,IF($A766&lt;VLOOKUP(K$5,NFI,5,0),1,0)*Table_NFI[[#This Row],[Mosquito net]],Table_NFI[Mosquito net])</f>
        <v>0</v>
      </c>
      <c r="AC766" s="436">
        <f>IF(NFI_Expiration=1,IF($A766&lt;VLOOKUP(L$5,NFI,5,0),1,0)*Table_NFI[[#This Row],[Tarpaulin]],Table_NFI[[#This Row],[Tarpaulin]])</f>
        <v>0</v>
      </c>
      <c r="AD766" s="436">
        <f>IF(NFI_Expiration=1,IF($A766&lt;VLOOKUP(M$5,NFI,5,0),1,0)*Table_NFI[[#This Row],[Blanket]],Table_NFI[[#This Row],[Blanket]])</f>
        <v>0</v>
      </c>
      <c r="AE766" s="436">
        <f>IF(NFI_Expiration=1,IF($A766&lt;VLOOKUP(N$5,NFI,5,0),1,0)*Table_NFI[[#This Row],[Kitchen Set]],Table_NFI[Kitchen Set])</f>
        <v>0</v>
      </c>
      <c r="AF766" s="436">
        <f>IF(NFI_Expiration=1,IF($A766&lt;VLOOKUP(O$5,NFI,5,0),1,0)*Table_NFI[[#This Row],[Clothes Kit]],Table_NFI[Clothes Kit])</f>
        <v>0</v>
      </c>
      <c r="AG766" s="436">
        <f>IF(NFI_Expiration=1,IF($A766&lt;VLOOKUP(P$5,NFI,5,0),1,0)*Table_NFI[[#This Row],[Plastic Bucket]],Table_NFI[Plastic Bucket])</f>
        <v>0</v>
      </c>
      <c r="AH766" s="436">
        <f>IF(NFI_Expiration=1,IF($A766&lt;VLOOKUP(Q$5,NFI,5,0),1,0)*Table_NFI[[#This Row],[Plastic Mat]],Table_NFI[Plastic Mat])*IF(Table_NFI[[#This Row],[Distribution Date]]&gt;"2014-04-01",1,2.5)</f>
        <v>0</v>
      </c>
      <c r="AI766" s="436">
        <f>IF(NFI_Expiration=1,IF($A766&lt;VLOOKUP(R$5,NFI,5,0),1,0)*Table_NFI[[#This Row],[Winter Clothes Adult]],Table_NFI[Winter Clothes Adult])</f>
        <v>0</v>
      </c>
      <c r="AJ766" s="436">
        <f>IF(NFI_Expiration=1,IF($A766&lt;VLOOKUP(S$5,NFI,5,0),1,0)*Table_NFI[[#This Row],[Winter Clothes Children]],Table_NFI[Winter Clothes Children])</f>
        <v>0</v>
      </c>
      <c r="AK766" s="436">
        <f>IF(NFI_Expiration=1,IF($A766&lt;VLOOKUP(T$5,NFI,5,0),1,0)*Table_NFI[[#This Row],[Winter Items Other]],Table_NFI[Winter Items Other])</f>
        <v>0</v>
      </c>
      <c r="AL766" s="436">
        <f>IF(NFI_Expiration=1,IF($A766&lt;VLOOKUP(M$5,NFI,5,0),1,0)*Table_NFI[[#This Row],[Winter Blanket]],Table_NFI[[#This Row],[Winter Blanket]])</f>
        <v>0</v>
      </c>
      <c r="AM766" s="436">
        <f>IF(Table_NFI[[#This Row],[Winter Clothes Adult]]+Table_NFI[[#This Row],[Winter Clothes Children]]+Table_NFI[[#This Row],[Winter Items Other]]+Table_NFI[[#This Row],[Winter Blanket]]&gt;0,1,0)</f>
        <v>0</v>
      </c>
      <c r="AN766" s="439">
        <f>IF(NFI_Expiration=1,IF($A766&lt;VLOOKUP(V$5,NFI,5,0),1,0)*Table_NFI[[#This Row],[Jerry Can]],Table_NFI[Jerry Can])</f>
        <v>0</v>
      </c>
      <c r="AO766" s="771" t="str">
        <f>IFERROR(VLOOKUP(Table_NFI[[#This Row],[Camp Name]],CL,2,0),"")</f>
        <v>MMR001CMP011</v>
      </c>
      <c r="AP766" s="772">
        <f ca="1">IF(Table_NFI[[#This Row],[Pcode]]="","",IF(OFFSET(CampList[Opening Date],MATCH(Table_NFI[[#This Row],[Pcode]],CampList[CP_Pcode],0)-1,0,1,1)&gt;=NFI_Monitor_Date,1,0))</f>
        <v>0</v>
      </c>
      <c r="AQ766" s="781" t="str">
        <f>IFERROR(VLOOKUP(Table_NFI[[#This Row],[Camp Name]],CL,3,0),"")</f>
        <v>Open</v>
      </c>
      <c r="AR766" s="439" t="str">
        <f ca="1">IF(Table_NFI[[#This Row],[Pcode]]="","",OFFSET(CampList[Priority],MATCH(Table_NFI[[#This Row],[Pcode]],CampList[CP_Pcode],0)-1,0,1,1))</f>
        <v>P4</v>
      </c>
      <c r="AS766" s="438">
        <f>IFERROR(Table_NFI[[#This Row],[Kitchen Set]]/VLOOKUP(Table_NFI[[#This Row],[Camp Name]],CL,4,0),"")</f>
        <v>0.12</v>
      </c>
      <c r="AT766" s="769" t="s">
        <v>1099</v>
      </c>
      <c r="AU766" s="773"/>
    </row>
    <row r="767" spans="1:47" x14ac:dyDescent="0.25">
      <c r="A767" s="451">
        <f t="shared" si="11"/>
        <v>42.1</v>
      </c>
      <c r="B767" s="768">
        <v>41107</v>
      </c>
      <c r="C767" s="769" t="s">
        <v>454</v>
      </c>
      <c r="D767" s="770" t="s">
        <v>454</v>
      </c>
      <c r="E767" s="769" t="s">
        <v>380</v>
      </c>
      <c r="F767" s="435" t="s">
        <v>185</v>
      </c>
      <c r="G767" s="435" t="s">
        <v>192</v>
      </c>
      <c r="H767" s="436"/>
      <c r="I767" s="441"/>
      <c r="J767" s="434"/>
      <c r="K767" s="434">
        <v>380</v>
      </c>
      <c r="L767" s="434">
        <v>156</v>
      </c>
      <c r="M767" s="434">
        <v>380</v>
      </c>
      <c r="N767" s="434">
        <v>156</v>
      </c>
      <c r="O767" s="434">
        <v>156</v>
      </c>
      <c r="P767" s="437">
        <v>156</v>
      </c>
      <c r="Q767" s="437">
        <v>156</v>
      </c>
      <c r="R767" s="436"/>
      <c r="S767" s="436"/>
      <c r="T767" s="436"/>
      <c r="U767" s="436"/>
      <c r="V767" s="436"/>
      <c r="W767" s="436"/>
      <c r="X767" s="436"/>
      <c r="Y767" s="436">
        <f>IF(NFI_Expiration=1,IF($A767&lt;VLOOKUP(H$5,NFI,5,0),1,0)*Table_NFI[[#This Row],[Hygiene Kit]],Table_NFI[Hygiene Kit])</f>
        <v>0</v>
      </c>
      <c r="Z767" s="436">
        <f>IF(NFI_Expiration=1,IF($A767&lt;VLOOKUP(I$5,NFI,5,0),1,0)*Table_NFI[[#This Row],[NFI Core Kit]],Table_NFI[NFI Core Kit])</f>
        <v>0</v>
      </c>
      <c r="AA767" s="436">
        <f>IF(NFI_Expiration=1,IF($A767&lt;VLOOKUP(J$5,NFI,5,0),1,0)*Table_NFI[[#This Row],[Sanitary Kit]],Table_NFI[Sanitary Kit])</f>
        <v>0</v>
      </c>
      <c r="AB767" s="436">
        <f>IF(NFI_Expiration=1,IF($A767&lt;VLOOKUP(K$5,NFI,5,0),1,0)*Table_NFI[[#This Row],[Mosquito net]],Table_NFI[Mosquito net])</f>
        <v>0</v>
      </c>
      <c r="AC767" s="436">
        <f>IF(NFI_Expiration=1,IF($A767&lt;VLOOKUP(L$5,NFI,5,0),1,0)*Table_NFI[[#This Row],[Tarpaulin]],Table_NFI[[#This Row],[Tarpaulin]])</f>
        <v>0</v>
      </c>
      <c r="AD767" s="436">
        <f>IF(NFI_Expiration=1,IF($A767&lt;VLOOKUP(M$5,NFI,5,0),1,0)*Table_NFI[[#This Row],[Blanket]],Table_NFI[[#This Row],[Blanket]])</f>
        <v>0</v>
      </c>
      <c r="AE767" s="436">
        <f>IF(NFI_Expiration=1,IF($A767&lt;VLOOKUP(N$5,NFI,5,0),1,0)*Table_NFI[[#This Row],[Kitchen Set]],Table_NFI[Kitchen Set])</f>
        <v>0</v>
      </c>
      <c r="AF767" s="436">
        <f>IF(NFI_Expiration=1,IF($A767&lt;VLOOKUP(O$5,NFI,5,0),1,0)*Table_NFI[[#This Row],[Clothes Kit]],Table_NFI[Clothes Kit])</f>
        <v>0</v>
      </c>
      <c r="AG767" s="436">
        <f>IF(NFI_Expiration=1,IF($A767&lt;VLOOKUP(P$5,NFI,5,0),1,0)*Table_NFI[[#This Row],[Plastic Bucket]],Table_NFI[Plastic Bucket])</f>
        <v>0</v>
      </c>
      <c r="AH767" s="436">
        <f>IF(NFI_Expiration=1,IF($A767&lt;VLOOKUP(Q$5,NFI,5,0),1,0)*Table_NFI[[#This Row],[Plastic Mat]],Table_NFI[Plastic Mat])*IF(Table_NFI[[#This Row],[Distribution Date]]&gt;"2014-04-01",1,2.5)</f>
        <v>0</v>
      </c>
      <c r="AI767" s="436">
        <f>IF(NFI_Expiration=1,IF($A767&lt;VLOOKUP(R$5,NFI,5,0),1,0)*Table_NFI[[#This Row],[Winter Clothes Adult]],Table_NFI[Winter Clothes Adult])</f>
        <v>0</v>
      </c>
      <c r="AJ767" s="436">
        <f>IF(NFI_Expiration=1,IF($A767&lt;VLOOKUP(S$5,NFI,5,0),1,0)*Table_NFI[[#This Row],[Winter Clothes Children]],Table_NFI[Winter Clothes Children])</f>
        <v>0</v>
      </c>
      <c r="AK767" s="436">
        <f>IF(NFI_Expiration=1,IF($A767&lt;VLOOKUP(T$5,NFI,5,0),1,0)*Table_NFI[[#This Row],[Winter Items Other]],Table_NFI[Winter Items Other])</f>
        <v>0</v>
      </c>
      <c r="AL767" s="436">
        <f>IF(NFI_Expiration=1,IF($A767&lt;VLOOKUP(M$5,NFI,5,0),1,0)*Table_NFI[[#This Row],[Winter Blanket]],Table_NFI[[#This Row],[Winter Blanket]])</f>
        <v>0</v>
      </c>
      <c r="AM767" s="436">
        <f>IF(Table_NFI[[#This Row],[Winter Clothes Adult]]+Table_NFI[[#This Row],[Winter Clothes Children]]+Table_NFI[[#This Row],[Winter Items Other]]+Table_NFI[[#This Row],[Winter Blanket]]&gt;0,1,0)</f>
        <v>0</v>
      </c>
      <c r="AN767" s="439">
        <f>IF(NFI_Expiration=1,IF($A767&lt;VLOOKUP(V$5,NFI,5,0),1,0)*Table_NFI[[#This Row],[Jerry Can]],Table_NFI[Jerry Can])</f>
        <v>0</v>
      </c>
      <c r="AO767" s="771" t="str">
        <f>IFERROR(VLOOKUP(Table_NFI[[#This Row],[Camp Name]],CL,2,0),"")</f>
        <v>MMR001CMP123</v>
      </c>
      <c r="AP767" s="772">
        <f ca="1">IF(Table_NFI[[#This Row],[Pcode]]="","",IF(OFFSET(CampList[Opening Date],MATCH(Table_NFI[[#This Row],[Pcode]],CampList[CP_Pcode],0)-1,0,1,1)&gt;=NFI_Monitor_Date,1,0))</f>
        <v>0</v>
      </c>
      <c r="AQ767" s="781" t="str">
        <f>IFERROR(VLOOKUP(Table_NFI[[#This Row],[Camp Name]],CL,3,0),"")</f>
        <v>Open</v>
      </c>
      <c r="AR767" s="439" t="str">
        <f ca="1">IF(Table_NFI[[#This Row],[Pcode]]="","",OFFSET(CampList[Priority],MATCH(Table_NFI[[#This Row],[Pcode]],CampList[CP_Pcode],0)-1,0,1,1))</f>
        <v>P2</v>
      </c>
      <c r="AS767" s="438">
        <f>IFERROR(Table_NFI[[#This Row],[Kitchen Set]]/VLOOKUP(Table_NFI[[#This Row],[Camp Name]],CL,4,0),"")</f>
        <v>1.3448275862068966</v>
      </c>
      <c r="AT767" s="769" t="s">
        <v>1099</v>
      </c>
      <c r="AU767" s="773"/>
    </row>
    <row r="768" spans="1:47" x14ac:dyDescent="0.25">
      <c r="A768" s="451">
        <f t="shared" si="11"/>
        <v>42.1</v>
      </c>
      <c r="B768" s="768">
        <v>41107</v>
      </c>
      <c r="C768" s="769" t="s">
        <v>454</v>
      </c>
      <c r="D768" s="770" t="s">
        <v>454</v>
      </c>
      <c r="E768" s="769" t="s">
        <v>380</v>
      </c>
      <c r="F768" s="435" t="s">
        <v>185</v>
      </c>
      <c r="G768" s="435" t="s">
        <v>194</v>
      </c>
      <c r="H768" s="436"/>
      <c r="I768" s="441"/>
      <c r="J768" s="434"/>
      <c r="K768" s="434">
        <v>0</v>
      </c>
      <c r="L768" s="434">
        <v>0</v>
      </c>
      <c r="M768" s="434">
        <v>0</v>
      </c>
      <c r="N768" s="434">
        <v>0</v>
      </c>
      <c r="O768" s="434">
        <v>0</v>
      </c>
      <c r="P768" s="437"/>
      <c r="Q768" s="437"/>
      <c r="R768" s="436"/>
      <c r="S768" s="436"/>
      <c r="T768" s="436"/>
      <c r="U768" s="436"/>
      <c r="V768" s="436"/>
      <c r="W768" s="436"/>
      <c r="X768" s="436"/>
      <c r="Y768" s="436">
        <f>IF(NFI_Expiration=1,IF($A768&lt;VLOOKUP(H$5,NFI,5,0),1,0)*Table_NFI[[#This Row],[Hygiene Kit]],Table_NFI[Hygiene Kit])</f>
        <v>0</v>
      </c>
      <c r="Z768" s="436">
        <f>IF(NFI_Expiration=1,IF($A768&lt;VLOOKUP(I$5,NFI,5,0),1,0)*Table_NFI[[#This Row],[NFI Core Kit]],Table_NFI[NFI Core Kit])</f>
        <v>0</v>
      </c>
      <c r="AA768" s="436">
        <f>IF(NFI_Expiration=1,IF($A768&lt;VLOOKUP(J$5,NFI,5,0),1,0)*Table_NFI[[#This Row],[Sanitary Kit]],Table_NFI[Sanitary Kit])</f>
        <v>0</v>
      </c>
      <c r="AB768" s="436">
        <f>IF(NFI_Expiration=1,IF($A768&lt;VLOOKUP(K$5,NFI,5,0),1,0)*Table_NFI[[#This Row],[Mosquito net]],Table_NFI[Mosquito net])</f>
        <v>0</v>
      </c>
      <c r="AC768" s="436">
        <f>IF(NFI_Expiration=1,IF($A768&lt;VLOOKUP(L$5,NFI,5,0),1,0)*Table_NFI[[#This Row],[Tarpaulin]],Table_NFI[[#This Row],[Tarpaulin]])</f>
        <v>0</v>
      </c>
      <c r="AD768" s="436">
        <f>IF(NFI_Expiration=1,IF($A768&lt;VLOOKUP(M$5,NFI,5,0),1,0)*Table_NFI[[#This Row],[Blanket]],Table_NFI[[#This Row],[Blanket]])</f>
        <v>0</v>
      </c>
      <c r="AE768" s="436">
        <f>IF(NFI_Expiration=1,IF($A768&lt;VLOOKUP(N$5,NFI,5,0),1,0)*Table_NFI[[#This Row],[Kitchen Set]],Table_NFI[Kitchen Set])</f>
        <v>0</v>
      </c>
      <c r="AF768" s="436">
        <f>IF(NFI_Expiration=1,IF($A768&lt;VLOOKUP(O$5,NFI,5,0),1,0)*Table_NFI[[#This Row],[Clothes Kit]],Table_NFI[Clothes Kit])</f>
        <v>0</v>
      </c>
      <c r="AG768" s="436">
        <f>IF(NFI_Expiration=1,IF($A768&lt;VLOOKUP(P$5,NFI,5,0),1,0)*Table_NFI[[#This Row],[Plastic Bucket]],Table_NFI[Plastic Bucket])</f>
        <v>0</v>
      </c>
      <c r="AH768" s="436">
        <f>IF(NFI_Expiration=1,IF($A768&lt;VLOOKUP(Q$5,NFI,5,0),1,0)*Table_NFI[[#This Row],[Plastic Mat]],Table_NFI[Plastic Mat])*IF(Table_NFI[[#This Row],[Distribution Date]]&gt;"2014-04-01",1,2.5)</f>
        <v>0</v>
      </c>
      <c r="AI768" s="436">
        <f>IF(NFI_Expiration=1,IF($A768&lt;VLOOKUP(R$5,NFI,5,0),1,0)*Table_NFI[[#This Row],[Winter Clothes Adult]],Table_NFI[Winter Clothes Adult])</f>
        <v>0</v>
      </c>
      <c r="AJ768" s="436">
        <f>IF(NFI_Expiration=1,IF($A768&lt;VLOOKUP(S$5,NFI,5,0),1,0)*Table_NFI[[#This Row],[Winter Clothes Children]],Table_NFI[Winter Clothes Children])</f>
        <v>0</v>
      </c>
      <c r="AK768" s="436">
        <f>IF(NFI_Expiration=1,IF($A768&lt;VLOOKUP(T$5,NFI,5,0),1,0)*Table_NFI[[#This Row],[Winter Items Other]],Table_NFI[Winter Items Other])</f>
        <v>0</v>
      </c>
      <c r="AL768" s="436">
        <f>IF(NFI_Expiration=1,IF($A768&lt;VLOOKUP(M$5,NFI,5,0),1,0)*Table_NFI[[#This Row],[Winter Blanket]],Table_NFI[[#This Row],[Winter Blanket]])</f>
        <v>0</v>
      </c>
      <c r="AM768" s="436">
        <f>IF(Table_NFI[[#This Row],[Winter Clothes Adult]]+Table_NFI[[#This Row],[Winter Clothes Children]]+Table_NFI[[#This Row],[Winter Items Other]]+Table_NFI[[#This Row],[Winter Blanket]]&gt;0,1,0)</f>
        <v>0</v>
      </c>
      <c r="AN768" s="439">
        <f>IF(NFI_Expiration=1,IF($A768&lt;VLOOKUP(V$5,NFI,5,0),1,0)*Table_NFI[[#This Row],[Jerry Can]],Table_NFI[Jerry Can])</f>
        <v>0</v>
      </c>
      <c r="AO768" s="771" t="str">
        <f>IFERROR(VLOOKUP(Table_NFI[[#This Row],[Camp Name]],CL,2,0),"")</f>
        <v>MMR001CMP122</v>
      </c>
      <c r="AP768" s="772">
        <f ca="1">IF(Table_NFI[[#This Row],[Pcode]]="","",IF(OFFSET(CampList[Opening Date],MATCH(Table_NFI[[#This Row],[Pcode]],CampList[CP_Pcode],0)-1,0,1,1)&gt;=NFI_Monitor_Date,1,0))</f>
        <v>0</v>
      </c>
      <c r="AQ768" s="781" t="str">
        <f>IFERROR(VLOOKUP(Table_NFI[[#This Row],[Camp Name]],CL,3,0),"")</f>
        <v>Open</v>
      </c>
      <c r="AR768" s="439" t="str">
        <f ca="1">IF(Table_NFI[[#This Row],[Pcode]]="","",OFFSET(CampList[Priority],MATCH(Table_NFI[[#This Row],[Pcode]],CampList[CP_Pcode],0)-1,0,1,1))</f>
        <v>P2</v>
      </c>
      <c r="AS768" s="438">
        <f>IFERROR(Table_NFI[[#This Row],[Kitchen Set]]/VLOOKUP(Table_NFI[[#This Row],[Camp Name]],CL,4,0),"")</f>
        <v>0</v>
      </c>
      <c r="AT768" s="769" t="s">
        <v>1099</v>
      </c>
      <c r="AU768" s="773"/>
    </row>
    <row r="769" spans="1:47" x14ac:dyDescent="0.25">
      <c r="A769" s="451">
        <f t="shared" si="11"/>
        <v>42.1</v>
      </c>
      <c r="B769" s="768">
        <v>41107</v>
      </c>
      <c r="C769" s="769" t="s">
        <v>454</v>
      </c>
      <c r="D769" s="770" t="s">
        <v>454</v>
      </c>
      <c r="E769" s="769" t="s">
        <v>380</v>
      </c>
      <c r="F769" s="435" t="s">
        <v>237</v>
      </c>
      <c r="G769" s="435" t="s">
        <v>253</v>
      </c>
      <c r="H769" s="436"/>
      <c r="I769" s="436"/>
      <c r="J769" s="436"/>
      <c r="K769" s="436">
        <v>21</v>
      </c>
      <c r="L769" s="437">
        <v>21</v>
      </c>
      <c r="M769" s="437">
        <v>21</v>
      </c>
      <c r="N769" s="437">
        <v>21</v>
      </c>
      <c r="O769" s="437">
        <v>21</v>
      </c>
      <c r="P769" s="437">
        <v>21</v>
      </c>
      <c r="Q769" s="437">
        <v>21</v>
      </c>
      <c r="R769" s="436"/>
      <c r="S769" s="436"/>
      <c r="T769" s="436"/>
      <c r="U769" s="436"/>
      <c r="V769" s="436"/>
      <c r="W769" s="436"/>
      <c r="X769" s="436"/>
      <c r="Y769" s="436">
        <f>IF(NFI_Expiration=1,IF($A769&lt;VLOOKUP(H$5,NFI,5,0),1,0)*Table_NFI[[#This Row],[Hygiene Kit]],Table_NFI[Hygiene Kit])</f>
        <v>0</v>
      </c>
      <c r="Z769" s="436">
        <f>IF(NFI_Expiration=1,IF($A769&lt;VLOOKUP(I$5,NFI,5,0),1,0)*Table_NFI[[#This Row],[NFI Core Kit]],Table_NFI[NFI Core Kit])</f>
        <v>0</v>
      </c>
      <c r="AA769" s="436">
        <f>IF(NFI_Expiration=1,IF($A769&lt;VLOOKUP(J$5,NFI,5,0),1,0)*Table_NFI[[#This Row],[Sanitary Kit]],Table_NFI[Sanitary Kit])</f>
        <v>0</v>
      </c>
      <c r="AB769" s="436">
        <f>IF(NFI_Expiration=1,IF($A769&lt;VLOOKUP(K$5,NFI,5,0),1,0)*Table_NFI[[#This Row],[Mosquito net]],Table_NFI[Mosquito net])</f>
        <v>0</v>
      </c>
      <c r="AC769" s="436">
        <f>IF(NFI_Expiration=1,IF($A769&lt;VLOOKUP(L$5,NFI,5,0),1,0)*Table_NFI[[#This Row],[Tarpaulin]],Table_NFI[[#This Row],[Tarpaulin]])</f>
        <v>0</v>
      </c>
      <c r="AD769" s="436">
        <f>IF(NFI_Expiration=1,IF($A769&lt;VLOOKUP(M$5,NFI,5,0),1,0)*Table_NFI[[#This Row],[Blanket]],Table_NFI[[#This Row],[Blanket]])</f>
        <v>0</v>
      </c>
      <c r="AE769" s="436">
        <f>IF(NFI_Expiration=1,IF($A769&lt;VLOOKUP(N$5,NFI,5,0),1,0)*Table_NFI[[#This Row],[Kitchen Set]],Table_NFI[Kitchen Set])</f>
        <v>0</v>
      </c>
      <c r="AF769" s="436">
        <f>IF(NFI_Expiration=1,IF($A769&lt;VLOOKUP(O$5,NFI,5,0),1,0)*Table_NFI[[#This Row],[Clothes Kit]],Table_NFI[Clothes Kit])</f>
        <v>0</v>
      </c>
      <c r="AG769" s="436">
        <f>IF(NFI_Expiration=1,IF($A769&lt;VLOOKUP(P$5,NFI,5,0),1,0)*Table_NFI[[#This Row],[Plastic Bucket]],Table_NFI[Plastic Bucket])</f>
        <v>0</v>
      </c>
      <c r="AH769" s="436">
        <f>IF(NFI_Expiration=1,IF($A769&lt;VLOOKUP(Q$5,NFI,5,0),1,0)*Table_NFI[[#This Row],[Plastic Mat]],Table_NFI[Plastic Mat])*IF(Table_NFI[[#This Row],[Distribution Date]]&gt;"2014-04-01",1,2.5)</f>
        <v>0</v>
      </c>
      <c r="AI769" s="436">
        <f>IF(NFI_Expiration=1,IF($A769&lt;VLOOKUP(R$5,NFI,5,0),1,0)*Table_NFI[[#This Row],[Winter Clothes Adult]],Table_NFI[Winter Clothes Adult])</f>
        <v>0</v>
      </c>
      <c r="AJ769" s="436">
        <f>IF(NFI_Expiration=1,IF($A769&lt;VLOOKUP(S$5,NFI,5,0),1,0)*Table_NFI[[#This Row],[Winter Clothes Children]],Table_NFI[Winter Clothes Children])</f>
        <v>0</v>
      </c>
      <c r="AK769" s="436">
        <f>IF(NFI_Expiration=1,IF($A769&lt;VLOOKUP(T$5,NFI,5,0),1,0)*Table_NFI[[#This Row],[Winter Items Other]],Table_NFI[Winter Items Other])</f>
        <v>0</v>
      </c>
      <c r="AL769" s="436">
        <f>IF(NFI_Expiration=1,IF($A769&lt;VLOOKUP(M$5,NFI,5,0),1,0)*Table_NFI[[#This Row],[Winter Blanket]],Table_NFI[[#This Row],[Winter Blanket]])</f>
        <v>0</v>
      </c>
      <c r="AM769" s="436">
        <f>IF(Table_NFI[[#This Row],[Winter Clothes Adult]]+Table_NFI[[#This Row],[Winter Clothes Children]]+Table_NFI[[#This Row],[Winter Items Other]]+Table_NFI[[#This Row],[Winter Blanket]]&gt;0,1,0)</f>
        <v>0</v>
      </c>
      <c r="AN769" s="439">
        <f>IF(NFI_Expiration=1,IF($A769&lt;VLOOKUP(V$5,NFI,5,0),1,0)*Table_NFI[[#This Row],[Jerry Can]],Table_NFI[Jerry Can])</f>
        <v>0</v>
      </c>
      <c r="AO769" s="771" t="str">
        <f>IFERROR(VLOOKUP(Table_NFI[[#This Row],[Camp Name]],CL,2,0),"")</f>
        <v>MMR001CMP018</v>
      </c>
      <c r="AP769" s="772">
        <f ca="1">IF(Table_NFI[[#This Row],[Pcode]]="","",IF(OFFSET(CampList[Opening Date],MATCH(Table_NFI[[#This Row],[Pcode]],CampList[CP_Pcode],0)-1,0,1,1)&gt;=NFI_Monitor_Date,1,0))</f>
        <v>0</v>
      </c>
      <c r="AQ769" s="781" t="str">
        <f>IFERROR(VLOOKUP(Table_NFI[[#This Row],[Camp Name]],CL,3,0),"")</f>
        <v>Open</v>
      </c>
      <c r="AR769" s="439" t="str">
        <f ca="1">IF(Table_NFI[[#This Row],[Pcode]]="","",OFFSET(CampList[Priority],MATCH(Table_NFI[[#This Row],[Pcode]],CampList[CP_Pcode],0)-1,0,1,1))</f>
        <v>P4</v>
      </c>
      <c r="AS769" s="438">
        <f>IFERROR(Table_NFI[[#This Row],[Kitchen Set]]/VLOOKUP(Table_NFI[[#This Row],[Camp Name]],CL,4,0),"")</f>
        <v>0.10344827586206896</v>
      </c>
      <c r="AT769" s="769" t="s">
        <v>1099</v>
      </c>
      <c r="AU769" s="773"/>
    </row>
    <row r="770" spans="1:47" x14ac:dyDescent="0.25">
      <c r="A770" s="451">
        <f t="shared" si="11"/>
        <v>42.1</v>
      </c>
      <c r="B770" s="768">
        <v>41107</v>
      </c>
      <c r="C770" s="769" t="s">
        <v>454</v>
      </c>
      <c r="D770" s="770" t="s">
        <v>454</v>
      </c>
      <c r="E770" s="769" t="s">
        <v>380</v>
      </c>
      <c r="F770" s="435" t="s">
        <v>185</v>
      </c>
      <c r="G770" s="435" t="s">
        <v>190</v>
      </c>
      <c r="H770" s="436"/>
      <c r="I770" s="436"/>
      <c r="J770" s="436"/>
      <c r="K770" s="436">
        <v>0</v>
      </c>
      <c r="L770" s="437">
        <v>0</v>
      </c>
      <c r="M770" s="437">
        <v>0</v>
      </c>
      <c r="N770" s="437">
        <v>0</v>
      </c>
      <c r="O770" s="437">
        <v>0</v>
      </c>
      <c r="P770" s="437"/>
      <c r="Q770" s="437"/>
      <c r="R770" s="436"/>
      <c r="S770" s="436"/>
      <c r="T770" s="436"/>
      <c r="U770" s="436"/>
      <c r="V770" s="436"/>
      <c r="W770" s="436"/>
      <c r="X770" s="436"/>
      <c r="Y770" s="436">
        <f>IF(NFI_Expiration=1,IF($A770&lt;VLOOKUP(H$5,NFI,5,0),1,0)*Table_NFI[[#This Row],[Hygiene Kit]],Table_NFI[Hygiene Kit])</f>
        <v>0</v>
      </c>
      <c r="Z770" s="436">
        <f>IF(NFI_Expiration=1,IF($A770&lt;VLOOKUP(I$5,NFI,5,0),1,0)*Table_NFI[[#This Row],[NFI Core Kit]],Table_NFI[NFI Core Kit])</f>
        <v>0</v>
      </c>
      <c r="AA770" s="436">
        <f>IF(NFI_Expiration=1,IF($A770&lt;VLOOKUP(J$5,NFI,5,0),1,0)*Table_NFI[[#This Row],[Sanitary Kit]],Table_NFI[Sanitary Kit])</f>
        <v>0</v>
      </c>
      <c r="AB770" s="436">
        <f>IF(NFI_Expiration=1,IF($A770&lt;VLOOKUP(K$5,NFI,5,0),1,0)*Table_NFI[[#This Row],[Mosquito net]],Table_NFI[Mosquito net])</f>
        <v>0</v>
      </c>
      <c r="AC770" s="436">
        <f>IF(NFI_Expiration=1,IF($A770&lt;VLOOKUP(L$5,NFI,5,0),1,0)*Table_NFI[[#This Row],[Tarpaulin]],Table_NFI[[#This Row],[Tarpaulin]])</f>
        <v>0</v>
      </c>
      <c r="AD770" s="436">
        <f>IF(NFI_Expiration=1,IF($A770&lt;VLOOKUP(M$5,NFI,5,0),1,0)*Table_NFI[[#This Row],[Blanket]],Table_NFI[[#This Row],[Blanket]])</f>
        <v>0</v>
      </c>
      <c r="AE770" s="436">
        <f>IF(NFI_Expiration=1,IF($A770&lt;VLOOKUP(N$5,NFI,5,0),1,0)*Table_NFI[[#This Row],[Kitchen Set]],Table_NFI[Kitchen Set])</f>
        <v>0</v>
      </c>
      <c r="AF770" s="436">
        <f>IF(NFI_Expiration=1,IF($A770&lt;VLOOKUP(O$5,NFI,5,0),1,0)*Table_NFI[[#This Row],[Clothes Kit]],Table_NFI[Clothes Kit])</f>
        <v>0</v>
      </c>
      <c r="AG770" s="436">
        <f>IF(NFI_Expiration=1,IF($A770&lt;VLOOKUP(P$5,NFI,5,0),1,0)*Table_NFI[[#This Row],[Plastic Bucket]],Table_NFI[Plastic Bucket])</f>
        <v>0</v>
      </c>
      <c r="AH770" s="436">
        <f>IF(NFI_Expiration=1,IF($A770&lt;VLOOKUP(Q$5,NFI,5,0),1,0)*Table_NFI[[#This Row],[Plastic Mat]],Table_NFI[Plastic Mat])*IF(Table_NFI[[#This Row],[Distribution Date]]&gt;"2014-04-01",1,2.5)</f>
        <v>0</v>
      </c>
      <c r="AI770" s="436">
        <f>IF(NFI_Expiration=1,IF($A770&lt;VLOOKUP(R$5,NFI,5,0),1,0)*Table_NFI[[#This Row],[Winter Clothes Adult]],Table_NFI[Winter Clothes Adult])</f>
        <v>0</v>
      </c>
      <c r="AJ770" s="436">
        <f>IF(NFI_Expiration=1,IF($A770&lt;VLOOKUP(S$5,NFI,5,0),1,0)*Table_NFI[[#This Row],[Winter Clothes Children]],Table_NFI[Winter Clothes Children])</f>
        <v>0</v>
      </c>
      <c r="AK770" s="436">
        <f>IF(NFI_Expiration=1,IF($A770&lt;VLOOKUP(T$5,NFI,5,0),1,0)*Table_NFI[[#This Row],[Winter Items Other]],Table_NFI[Winter Items Other])</f>
        <v>0</v>
      </c>
      <c r="AL770" s="436">
        <f>IF(NFI_Expiration=1,IF($A770&lt;VLOOKUP(M$5,NFI,5,0),1,0)*Table_NFI[[#This Row],[Winter Blanket]],Table_NFI[[#This Row],[Winter Blanket]])</f>
        <v>0</v>
      </c>
      <c r="AM770" s="436">
        <f>IF(Table_NFI[[#This Row],[Winter Clothes Adult]]+Table_NFI[[#This Row],[Winter Clothes Children]]+Table_NFI[[#This Row],[Winter Items Other]]+Table_NFI[[#This Row],[Winter Blanket]]&gt;0,1,0)</f>
        <v>0</v>
      </c>
      <c r="AN770" s="439">
        <f>IF(NFI_Expiration=1,IF($A770&lt;VLOOKUP(V$5,NFI,5,0),1,0)*Table_NFI[[#This Row],[Jerry Can]],Table_NFI[Jerry Can])</f>
        <v>0</v>
      </c>
      <c r="AO770" s="771" t="str">
        <f>IFERROR(VLOOKUP(Table_NFI[[#This Row],[Camp Name]],CL,2,0),"")</f>
        <v>MMR001CMP070</v>
      </c>
      <c r="AP770" s="772">
        <f ca="1">IF(Table_NFI[[#This Row],[Pcode]]="","",IF(OFFSET(CampList[Opening Date],MATCH(Table_NFI[[#This Row],[Pcode]],CampList[CP_Pcode],0)-1,0,1,1)&gt;=NFI_Monitor_Date,1,0))</f>
        <v>0</v>
      </c>
      <c r="AQ770" s="781" t="str">
        <f>IFERROR(VLOOKUP(Table_NFI[[#This Row],[Camp Name]],CL,3,0),"")</f>
        <v>Open</v>
      </c>
      <c r="AR770" s="439" t="str">
        <f ca="1">IF(Table_NFI[[#This Row],[Pcode]]="","",OFFSET(CampList[Priority],MATCH(Table_NFI[[#This Row],[Pcode]],CampList[CP_Pcode],0)-1,0,1,1))</f>
        <v>P3</v>
      </c>
      <c r="AS770" s="438">
        <f>IFERROR(Table_NFI[[#This Row],[Kitchen Set]]/VLOOKUP(Table_NFI[[#This Row],[Camp Name]],CL,4,0),"")</f>
        <v>0</v>
      </c>
      <c r="AT770" s="769" t="s">
        <v>1099</v>
      </c>
      <c r="AU770" s="773"/>
    </row>
    <row r="771" spans="1:47" x14ac:dyDescent="0.25">
      <c r="A771" s="451">
        <f t="shared" si="11"/>
        <v>42.1</v>
      </c>
      <c r="B771" s="768">
        <v>41107</v>
      </c>
      <c r="C771" s="769" t="s">
        <v>454</v>
      </c>
      <c r="D771" s="770" t="s">
        <v>454</v>
      </c>
      <c r="E771" s="769" t="s">
        <v>380</v>
      </c>
      <c r="F771" s="435" t="s">
        <v>151</v>
      </c>
      <c r="G771" s="435" t="s">
        <v>158</v>
      </c>
      <c r="H771" s="436"/>
      <c r="I771" s="436"/>
      <c r="J771" s="436"/>
      <c r="K771" s="436">
        <v>0</v>
      </c>
      <c r="L771" s="437">
        <v>0</v>
      </c>
      <c r="M771" s="437">
        <v>0</v>
      </c>
      <c r="N771" s="437">
        <v>0</v>
      </c>
      <c r="O771" s="437">
        <v>0</v>
      </c>
      <c r="P771" s="437"/>
      <c r="Q771" s="437"/>
      <c r="R771" s="436"/>
      <c r="S771" s="436"/>
      <c r="T771" s="436"/>
      <c r="U771" s="436"/>
      <c r="V771" s="436"/>
      <c r="W771" s="436"/>
      <c r="X771" s="436"/>
      <c r="Y771" s="436">
        <f>IF(NFI_Expiration=1,IF($A771&lt;VLOOKUP(H$5,NFI,5,0),1,0)*Table_NFI[[#This Row],[Hygiene Kit]],Table_NFI[Hygiene Kit])</f>
        <v>0</v>
      </c>
      <c r="Z771" s="436">
        <f>IF(NFI_Expiration=1,IF($A771&lt;VLOOKUP(I$5,NFI,5,0),1,0)*Table_NFI[[#This Row],[NFI Core Kit]],Table_NFI[NFI Core Kit])</f>
        <v>0</v>
      </c>
      <c r="AA771" s="436">
        <f>IF(NFI_Expiration=1,IF($A771&lt;VLOOKUP(J$5,NFI,5,0),1,0)*Table_NFI[[#This Row],[Sanitary Kit]],Table_NFI[Sanitary Kit])</f>
        <v>0</v>
      </c>
      <c r="AB771" s="436">
        <f>IF(NFI_Expiration=1,IF($A771&lt;VLOOKUP(K$5,NFI,5,0),1,0)*Table_NFI[[#This Row],[Mosquito net]],Table_NFI[Mosquito net])</f>
        <v>0</v>
      </c>
      <c r="AC771" s="436">
        <f>IF(NFI_Expiration=1,IF($A771&lt;VLOOKUP(L$5,NFI,5,0),1,0)*Table_NFI[[#This Row],[Tarpaulin]],Table_NFI[[#This Row],[Tarpaulin]])</f>
        <v>0</v>
      </c>
      <c r="AD771" s="436">
        <f>IF(NFI_Expiration=1,IF($A771&lt;VLOOKUP(M$5,NFI,5,0),1,0)*Table_NFI[[#This Row],[Blanket]],Table_NFI[[#This Row],[Blanket]])</f>
        <v>0</v>
      </c>
      <c r="AE771" s="436">
        <f>IF(NFI_Expiration=1,IF($A771&lt;VLOOKUP(N$5,NFI,5,0),1,0)*Table_NFI[[#This Row],[Kitchen Set]],Table_NFI[Kitchen Set])</f>
        <v>0</v>
      </c>
      <c r="AF771" s="436">
        <f>IF(NFI_Expiration=1,IF($A771&lt;VLOOKUP(O$5,NFI,5,0),1,0)*Table_NFI[[#This Row],[Clothes Kit]],Table_NFI[Clothes Kit])</f>
        <v>0</v>
      </c>
      <c r="AG771" s="436">
        <f>IF(NFI_Expiration=1,IF($A771&lt;VLOOKUP(P$5,NFI,5,0),1,0)*Table_NFI[[#This Row],[Plastic Bucket]],Table_NFI[Plastic Bucket])</f>
        <v>0</v>
      </c>
      <c r="AH771" s="436">
        <f>IF(NFI_Expiration=1,IF($A771&lt;VLOOKUP(Q$5,NFI,5,0),1,0)*Table_NFI[[#This Row],[Plastic Mat]],Table_NFI[Plastic Mat])*IF(Table_NFI[[#This Row],[Distribution Date]]&gt;"2014-04-01",1,2.5)</f>
        <v>0</v>
      </c>
      <c r="AI771" s="436">
        <f>IF(NFI_Expiration=1,IF($A771&lt;VLOOKUP(R$5,NFI,5,0),1,0)*Table_NFI[[#This Row],[Winter Clothes Adult]],Table_NFI[Winter Clothes Adult])</f>
        <v>0</v>
      </c>
      <c r="AJ771" s="436">
        <f>IF(NFI_Expiration=1,IF($A771&lt;VLOOKUP(S$5,NFI,5,0),1,0)*Table_NFI[[#This Row],[Winter Clothes Children]],Table_NFI[Winter Clothes Children])</f>
        <v>0</v>
      </c>
      <c r="AK771" s="436">
        <f>IF(NFI_Expiration=1,IF($A771&lt;VLOOKUP(T$5,NFI,5,0),1,0)*Table_NFI[[#This Row],[Winter Items Other]],Table_NFI[Winter Items Other])</f>
        <v>0</v>
      </c>
      <c r="AL771" s="436">
        <f>IF(NFI_Expiration=1,IF($A771&lt;VLOOKUP(M$5,NFI,5,0),1,0)*Table_NFI[[#This Row],[Winter Blanket]],Table_NFI[[#This Row],[Winter Blanket]])</f>
        <v>0</v>
      </c>
      <c r="AM771" s="436">
        <f>IF(Table_NFI[[#This Row],[Winter Clothes Adult]]+Table_NFI[[#This Row],[Winter Clothes Children]]+Table_NFI[[#This Row],[Winter Items Other]]+Table_NFI[[#This Row],[Winter Blanket]]&gt;0,1,0)</f>
        <v>0</v>
      </c>
      <c r="AN771" s="439">
        <f>IF(NFI_Expiration=1,IF($A771&lt;VLOOKUP(V$5,NFI,5,0),1,0)*Table_NFI[[#This Row],[Jerry Can]],Table_NFI[Jerry Can])</f>
        <v>0</v>
      </c>
      <c r="AO771" s="771" t="str">
        <f>IFERROR(VLOOKUP(Table_NFI[[#This Row],[Camp Name]],CL,2,0),"")</f>
        <v>MMR001CMP135</v>
      </c>
      <c r="AP771" s="772">
        <f ca="1">IF(Table_NFI[[#This Row],[Pcode]]="","",IF(OFFSET(CampList[Opening Date],MATCH(Table_NFI[[#This Row],[Pcode]],CampList[CP_Pcode],0)-1,0,1,1)&gt;=NFI_Monitor_Date,1,0))</f>
        <v>0</v>
      </c>
      <c r="AQ771" s="781" t="str">
        <f>IFERROR(VLOOKUP(Table_NFI[[#This Row],[Camp Name]],CL,3,0),"")</f>
        <v>Closed</v>
      </c>
      <c r="AR771" s="439" t="str">
        <f ca="1">IF(Table_NFI[[#This Row],[Pcode]]="","",OFFSET(CampList[Priority],MATCH(Table_NFI[[#This Row],[Pcode]],CampList[CP_Pcode],0)-1,0,1,1))</f>
        <v>P2</v>
      </c>
      <c r="AS771" s="438" t="str">
        <f>IFERROR(Table_NFI[[#This Row],[Kitchen Set]]/VLOOKUP(Table_NFI[[#This Row],[Camp Name]],CL,4,0),"")</f>
        <v/>
      </c>
      <c r="AT771" s="769" t="s">
        <v>1099</v>
      </c>
      <c r="AU771" s="773"/>
    </row>
    <row r="772" spans="1:47" x14ac:dyDescent="0.25">
      <c r="A772" s="451">
        <f t="shared" si="11"/>
        <v>42.1</v>
      </c>
      <c r="B772" s="768">
        <v>41107</v>
      </c>
      <c r="C772" s="769" t="s">
        <v>454</v>
      </c>
      <c r="D772" s="769" t="s">
        <v>454</v>
      </c>
      <c r="E772" s="769" t="s">
        <v>380</v>
      </c>
      <c r="F772" s="435" t="s">
        <v>185</v>
      </c>
      <c r="G772" s="435" t="s">
        <v>200</v>
      </c>
      <c r="H772" s="436"/>
      <c r="I772" s="436"/>
      <c r="J772" s="436"/>
      <c r="K772" s="436">
        <v>0</v>
      </c>
      <c r="L772" s="437">
        <v>0</v>
      </c>
      <c r="M772" s="437">
        <v>0</v>
      </c>
      <c r="N772" s="437">
        <v>0</v>
      </c>
      <c r="O772" s="437">
        <v>0</v>
      </c>
      <c r="P772" s="439"/>
      <c r="Q772" s="439"/>
      <c r="R772" s="436"/>
      <c r="S772" s="436"/>
      <c r="T772" s="436"/>
      <c r="U772" s="436"/>
      <c r="V772" s="436"/>
      <c r="W772" s="436"/>
      <c r="X772" s="436"/>
      <c r="Y772" s="436">
        <f>IF(NFI_Expiration=1,IF($A772&lt;VLOOKUP(H$5,NFI,5,0),1,0)*Table_NFI[[#This Row],[Hygiene Kit]],Table_NFI[Hygiene Kit])</f>
        <v>0</v>
      </c>
      <c r="Z772" s="436">
        <f>IF(NFI_Expiration=1,IF($A772&lt;VLOOKUP(I$5,NFI,5,0),1,0)*Table_NFI[[#This Row],[NFI Core Kit]],Table_NFI[NFI Core Kit])</f>
        <v>0</v>
      </c>
      <c r="AA772" s="436">
        <f>IF(NFI_Expiration=1,IF($A772&lt;VLOOKUP(J$5,NFI,5,0),1,0)*Table_NFI[[#This Row],[Sanitary Kit]],Table_NFI[Sanitary Kit])</f>
        <v>0</v>
      </c>
      <c r="AB772" s="436">
        <f>IF(NFI_Expiration=1,IF($A772&lt;VLOOKUP(K$5,NFI,5,0),1,0)*Table_NFI[[#This Row],[Mosquito net]],Table_NFI[Mosquito net])</f>
        <v>0</v>
      </c>
      <c r="AC772" s="436">
        <f>IF(NFI_Expiration=1,IF($A772&lt;VLOOKUP(L$5,NFI,5,0),1,0)*Table_NFI[[#This Row],[Tarpaulin]],Table_NFI[[#This Row],[Tarpaulin]])</f>
        <v>0</v>
      </c>
      <c r="AD772" s="436">
        <f>IF(NFI_Expiration=1,IF($A772&lt;VLOOKUP(M$5,NFI,5,0),1,0)*Table_NFI[[#This Row],[Blanket]],Table_NFI[[#This Row],[Blanket]])</f>
        <v>0</v>
      </c>
      <c r="AE772" s="436">
        <f>IF(NFI_Expiration=1,IF($A772&lt;VLOOKUP(N$5,NFI,5,0),1,0)*Table_NFI[[#This Row],[Kitchen Set]],Table_NFI[Kitchen Set])</f>
        <v>0</v>
      </c>
      <c r="AF772" s="436">
        <f>IF(NFI_Expiration=1,IF($A772&lt;VLOOKUP(O$5,NFI,5,0),1,0)*Table_NFI[[#This Row],[Clothes Kit]],Table_NFI[Clothes Kit])</f>
        <v>0</v>
      </c>
      <c r="AG772" s="436">
        <f>IF(NFI_Expiration=1,IF($A772&lt;VLOOKUP(P$5,NFI,5,0),1,0)*Table_NFI[[#This Row],[Plastic Bucket]],Table_NFI[Plastic Bucket])</f>
        <v>0</v>
      </c>
      <c r="AH772" s="436">
        <f>IF(NFI_Expiration=1,IF($A772&lt;VLOOKUP(Q$5,NFI,5,0),1,0)*Table_NFI[[#This Row],[Plastic Mat]],Table_NFI[Plastic Mat])*IF(Table_NFI[[#This Row],[Distribution Date]]&gt;"2014-04-01",1,2.5)</f>
        <v>0</v>
      </c>
      <c r="AI772" s="436">
        <f>IF(NFI_Expiration=1,IF($A772&lt;VLOOKUP(R$5,NFI,5,0),1,0)*Table_NFI[[#This Row],[Winter Clothes Adult]],Table_NFI[Winter Clothes Adult])</f>
        <v>0</v>
      </c>
      <c r="AJ772" s="436">
        <f>IF(NFI_Expiration=1,IF($A772&lt;VLOOKUP(S$5,NFI,5,0),1,0)*Table_NFI[[#This Row],[Winter Clothes Children]],Table_NFI[Winter Clothes Children])</f>
        <v>0</v>
      </c>
      <c r="AK772" s="436">
        <f>IF(NFI_Expiration=1,IF($A772&lt;VLOOKUP(T$5,NFI,5,0),1,0)*Table_NFI[[#This Row],[Winter Items Other]],Table_NFI[Winter Items Other])</f>
        <v>0</v>
      </c>
      <c r="AL772" s="436">
        <f>IF(NFI_Expiration=1,IF($A772&lt;VLOOKUP(M$5,NFI,5,0),1,0)*Table_NFI[[#This Row],[Winter Blanket]],Table_NFI[[#This Row],[Winter Blanket]])</f>
        <v>0</v>
      </c>
      <c r="AM772" s="436">
        <f>IF(Table_NFI[[#This Row],[Winter Clothes Adult]]+Table_NFI[[#This Row],[Winter Clothes Children]]+Table_NFI[[#This Row],[Winter Items Other]]+Table_NFI[[#This Row],[Winter Blanket]]&gt;0,1,0)</f>
        <v>0</v>
      </c>
      <c r="AN772" s="439">
        <f>IF(NFI_Expiration=1,IF($A772&lt;VLOOKUP(V$5,NFI,5,0),1,0)*Table_NFI[[#This Row],[Jerry Can]],Table_NFI[Jerry Can])</f>
        <v>0</v>
      </c>
      <c r="AO772" s="771" t="str">
        <f>IFERROR(VLOOKUP(Table_NFI[[#This Row],[Camp Name]],CL,2,0),"")</f>
        <v>MMR001CMP064</v>
      </c>
      <c r="AP772" s="772">
        <f ca="1">IF(Table_NFI[[#This Row],[Pcode]]="","",IF(OFFSET(CampList[Opening Date],MATCH(Table_NFI[[#This Row],[Pcode]],CampList[CP_Pcode],0)-1,0,1,1)&gt;=NFI_Monitor_Date,1,0))</f>
        <v>0</v>
      </c>
      <c r="AQ772" s="781" t="str">
        <f>IFERROR(VLOOKUP(Table_NFI[[#This Row],[Camp Name]],CL,3,0),"")</f>
        <v>Open</v>
      </c>
      <c r="AR772" s="439" t="str">
        <f ca="1">IF(Table_NFI[[#This Row],[Pcode]]="","",OFFSET(CampList[Priority],MATCH(Table_NFI[[#This Row],[Pcode]],CampList[CP_Pcode],0)-1,0,1,1))</f>
        <v>P4</v>
      </c>
      <c r="AS772" s="438">
        <f>IFERROR(Table_NFI[[#This Row],[Kitchen Set]]/VLOOKUP(Table_NFI[[#This Row],[Camp Name]],CL,4,0),"")</f>
        <v>0</v>
      </c>
      <c r="AT772" s="769" t="s">
        <v>1099</v>
      </c>
      <c r="AU772" s="773"/>
    </row>
    <row r="773" spans="1:47" x14ac:dyDescent="0.25">
      <c r="A773" s="451">
        <f t="shared" si="11"/>
        <v>42.1</v>
      </c>
      <c r="B773" s="768">
        <v>41107</v>
      </c>
      <c r="C773" s="769" t="s">
        <v>454</v>
      </c>
      <c r="D773" s="770" t="s">
        <v>454</v>
      </c>
      <c r="E773" s="769" t="s">
        <v>380</v>
      </c>
      <c r="F773" s="435" t="s">
        <v>185</v>
      </c>
      <c r="G773" s="435" t="s">
        <v>200</v>
      </c>
      <c r="H773" s="436"/>
      <c r="I773" s="436"/>
      <c r="J773" s="436"/>
      <c r="K773" s="436">
        <v>0</v>
      </c>
      <c r="L773" s="437">
        <v>0</v>
      </c>
      <c r="M773" s="437">
        <v>0</v>
      </c>
      <c r="N773" s="437">
        <v>0</v>
      </c>
      <c r="O773" s="437">
        <v>0</v>
      </c>
      <c r="P773" s="437"/>
      <c r="Q773" s="437"/>
      <c r="R773" s="436"/>
      <c r="S773" s="436"/>
      <c r="T773" s="436"/>
      <c r="U773" s="436"/>
      <c r="V773" s="436"/>
      <c r="W773" s="436"/>
      <c r="X773" s="436"/>
      <c r="Y773" s="436">
        <f>IF(NFI_Expiration=1,IF($A773&lt;VLOOKUP(H$5,NFI,5,0),1,0)*Table_NFI[[#This Row],[Hygiene Kit]],Table_NFI[Hygiene Kit])</f>
        <v>0</v>
      </c>
      <c r="Z773" s="436">
        <f>IF(NFI_Expiration=1,IF($A773&lt;VLOOKUP(I$5,NFI,5,0),1,0)*Table_NFI[[#This Row],[NFI Core Kit]],Table_NFI[NFI Core Kit])</f>
        <v>0</v>
      </c>
      <c r="AA773" s="436">
        <f>IF(NFI_Expiration=1,IF($A773&lt;VLOOKUP(J$5,NFI,5,0),1,0)*Table_NFI[[#This Row],[Sanitary Kit]],Table_NFI[Sanitary Kit])</f>
        <v>0</v>
      </c>
      <c r="AB773" s="436">
        <f>IF(NFI_Expiration=1,IF($A773&lt;VLOOKUP(K$5,NFI,5,0),1,0)*Table_NFI[[#This Row],[Mosquito net]],Table_NFI[Mosquito net])</f>
        <v>0</v>
      </c>
      <c r="AC773" s="436">
        <f>IF(NFI_Expiration=1,IF($A773&lt;VLOOKUP(L$5,NFI,5,0),1,0)*Table_NFI[[#This Row],[Tarpaulin]],Table_NFI[[#This Row],[Tarpaulin]])</f>
        <v>0</v>
      </c>
      <c r="AD773" s="436">
        <f>IF(NFI_Expiration=1,IF($A773&lt;VLOOKUP(M$5,NFI,5,0),1,0)*Table_NFI[[#This Row],[Blanket]],Table_NFI[[#This Row],[Blanket]])</f>
        <v>0</v>
      </c>
      <c r="AE773" s="436">
        <f>IF(NFI_Expiration=1,IF($A773&lt;VLOOKUP(N$5,NFI,5,0),1,0)*Table_NFI[[#This Row],[Kitchen Set]],Table_NFI[Kitchen Set])</f>
        <v>0</v>
      </c>
      <c r="AF773" s="436">
        <f>IF(NFI_Expiration=1,IF($A773&lt;VLOOKUP(O$5,NFI,5,0),1,0)*Table_NFI[[#This Row],[Clothes Kit]],Table_NFI[Clothes Kit])</f>
        <v>0</v>
      </c>
      <c r="AG773" s="436">
        <f>IF(NFI_Expiration=1,IF($A773&lt;VLOOKUP(P$5,NFI,5,0),1,0)*Table_NFI[[#This Row],[Plastic Bucket]],Table_NFI[Plastic Bucket])</f>
        <v>0</v>
      </c>
      <c r="AH773" s="436">
        <f>IF(NFI_Expiration=1,IF($A773&lt;VLOOKUP(Q$5,NFI,5,0),1,0)*Table_NFI[[#This Row],[Plastic Mat]],Table_NFI[Plastic Mat])*IF(Table_NFI[[#This Row],[Distribution Date]]&gt;"2014-04-01",1,2.5)</f>
        <v>0</v>
      </c>
      <c r="AI773" s="436">
        <f>IF(NFI_Expiration=1,IF($A773&lt;VLOOKUP(R$5,NFI,5,0),1,0)*Table_NFI[[#This Row],[Winter Clothes Adult]],Table_NFI[Winter Clothes Adult])</f>
        <v>0</v>
      </c>
      <c r="AJ773" s="436">
        <f>IF(NFI_Expiration=1,IF($A773&lt;VLOOKUP(S$5,NFI,5,0),1,0)*Table_NFI[[#This Row],[Winter Clothes Children]],Table_NFI[Winter Clothes Children])</f>
        <v>0</v>
      </c>
      <c r="AK773" s="436">
        <f>IF(NFI_Expiration=1,IF($A773&lt;VLOOKUP(T$5,NFI,5,0),1,0)*Table_NFI[[#This Row],[Winter Items Other]],Table_NFI[Winter Items Other])</f>
        <v>0</v>
      </c>
      <c r="AL773" s="436">
        <f>IF(NFI_Expiration=1,IF($A773&lt;VLOOKUP(M$5,NFI,5,0),1,0)*Table_NFI[[#This Row],[Winter Blanket]],Table_NFI[[#This Row],[Winter Blanket]])</f>
        <v>0</v>
      </c>
      <c r="AM773" s="436">
        <f>IF(Table_NFI[[#This Row],[Winter Clothes Adult]]+Table_NFI[[#This Row],[Winter Clothes Children]]+Table_NFI[[#This Row],[Winter Items Other]]+Table_NFI[[#This Row],[Winter Blanket]]&gt;0,1,0)</f>
        <v>0</v>
      </c>
      <c r="AN773" s="439">
        <f>IF(NFI_Expiration=1,IF($A773&lt;VLOOKUP(V$5,NFI,5,0),1,0)*Table_NFI[[#This Row],[Jerry Can]],Table_NFI[Jerry Can])</f>
        <v>0</v>
      </c>
      <c r="AO773" s="771" t="str">
        <f>IFERROR(VLOOKUP(Table_NFI[[#This Row],[Camp Name]],CL,2,0),"")</f>
        <v>MMR001CMP064</v>
      </c>
      <c r="AP773" s="772">
        <f ca="1">IF(Table_NFI[[#This Row],[Pcode]]="","",IF(OFFSET(CampList[Opening Date],MATCH(Table_NFI[[#This Row],[Pcode]],CampList[CP_Pcode],0)-1,0,1,1)&gt;=NFI_Monitor_Date,1,0))</f>
        <v>0</v>
      </c>
      <c r="AQ773" s="781" t="str">
        <f>IFERROR(VLOOKUP(Table_NFI[[#This Row],[Camp Name]],CL,3,0),"")</f>
        <v>Open</v>
      </c>
      <c r="AR773" s="439" t="str">
        <f ca="1">IF(Table_NFI[[#This Row],[Pcode]]="","",OFFSET(CampList[Priority],MATCH(Table_NFI[[#This Row],[Pcode]],CampList[CP_Pcode],0)-1,0,1,1))</f>
        <v>P4</v>
      </c>
      <c r="AS773" s="438">
        <f>IFERROR(Table_NFI[[#This Row],[Kitchen Set]]/VLOOKUP(Table_NFI[[#This Row],[Camp Name]],CL,4,0),"")</f>
        <v>0</v>
      </c>
      <c r="AT773" s="769" t="s">
        <v>1099</v>
      </c>
      <c r="AU773" s="773"/>
    </row>
    <row r="774" spans="1:47" x14ac:dyDescent="0.25">
      <c r="A774" s="451">
        <f t="shared" ref="A774:A837" si="12">IF(ISBLANK(B774),"",(Report_Date-B774)/30)</f>
        <v>42.1</v>
      </c>
      <c r="B774" s="768">
        <v>41107</v>
      </c>
      <c r="C774" s="769" t="s">
        <v>454</v>
      </c>
      <c r="D774" s="770" t="s">
        <v>454</v>
      </c>
      <c r="E774" s="769" t="s">
        <v>380</v>
      </c>
      <c r="F774" s="435" t="s">
        <v>151</v>
      </c>
      <c r="G774" s="435" t="s">
        <v>160</v>
      </c>
      <c r="H774" s="436"/>
      <c r="I774" s="436"/>
      <c r="J774" s="436"/>
      <c r="K774" s="436">
        <v>0</v>
      </c>
      <c r="L774" s="437">
        <v>0</v>
      </c>
      <c r="M774" s="437">
        <v>0</v>
      </c>
      <c r="N774" s="437">
        <v>0</v>
      </c>
      <c r="O774" s="437">
        <v>0</v>
      </c>
      <c r="P774" s="437"/>
      <c r="Q774" s="437"/>
      <c r="R774" s="436"/>
      <c r="S774" s="436"/>
      <c r="T774" s="436"/>
      <c r="U774" s="436"/>
      <c r="V774" s="436"/>
      <c r="W774" s="436"/>
      <c r="X774" s="436"/>
      <c r="Y774" s="436">
        <f>IF(NFI_Expiration=1,IF($A774&lt;VLOOKUP(H$5,NFI,5,0),1,0)*Table_NFI[[#This Row],[Hygiene Kit]],Table_NFI[Hygiene Kit])</f>
        <v>0</v>
      </c>
      <c r="Z774" s="436">
        <f>IF(NFI_Expiration=1,IF($A774&lt;VLOOKUP(I$5,NFI,5,0),1,0)*Table_NFI[[#This Row],[NFI Core Kit]],Table_NFI[NFI Core Kit])</f>
        <v>0</v>
      </c>
      <c r="AA774" s="436">
        <f>IF(NFI_Expiration=1,IF($A774&lt;VLOOKUP(J$5,NFI,5,0),1,0)*Table_NFI[[#This Row],[Sanitary Kit]],Table_NFI[Sanitary Kit])</f>
        <v>0</v>
      </c>
      <c r="AB774" s="436">
        <f>IF(NFI_Expiration=1,IF($A774&lt;VLOOKUP(K$5,NFI,5,0),1,0)*Table_NFI[[#This Row],[Mosquito net]],Table_NFI[Mosquito net])</f>
        <v>0</v>
      </c>
      <c r="AC774" s="436">
        <f>IF(NFI_Expiration=1,IF($A774&lt;VLOOKUP(L$5,NFI,5,0),1,0)*Table_NFI[[#This Row],[Tarpaulin]],Table_NFI[[#This Row],[Tarpaulin]])</f>
        <v>0</v>
      </c>
      <c r="AD774" s="436">
        <f>IF(NFI_Expiration=1,IF($A774&lt;VLOOKUP(M$5,NFI,5,0),1,0)*Table_NFI[[#This Row],[Blanket]],Table_NFI[[#This Row],[Blanket]])</f>
        <v>0</v>
      </c>
      <c r="AE774" s="436">
        <f>IF(NFI_Expiration=1,IF($A774&lt;VLOOKUP(N$5,NFI,5,0),1,0)*Table_NFI[[#This Row],[Kitchen Set]],Table_NFI[Kitchen Set])</f>
        <v>0</v>
      </c>
      <c r="AF774" s="436">
        <f>IF(NFI_Expiration=1,IF($A774&lt;VLOOKUP(O$5,NFI,5,0),1,0)*Table_NFI[[#This Row],[Clothes Kit]],Table_NFI[Clothes Kit])</f>
        <v>0</v>
      </c>
      <c r="AG774" s="436">
        <f>IF(NFI_Expiration=1,IF($A774&lt;VLOOKUP(P$5,NFI,5,0),1,0)*Table_NFI[[#This Row],[Plastic Bucket]],Table_NFI[Plastic Bucket])</f>
        <v>0</v>
      </c>
      <c r="AH774" s="436">
        <f>IF(NFI_Expiration=1,IF($A774&lt;VLOOKUP(Q$5,NFI,5,0),1,0)*Table_NFI[[#This Row],[Plastic Mat]],Table_NFI[Plastic Mat])*IF(Table_NFI[[#This Row],[Distribution Date]]&gt;"2014-04-01",1,2.5)</f>
        <v>0</v>
      </c>
      <c r="AI774" s="436">
        <f>IF(NFI_Expiration=1,IF($A774&lt;VLOOKUP(R$5,NFI,5,0),1,0)*Table_NFI[[#This Row],[Winter Clothes Adult]],Table_NFI[Winter Clothes Adult])</f>
        <v>0</v>
      </c>
      <c r="AJ774" s="436">
        <f>IF(NFI_Expiration=1,IF($A774&lt;VLOOKUP(S$5,NFI,5,0),1,0)*Table_NFI[[#This Row],[Winter Clothes Children]],Table_NFI[Winter Clothes Children])</f>
        <v>0</v>
      </c>
      <c r="AK774" s="436">
        <f>IF(NFI_Expiration=1,IF($A774&lt;VLOOKUP(T$5,NFI,5,0),1,0)*Table_NFI[[#This Row],[Winter Items Other]],Table_NFI[Winter Items Other])</f>
        <v>0</v>
      </c>
      <c r="AL774" s="436">
        <f>IF(NFI_Expiration=1,IF($A774&lt;VLOOKUP(M$5,NFI,5,0),1,0)*Table_NFI[[#This Row],[Winter Blanket]],Table_NFI[[#This Row],[Winter Blanket]])</f>
        <v>0</v>
      </c>
      <c r="AM774" s="436">
        <f>IF(Table_NFI[[#This Row],[Winter Clothes Adult]]+Table_NFI[[#This Row],[Winter Clothes Children]]+Table_NFI[[#This Row],[Winter Items Other]]+Table_NFI[[#This Row],[Winter Blanket]]&gt;0,1,0)</f>
        <v>0</v>
      </c>
      <c r="AN774" s="439">
        <f>IF(NFI_Expiration=1,IF($A774&lt;VLOOKUP(V$5,NFI,5,0),1,0)*Table_NFI[[#This Row],[Jerry Can]],Table_NFI[Jerry Can])</f>
        <v>0</v>
      </c>
      <c r="AO774" s="771" t="str">
        <f>IFERROR(VLOOKUP(Table_NFI[[#This Row],[Camp Name]],CL,2,0),"")</f>
        <v>MMR001CMP133</v>
      </c>
      <c r="AP774" s="772">
        <f ca="1">IF(Table_NFI[[#This Row],[Pcode]]="","",IF(OFFSET(CampList[Opening Date],MATCH(Table_NFI[[#This Row],[Pcode]],CampList[CP_Pcode],0)-1,0,1,1)&gt;=NFI_Monitor_Date,1,0))</f>
        <v>0</v>
      </c>
      <c r="AQ774" s="781" t="str">
        <f>IFERROR(VLOOKUP(Table_NFI[[#This Row],[Camp Name]],CL,3,0),"")</f>
        <v>Open</v>
      </c>
      <c r="AR774" s="439" t="str">
        <f ca="1">IF(Table_NFI[[#This Row],[Pcode]]="","",OFFSET(CampList[Priority],MATCH(Table_NFI[[#This Row],[Pcode]],CampList[CP_Pcode],0)-1,0,1,1))</f>
        <v>P4</v>
      </c>
      <c r="AS774" s="438">
        <f>IFERROR(Table_NFI[[#This Row],[Kitchen Set]]/VLOOKUP(Table_NFI[[#This Row],[Camp Name]],CL,4,0),"")</f>
        <v>0</v>
      </c>
      <c r="AT774" s="769" t="s">
        <v>1099</v>
      </c>
      <c r="AU774" s="773"/>
    </row>
    <row r="775" spans="1:47" x14ac:dyDescent="0.25">
      <c r="A775" s="451">
        <f t="shared" si="12"/>
        <v>42.1</v>
      </c>
      <c r="B775" s="768">
        <v>41107</v>
      </c>
      <c r="C775" s="769" t="s">
        <v>454</v>
      </c>
      <c r="D775" s="770" t="s">
        <v>454</v>
      </c>
      <c r="E775" s="769" t="s">
        <v>380</v>
      </c>
      <c r="F775" s="435" t="s">
        <v>237</v>
      </c>
      <c r="G775" s="435" t="s">
        <v>263</v>
      </c>
      <c r="H775" s="436"/>
      <c r="I775" s="436"/>
      <c r="J775" s="436"/>
      <c r="K775" s="436">
        <v>0</v>
      </c>
      <c r="L775" s="437">
        <v>0</v>
      </c>
      <c r="M775" s="437">
        <v>0</v>
      </c>
      <c r="N775" s="437">
        <v>0</v>
      </c>
      <c r="O775" s="437">
        <v>0</v>
      </c>
      <c r="P775" s="437"/>
      <c r="Q775" s="437"/>
      <c r="R775" s="436"/>
      <c r="S775" s="436"/>
      <c r="T775" s="436"/>
      <c r="U775" s="436"/>
      <c r="V775" s="436"/>
      <c r="W775" s="436"/>
      <c r="X775" s="436"/>
      <c r="Y775" s="436">
        <f>IF(NFI_Expiration=1,IF($A775&lt;VLOOKUP(H$5,NFI,5,0),1,0)*Table_NFI[[#This Row],[Hygiene Kit]],Table_NFI[Hygiene Kit])</f>
        <v>0</v>
      </c>
      <c r="Z775" s="436">
        <f>IF(NFI_Expiration=1,IF($A775&lt;VLOOKUP(I$5,NFI,5,0),1,0)*Table_NFI[[#This Row],[NFI Core Kit]],Table_NFI[NFI Core Kit])</f>
        <v>0</v>
      </c>
      <c r="AA775" s="436">
        <f>IF(NFI_Expiration=1,IF($A775&lt;VLOOKUP(J$5,NFI,5,0),1,0)*Table_NFI[[#This Row],[Sanitary Kit]],Table_NFI[Sanitary Kit])</f>
        <v>0</v>
      </c>
      <c r="AB775" s="436">
        <f>IF(NFI_Expiration=1,IF($A775&lt;VLOOKUP(K$5,NFI,5,0),1,0)*Table_NFI[[#This Row],[Mosquito net]],Table_NFI[Mosquito net])</f>
        <v>0</v>
      </c>
      <c r="AC775" s="436">
        <f>IF(NFI_Expiration=1,IF($A775&lt;VLOOKUP(L$5,NFI,5,0),1,0)*Table_NFI[[#This Row],[Tarpaulin]],Table_NFI[[#This Row],[Tarpaulin]])</f>
        <v>0</v>
      </c>
      <c r="AD775" s="436">
        <f>IF(NFI_Expiration=1,IF($A775&lt;VLOOKUP(M$5,NFI,5,0),1,0)*Table_NFI[[#This Row],[Blanket]],Table_NFI[[#This Row],[Blanket]])</f>
        <v>0</v>
      </c>
      <c r="AE775" s="436">
        <f>IF(NFI_Expiration=1,IF($A775&lt;VLOOKUP(N$5,NFI,5,0),1,0)*Table_NFI[[#This Row],[Kitchen Set]],Table_NFI[Kitchen Set])</f>
        <v>0</v>
      </c>
      <c r="AF775" s="436">
        <f>IF(NFI_Expiration=1,IF($A775&lt;VLOOKUP(O$5,NFI,5,0),1,0)*Table_NFI[[#This Row],[Clothes Kit]],Table_NFI[Clothes Kit])</f>
        <v>0</v>
      </c>
      <c r="AG775" s="436">
        <f>IF(NFI_Expiration=1,IF($A775&lt;VLOOKUP(P$5,NFI,5,0),1,0)*Table_NFI[[#This Row],[Plastic Bucket]],Table_NFI[Plastic Bucket])</f>
        <v>0</v>
      </c>
      <c r="AH775" s="436">
        <f>IF(NFI_Expiration=1,IF($A775&lt;VLOOKUP(Q$5,NFI,5,0),1,0)*Table_NFI[[#This Row],[Plastic Mat]],Table_NFI[Plastic Mat])*IF(Table_NFI[[#This Row],[Distribution Date]]&gt;"2014-04-01",1,2.5)</f>
        <v>0</v>
      </c>
      <c r="AI775" s="436">
        <f>IF(NFI_Expiration=1,IF($A775&lt;VLOOKUP(R$5,NFI,5,0),1,0)*Table_NFI[[#This Row],[Winter Clothes Adult]],Table_NFI[Winter Clothes Adult])</f>
        <v>0</v>
      </c>
      <c r="AJ775" s="436">
        <f>IF(NFI_Expiration=1,IF($A775&lt;VLOOKUP(S$5,NFI,5,0),1,0)*Table_NFI[[#This Row],[Winter Clothes Children]],Table_NFI[Winter Clothes Children])</f>
        <v>0</v>
      </c>
      <c r="AK775" s="436">
        <f>IF(NFI_Expiration=1,IF($A775&lt;VLOOKUP(T$5,NFI,5,0),1,0)*Table_NFI[[#This Row],[Winter Items Other]],Table_NFI[Winter Items Other])</f>
        <v>0</v>
      </c>
      <c r="AL775" s="436">
        <f>IF(NFI_Expiration=1,IF($A775&lt;VLOOKUP(M$5,NFI,5,0),1,0)*Table_NFI[[#This Row],[Winter Blanket]],Table_NFI[[#This Row],[Winter Blanket]])</f>
        <v>0</v>
      </c>
      <c r="AM775" s="436">
        <f>IF(Table_NFI[[#This Row],[Winter Clothes Adult]]+Table_NFI[[#This Row],[Winter Clothes Children]]+Table_NFI[[#This Row],[Winter Items Other]]+Table_NFI[[#This Row],[Winter Blanket]]&gt;0,1,0)</f>
        <v>0</v>
      </c>
      <c r="AN775" s="439">
        <f>IF(NFI_Expiration=1,IF($A775&lt;VLOOKUP(V$5,NFI,5,0),1,0)*Table_NFI[[#This Row],[Jerry Can]],Table_NFI[Jerry Can])</f>
        <v>0</v>
      </c>
      <c r="AO775" s="771" t="str">
        <f>IFERROR(VLOOKUP(Table_NFI[[#This Row],[Camp Name]],CL,2,0),"")</f>
        <v>MMR001CMP020</v>
      </c>
      <c r="AP775" s="772">
        <f ca="1">IF(Table_NFI[[#This Row],[Pcode]]="","",IF(OFFSET(CampList[Opening Date],MATCH(Table_NFI[[#This Row],[Pcode]],CampList[CP_Pcode],0)-1,0,1,1)&gt;=NFI_Monitor_Date,1,0))</f>
        <v>0</v>
      </c>
      <c r="AQ775" s="781" t="str">
        <f>IFERROR(VLOOKUP(Table_NFI[[#This Row],[Camp Name]],CL,3,0),"")</f>
        <v>Open</v>
      </c>
      <c r="AR775" s="439" t="str">
        <f ca="1">IF(Table_NFI[[#This Row],[Pcode]]="","",OFFSET(CampList[Priority],MATCH(Table_NFI[[#This Row],[Pcode]],CampList[CP_Pcode],0)-1,0,1,1))</f>
        <v>P4</v>
      </c>
      <c r="AS775" s="438">
        <f>IFERROR(Table_NFI[[#This Row],[Kitchen Set]]/VLOOKUP(Table_NFI[[#This Row],[Camp Name]],CL,4,0),"")</f>
        <v>0</v>
      </c>
      <c r="AT775" s="769" t="s">
        <v>1099</v>
      </c>
      <c r="AU775" s="773"/>
    </row>
    <row r="776" spans="1:47" s="774" customFormat="1" x14ac:dyDescent="0.25">
      <c r="A776" s="451">
        <f t="shared" si="12"/>
        <v>42.1</v>
      </c>
      <c r="B776" s="768">
        <v>41107</v>
      </c>
      <c r="C776" s="769" t="s">
        <v>454</v>
      </c>
      <c r="D776" s="770" t="s">
        <v>454</v>
      </c>
      <c r="E776" s="769" t="s">
        <v>380</v>
      </c>
      <c r="F776" s="435" t="s">
        <v>237</v>
      </c>
      <c r="G776" s="435" t="s">
        <v>263</v>
      </c>
      <c r="H776" s="436"/>
      <c r="I776" s="436"/>
      <c r="J776" s="436"/>
      <c r="K776" s="436">
        <v>19</v>
      </c>
      <c r="L776" s="437">
        <v>19</v>
      </c>
      <c r="M776" s="437">
        <v>19</v>
      </c>
      <c r="N776" s="437">
        <v>19</v>
      </c>
      <c r="O776" s="437">
        <v>19</v>
      </c>
      <c r="P776" s="437">
        <v>19</v>
      </c>
      <c r="Q776" s="437">
        <v>19</v>
      </c>
      <c r="R776" s="436"/>
      <c r="S776" s="436"/>
      <c r="T776" s="436"/>
      <c r="U776" s="436"/>
      <c r="V776" s="436"/>
      <c r="W776" s="436"/>
      <c r="X776" s="436"/>
      <c r="Y776" s="436">
        <f>IF(NFI_Expiration=1,IF($A776&lt;VLOOKUP(H$5,NFI,5,0),1,0)*Table_NFI[[#This Row],[Hygiene Kit]],Table_NFI[Hygiene Kit])</f>
        <v>0</v>
      </c>
      <c r="Z776" s="436">
        <f>IF(NFI_Expiration=1,IF($A776&lt;VLOOKUP(I$5,NFI,5,0),1,0)*Table_NFI[[#This Row],[NFI Core Kit]],Table_NFI[NFI Core Kit])</f>
        <v>0</v>
      </c>
      <c r="AA776" s="436">
        <f>IF(NFI_Expiration=1,IF($A776&lt;VLOOKUP(J$5,NFI,5,0),1,0)*Table_NFI[[#This Row],[Sanitary Kit]],Table_NFI[Sanitary Kit])</f>
        <v>0</v>
      </c>
      <c r="AB776" s="436">
        <f>IF(NFI_Expiration=1,IF($A776&lt;VLOOKUP(K$5,NFI,5,0),1,0)*Table_NFI[[#This Row],[Mosquito net]],Table_NFI[Mosquito net])</f>
        <v>0</v>
      </c>
      <c r="AC776" s="436">
        <f>IF(NFI_Expiration=1,IF($A776&lt;VLOOKUP(L$5,NFI,5,0),1,0)*Table_NFI[[#This Row],[Tarpaulin]],Table_NFI[[#This Row],[Tarpaulin]])</f>
        <v>0</v>
      </c>
      <c r="AD776" s="436">
        <f>IF(NFI_Expiration=1,IF($A776&lt;VLOOKUP(M$5,NFI,5,0),1,0)*Table_NFI[[#This Row],[Blanket]],Table_NFI[[#This Row],[Blanket]])</f>
        <v>0</v>
      </c>
      <c r="AE776" s="436">
        <f>IF(NFI_Expiration=1,IF($A776&lt;VLOOKUP(N$5,NFI,5,0),1,0)*Table_NFI[[#This Row],[Kitchen Set]],Table_NFI[Kitchen Set])</f>
        <v>0</v>
      </c>
      <c r="AF776" s="436">
        <f>IF(NFI_Expiration=1,IF($A776&lt;VLOOKUP(O$5,NFI,5,0),1,0)*Table_NFI[[#This Row],[Clothes Kit]],Table_NFI[Clothes Kit])</f>
        <v>0</v>
      </c>
      <c r="AG776" s="436">
        <f>IF(NFI_Expiration=1,IF($A776&lt;VLOOKUP(P$5,NFI,5,0),1,0)*Table_NFI[[#This Row],[Plastic Bucket]],Table_NFI[Plastic Bucket])</f>
        <v>0</v>
      </c>
      <c r="AH776" s="436">
        <f>IF(NFI_Expiration=1,IF($A776&lt;VLOOKUP(Q$5,NFI,5,0),1,0)*Table_NFI[[#This Row],[Plastic Mat]],Table_NFI[Plastic Mat])*IF(Table_NFI[[#This Row],[Distribution Date]]&gt;"2014-04-01",1,2.5)</f>
        <v>0</v>
      </c>
      <c r="AI776" s="436">
        <f>IF(NFI_Expiration=1,IF($A776&lt;VLOOKUP(R$5,NFI,5,0),1,0)*Table_NFI[[#This Row],[Winter Clothes Adult]],Table_NFI[Winter Clothes Adult])</f>
        <v>0</v>
      </c>
      <c r="AJ776" s="436">
        <f>IF(NFI_Expiration=1,IF($A776&lt;VLOOKUP(S$5,NFI,5,0),1,0)*Table_NFI[[#This Row],[Winter Clothes Children]],Table_NFI[Winter Clothes Children])</f>
        <v>0</v>
      </c>
      <c r="AK776" s="436">
        <f>IF(NFI_Expiration=1,IF($A776&lt;VLOOKUP(T$5,NFI,5,0),1,0)*Table_NFI[[#This Row],[Winter Items Other]],Table_NFI[Winter Items Other])</f>
        <v>0</v>
      </c>
      <c r="AL776" s="436">
        <f>IF(NFI_Expiration=1,IF($A776&lt;VLOOKUP(M$5,NFI,5,0),1,0)*Table_NFI[[#This Row],[Winter Blanket]],Table_NFI[[#This Row],[Winter Blanket]])</f>
        <v>0</v>
      </c>
      <c r="AM776" s="436">
        <f>IF(Table_NFI[[#This Row],[Winter Clothes Adult]]+Table_NFI[[#This Row],[Winter Clothes Children]]+Table_NFI[[#This Row],[Winter Items Other]]+Table_NFI[[#This Row],[Winter Blanket]]&gt;0,1,0)</f>
        <v>0</v>
      </c>
      <c r="AN776" s="439">
        <f>IF(NFI_Expiration=1,IF($A776&lt;VLOOKUP(V$5,NFI,5,0),1,0)*Table_NFI[[#This Row],[Jerry Can]],Table_NFI[Jerry Can])</f>
        <v>0</v>
      </c>
      <c r="AO776" s="771" t="str">
        <f>IFERROR(VLOOKUP(Table_NFI[[#This Row],[Camp Name]],CL,2,0),"")</f>
        <v>MMR001CMP020</v>
      </c>
      <c r="AP776" s="772">
        <f ca="1">IF(Table_NFI[[#This Row],[Pcode]]="","",IF(OFFSET(CampList[Opening Date],MATCH(Table_NFI[[#This Row],[Pcode]],CampList[CP_Pcode],0)-1,0,1,1)&gt;=NFI_Monitor_Date,1,0))</f>
        <v>0</v>
      </c>
      <c r="AQ776" s="781" t="str">
        <f>IFERROR(VLOOKUP(Table_NFI[[#This Row],[Camp Name]],CL,3,0),"")</f>
        <v>Open</v>
      </c>
      <c r="AR776" s="439" t="str">
        <f ca="1">IF(Table_NFI[[#This Row],[Pcode]]="","",OFFSET(CampList[Priority],MATCH(Table_NFI[[#This Row],[Pcode]],CampList[CP_Pcode],0)-1,0,1,1))</f>
        <v>P4</v>
      </c>
      <c r="AS776" s="438">
        <f>IFERROR(Table_NFI[[#This Row],[Kitchen Set]]/VLOOKUP(Table_NFI[[#This Row],[Camp Name]],CL,4,0),"")</f>
        <v>0.86363636363636365</v>
      </c>
      <c r="AT776" s="769" t="s">
        <v>1099</v>
      </c>
      <c r="AU776" s="773"/>
    </row>
    <row r="777" spans="1:47" s="774" customFormat="1" x14ac:dyDescent="0.25">
      <c r="A777" s="451">
        <f t="shared" si="12"/>
        <v>42.1</v>
      </c>
      <c r="B777" s="768">
        <v>41107</v>
      </c>
      <c r="C777" s="769" t="s">
        <v>454</v>
      </c>
      <c r="D777" s="770" t="s">
        <v>454</v>
      </c>
      <c r="E777" s="769" t="s">
        <v>380</v>
      </c>
      <c r="F777" s="435" t="s">
        <v>310</v>
      </c>
      <c r="G777" s="435" t="s">
        <v>1260</v>
      </c>
      <c r="H777" s="436"/>
      <c r="I777" s="436"/>
      <c r="J777" s="436"/>
      <c r="K777" s="436">
        <v>0</v>
      </c>
      <c r="L777" s="437">
        <v>0</v>
      </c>
      <c r="M777" s="437">
        <v>0</v>
      </c>
      <c r="N777" s="437">
        <v>0</v>
      </c>
      <c r="O777" s="437">
        <v>0</v>
      </c>
      <c r="P777" s="437"/>
      <c r="Q777" s="437"/>
      <c r="R777" s="436"/>
      <c r="S777" s="436"/>
      <c r="T777" s="436"/>
      <c r="U777" s="436"/>
      <c r="V777" s="436"/>
      <c r="W777" s="436"/>
      <c r="X777" s="436"/>
      <c r="Y777" s="436">
        <f>IF(NFI_Expiration=1,IF($A777&lt;VLOOKUP(H$5,NFI,5,0),1,0)*Table_NFI[[#This Row],[Hygiene Kit]],Table_NFI[Hygiene Kit])</f>
        <v>0</v>
      </c>
      <c r="Z777" s="436">
        <f>IF(NFI_Expiration=1,IF($A777&lt;VLOOKUP(I$5,NFI,5,0),1,0)*Table_NFI[[#This Row],[NFI Core Kit]],Table_NFI[NFI Core Kit])</f>
        <v>0</v>
      </c>
      <c r="AA777" s="436">
        <f>IF(NFI_Expiration=1,IF($A777&lt;VLOOKUP(J$5,NFI,5,0),1,0)*Table_NFI[[#This Row],[Sanitary Kit]],Table_NFI[Sanitary Kit])</f>
        <v>0</v>
      </c>
      <c r="AB777" s="436">
        <f>IF(NFI_Expiration=1,IF($A777&lt;VLOOKUP(K$5,NFI,5,0),1,0)*Table_NFI[[#This Row],[Mosquito net]],Table_NFI[Mosquito net])</f>
        <v>0</v>
      </c>
      <c r="AC777" s="436">
        <f>IF(NFI_Expiration=1,IF($A777&lt;VLOOKUP(L$5,NFI,5,0),1,0)*Table_NFI[[#This Row],[Tarpaulin]],Table_NFI[[#This Row],[Tarpaulin]])</f>
        <v>0</v>
      </c>
      <c r="AD777" s="436">
        <f>IF(NFI_Expiration=1,IF($A777&lt;VLOOKUP(M$5,NFI,5,0),1,0)*Table_NFI[[#This Row],[Blanket]],Table_NFI[[#This Row],[Blanket]])</f>
        <v>0</v>
      </c>
      <c r="AE777" s="436">
        <f>IF(NFI_Expiration=1,IF($A777&lt;VLOOKUP(N$5,NFI,5,0),1,0)*Table_NFI[[#This Row],[Kitchen Set]],Table_NFI[Kitchen Set])</f>
        <v>0</v>
      </c>
      <c r="AF777" s="436">
        <f>IF(NFI_Expiration=1,IF($A777&lt;VLOOKUP(O$5,NFI,5,0),1,0)*Table_NFI[[#This Row],[Clothes Kit]],Table_NFI[Clothes Kit])</f>
        <v>0</v>
      </c>
      <c r="AG777" s="436">
        <f>IF(NFI_Expiration=1,IF($A777&lt;VLOOKUP(P$5,NFI,5,0),1,0)*Table_NFI[[#This Row],[Plastic Bucket]],Table_NFI[Plastic Bucket])</f>
        <v>0</v>
      </c>
      <c r="AH777" s="436">
        <f>IF(NFI_Expiration=1,IF($A777&lt;VLOOKUP(Q$5,NFI,5,0),1,0)*Table_NFI[[#This Row],[Plastic Mat]],Table_NFI[Plastic Mat])*IF(Table_NFI[[#This Row],[Distribution Date]]&gt;"2014-04-01",1,2.5)</f>
        <v>0</v>
      </c>
      <c r="AI777" s="436">
        <f>IF(NFI_Expiration=1,IF($A777&lt;VLOOKUP(R$5,NFI,5,0),1,0)*Table_NFI[[#This Row],[Winter Clothes Adult]],Table_NFI[Winter Clothes Adult])</f>
        <v>0</v>
      </c>
      <c r="AJ777" s="436">
        <f>IF(NFI_Expiration=1,IF($A777&lt;VLOOKUP(S$5,NFI,5,0),1,0)*Table_NFI[[#This Row],[Winter Clothes Children]],Table_NFI[Winter Clothes Children])</f>
        <v>0</v>
      </c>
      <c r="AK777" s="436">
        <f>IF(NFI_Expiration=1,IF($A777&lt;VLOOKUP(T$5,NFI,5,0),1,0)*Table_NFI[[#This Row],[Winter Items Other]],Table_NFI[Winter Items Other])</f>
        <v>0</v>
      </c>
      <c r="AL777" s="436">
        <f>IF(NFI_Expiration=1,IF($A777&lt;VLOOKUP(M$5,NFI,5,0),1,0)*Table_NFI[[#This Row],[Winter Blanket]],Table_NFI[[#This Row],[Winter Blanket]])</f>
        <v>0</v>
      </c>
      <c r="AM777" s="436">
        <f>IF(Table_NFI[[#This Row],[Winter Clothes Adult]]+Table_NFI[[#This Row],[Winter Clothes Children]]+Table_NFI[[#This Row],[Winter Items Other]]+Table_NFI[[#This Row],[Winter Blanket]]&gt;0,1,0)</f>
        <v>0</v>
      </c>
      <c r="AN777" s="439">
        <f>IF(NFI_Expiration=1,IF($A777&lt;VLOOKUP(V$5,NFI,5,0),1,0)*Table_NFI[[#This Row],[Jerry Can]],Table_NFI[Jerry Can])</f>
        <v>0</v>
      </c>
      <c r="AO777" s="771" t="str">
        <f>IFERROR(VLOOKUP(Table_NFI[[#This Row],[Camp Name]],CL,2,0),"")</f>
        <v>MMR001CMP035</v>
      </c>
      <c r="AP777" s="772">
        <f ca="1">IF(Table_NFI[[#This Row],[Pcode]]="","",IF(OFFSET(CampList[Opening Date],MATCH(Table_NFI[[#This Row],[Pcode]],CampList[CP_Pcode],0)-1,0,1,1)&gt;=NFI_Monitor_Date,1,0))</f>
        <v>0</v>
      </c>
      <c r="AQ777" s="781" t="str">
        <f>IFERROR(VLOOKUP(Table_NFI[[#This Row],[Camp Name]],CL,3,0),"")</f>
        <v>Closed</v>
      </c>
      <c r="AR777" s="439" t="str">
        <f ca="1">IF(Table_NFI[[#This Row],[Pcode]]="","",OFFSET(CampList[Priority],MATCH(Table_NFI[[#This Row],[Pcode]],CampList[CP_Pcode],0)-1,0,1,1))</f>
        <v/>
      </c>
      <c r="AS777" s="438" t="str">
        <f>IFERROR(Table_NFI[[#This Row],[Kitchen Set]]/VLOOKUP(Table_NFI[[#This Row],[Camp Name]],CL,4,0),"")</f>
        <v/>
      </c>
      <c r="AT777" s="769" t="s">
        <v>1099</v>
      </c>
      <c r="AU777" s="773"/>
    </row>
    <row r="778" spans="1:47" s="774" customFormat="1" x14ac:dyDescent="0.25">
      <c r="A778" s="451">
        <f t="shared" si="12"/>
        <v>42.1</v>
      </c>
      <c r="B778" s="768">
        <v>41107</v>
      </c>
      <c r="C778" s="769" t="s">
        <v>454</v>
      </c>
      <c r="D778" s="770" t="s">
        <v>454</v>
      </c>
      <c r="E778" s="769" t="s">
        <v>380</v>
      </c>
      <c r="F778" s="435" t="s">
        <v>237</v>
      </c>
      <c r="G778" s="435" t="s">
        <v>271</v>
      </c>
      <c r="H778" s="436"/>
      <c r="I778" s="436"/>
      <c r="J778" s="436"/>
      <c r="K778" s="436">
        <v>6</v>
      </c>
      <c r="L778" s="437">
        <v>6</v>
      </c>
      <c r="M778" s="437">
        <v>6</v>
      </c>
      <c r="N778" s="437">
        <v>6</v>
      </c>
      <c r="O778" s="437">
        <v>6</v>
      </c>
      <c r="P778" s="437">
        <v>6</v>
      </c>
      <c r="Q778" s="437">
        <v>6</v>
      </c>
      <c r="R778" s="436"/>
      <c r="S778" s="436"/>
      <c r="T778" s="436"/>
      <c r="U778" s="436"/>
      <c r="V778" s="436"/>
      <c r="W778" s="436"/>
      <c r="X778" s="436"/>
      <c r="Y778" s="436">
        <f>IF(NFI_Expiration=1,IF($A778&lt;VLOOKUP(H$5,NFI,5,0),1,0)*Table_NFI[[#This Row],[Hygiene Kit]],Table_NFI[Hygiene Kit])</f>
        <v>0</v>
      </c>
      <c r="Z778" s="436">
        <f>IF(NFI_Expiration=1,IF($A778&lt;VLOOKUP(I$5,NFI,5,0),1,0)*Table_NFI[[#This Row],[NFI Core Kit]],Table_NFI[NFI Core Kit])</f>
        <v>0</v>
      </c>
      <c r="AA778" s="436">
        <f>IF(NFI_Expiration=1,IF($A778&lt;VLOOKUP(J$5,NFI,5,0),1,0)*Table_NFI[[#This Row],[Sanitary Kit]],Table_NFI[Sanitary Kit])</f>
        <v>0</v>
      </c>
      <c r="AB778" s="436">
        <f>IF(NFI_Expiration=1,IF($A778&lt;VLOOKUP(K$5,NFI,5,0),1,0)*Table_NFI[[#This Row],[Mosquito net]],Table_NFI[Mosquito net])</f>
        <v>0</v>
      </c>
      <c r="AC778" s="436">
        <f>IF(NFI_Expiration=1,IF($A778&lt;VLOOKUP(L$5,NFI,5,0),1,0)*Table_NFI[[#This Row],[Tarpaulin]],Table_NFI[[#This Row],[Tarpaulin]])</f>
        <v>0</v>
      </c>
      <c r="AD778" s="436">
        <f>IF(NFI_Expiration=1,IF($A778&lt;VLOOKUP(M$5,NFI,5,0),1,0)*Table_NFI[[#This Row],[Blanket]],Table_NFI[[#This Row],[Blanket]])</f>
        <v>0</v>
      </c>
      <c r="AE778" s="436">
        <f>IF(NFI_Expiration=1,IF($A778&lt;VLOOKUP(N$5,NFI,5,0),1,0)*Table_NFI[[#This Row],[Kitchen Set]],Table_NFI[Kitchen Set])</f>
        <v>0</v>
      </c>
      <c r="AF778" s="436">
        <f>IF(NFI_Expiration=1,IF($A778&lt;VLOOKUP(O$5,NFI,5,0),1,0)*Table_NFI[[#This Row],[Clothes Kit]],Table_NFI[Clothes Kit])</f>
        <v>0</v>
      </c>
      <c r="AG778" s="436">
        <f>IF(NFI_Expiration=1,IF($A778&lt;VLOOKUP(P$5,NFI,5,0),1,0)*Table_NFI[[#This Row],[Plastic Bucket]],Table_NFI[Plastic Bucket])</f>
        <v>0</v>
      </c>
      <c r="AH778" s="436">
        <f>IF(NFI_Expiration=1,IF($A778&lt;VLOOKUP(Q$5,NFI,5,0),1,0)*Table_NFI[[#This Row],[Plastic Mat]],Table_NFI[Plastic Mat])*IF(Table_NFI[[#This Row],[Distribution Date]]&gt;"2014-04-01",1,2.5)</f>
        <v>0</v>
      </c>
      <c r="AI778" s="436">
        <f>IF(NFI_Expiration=1,IF($A778&lt;VLOOKUP(R$5,NFI,5,0),1,0)*Table_NFI[[#This Row],[Winter Clothes Adult]],Table_NFI[Winter Clothes Adult])</f>
        <v>0</v>
      </c>
      <c r="AJ778" s="436">
        <f>IF(NFI_Expiration=1,IF($A778&lt;VLOOKUP(S$5,NFI,5,0),1,0)*Table_NFI[[#This Row],[Winter Clothes Children]],Table_NFI[Winter Clothes Children])</f>
        <v>0</v>
      </c>
      <c r="AK778" s="436">
        <f>IF(NFI_Expiration=1,IF($A778&lt;VLOOKUP(T$5,NFI,5,0),1,0)*Table_NFI[[#This Row],[Winter Items Other]],Table_NFI[Winter Items Other])</f>
        <v>0</v>
      </c>
      <c r="AL778" s="436">
        <f>IF(NFI_Expiration=1,IF($A778&lt;VLOOKUP(M$5,NFI,5,0),1,0)*Table_NFI[[#This Row],[Winter Blanket]],Table_NFI[[#This Row],[Winter Blanket]])</f>
        <v>0</v>
      </c>
      <c r="AM778" s="436">
        <f>IF(Table_NFI[[#This Row],[Winter Clothes Adult]]+Table_NFI[[#This Row],[Winter Clothes Children]]+Table_NFI[[#This Row],[Winter Items Other]]+Table_NFI[[#This Row],[Winter Blanket]]&gt;0,1,0)</f>
        <v>0</v>
      </c>
      <c r="AN778" s="439">
        <f>IF(NFI_Expiration=1,IF($A778&lt;VLOOKUP(V$5,NFI,5,0),1,0)*Table_NFI[[#This Row],[Jerry Can]],Table_NFI[Jerry Can])</f>
        <v>0</v>
      </c>
      <c r="AO778" s="771" t="str">
        <f>IFERROR(VLOOKUP(Table_NFI[[#This Row],[Camp Name]],CL,2,0),"")</f>
        <v>MMR001CMP024</v>
      </c>
      <c r="AP778" s="772">
        <f ca="1">IF(Table_NFI[[#This Row],[Pcode]]="","",IF(OFFSET(CampList[Opening Date],MATCH(Table_NFI[[#This Row],[Pcode]],CampList[CP_Pcode],0)-1,0,1,1)&gt;=NFI_Monitor_Date,1,0))</f>
        <v>0</v>
      </c>
      <c r="AQ778" s="781" t="str">
        <f>IFERROR(VLOOKUP(Table_NFI[[#This Row],[Camp Name]],CL,3,0),"")</f>
        <v>Open</v>
      </c>
      <c r="AR778" s="439" t="str">
        <f ca="1">IF(Table_NFI[[#This Row],[Pcode]]="","",OFFSET(CampList[Priority],MATCH(Table_NFI[[#This Row],[Pcode]],CampList[CP_Pcode],0)-1,0,1,1))</f>
        <v>P4</v>
      </c>
      <c r="AS778" s="438">
        <f>IFERROR(Table_NFI[[#This Row],[Kitchen Set]]/VLOOKUP(Table_NFI[[#This Row],[Camp Name]],CL,4,0),"")</f>
        <v>8.6956521739130432E-2</v>
      </c>
      <c r="AT778" s="769" t="s">
        <v>1099</v>
      </c>
      <c r="AU778" s="773"/>
    </row>
    <row r="779" spans="1:47" s="774" customFormat="1" x14ac:dyDescent="0.25">
      <c r="A779" s="451">
        <f t="shared" si="12"/>
        <v>42.1</v>
      </c>
      <c r="B779" s="768">
        <v>41107</v>
      </c>
      <c r="C779" s="769" t="s">
        <v>454</v>
      </c>
      <c r="D779" s="770" t="s">
        <v>454</v>
      </c>
      <c r="E779" s="769" t="s">
        <v>380</v>
      </c>
      <c r="F779" s="435" t="s">
        <v>185</v>
      </c>
      <c r="G779" s="435" t="s">
        <v>219</v>
      </c>
      <c r="H779" s="436"/>
      <c r="I779" s="436"/>
      <c r="J779" s="436"/>
      <c r="K779" s="436">
        <v>0</v>
      </c>
      <c r="L779" s="437">
        <v>0</v>
      </c>
      <c r="M779" s="437">
        <v>0</v>
      </c>
      <c r="N779" s="437">
        <v>0</v>
      </c>
      <c r="O779" s="437">
        <v>0</v>
      </c>
      <c r="P779" s="437"/>
      <c r="Q779" s="437"/>
      <c r="R779" s="436"/>
      <c r="S779" s="436"/>
      <c r="T779" s="436"/>
      <c r="U779" s="436"/>
      <c r="V779" s="436"/>
      <c r="W779" s="436"/>
      <c r="X779" s="436"/>
      <c r="Y779" s="436">
        <f>IF(NFI_Expiration=1,IF($A779&lt;VLOOKUP(H$5,NFI,5,0),1,0)*Table_NFI[[#This Row],[Hygiene Kit]],Table_NFI[Hygiene Kit])</f>
        <v>0</v>
      </c>
      <c r="Z779" s="436">
        <f>IF(NFI_Expiration=1,IF($A779&lt;VLOOKUP(I$5,NFI,5,0),1,0)*Table_NFI[[#This Row],[NFI Core Kit]],Table_NFI[NFI Core Kit])</f>
        <v>0</v>
      </c>
      <c r="AA779" s="436">
        <f>IF(NFI_Expiration=1,IF($A779&lt;VLOOKUP(J$5,NFI,5,0),1,0)*Table_NFI[[#This Row],[Sanitary Kit]],Table_NFI[Sanitary Kit])</f>
        <v>0</v>
      </c>
      <c r="AB779" s="436">
        <f>IF(NFI_Expiration=1,IF($A779&lt;VLOOKUP(K$5,NFI,5,0),1,0)*Table_NFI[[#This Row],[Mosquito net]],Table_NFI[Mosquito net])</f>
        <v>0</v>
      </c>
      <c r="AC779" s="436">
        <f>IF(NFI_Expiration=1,IF($A779&lt;VLOOKUP(L$5,NFI,5,0),1,0)*Table_NFI[[#This Row],[Tarpaulin]],Table_NFI[[#This Row],[Tarpaulin]])</f>
        <v>0</v>
      </c>
      <c r="AD779" s="436">
        <f>IF(NFI_Expiration=1,IF($A779&lt;VLOOKUP(M$5,NFI,5,0),1,0)*Table_NFI[[#This Row],[Blanket]],Table_NFI[[#This Row],[Blanket]])</f>
        <v>0</v>
      </c>
      <c r="AE779" s="436">
        <f>IF(NFI_Expiration=1,IF($A779&lt;VLOOKUP(N$5,NFI,5,0),1,0)*Table_NFI[[#This Row],[Kitchen Set]],Table_NFI[Kitchen Set])</f>
        <v>0</v>
      </c>
      <c r="AF779" s="436">
        <f>IF(NFI_Expiration=1,IF($A779&lt;VLOOKUP(O$5,NFI,5,0),1,0)*Table_NFI[[#This Row],[Clothes Kit]],Table_NFI[Clothes Kit])</f>
        <v>0</v>
      </c>
      <c r="AG779" s="436">
        <f>IF(NFI_Expiration=1,IF($A779&lt;VLOOKUP(P$5,NFI,5,0),1,0)*Table_NFI[[#This Row],[Plastic Bucket]],Table_NFI[Plastic Bucket])</f>
        <v>0</v>
      </c>
      <c r="AH779" s="436">
        <f>IF(NFI_Expiration=1,IF($A779&lt;VLOOKUP(Q$5,NFI,5,0),1,0)*Table_NFI[[#This Row],[Plastic Mat]],Table_NFI[Plastic Mat])*IF(Table_NFI[[#This Row],[Distribution Date]]&gt;"2014-04-01",1,2.5)</f>
        <v>0</v>
      </c>
      <c r="AI779" s="436">
        <f>IF(NFI_Expiration=1,IF($A779&lt;VLOOKUP(R$5,NFI,5,0),1,0)*Table_NFI[[#This Row],[Winter Clothes Adult]],Table_NFI[Winter Clothes Adult])</f>
        <v>0</v>
      </c>
      <c r="AJ779" s="436">
        <f>IF(NFI_Expiration=1,IF($A779&lt;VLOOKUP(S$5,NFI,5,0),1,0)*Table_NFI[[#This Row],[Winter Clothes Children]],Table_NFI[Winter Clothes Children])</f>
        <v>0</v>
      </c>
      <c r="AK779" s="436">
        <f>IF(NFI_Expiration=1,IF($A779&lt;VLOOKUP(T$5,NFI,5,0),1,0)*Table_NFI[[#This Row],[Winter Items Other]],Table_NFI[Winter Items Other])</f>
        <v>0</v>
      </c>
      <c r="AL779" s="436">
        <f>IF(NFI_Expiration=1,IF($A779&lt;VLOOKUP(M$5,NFI,5,0),1,0)*Table_NFI[[#This Row],[Winter Blanket]],Table_NFI[[#This Row],[Winter Blanket]])</f>
        <v>0</v>
      </c>
      <c r="AM779" s="436">
        <f>IF(Table_NFI[[#This Row],[Winter Clothes Adult]]+Table_NFI[[#This Row],[Winter Clothes Children]]+Table_NFI[[#This Row],[Winter Items Other]]+Table_NFI[[#This Row],[Winter Blanket]]&gt;0,1,0)</f>
        <v>0</v>
      </c>
      <c r="AN779" s="439">
        <f>IF(NFI_Expiration=1,IF($A779&lt;VLOOKUP(V$5,NFI,5,0),1,0)*Table_NFI[[#This Row],[Jerry Can]],Table_NFI[Jerry Can])</f>
        <v>0</v>
      </c>
      <c r="AO779" s="771" t="str">
        <f>IFERROR(VLOOKUP(Table_NFI[[#This Row],[Camp Name]],CL,2,0),"")</f>
        <v>MMR001CMP126</v>
      </c>
      <c r="AP779" s="772">
        <f ca="1">IF(Table_NFI[[#This Row],[Pcode]]="","",IF(OFFSET(CampList[Opening Date],MATCH(Table_NFI[[#This Row],[Pcode]],CampList[CP_Pcode],0)-1,0,1,1)&gt;=NFI_Monitor_Date,1,0))</f>
        <v>0</v>
      </c>
      <c r="AQ779" s="781" t="str">
        <f>IFERROR(VLOOKUP(Table_NFI[[#This Row],[Camp Name]],CL,3,0),"")</f>
        <v>Open</v>
      </c>
      <c r="AR779" s="439" t="str">
        <f ca="1">IF(Table_NFI[[#This Row],[Pcode]]="","",OFFSET(CampList[Priority],MATCH(Table_NFI[[#This Row],[Pcode]],CampList[CP_Pcode],0)-1,0,1,1))</f>
        <v>P2</v>
      </c>
      <c r="AS779" s="438">
        <f>IFERROR(Table_NFI[[#This Row],[Kitchen Set]]/VLOOKUP(Table_NFI[[#This Row],[Camp Name]],CL,4,0),"")</f>
        <v>0</v>
      </c>
      <c r="AT779" s="769" t="s">
        <v>1099</v>
      </c>
      <c r="AU779" s="773"/>
    </row>
    <row r="780" spans="1:47" s="774" customFormat="1" x14ac:dyDescent="0.25">
      <c r="A780" s="451">
        <f t="shared" si="12"/>
        <v>42.1</v>
      </c>
      <c r="B780" s="768">
        <v>41107</v>
      </c>
      <c r="C780" s="769" t="s">
        <v>454</v>
      </c>
      <c r="D780" s="770" t="s">
        <v>454</v>
      </c>
      <c r="E780" s="769" t="s">
        <v>380</v>
      </c>
      <c r="F780" s="435" t="s">
        <v>185</v>
      </c>
      <c r="G780" s="435" t="s">
        <v>219</v>
      </c>
      <c r="H780" s="436"/>
      <c r="I780" s="436"/>
      <c r="J780" s="436"/>
      <c r="K780" s="436">
        <v>0</v>
      </c>
      <c r="L780" s="437">
        <v>0</v>
      </c>
      <c r="M780" s="437">
        <v>0</v>
      </c>
      <c r="N780" s="437">
        <v>0</v>
      </c>
      <c r="O780" s="437">
        <v>0</v>
      </c>
      <c r="P780" s="437"/>
      <c r="Q780" s="437"/>
      <c r="R780" s="436"/>
      <c r="S780" s="436"/>
      <c r="T780" s="436"/>
      <c r="U780" s="436"/>
      <c r="V780" s="436"/>
      <c r="W780" s="436"/>
      <c r="X780" s="436"/>
      <c r="Y780" s="436">
        <f>IF(NFI_Expiration=1,IF($A780&lt;VLOOKUP(H$5,NFI,5,0),1,0)*Table_NFI[[#This Row],[Hygiene Kit]],Table_NFI[Hygiene Kit])</f>
        <v>0</v>
      </c>
      <c r="Z780" s="436">
        <f>IF(NFI_Expiration=1,IF($A780&lt;VLOOKUP(I$5,NFI,5,0),1,0)*Table_NFI[[#This Row],[NFI Core Kit]],Table_NFI[NFI Core Kit])</f>
        <v>0</v>
      </c>
      <c r="AA780" s="436">
        <f>IF(NFI_Expiration=1,IF($A780&lt;VLOOKUP(J$5,NFI,5,0),1,0)*Table_NFI[[#This Row],[Sanitary Kit]],Table_NFI[Sanitary Kit])</f>
        <v>0</v>
      </c>
      <c r="AB780" s="436">
        <f>IF(NFI_Expiration=1,IF($A780&lt;VLOOKUP(K$5,NFI,5,0),1,0)*Table_NFI[[#This Row],[Mosquito net]],Table_NFI[Mosquito net])</f>
        <v>0</v>
      </c>
      <c r="AC780" s="436">
        <f>IF(NFI_Expiration=1,IF($A780&lt;VLOOKUP(L$5,NFI,5,0),1,0)*Table_NFI[[#This Row],[Tarpaulin]],Table_NFI[[#This Row],[Tarpaulin]])</f>
        <v>0</v>
      </c>
      <c r="AD780" s="436">
        <f>IF(NFI_Expiration=1,IF($A780&lt;VLOOKUP(M$5,NFI,5,0),1,0)*Table_NFI[[#This Row],[Blanket]],Table_NFI[[#This Row],[Blanket]])</f>
        <v>0</v>
      </c>
      <c r="AE780" s="436">
        <f>IF(NFI_Expiration=1,IF($A780&lt;VLOOKUP(N$5,NFI,5,0),1,0)*Table_NFI[[#This Row],[Kitchen Set]],Table_NFI[Kitchen Set])</f>
        <v>0</v>
      </c>
      <c r="AF780" s="436">
        <f>IF(NFI_Expiration=1,IF($A780&lt;VLOOKUP(O$5,NFI,5,0),1,0)*Table_NFI[[#This Row],[Clothes Kit]],Table_NFI[Clothes Kit])</f>
        <v>0</v>
      </c>
      <c r="AG780" s="436">
        <f>IF(NFI_Expiration=1,IF($A780&lt;VLOOKUP(P$5,NFI,5,0),1,0)*Table_NFI[[#This Row],[Plastic Bucket]],Table_NFI[Plastic Bucket])</f>
        <v>0</v>
      </c>
      <c r="AH780" s="436">
        <f>IF(NFI_Expiration=1,IF($A780&lt;VLOOKUP(Q$5,NFI,5,0),1,0)*Table_NFI[[#This Row],[Plastic Mat]],Table_NFI[Plastic Mat])*IF(Table_NFI[[#This Row],[Distribution Date]]&gt;"2014-04-01",1,2.5)</f>
        <v>0</v>
      </c>
      <c r="AI780" s="436">
        <f>IF(NFI_Expiration=1,IF($A780&lt;VLOOKUP(R$5,NFI,5,0),1,0)*Table_NFI[[#This Row],[Winter Clothes Adult]],Table_NFI[Winter Clothes Adult])</f>
        <v>0</v>
      </c>
      <c r="AJ780" s="436">
        <f>IF(NFI_Expiration=1,IF($A780&lt;VLOOKUP(S$5,NFI,5,0),1,0)*Table_NFI[[#This Row],[Winter Clothes Children]],Table_NFI[Winter Clothes Children])</f>
        <v>0</v>
      </c>
      <c r="AK780" s="436">
        <f>IF(NFI_Expiration=1,IF($A780&lt;VLOOKUP(T$5,NFI,5,0),1,0)*Table_NFI[[#This Row],[Winter Items Other]],Table_NFI[Winter Items Other])</f>
        <v>0</v>
      </c>
      <c r="AL780" s="436">
        <f>IF(NFI_Expiration=1,IF($A780&lt;VLOOKUP(M$5,NFI,5,0),1,0)*Table_NFI[[#This Row],[Winter Blanket]],Table_NFI[[#This Row],[Winter Blanket]])</f>
        <v>0</v>
      </c>
      <c r="AM780" s="436">
        <f>IF(Table_NFI[[#This Row],[Winter Clothes Adult]]+Table_NFI[[#This Row],[Winter Clothes Children]]+Table_NFI[[#This Row],[Winter Items Other]]+Table_NFI[[#This Row],[Winter Blanket]]&gt;0,1,0)</f>
        <v>0</v>
      </c>
      <c r="AN780" s="439">
        <f>IF(NFI_Expiration=1,IF($A780&lt;VLOOKUP(V$5,NFI,5,0),1,0)*Table_NFI[[#This Row],[Jerry Can]],Table_NFI[Jerry Can])</f>
        <v>0</v>
      </c>
      <c r="AO780" s="771" t="str">
        <f>IFERROR(VLOOKUP(Table_NFI[[#This Row],[Camp Name]],CL,2,0),"")</f>
        <v>MMR001CMP126</v>
      </c>
      <c r="AP780" s="772">
        <f ca="1">IF(Table_NFI[[#This Row],[Pcode]]="","",IF(OFFSET(CampList[Opening Date],MATCH(Table_NFI[[#This Row],[Pcode]],CampList[CP_Pcode],0)-1,0,1,1)&gt;=NFI_Monitor_Date,1,0))</f>
        <v>0</v>
      </c>
      <c r="AQ780" s="781" t="str">
        <f>IFERROR(VLOOKUP(Table_NFI[[#This Row],[Camp Name]],CL,3,0),"")</f>
        <v>Open</v>
      </c>
      <c r="AR780" s="439" t="str">
        <f ca="1">IF(Table_NFI[[#This Row],[Pcode]]="","",OFFSET(CampList[Priority],MATCH(Table_NFI[[#This Row],[Pcode]],CampList[CP_Pcode],0)-1,0,1,1))</f>
        <v>P2</v>
      </c>
      <c r="AS780" s="438">
        <f>IFERROR(Table_NFI[[#This Row],[Kitchen Set]]/VLOOKUP(Table_NFI[[#This Row],[Camp Name]],CL,4,0),"")</f>
        <v>0</v>
      </c>
      <c r="AT780" s="769" t="s">
        <v>1099</v>
      </c>
      <c r="AU780" s="773"/>
    </row>
    <row r="781" spans="1:47" x14ac:dyDescent="0.25">
      <c r="A781" s="451">
        <f t="shared" si="12"/>
        <v>42.1</v>
      </c>
      <c r="B781" s="768">
        <v>41107</v>
      </c>
      <c r="C781" s="769" t="s">
        <v>454</v>
      </c>
      <c r="D781" s="769" t="s">
        <v>454</v>
      </c>
      <c r="E781" s="769" t="s">
        <v>380</v>
      </c>
      <c r="F781" s="769" t="s">
        <v>237</v>
      </c>
      <c r="G781" s="435" t="s">
        <v>279</v>
      </c>
      <c r="H781" s="436"/>
      <c r="I781" s="436"/>
      <c r="J781" s="436"/>
      <c r="K781" s="436">
        <v>3</v>
      </c>
      <c r="L781" s="437">
        <v>3</v>
      </c>
      <c r="M781" s="437">
        <v>3</v>
      </c>
      <c r="N781" s="437">
        <v>3</v>
      </c>
      <c r="O781" s="437">
        <v>3</v>
      </c>
      <c r="P781" s="437">
        <v>3</v>
      </c>
      <c r="Q781" s="437">
        <v>3</v>
      </c>
      <c r="R781" s="436"/>
      <c r="S781" s="436"/>
      <c r="T781" s="436"/>
      <c r="U781" s="436"/>
      <c r="V781" s="436"/>
      <c r="W781" s="436"/>
      <c r="X781" s="436"/>
      <c r="Y781" s="436">
        <f>IF(NFI_Expiration=1,IF($A781&lt;VLOOKUP(H$5,NFI,5,0),1,0)*Table_NFI[[#This Row],[Hygiene Kit]],Table_NFI[Hygiene Kit])</f>
        <v>0</v>
      </c>
      <c r="Z781" s="436">
        <f>IF(NFI_Expiration=1,IF($A781&lt;VLOOKUP(I$5,NFI,5,0),1,0)*Table_NFI[[#This Row],[NFI Core Kit]],Table_NFI[NFI Core Kit])</f>
        <v>0</v>
      </c>
      <c r="AA781" s="436">
        <f>IF(NFI_Expiration=1,IF($A781&lt;VLOOKUP(J$5,NFI,5,0),1,0)*Table_NFI[[#This Row],[Sanitary Kit]],Table_NFI[Sanitary Kit])</f>
        <v>0</v>
      </c>
      <c r="AB781" s="436">
        <f>IF(NFI_Expiration=1,IF($A781&lt;VLOOKUP(K$5,NFI,5,0),1,0)*Table_NFI[[#This Row],[Mosquito net]],Table_NFI[Mosquito net])</f>
        <v>0</v>
      </c>
      <c r="AC781" s="436">
        <f>IF(NFI_Expiration=1,IF($A781&lt;VLOOKUP(L$5,NFI,5,0),1,0)*Table_NFI[[#This Row],[Tarpaulin]],Table_NFI[[#This Row],[Tarpaulin]])</f>
        <v>0</v>
      </c>
      <c r="AD781" s="436">
        <f>IF(NFI_Expiration=1,IF($A781&lt;VLOOKUP(M$5,NFI,5,0),1,0)*Table_NFI[[#This Row],[Blanket]],Table_NFI[[#This Row],[Blanket]])</f>
        <v>0</v>
      </c>
      <c r="AE781" s="436">
        <f>IF(NFI_Expiration=1,IF($A781&lt;VLOOKUP(N$5,NFI,5,0),1,0)*Table_NFI[[#This Row],[Kitchen Set]],Table_NFI[Kitchen Set])</f>
        <v>0</v>
      </c>
      <c r="AF781" s="436">
        <f>IF(NFI_Expiration=1,IF($A781&lt;VLOOKUP(O$5,NFI,5,0),1,0)*Table_NFI[[#This Row],[Clothes Kit]],Table_NFI[Clothes Kit])</f>
        <v>0</v>
      </c>
      <c r="AG781" s="436">
        <f>IF(NFI_Expiration=1,IF($A781&lt;VLOOKUP(P$5,NFI,5,0),1,0)*Table_NFI[[#This Row],[Plastic Bucket]],Table_NFI[Plastic Bucket])</f>
        <v>0</v>
      </c>
      <c r="AH781" s="436">
        <f>IF(NFI_Expiration=1,IF($A781&lt;VLOOKUP(Q$5,NFI,5,0),1,0)*Table_NFI[[#This Row],[Plastic Mat]],Table_NFI[Plastic Mat])*IF(Table_NFI[[#This Row],[Distribution Date]]&gt;"2014-04-01",1,2.5)</f>
        <v>0</v>
      </c>
      <c r="AI781" s="436">
        <f>IF(NFI_Expiration=1,IF($A781&lt;VLOOKUP(R$5,NFI,5,0),1,0)*Table_NFI[[#This Row],[Winter Clothes Adult]],Table_NFI[Winter Clothes Adult])</f>
        <v>0</v>
      </c>
      <c r="AJ781" s="436">
        <f>IF(NFI_Expiration=1,IF($A781&lt;VLOOKUP(S$5,NFI,5,0),1,0)*Table_NFI[[#This Row],[Winter Clothes Children]],Table_NFI[Winter Clothes Children])</f>
        <v>0</v>
      </c>
      <c r="AK781" s="436">
        <f>IF(NFI_Expiration=1,IF($A781&lt;VLOOKUP(T$5,NFI,5,0),1,0)*Table_NFI[[#This Row],[Winter Items Other]],Table_NFI[Winter Items Other])</f>
        <v>0</v>
      </c>
      <c r="AL781" s="436">
        <f>IF(NFI_Expiration=1,IF($A781&lt;VLOOKUP(M$5,NFI,5,0),1,0)*Table_NFI[[#This Row],[Winter Blanket]],Table_NFI[[#This Row],[Winter Blanket]])</f>
        <v>0</v>
      </c>
      <c r="AM781" s="436">
        <f>IF(Table_NFI[[#This Row],[Winter Clothes Adult]]+Table_NFI[[#This Row],[Winter Clothes Children]]+Table_NFI[[#This Row],[Winter Items Other]]+Table_NFI[[#This Row],[Winter Blanket]]&gt;0,1,0)</f>
        <v>0</v>
      </c>
      <c r="AN781" s="439">
        <f>IF(NFI_Expiration=1,IF($A781&lt;VLOOKUP(V$5,NFI,5,0),1,0)*Table_NFI[[#This Row],[Jerry Can]],Table_NFI[Jerry Can])</f>
        <v>0</v>
      </c>
      <c r="AO781" s="771" t="str">
        <f>IFERROR(VLOOKUP(Table_NFI[[#This Row],[Camp Name]],CL,2,0),"")</f>
        <v>MMR001CMP007</v>
      </c>
      <c r="AP781" s="772">
        <f ca="1">IF(Table_NFI[[#This Row],[Pcode]]="","",IF(OFFSET(CampList[Opening Date],MATCH(Table_NFI[[#This Row],[Pcode]],CampList[CP_Pcode],0)-1,0,1,1)&gt;=NFI_Monitor_Date,1,0))</f>
        <v>0</v>
      </c>
      <c r="AQ781" s="781" t="str">
        <f>IFERROR(VLOOKUP(Table_NFI[[#This Row],[Camp Name]],CL,3,0),"")</f>
        <v>Open</v>
      </c>
      <c r="AR781" s="439" t="str">
        <f ca="1">IF(Table_NFI[[#This Row],[Pcode]]="","",OFFSET(CampList[Priority],MATCH(Table_NFI[[#This Row],[Pcode]],CampList[CP_Pcode],0)-1,0,1,1))</f>
        <v>P4</v>
      </c>
      <c r="AS781" s="438">
        <f>IFERROR(Table_NFI[[#This Row],[Kitchen Set]]/VLOOKUP(Table_NFI[[#This Row],[Camp Name]],CL,4,0),"")</f>
        <v>0.10714285714285714</v>
      </c>
      <c r="AT781" s="769" t="s">
        <v>1099</v>
      </c>
      <c r="AU781" s="773"/>
    </row>
    <row r="782" spans="1:47" x14ac:dyDescent="0.25">
      <c r="A782" s="451">
        <f t="shared" si="12"/>
        <v>42.1</v>
      </c>
      <c r="B782" s="768">
        <v>41107</v>
      </c>
      <c r="C782" s="769" t="s">
        <v>454</v>
      </c>
      <c r="D782" s="770" t="s">
        <v>454</v>
      </c>
      <c r="E782" s="769" t="s">
        <v>380</v>
      </c>
      <c r="F782" s="435" t="s">
        <v>237</v>
      </c>
      <c r="G782" s="435" t="s">
        <v>251</v>
      </c>
      <c r="H782" s="436"/>
      <c r="I782" s="436"/>
      <c r="J782" s="436"/>
      <c r="K782" s="436">
        <v>7</v>
      </c>
      <c r="L782" s="437">
        <v>7</v>
      </c>
      <c r="M782" s="437">
        <v>7</v>
      </c>
      <c r="N782" s="437">
        <v>7</v>
      </c>
      <c r="O782" s="437">
        <v>7</v>
      </c>
      <c r="P782" s="437">
        <v>7</v>
      </c>
      <c r="Q782" s="437">
        <v>7</v>
      </c>
      <c r="R782" s="436"/>
      <c r="S782" s="436"/>
      <c r="T782" s="436"/>
      <c r="U782" s="436"/>
      <c r="V782" s="436"/>
      <c r="W782" s="436"/>
      <c r="X782" s="436"/>
      <c r="Y782" s="436">
        <f>IF(NFI_Expiration=1,IF($A782&lt;VLOOKUP(H$5,NFI,5,0),1,0)*Table_NFI[[#This Row],[Hygiene Kit]],Table_NFI[Hygiene Kit])</f>
        <v>0</v>
      </c>
      <c r="Z782" s="436">
        <f>IF(NFI_Expiration=1,IF($A782&lt;VLOOKUP(I$5,NFI,5,0),1,0)*Table_NFI[[#This Row],[NFI Core Kit]],Table_NFI[NFI Core Kit])</f>
        <v>0</v>
      </c>
      <c r="AA782" s="436">
        <f>IF(NFI_Expiration=1,IF($A782&lt;VLOOKUP(J$5,NFI,5,0),1,0)*Table_NFI[[#This Row],[Sanitary Kit]],Table_NFI[Sanitary Kit])</f>
        <v>0</v>
      </c>
      <c r="AB782" s="436">
        <f>IF(NFI_Expiration=1,IF($A782&lt;VLOOKUP(K$5,NFI,5,0),1,0)*Table_NFI[[#This Row],[Mosquito net]],Table_NFI[Mosquito net])</f>
        <v>0</v>
      </c>
      <c r="AC782" s="436">
        <f>IF(NFI_Expiration=1,IF($A782&lt;VLOOKUP(L$5,NFI,5,0),1,0)*Table_NFI[[#This Row],[Tarpaulin]],Table_NFI[[#This Row],[Tarpaulin]])</f>
        <v>0</v>
      </c>
      <c r="AD782" s="436">
        <f>IF(NFI_Expiration=1,IF($A782&lt;VLOOKUP(M$5,NFI,5,0),1,0)*Table_NFI[[#This Row],[Blanket]],Table_NFI[[#This Row],[Blanket]])</f>
        <v>0</v>
      </c>
      <c r="AE782" s="436">
        <f>IF(NFI_Expiration=1,IF($A782&lt;VLOOKUP(N$5,NFI,5,0),1,0)*Table_NFI[[#This Row],[Kitchen Set]],Table_NFI[Kitchen Set])</f>
        <v>0</v>
      </c>
      <c r="AF782" s="436">
        <f>IF(NFI_Expiration=1,IF($A782&lt;VLOOKUP(O$5,NFI,5,0),1,0)*Table_NFI[[#This Row],[Clothes Kit]],Table_NFI[Clothes Kit])</f>
        <v>0</v>
      </c>
      <c r="AG782" s="436">
        <f>IF(NFI_Expiration=1,IF($A782&lt;VLOOKUP(P$5,NFI,5,0),1,0)*Table_NFI[[#This Row],[Plastic Bucket]],Table_NFI[Plastic Bucket])</f>
        <v>0</v>
      </c>
      <c r="AH782" s="436">
        <f>IF(NFI_Expiration=1,IF($A782&lt;VLOOKUP(Q$5,NFI,5,0),1,0)*Table_NFI[[#This Row],[Plastic Mat]],Table_NFI[Plastic Mat])*IF(Table_NFI[[#This Row],[Distribution Date]]&gt;"2014-04-01",1,2.5)</f>
        <v>0</v>
      </c>
      <c r="AI782" s="436">
        <f>IF(NFI_Expiration=1,IF($A782&lt;VLOOKUP(R$5,NFI,5,0),1,0)*Table_NFI[[#This Row],[Winter Clothes Adult]],Table_NFI[Winter Clothes Adult])</f>
        <v>0</v>
      </c>
      <c r="AJ782" s="436">
        <f>IF(NFI_Expiration=1,IF($A782&lt;VLOOKUP(S$5,NFI,5,0),1,0)*Table_NFI[[#This Row],[Winter Clothes Children]],Table_NFI[Winter Clothes Children])</f>
        <v>0</v>
      </c>
      <c r="AK782" s="436">
        <f>IF(NFI_Expiration=1,IF($A782&lt;VLOOKUP(T$5,NFI,5,0),1,0)*Table_NFI[[#This Row],[Winter Items Other]],Table_NFI[Winter Items Other])</f>
        <v>0</v>
      </c>
      <c r="AL782" s="436">
        <f>IF(NFI_Expiration=1,IF($A782&lt;VLOOKUP(M$5,NFI,5,0),1,0)*Table_NFI[[#This Row],[Winter Blanket]],Table_NFI[[#This Row],[Winter Blanket]])</f>
        <v>0</v>
      </c>
      <c r="AM782" s="436">
        <f>IF(Table_NFI[[#This Row],[Winter Clothes Adult]]+Table_NFI[[#This Row],[Winter Clothes Children]]+Table_NFI[[#This Row],[Winter Items Other]]+Table_NFI[[#This Row],[Winter Blanket]]&gt;0,1,0)</f>
        <v>0</v>
      </c>
      <c r="AN782" s="439">
        <f>IF(NFI_Expiration=1,IF($A782&lt;VLOOKUP(V$5,NFI,5,0),1,0)*Table_NFI[[#This Row],[Jerry Can]],Table_NFI[Jerry Can])</f>
        <v>0</v>
      </c>
      <c r="AO782" s="771" t="str">
        <f>IFERROR(VLOOKUP(Table_NFI[[#This Row],[Camp Name]],CL,2,0),"")</f>
        <v>MMR001CMP003</v>
      </c>
      <c r="AP782" s="772">
        <f ca="1">IF(Table_NFI[[#This Row],[Pcode]]="","",IF(OFFSET(CampList[Opening Date],MATCH(Table_NFI[[#This Row],[Pcode]],CampList[CP_Pcode],0)-1,0,1,1)&gt;=NFI_Monitor_Date,1,0))</f>
        <v>0</v>
      </c>
      <c r="AQ782" s="781" t="str">
        <f>IFERROR(VLOOKUP(Table_NFI[[#This Row],[Camp Name]],CL,3,0),"")</f>
        <v>Open</v>
      </c>
      <c r="AR782" s="439" t="str">
        <f ca="1">IF(Table_NFI[[#This Row],[Pcode]]="","",OFFSET(CampList[Priority],MATCH(Table_NFI[[#This Row],[Pcode]],CampList[CP_Pcode],0)-1,0,1,1))</f>
        <v>P4</v>
      </c>
      <c r="AS782" s="438">
        <f>IFERROR(Table_NFI[[#This Row],[Kitchen Set]]/VLOOKUP(Table_NFI[[#This Row],[Camp Name]],CL,4,0),"")</f>
        <v>0.21875</v>
      </c>
      <c r="AT782" s="769" t="s">
        <v>1099</v>
      </c>
      <c r="AU782" s="773"/>
    </row>
    <row r="783" spans="1:47" x14ac:dyDescent="0.25">
      <c r="A783" s="451">
        <f t="shared" si="12"/>
        <v>42.133333333333333</v>
      </c>
      <c r="B783" s="768">
        <v>41106</v>
      </c>
      <c r="C783" s="769" t="s">
        <v>454</v>
      </c>
      <c r="D783" s="770" t="s">
        <v>454</v>
      </c>
      <c r="E783" s="769" t="s">
        <v>380</v>
      </c>
      <c r="F783" s="435" t="s">
        <v>237</v>
      </c>
      <c r="G783" s="435" t="s">
        <v>257</v>
      </c>
      <c r="H783" s="436"/>
      <c r="I783" s="436"/>
      <c r="J783" s="436"/>
      <c r="K783" s="436">
        <v>33</v>
      </c>
      <c r="L783" s="437">
        <v>33</v>
      </c>
      <c r="M783" s="437">
        <v>33</v>
      </c>
      <c r="N783" s="437">
        <v>33</v>
      </c>
      <c r="O783" s="437">
        <v>33</v>
      </c>
      <c r="P783" s="437">
        <v>33</v>
      </c>
      <c r="Q783" s="437">
        <v>33</v>
      </c>
      <c r="R783" s="436"/>
      <c r="S783" s="436"/>
      <c r="T783" s="436"/>
      <c r="U783" s="436"/>
      <c r="V783" s="436"/>
      <c r="W783" s="436"/>
      <c r="X783" s="436"/>
      <c r="Y783" s="436">
        <f>IF(NFI_Expiration=1,IF($A783&lt;VLOOKUP(H$5,NFI,5,0),1,0)*Table_NFI[[#This Row],[Hygiene Kit]],Table_NFI[Hygiene Kit])</f>
        <v>0</v>
      </c>
      <c r="Z783" s="436">
        <f>IF(NFI_Expiration=1,IF($A783&lt;VLOOKUP(I$5,NFI,5,0),1,0)*Table_NFI[[#This Row],[NFI Core Kit]],Table_NFI[NFI Core Kit])</f>
        <v>0</v>
      </c>
      <c r="AA783" s="436">
        <f>IF(NFI_Expiration=1,IF($A783&lt;VLOOKUP(J$5,NFI,5,0),1,0)*Table_NFI[[#This Row],[Sanitary Kit]],Table_NFI[Sanitary Kit])</f>
        <v>0</v>
      </c>
      <c r="AB783" s="436">
        <f>IF(NFI_Expiration=1,IF($A783&lt;VLOOKUP(K$5,NFI,5,0),1,0)*Table_NFI[[#This Row],[Mosquito net]],Table_NFI[Mosquito net])</f>
        <v>0</v>
      </c>
      <c r="AC783" s="436">
        <f>IF(NFI_Expiration=1,IF($A783&lt;VLOOKUP(L$5,NFI,5,0),1,0)*Table_NFI[[#This Row],[Tarpaulin]],Table_NFI[[#This Row],[Tarpaulin]])</f>
        <v>0</v>
      </c>
      <c r="AD783" s="436">
        <f>IF(NFI_Expiration=1,IF($A783&lt;VLOOKUP(M$5,NFI,5,0),1,0)*Table_NFI[[#This Row],[Blanket]],Table_NFI[[#This Row],[Blanket]])</f>
        <v>0</v>
      </c>
      <c r="AE783" s="436">
        <f>IF(NFI_Expiration=1,IF($A783&lt;VLOOKUP(N$5,NFI,5,0),1,0)*Table_NFI[[#This Row],[Kitchen Set]],Table_NFI[Kitchen Set])</f>
        <v>0</v>
      </c>
      <c r="AF783" s="436">
        <f>IF(NFI_Expiration=1,IF($A783&lt;VLOOKUP(O$5,NFI,5,0),1,0)*Table_NFI[[#This Row],[Clothes Kit]],Table_NFI[Clothes Kit])</f>
        <v>0</v>
      </c>
      <c r="AG783" s="436">
        <f>IF(NFI_Expiration=1,IF($A783&lt;VLOOKUP(P$5,NFI,5,0),1,0)*Table_NFI[[#This Row],[Plastic Bucket]],Table_NFI[Plastic Bucket])</f>
        <v>0</v>
      </c>
      <c r="AH783" s="436">
        <f>IF(NFI_Expiration=1,IF($A783&lt;VLOOKUP(Q$5,NFI,5,0),1,0)*Table_NFI[[#This Row],[Plastic Mat]],Table_NFI[Plastic Mat])*IF(Table_NFI[[#This Row],[Distribution Date]]&gt;"2014-04-01",1,2.5)</f>
        <v>0</v>
      </c>
      <c r="AI783" s="436">
        <f>IF(NFI_Expiration=1,IF($A783&lt;VLOOKUP(R$5,NFI,5,0),1,0)*Table_NFI[[#This Row],[Winter Clothes Adult]],Table_NFI[Winter Clothes Adult])</f>
        <v>0</v>
      </c>
      <c r="AJ783" s="436">
        <f>IF(NFI_Expiration=1,IF($A783&lt;VLOOKUP(S$5,NFI,5,0),1,0)*Table_NFI[[#This Row],[Winter Clothes Children]],Table_NFI[Winter Clothes Children])</f>
        <v>0</v>
      </c>
      <c r="AK783" s="436">
        <f>IF(NFI_Expiration=1,IF($A783&lt;VLOOKUP(T$5,NFI,5,0),1,0)*Table_NFI[[#This Row],[Winter Items Other]],Table_NFI[Winter Items Other])</f>
        <v>0</v>
      </c>
      <c r="AL783" s="436">
        <f>IF(NFI_Expiration=1,IF($A783&lt;VLOOKUP(M$5,NFI,5,0),1,0)*Table_NFI[[#This Row],[Winter Blanket]],Table_NFI[[#This Row],[Winter Blanket]])</f>
        <v>0</v>
      </c>
      <c r="AM783" s="436">
        <f>IF(Table_NFI[[#This Row],[Winter Clothes Adult]]+Table_NFI[[#This Row],[Winter Clothes Children]]+Table_NFI[[#This Row],[Winter Items Other]]+Table_NFI[[#This Row],[Winter Blanket]]&gt;0,1,0)</f>
        <v>0</v>
      </c>
      <c r="AN783" s="439">
        <f>IF(NFI_Expiration=1,IF($A783&lt;VLOOKUP(V$5,NFI,5,0),1,0)*Table_NFI[[#This Row],[Jerry Can]],Table_NFI[Jerry Can])</f>
        <v>0</v>
      </c>
      <c r="AO783" s="771" t="str">
        <f>IFERROR(VLOOKUP(Table_NFI[[#This Row],[Camp Name]],CL,2,0),"")</f>
        <v>MMR001CMP013</v>
      </c>
      <c r="AP783" s="772">
        <f ca="1">IF(Table_NFI[[#This Row],[Pcode]]="","",IF(OFFSET(CampList[Opening Date],MATCH(Table_NFI[[#This Row],[Pcode]],CampList[CP_Pcode],0)-1,0,1,1)&gt;=NFI_Monitor_Date,1,0))</f>
        <v>0</v>
      </c>
      <c r="AQ783" s="781" t="str">
        <f>IFERROR(VLOOKUP(Table_NFI[[#This Row],[Camp Name]],CL,3,0),"")</f>
        <v>Open</v>
      </c>
      <c r="AR783" s="439" t="str">
        <f ca="1">IF(Table_NFI[[#This Row],[Pcode]]="","",OFFSET(CampList[Priority],MATCH(Table_NFI[[#This Row],[Pcode]],CampList[CP_Pcode],0)-1,0,1,1))</f>
        <v>P4</v>
      </c>
      <c r="AS783" s="438">
        <f>IFERROR(Table_NFI[[#This Row],[Kitchen Set]]/VLOOKUP(Table_NFI[[#This Row],[Camp Name]],CL,4,0),"")</f>
        <v>0.73333333333333328</v>
      </c>
      <c r="AT783" s="769" t="s">
        <v>1099</v>
      </c>
      <c r="AU783" s="773"/>
    </row>
    <row r="784" spans="1:47" x14ac:dyDescent="0.25">
      <c r="A784" s="451">
        <f t="shared" si="12"/>
        <v>42.133333333333333</v>
      </c>
      <c r="B784" s="768">
        <v>41106</v>
      </c>
      <c r="C784" s="769" t="s">
        <v>454</v>
      </c>
      <c r="D784" s="770" t="s">
        <v>454</v>
      </c>
      <c r="E784" s="769" t="s">
        <v>380</v>
      </c>
      <c r="F784" s="435" t="s">
        <v>237</v>
      </c>
      <c r="G784" s="435" t="s">
        <v>240</v>
      </c>
      <c r="H784" s="436"/>
      <c r="I784" s="436"/>
      <c r="J784" s="436"/>
      <c r="K784" s="436">
        <v>6</v>
      </c>
      <c r="L784" s="437">
        <v>6</v>
      </c>
      <c r="M784" s="437">
        <v>6</v>
      </c>
      <c r="N784" s="437">
        <v>6</v>
      </c>
      <c r="O784" s="437">
        <v>6</v>
      </c>
      <c r="P784" s="437">
        <v>6</v>
      </c>
      <c r="Q784" s="437">
        <v>6</v>
      </c>
      <c r="R784" s="436"/>
      <c r="S784" s="436"/>
      <c r="T784" s="436"/>
      <c r="U784" s="436"/>
      <c r="V784" s="436"/>
      <c r="W784" s="436"/>
      <c r="X784" s="436"/>
      <c r="Y784" s="436">
        <f>IF(NFI_Expiration=1,IF($A784&lt;VLOOKUP(H$5,NFI,5,0),1,0)*Table_NFI[[#This Row],[Hygiene Kit]],Table_NFI[Hygiene Kit])</f>
        <v>0</v>
      </c>
      <c r="Z784" s="436">
        <f>IF(NFI_Expiration=1,IF($A784&lt;VLOOKUP(I$5,NFI,5,0),1,0)*Table_NFI[[#This Row],[NFI Core Kit]],Table_NFI[NFI Core Kit])</f>
        <v>0</v>
      </c>
      <c r="AA784" s="436">
        <f>IF(NFI_Expiration=1,IF($A784&lt;VLOOKUP(J$5,NFI,5,0),1,0)*Table_NFI[[#This Row],[Sanitary Kit]],Table_NFI[Sanitary Kit])</f>
        <v>0</v>
      </c>
      <c r="AB784" s="436">
        <f>IF(NFI_Expiration=1,IF($A784&lt;VLOOKUP(K$5,NFI,5,0),1,0)*Table_NFI[[#This Row],[Mosquito net]],Table_NFI[Mosquito net])</f>
        <v>0</v>
      </c>
      <c r="AC784" s="436">
        <f>IF(NFI_Expiration=1,IF($A784&lt;VLOOKUP(L$5,NFI,5,0),1,0)*Table_NFI[[#This Row],[Tarpaulin]],Table_NFI[[#This Row],[Tarpaulin]])</f>
        <v>0</v>
      </c>
      <c r="AD784" s="436">
        <f>IF(NFI_Expiration=1,IF($A784&lt;VLOOKUP(M$5,NFI,5,0),1,0)*Table_NFI[[#This Row],[Blanket]],Table_NFI[[#This Row],[Blanket]])</f>
        <v>0</v>
      </c>
      <c r="AE784" s="436">
        <f>IF(NFI_Expiration=1,IF($A784&lt;VLOOKUP(N$5,NFI,5,0),1,0)*Table_NFI[[#This Row],[Kitchen Set]],Table_NFI[Kitchen Set])</f>
        <v>0</v>
      </c>
      <c r="AF784" s="436">
        <f>IF(NFI_Expiration=1,IF($A784&lt;VLOOKUP(O$5,NFI,5,0),1,0)*Table_NFI[[#This Row],[Clothes Kit]],Table_NFI[Clothes Kit])</f>
        <v>0</v>
      </c>
      <c r="AG784" s="436">
        <f>IF(NFI_Expiration=1,IF($A784&lt;VLOOKUP(P$5,NFI,5,0),1,0)*Table_NFI[[#This Row],[Plastic Bucket]],Table_NFI[Plastic Bucket])</f>
        <v>0</v>
      </c>
      <c r="AH784" s="436">
        <f>IF(NFI_Expiration=1,IF($A784&lt;VLOOKUP(Q$5,NFI,5,0),1,0)*Table_NFI[[#This Row],[Plastic Mat]],Table_NFI[Plastic Mat])*IF(Table_NFI[[#This Row],[Distribution Date]]&gt;"2014-04-01",1,2.5)</f>
        <v>0</v>
      </c>
      <c r="AI784" s="436">
        <f>IF(NFI_Expiration=1,IF($A784&lt;VLOOKUP(R$5,NFI,5,0),1,0)*Table_NFI[[#This Row],[Winter Clothes Adult]],Table_NFI[Winter Clothes Adult])</f>
        <v>0</v>
      </c>
      <c r="AJ784" s="436">
        <f>IF(NFI_Expiration=1,IF($A784&lt;VLOOKUP(S$5,NFI,5,0),1,0)*Table_NFI[[#This Row],[Winter Clothes Children]],Table_NFI[Winter Clothes Children])</f>
        <v>0</v>
      </c>
      <c r="AK784" s="436">
        <f>IF(NFI_Expiration=1,IF($A784&lt;VLOOKUP(T$5,NFI,5,0),1,0)*Table_NFI[[#This Row],[Winter Items Other]],Table_NFI[Winter Items Other])</f>
        <v>0</v>
      </c>
      <c r="AL784" s="436">
        <f>IF(NFI_Expiration=1,IF($A784&lt;VLOOKUP(M$5,NFI,5,0),1,0)*Table_NFI[[#This Row],[Winter Blanket]],Table_NFI[[#This Row],[Winter Blanket]])</f>
        <v>0</v>
      </c>
      <c r="AM784" s="436">
        <f>IF(Table_NFI[[#This Row],[Winter Clothes Adult]]+Table_NFI[[#This Row],[Winter Clothes Children]]+Table_NFI[[#This Row],[Winter Items Other]]+Table_NFI[[#This Row],[Winter Blanket]]&gt;0,1,0)</f>
        <v>0</v>
      </c>
      <c r="AN784" s="439">
        <f>IF(NFI_Expiration=1,IF($A784&lt;VLOOKUP(V$5,NFI,5,0),1,0)*Table_NFI[[#This Row],[Jerry Can]],Table_NFI[Jerry Can])</f>
        <v>0</v>
      </c>
      <c r="AO784" s="771" t="str">
        <f>IFERROR(VLOOKUP(Table_NFI[[#This Row],[Camp Name]],CL,2,0),"")</f>
        <v>MMR001CMP015</v>
      </c>
      <c r="AP784" s="772">
        <f ca="1">IF(Table_NFI[[#This Row],[Pcode]]="","",IF(OFFSET(CampList[Opening Date],MATCH(Table_NFI[[#This Row],[Pcode]],CampList[CP_Pcode],0)-1,0,1,1)&gt;=NFI_Monitor_Date,1,0))</f>
        <v>0</v>
      </c>
      <c r="AQ784" s="781" t="str">
        <f>IFERROR(VLOOKUP(Table_NFI[[#This Row],[Camp Name]],CL,3,0),"")</f>
        <v>Open</v>
      </c>
      <c r="AR784" s="439" t="str">
        <f ca="1">IF(Table_NFI[[#This Row],[Pcode]]="","",OFFSET(CampList[Priority],MATCH(Table_NFI[[#This Row],[Pcode]],CampList[CP_Pcode],0)-1,0,1,1))</f>
        <v>P4</v>
      </c>
      <c r="AS784" s="438">
        <f>IFERROR(Table_NFI[[#This Row],[Kitchen Set]]/VLOOKUP(Table_NFI[[#This Row],[Camp Name]],CL,4,0),"")</f>
        <v>5.5555555555555552E-2</v>
      </c>
      <c r="AT784" s="769" t="s">
        <v>1099</v>
      </c>
      <c r="AU784" s="773"/>
    </row>
    <row r="785" spans="1:47" x14ac:dyDescent="0.25">
      <c r="A785" s="451">
        <f t="shared" si="12"/>
        <v>42.133333333333333</v>
      </c>
      <c r="B785" s="768">
        <v>41106</v>
      </c>
      <c r="C785" s="769" t="s">
        <v>454</v>
      </c>
      <c r="D785" s="769" t="s">
        <v>454</v>
      </c>
      <c r="E785" s="769" t="s">
        <v>380</v>
      </c>
      <c r="F785" s="435" t="s">
        <v>237</v>
      </c>
      <c r="G785" s="435" t="s">
        <v>240</v>
      </c>
      <c r="H785" s="436"/>
      <c r="I785" s="436"/>
      <c r="J785" s="436"/>
      <c r="K785" s="436">
        <v>13</v>
      </c>
      <c r="L785" s="437">
        <v>13</v>
      </c>
      <c r="M785" s="437">
        <v>13</v>
      </c>
      <c r="N785" s="437">
        <v>13</v>
      </c>
      <c r="O785" s="437">
        <v>13</v>
      </c>
      <c r="P785" s="439">
        <v>13</v>
      </c>
      <c r="Q785" s="439">
        <v>13</v>
      </c>
      <c r="R785" s="436"/>
      <c r="S785" s="436"/>
      <c r="T785" s="436"/>
      <c r="U785" s="436"/>
      <c r="V785" s="436"/>
      <c r="W785" s="436"/>
      <c r="X785" s="436"/>
      <c r="Y785" s="436">
        <f>IF(NFI_Expiration=1,IF($A785&lt;VLOOKUP(H$5,NFI,5,0),1,0)*Table_NFI[[#This Row],[Hygiene Kit]],Table_NFI[Hygiene Kit])</f>
        <v>0</v>
      </c>
      <c r="Z785" s="436">
        <f>IF(NFI_Expiration=1,IF($A785&lt;VLOOKUP(I$5,NFI,5,0),1,0)*Table_NFI[[#This Row],[NFI Core Kit]],Table_NFI[NFI Core Kit])</f>
        <v>0</v>
      </c>
      <c r="AA785" s="436">
        <f>IF(NFI_Expiration=1,IF($A785&lt;VLOOKUP(J$5,NFI,5,0),1,0)*Table_NFI[[#This Row],[Sanitary Kit]],Table_NFI[Sanitary Kit])</f>
        <v>0</v>
      </c>
      <c r="AB785" s="436">
        <f>IF(NFI_Expiration=1,IF($A785&lt;VLOOKUP(K$5,NFI,5,0),1,0)*Table_NFI[[#This Row],[Mosquito net]],Table_NFI[Mosquito net])</f>
        <v>0</v>
      </c>
      <c r="AC785" s="436">
        <f>IF(NFI_Expiration=1,IF($A785&lt;VLOOKUP(L$5,NFI,5,0),1,0)*Table_NFI[[#This Row],[Tarpaulin]],Table_NFI[[#This Row],[Tarpaulin]])</f>
        <v>0</v>
      </c>
      <c r="AD785" s="436">
        <f>IF(NFI_Expiration=1,IF($A785&lt;VLOOKUP(M$5,NFI,5,0),1,0)*Table_NFI[[#This Row],[Blanket]],Table_NFI[[#This Row],[Blanket]])</f>
        <v>0</v>
      </c>
      <c r="AE785" s="436">
        <f>IF(NFI_Expiration=1,IF($A785&lt;VLOOKUP(N$5,NFI,5,0),1,0)*Table_NFI[[#This Row],[Kitchen Set]],Table_NFI[Kitchen Set])</f>
        <v>0</v>
      </c>
      <c r="AF785" s="436">
        <f>IF(NFI_Expiration=1,IF($A785&lt;VLOOKUP(O$5,NFI,5,0),1,0)*Table_NFI[[#This Row],[Clothes Kit]],Table_NFI[Clothes Kit])</f>
        <v>0</v>
      </c>
      <c r="AG785" s="436">
        <f>IF(NFI_Expiration=1,IF($A785&lt;VLOOKUP(P$5,NFI,5,0),1,0)*Table_NFI[[#This Row],[Plastic Bucket]],Table_NFI[Plastic Bucket])</f>
        <v>0</v>
      </c>
      <c r="AH785" s="436">
        <f>IF(NFI_Expiration=1,IF($A785&lt;VLOOKUP(Q$5,NFI,5,0),1,0)*Table_NFI[[#This Row],[Plastic Mat]],Table_NFI[Plastic Mat])*IF(Table_NFI[[#This Row],[Distribution Date]]&gt;"2014-04-01",1,2.5)</f>
        <v>0</v>
      </c>
      <c r="AI785" s="436">
        <f>IF(NFI_Expiration=1,IF($A785&lt;VLOOKUP(R$5,NFI,5,0),1,0)*Table_NFI[[#This Row],[Winter Clothes Adult]],Table_NFI[Winter Clothes Adult])</f>
        <v>0</v>
      </c>
      <c r="AJ785" s="436">
        <f>IF(NFI_Expiration=1,IF($A785&lt;VLOOKUP(S$5,NFI,5,0),1,0)*Table_NFI[[#This Row],[Winter Clothes Children]],Table_NFI[Winter Clothes Children])</f>
        <v>0</v>
      </c>
      <c r="AK785" s="436">
        <f>IF(NFI_Expiration=1,IF($A785&lt;VLOOKUP(T$5,NFI,5,0),1,0)*Table_NFI[[#This Row],[Winter Items Other]],Table_NFI[Winter Items Other])</f>
        <v>0</v>
      </c>
      <c r="AL785" s="436">
        <f>IF(NFI_Expiration=1,IF($A785&lt;VLOOKUP(M$5,NFI,5,0),1,0)*Table_NFI[[#This Row],[Winter Blanket]],Table_NFI[[#This Row],[Winter Blanket]])</f>
        <v>0</v>
      </c>
      <c r="AM785" s="436">
        <f>IF(Table_NFI[[#This Row],[Winter Clothes Adult]]+Table_NFI[[#This Row],[Winter Clothes Children]]+Table_NFI[[#This Row],[Winter Items Other]]+Table_NFI[[#This Row],[Winter Blanket]]&gt;0,1,0)</f>
        <v>0</v>
      </c>
      <c r="AN785" s="439">
        <f>IF(NFI_Expiration=1,IF($A785&lt;VLOOKUP(V$5,NFI,5,0),1,0)*Table_NFI[[#This Row],[Jerry Can]],Table_NFI[Jerry Can])</f>
        <v>0</v>
      </c>
      <c r="AO785" s="771" t="str">
        <f>IFERROR(VLOOKUP(Table_NFI[[#This Row],[Camp Name]],CL,2,0),"")</f>
        <v>MMR001CMP015</v>
      </c>
      <c r="AP785" s="772">
        <f ca="1">IF(Table_NFI[[#This Row],[Pcode]]="","",IF(OFFSET(CampList[Opening Date],MATCH(Table_NFI[[#This Row],[Pcode]],CampList[CP_Pcode],0)-1,0,1,1)&gt;=NFI_Monitor_Date,1,0))</f>
        <v>0</v>
      </c>
      <c r="AQ785" s="781" t="str">
        <f>IFERROR(VLOOKUP(Table_NFI[[#This Row],[Camp Name]],CL,3,0),"")</f>
        <v>Open</v>
      </c>
      <c r="AR785" s="439" t="str">
        <f ca="1">IF(Table_NFI[[#This Row],[Pcode]]="","",OFFSET(CampList[Priority],MATCH(Table_NFI[[#This Row],[Pcode]],CampList[CP_Pcode],0)-1,0,1,1))</f>
        <v>P4</v>
      </c>
      <c r="AS785" s="438">
        <f>IFERROR(Table_NFI[[#This Row],[Kitchen Set]]/VLOOKUP(Table_NFI[[#This Row],[Camp Name]],CL,4,0),"")</f>
        <v>0.12037037037037036</v>
      </c>
      <c r="AT785" s="769" t="s">
        <v>1099</v>
      </c>
      <c r="AU785" s="773"/>
    </row>
    <row r="786" spans="1:47" x14ac:dyDescent="0.25">
      <c r="A786" s="451">
        <f t="shared" si="12"/>
        <v>42.133333333333333</v>
      </c>
      <c r="B786" s="768">
        <v>41106</v>
      </c>
      <c r="C786" s="769" t="s">
        <v>454</v>
      </c>
      <c r="D786" s="770" t="s">
        <v>454</v>
      </c>
      <c r="E786" s="769" t="s">
        <v>380</v>
      </c>
      <c r="F786" s="435" t="s">
        <v>237</v>
      </c>
      <c r="G786" s="435" t="s">
        <v>285</v>
      </c>
      <c r="H786" s="436"/>
      <c r="I786" s="436"/>
      <c r="J786" s="436"/>
      <c r="K786" s="436">
        <v>50</v>
      </c>
      <c r="L786" s="437">
        <v>50</v>
      </c>
      <c r="M786" s="437">
        <v>50</v>
      </c>
      <c r="N786" s="437">
        <v>50</v>
      </c>
      <c r="O786" s="437">
        <v>50</v>
      </c>
      <c r="P786" s="437">
        <v>50</v>
      </c>
      <c r="Q786" s="437">
        <v>50</v>
      </c>
      <c r="R786" s="436"/>
      <c r="S786" s="436"/>
      <c r="T786" s="436"/>
      <c r="U786" s="436"/>
      <c r="V786" s="436"/>
      <c r="W786" s="436"/>
      <c r="X786" s="436"/>
      <c r="Y786" s="436">
        <f>IF(NFI_Expiration=1,IF($A786&lt;VLOOKUP(H$5,NFI,5,0),1,0)*Table_NFI[[#This Row],[Hygiene Kit]],Table_NFI[Hygiene Kit])</f>
        <v>0</v>
      </c>
      <c r="Z786" s="436">
        <f>IF(NFI_Expiration=1,IF($A786&lt;VLOOKUP(I$5,NFI,5,0),1,0)*Table_NFI[[#This Row],[NFI Core Kit]],Table_NFI[NFI Core Kit])</f>
        <v>0</v>
      </c>
      <c r="AA786" s="436">
        <f>IF(NFI_Expiration=1,IF($A786&lt;VLOOKUP(J$5,NFI,5,0),1,0)*Table_NFI[[#This Row],[Sanitary Kit]],Table_NFI[Sanitary Kit])</f>
        <v>0</v>
      </c>
      <c r="AB786" s="436">
        <f>IF(NFI_Expiration=1,IF($A786&lt;VLOOKUP(K$5,NFI,5,0),1,0)*Table_NFI[[#This Row],[Mosquito net]],Table_NFI[Mosquito net])</f>
        <v>0</v>
      </c>
      <c r="AC786" s="436">
        <f>IF(NFI_Expiration=1,IF($A786&lt;VLOOKUP(L$5,NFI,5,0),1,0)*Table_NFI[[#This Row],[Tarpaulin]],Table_NFI[[#This Row],[Tarpaulin]])</f>
        <v>0</v>
      </c>
      <c r="AD786" s="436">
        <f>IF(NFI_Expiration=1,IF($A786&lt;VLOOKUP(M$5,NFI,5,0),1,0)*Table_NFI[[#This Row],[Blanket]],Table_NFI[[#This Row],[Blanket]])</f>
        <v>0</v>
      </c>
      <c r="AE786" s="436">
        <f>IF(NFI_Expiration=1,IF($A786&lt;VLOOKUP(N$5,NFI,5,0),1,0)*Table_NFI[[#This Row],[Kitchen Set]],Table_NFI[Kitchen Set])</f>
        <v>0</v>
      </c>
      <c r="AF786" s="436">
        <f>IF(NFI_Expiration=1,IF($A786&lt;VLOOKUP(O$5,NFI,5,0),1,0)*Table_NFI[[#This Row],[Clothes Kit]],Table_NFI[Clothes Kit])</f>
        <v>0</v>
      </c>
      <c r="AG786" s="436">
        <f>IF(NFI_Expiration=1,IF($A786&lt;VLOOKUP(P$5,NFI,5,0),1,0)*Table_NFI[[#This Row],[Plastic Bucket]],Table_NFI[Plastic Bucket])</f>
        <v>0</v>
      </c>
      <c r="AH786" s="436">
        <f>IF(NFI_Expiration=1,IF($A786&lt;VLOOKUP(Q$5,NFI,5,0),1,0)*Table_NFI[[#This Row],[Plastic Mat]],Table_NFI[Plastic Mat])*IF(Table_NFI[[#This Row],[Distribution Date]]&gt;"2014-04-01",1,2.5)</f>
        <v>0</v>
      </c>
      <c r="AI786" s="436">
        <f>IF(NFI_Expiration=1,IF($A786&lt;VLOOKUP(R$5,NFI,5,0),1,0)*Table_NFI[[#This Row],[Winter Clothes Adult]],Table_NFI[Winter Clothes Adult])</f>
        <v>0</v>
      </c>
      <c r="AJ786" s="436">
        <f>IF(NFI_Expiration=1,IF($A786&lt;VLOOKUP(S$5,NFI,5,0),1,0)*Table_NFI[[#This Row],[Winter Clothes Children]],Table_NFI[Winter Clothes Children])</f>
        <v>0</v>
      </c>
      <c r="AK786" s="436">
        <f>IF(NFI_Expiration=1,IF($A786&lt;VLOOKUP(T$5,NFI,5,0),1,0)*Table_NFI[[#This Row],[Winter Items Other]],Table_NFI[Winter Items Other])</f>
        <v>0</v>
      </c>
      <c r="AL786" s="436">
        <f>IF(NFI_Expiration=1,IF($A786&lt;VLOOKUP(M$5,NFI,5,0),1,0)*Table_NFI[[#This Row],[Winter Blanket]],Table_NFI[[#This Row],[Winter Blanket]])</f>
        <v>0</v>
      </c>
      <c r="AM786" s="436">
        <f>IF(Table_NFI[[#This Row],[Winter Clothes Adult]]+Table_NFI[[#This Row],[Winter Clothes Children]]+Table_NFI[[#This Row],[Winter Items Other]]+Table_NFI[[#This Row],[Winter Blanket]]&gt;0,1,0)</f>
        <v>0</v>
      </c>
      <c r="AN786" s="439">
        <f>IF(NFI_Expiration=1,IF($A786&lt;VLOOKUP(V$5,NFI,5,0),1,0)*Table_NFI[[#This Row],[Jerry Can]],Table_NFI[Jerry Can])</f>
        <v>0</v>
      </c>
      <c r="AO786" s="771" t="str">
        <f>IFERROR(VLOOKUP(Table_NFI[[#This Row],[Camp Name]],CL,2,0),"")</f>
        <v>MMR001CMP014</v>
      </c>
      <c r="AP786" s="772">
        <f ca="1">IF(Table_NFI[[#This Row],[Pcode]]="","",IF(OFFSET(CampList[Opening Date],MATCH(Table_NFI[[#This Row],[Pcode]],CampList[CP_Pcode],0)-1,0,1,1)&gt;=NFI_Monitor_Date,1,0))</f>
        <v>0</v>
      </c>
      <c r="AQ786" s="781" t="str">
        <f>IFERROR(VLOOKUP(Table_NFI[[#This Row],[Camp Name]],CL,3,0),"")</f>
        <v>Open</v>
      </c>
      <c r="AR786" s="439" t="str">
        <f ca="1">IF(Table_NFI[[#This Row],[Pcode]]="","",OFFSET(CampList[Priority],MATCH(Table_NFI[[#This Row],[Pcode]],CampList[CP_Pcode],0)-1,0,1,1))</f>
        <v>P4</v>
      </c>
      <c r="AS786" s="438">
        <f>IFERROR(Table_NFI[[#This Row],[Kitchen Set]]/VLOOKUP(Table_NFI[[#This Row],[Camp Name]],CL,4,0),"")</f>
        <v>0.30674846625766872</v>
      </c>
      <c r="AT786" s="769" t="s">
        <v>1099</v>
      </c>
      <c r="AU786" s="773"/>
    </row>
    <row r="787" spans="1:47" x14ac:dyDescent="0.25">
      <c r="A787" s="451">
        <f t="shared" si="12"/>
        <v>42.133333333333333</v>
      </c>
      <c r="B787" s="768">
        <v>41106</v>
      </c>
      <c r="C787" s="769" t="s">
        <v>454</v>
      </c>
      <c r="D787" s="769" t="s">
        <v>454</v>
      </c>
      <c r="E787" s="769" t="s">
        <v>380</v>
      </c>
      <c r="F787" s="435" t="s">
        <v>237</v>
      </c>
      <c r="G787" s="435" t="s">
        <v>259</v>
      </c>
      <c r="H787" s="436"/>
      <c r="I787" s="436"/>
      <c r="J787" s="436"/>
      <c r="K787" s="436">
        <v>3</v>
      </c>
      <c r="L787" s="437">
        <v>3</v>
      </c>
      <c r="M787" s="437">
        <v>3</v>
      </c>
      <c r="N787" s="437">
        <v>3</v>
      </c>
      <c r="O787" s="437">
        <v>3</v>
      </c>
      <c r="P787" s="439">
        <v>3</v>
      </c>
      <c r="Q787" s="439">
        <v>3</v>
      </c>
      <c r="R787" s="436"/>
      <c r="S787" s="436"/>
      <c r="T787" s="436"/>
      <c r="U787" s="436"/>
      <c r="V787" s="436"/>
      <c r="W787" s="436"/>
      <c r="X787" s="436"/>
      <c r="Y787" s="436">
        <f>IF(NFI_Expiration=1,IF($A787&lt;VLOOKUP(H$5,NFI,5,0),1,0)*Table_NFI[[#This Row],[Hygiene Kit]],Table_NFI[Hygiene Kit])</f>
        <v>0</v>
      </c>
      <c r="Z787" s="436">
        <f>IF(NFI_Expiration=1,IF($A787&lt;VLOOKUP(I$5,NFI,5,0),1,0)*Table_NFI[[#This Row],[NFI Core Kit]],Table_NFI[NFI Core Kit])</f>
        <v>0</v>
      </c>
      <c r="AA787" s="436">
        <f>IF(NFI_Expiration=1,IF($A787&lt;VLOOKUP(J$5,NFI,5,0),1,0)*Table_NFI[[#This Row],[Sanitary Kit]],Table_NFI[Sanitary Kit])</f>
        <v>0</v>
      </c>
      <c r="AB787" s="436">
        <f>IF(NFI_Expiration=1,IF($A787&lt;VLOOKUP(K$5,NFI,5,0),1,0)*Table_NFI[[#This Row],[Mosquito net]],Table_NFI[Mosquito net])</f>
        <v>0</v>
      </c>
      <c r="AC787" s="436">
        <f>IF(NFI_Expiration=1,IF($A787&lt;VLOOKUP(L$5,NFI,5,0),1,0)*Table_NFI[[#This Row],[Tarpaulin]],Table_NFI[[#This Row],[Tarpaulin]])</f>
        <v>0</v>
      </c>
      <c r="AD787" s="436">
        <f>IF(NFI_Expiration=1,IF($A787&lt;VLOOKUP(M$5,NFI,5,0),1,0)*Table_NFI[[#This Row],[Blanket]],Table_NFI[[#This Row],[Blanket]])</f>
        <v>0</v>
      </c>
      <c r="AE787" s="436">
        <f>IF(NFI_Expiration=1,IF($A787&lt;VLOOKUP(N$5,NFI,5,0),1,0)*Table_NFI[[#This Row],[Kitchen Set]],Table_NFI[Kitchen Set])</f>
        <v>0</v>
      </c>
      <c r="AF787" s="436">
        <f>IF(NFI_Expiration=1,IF($A787&lt;VLOOKUP(O$5,NFI,5,0),1,0)*Table_NFI[[#This Row],[Clothes Kit]],Table_NFI[Clothes Kit])</f>
        <v>0</v>
      </c>
      <c r="AG787" s="436">
        <f>IF(NFI_Expiration=1,IF($A787&lt;VLOOKUP(P$5,NFI,5,0),1,0)*Table_NFI[[#This Row],[Plastic Bucket]],Table_NFI[Plastic Bucket])</f>
        <v>0</v>
      </c>
      <c r="AH787" s="436">
        <f>IF(NFI_Expiration=1,IF($A787&lt;VLOOKUP(Q$5,NFI,5,0),1,0)*Table_NFI[[#This Row],[Plastic Mat]],Table_NFI[Plastic Mat])*IF(Table_NFI[[#This Row],[Distribution Date]]&gt;"2014-04-01",1,2.5)</f>
        <v>0</v>
      </c>
      <c r="AI787" s="436">
        <f>IF(NFI_Expiration=1,IF($A787&lt;VLOOKUP(R$5,NFI,5,0),1,0)*Table_NFI[[#This Row],[Winter Clothes Adult]],Table_NFI[Winter Clothes Adult])</f>
        <v>0</v>
      </c>
      <c r="AJ787" s="436">
        <f>IF(NFI_Expiration=1,IF($A787&lt;VLOOKUP(S$5,NFI,5,0),1,0)*Table_NFI[[#This Row],[Winter Clothes Children]],Table_NFI[Winter Clothes Children])</f>
        <v>0</v>
      </c>
      <c r="AK787" s="436">
        <f>IF(NFI_Expiration=1,IF($A787&lt;VLOOKUP(T$5,NFI,5,0),1,0)*Table_NFI[[#This Row],[Winter Items Other]],Table_NFI[Winter Items Other])</f>
        <v>0</v>
      </c>
      <c r="AL787" s="436">
        <f>IF(NFI_Expiration=1,IF($A787&lt;VLOOKUP(M$5,NFI,5,0),1,0)*Table_NFI[[#This Row],[Winter Blanket]],Table_NFI[[#This Row],[Winter Blanket]])</f>
        <v>0</v>
      </c>
      <c r="AM787" s="436">
        <f>IF(Table_NFI[[#This Row],[Winter Clothes Adult]]+Table_NFI[[#This Row],[Winter Clothes Children]]+Table_NFI[[#This Row],[Winter Items Other]]+Table_NFI[[#This Row],[Winter Blanket]]&gt;0,1,0)</f>
        <v>0</v>
      </c>
      <c r="AN787" s="439">
        <f>IF(NFI_Expiration=1,IF($A787&lt;VLOOKUP(V$5,NFI,5,0),1,0)*Table_NFI[[#This Row],[Jerry Can]],Table_NFI[Jerry Can])</f>
        <v>0</v>
      </c>
      <c r="AO787" s="771" t="str">
        <f>IFERROR(VLOOKUP(Table_NFI[[#This Row],[Camp Name]],CL,2,0),"")</f>
        <v>MMR001CMP016</v>
      </c>
      <c r="AP787" s="772">
        <f ca="1">IF(Table_NFI[[#This Row],[Pcode]]="","",IF(OFFSET(CampList[Opening Date],MATCH(Table_NFI[[#This Row],[Pcode]],CampList[CP_Pcode],0)-1,0,1,1)&gt;=NFI_Monitor_Date,1,0))</f>
        <v>0</v>
      </c>
      <c r="AQ787" s="781" t="str">
        <f>IFERROR(VLOOKUP(Table_NFI[[#This Row],[Camp Name]],CL,3,0),"")</f>
        <v>Open</v>
      </c>
      <c r="AR787" s="439" t="str">
        <f ca="1">IF(Table_NFI[[#This Row],[Pcode]]="","",OFFSET(CampList[Priority],MATCH(Table_NFI[[#This Row],[Pcode]],CampList[CP_Pcode],0)-1,0,1,1))</f>
        <v>P4</v>
      </c>
      <c r="AS787" s="438">
        <f>IFERROR(Table_NFI[[#This Row],[Kitchen Set]]/VLOOKUP(Table_NFI[[#This Row],[Camp Name]],CL,4,0),"")</f>
        <v>4.1666666666666664E-2</v>
      </c>
      <c r="AT787" s="769" t="s">
        <v>1099</v>
      </c>
      <c r="AU787" s="773"/>
    </row>
    <row r="788" spans="1:47" x14ac:dyDescent="0.25">
      <c r="A788" s="451">
        <f t="shared" si="12"/>
        <v>42.133333333333333</v>
      </c>
      <c r="B788" s="768">
        <v>41106</v>
      </c>
      <c r="C788" s="769" t="s">
        <v>454</v>
      </c>
      <c r="D788" s="769" t="s">
        <v>454</v>
      </c>
      <c r="E788" s="769" t="s">
        <v>380</v>
      </c>
      <c r="F788" s="769" t="s">
        <v>237</v>
      </c>
      <c r="G788" s="435" t="s">
        <v>269</v>
      </c>
      <c r="H788" s="436"/>
      <c r="I788" s="436"/>
      <c r="J788" s="436"/>
      <c r="K788" s="436">
        <v>25</v>
      </c>
      <c r="L788" s="437">
        <v>25</v>
      </c>
      <c r="M788" s="437">
        <v>25</v>
      </c>
      <c r="N788" s="437">
        <v>25</v>
      </c>
      <c r="O788" s="437">
        <v>25</v>
      </c>
      <c r="P788" s="439">
        <v>25</v>
      </c>
      <c r="Q788" s="439">
        <v>25</v>
      </c>
      <c r="R788" s="436"/>
      <c r="S788" s="436"/>
      <c r="T788" s="436"/>
      <c r="U788" s="436"/>
      <c r="V788" s="436"/>
      <c r="W788" s="436"/>
      <c r="X788" s="436"/>
      <c r="Y788" s="436">
        <f>IF(NFI_Expiration=1,IF($A788&lt;VLOOKUP(H$5,NFI,5,0),1,0)*Table_NFI[[#This Row],[Hygiene Kit]],Table_NFI[Hygiene Kit])</f>
        <v>0</v>
      </c>
      <c r="Z788" s="436">
        <f>IF(NFI_Expiration=1,IF($A788&lt;VLOOKUP(I$5,NFI,5,0),1,0)*Table_NFI[[#This Row],[NFI Core Kit]],Table_NFI[NFI Core Kit])</f>
        <v>0</v>
      </c>
      <c r="AA788" s="436">
        <f>IF(NFI_Expiration=1,IF($A788&lt;VLOOKUP(J$5,NFI,5,0),1,0)*Table_NFI[[#This Row],[Sanitary Kit]],Table_NFI[Sanitary Kit])</f>
        <v>0</v>
      </c>
      <c r="AB788" s="436">
        <f>IF(NFI_Expiration=1,IF($A788&lt;VLOOKUP(K$5,NFI,5,0),1,0)*Table_NFI[[#This Row],[Mosquito net]],Table_NFI[Mosquito net])</f>
        <v>0</v>
      </c>
      <c r="AC788" s="436">
        <f>IF(NFI_Expiration=1,IF($A788&lt;VLOOKUP(L$5,NFI,5,0),1,0)*Table_NFI[[#This Row],[Tarpaulin]],Table_NFI[[#This Row],[Tarpaulin]])</f>
        <v>0</v>
      </c>
      <c r="AD788" s="436">
        <f>IF(NFI_Expiration=1,IF($A788&lt;VLOOKUP(M$5,NFI,5,0),1,0)*Table_NFI[[#This Row],[Blanket]],Table_NFI[[#This Row],[Blanket]])</f>
        <v>0</v>
      </c>
      <c r="AE788" s="436">
        <f>IF(NFI_Expiration=1,IF($A788&lt;VLOOKUP(N$5,NFI,5,0),1,0)*Table_NFI[[#This Row],[Kitchen Set]],Table_NFI[Kitchen Set])</f>
        <v>0</v>
      </c>
      <c r="AF788" s="436">
        <f>IF(NFI_Expiration=1,IF($A788&lt;VLOOKUP(O$5,NFI,5,0),1,0)*Table_NFI[[#This Row],[Clothes Kit]],Table_NFI[Clothes Kit])</f>
        <v>0</v>
      </c>
      <c r="AG788" s="436">
        <f>IF(NFI_Expiration=1,IF($A788&lt;VLOOKUP(P$5,NFI,5,0),1,0)*Table_NFI[[#This Row],[Plastic Bucket]],Table_NFI[Plastic Bucket])</f>
        <v>0</v>
      </c>
      <c r="AH788" s="436">
        <f>IF(NFI_Expiration=1,IF($A788&lt;VLOOKUP(Q$5,NFI,5,0),1,0)*Table_NFI[[#This Row],[Plastic Mat]],Table_NFI[Plastic Mat])*IF(Table_NFI[[#This Row],[Distribution Date]]&gt;"2014-04-01",1,2.5)</f>
        <v>0</v>
      </c>
      <c r="AI788" s="436">
        <f>IF(NFI_Expiration=1,IF($A788&lt;VLOOKUP(R$5,NFI,5,0),1,0)*Table_NFI[[#This Row],[Winter Clothes Adult]],Table_NFI[Winter Clothes Adult])</f>
        <v>0</v>
      </c>
      <c r="AJ788" s="436">
        <f>IF(NFI_Expiration=1,IF($A788&lt;VLOOKUP(S$5,NFI,5,0),1,0)*Table_NFI[[#This Row],[Winter Clothes Children]],Table_NFI[Winter Clothes Children])</f>
        <v>0</v>
      </c>
      <c r="AK788" s="436">
        <f>IF(NFI_Expiration=1,IF($A788&lt;VLOOKUP(T$5,NFI,5,0),1,0)*Table_NFI[[#This Row],[Winter Items Other]],Table_NFI[Winter Items Other])</f>
        <v>0</v>
      </c>
      <c r="AL788" s="436">
        <f>IF(NFI_Expiration=1,IF($A788&lt;VLOOKUP(M$5,NFI,5,0),1,0)*Table_NFI[[#This Row],[Winter Blanket]],Table_NFI[[#This Row],[Winter Blanket]])</f>
        <v>0</v>
      </c>
      <c r="AM788" s="436">
        <f>IF(Table_NFI[[#This Row],[Winter Clothes Adult]]+Table_NFI[[#This Row],[Winter Clothes Children]]+Table_NFI[[#This Row],[Winter Items Other]]+Table_NFI[[#This Row],[Winter Blanket]]&gt;0,1,0)</f>
        <v>0</v>
      </c>
      <c r="AN788" s="439">
        <f>IF(NFI_Expiration=1,IF($A788&lt;VLOOKUP(V$5,NFI,5,0),1,0)*Table_NFI[[#This Row],[Jerry Can]],Table_NFI[Jerry Can])</f>
        <v>0</v>
      </c>
      <c r="AO788" s="771" t="str">
        <f>IFERROR(VLOOKUP(Table_NFI[[#This Row],[Camp Name]],CL,2,0),"")</f>
        <v>MMR001CMP002</v>
      </c>
      <c r="AP788" s="772">
        <f ca="1">IF(Table_NFI[[#This Row],[Pcode]]="","",IF(OFFSET(CampList[Opening Date],MATCH(Table_NFI[[#This Row],[Pcode]],CampList[CP_Pcode],0)-1,0,1,1)&gt;=NFI_Monitor_Date,1,0))</f>
        <v>0</v>
      </c>
      <c r="AQ788" s="781" t="str">
        <f>IFERROR(VLOOKUP(Table_NFI[[#This Row],[Camp Name]],CL,3,0),"")</f>
        <v>Open</v>
      </c>
      <c r="AR788" s="439" t="str">
        <f ca="1">IF(Table_NFI[[#This Row],[Pcode]]="","",OFFSET(CampList[Priority],MATCH(Table_NFI[[#This Row],[Pcode]],CampList[CP_Pcode],0)-1,0,1,1))</f>
        <v>P4</v>
      </c>
      <c r="AS788" s="438">
        <f>IFERROR(Table_NFI[[#This Row],[Kitchen Set]]/VLOOKUP(Table_NFI[[#This Row],[Camp Name]],CL,4,0),"")</f>
        <v>0.43859649122807015</v>
      </c>
      <c r="AT788" s="769" t="s">
        <v>1099</v>
      </c>
      <c r="AU788" s="773"/>
    </row>
    <row r="789" spans="1:47" x14ac:dyDescent="0.25">
      <c r="A789" s="451">
        <f t="shared" si="12"/>
        <v>42.233333333333334</v>
      </c>
      <c r="B789" s="768">
        <v>41103</v>
      </c>
      <c r="C789" s="769" t="s">
        <v>454</v>
      </c>
      <c r="D789" s="769" t="s">
        <v>454</v>
      </c>
      <c r="E789" s="769" t="s">
        <v>380</v>
      </c>
      <c r="F789" s="769" t="s">
        <v>310</v>
      </c>
      <c r="G789" s="435" t="s">
        <v>313</v>
      </c>
      <c r="H789" s="436"/>
      <c r="I789" s="436"/>
      <c r="J789" s="436"/>
      <c r="K789" s="436">
        <v>9</v>
      </c>
      <c r="L789" s="437">
        <v>9</v>
      </c>
      <c r="M789" s="437">
        <v>9</v>
      </c>
      <c r="N789" s="437">
        <v>9</v>
      </c>
      <c r="O789" s="437">
        <v>9</v>
      </c>
      <c r="P789" s="439">
        <v>9</v>
      </c>
      <c r="Q789" s="439">
        <v>9</v>
      </c>
      <c r="R789" s="436"/>
      <c r="S789" s="436"/>
      <c r="T789" s="436"/>
      <c r="U789" s="436"/>
      <c r="V789" s="436"/>
      <c r="W789" s="436"/>
      <c r="X789" s="436"/>
      <c r="Y789" s="436">
        <f>IF(NFI_Expiration=1,IF($A789&lt;VLOOKUP(H$5,NFI,5,0),1,0)*Table_NFI[[#This Row],[Hygiene Kit]],Table_NFI[Hygiene Kit])</f>
        <v>0</v>
      </c>
      <c r="Z789" s="436">
        <f>IF(NFI_Expiration=1,IF($A789&lt;VLOOKUP(I$5,NFI,5,0),1,0)*Table_NFI[[#This Row],[NFI Core Kit]],Table_NFI[NFI Core Kit])</f>
        <v>0</v>
      </c>
      <c r="AA789" s="436">
        <f>IF(NFI_Expiration=1,IF($A789&lt;VLOOKUP(J$5,NFI,5,0),1,0)*Table_NFI[[#This Row],[Sanitary Kit]],Table_NFI[Sanitary Kit])</f>
        <v>0</v>
      </c>
      <c r="AB789" s="436">
        <f>IF(NFI_Expiration=1,IF($A789&lt;VLOOKUP(K$5,NFI,5,0),1,0)*Table_NFI[[#This Row],[Mosquito net]],Table_NFI[Mosquito net])</f>
        <v>0</v>
      </c>
      <c r="AC789" s="436">
        <f>IF(NFI_Expiration=1,IF($A789&lt;VLOOKUP(L$5,NFI,5,0),1,0)*Table_NFI[[#This Row],[Tarpaulin]],Table_NFI[[#This Row],[Tarpaulin]])</f>
        <v>0</v>
      </c>
      <c r="AD789" s="436">
        <f>IF(NFI_Expiration=1,IF($A789&lt;VLOOKUP(M$5,NFI,5,0),1,0)*Table_NFI[[#This Row],[Blanket]],Table_NFI[[#This Row],[Blanket]])</f>
        <v>0</v>
      </c>
      <c r="AE789" s="436">
        <f>IF(NFI_Expiration=1,IF($A789&lt;VLOOKUP(N$5,NFI,5,0),1,0)*Table_NFI[[#This Row],[Kitchen Set]],Table_NFI[Kitchen Set])</f>
        <v>0</v>
      </c>
      <c r="AF789" s="436">
        <f>IF(NFI_Expiration=1,IF($A789&lt;VLOOKUP(O$5,NFI,5,0),1,0)*Table_NFI[[#This Row],[Clothes Kit]],Table_NFI[Clothes Kit])</f>
        <v>0</v>
      </c>
      <c r="AG789" s="436">
        <f>IF(NFI_Expiration=1,IF($A789&lt;VLOOKUP(P$5,NFI,5,0),1,0)*Table_NFI[[#This Row],[Plastic Bucket]],Table_NFI[Plastic Bucket])</f>
        <v>0</v>
      </c>
      <c r="AH789" s="436">
        <f>IF(NFI_Expiration=1,IF($A789&lt;VLOOKUP(Q$5,NFI,5,0),1,0)*Table_NFI[[#This Row],[Plastic Mat]],Table_NFI[Plastic Mat])*IF(Table_NFI[[#This Row],[Distribution Date]]&gt;"2014-04-01",1,2.5)</f>
        <v>0</v>
      </c>
      <c r="AI789" s="436">
        <f>IF(NFI_Expiration=1,IF($A789&lt;VLOOKUP(R$5,NFI,5,0),1,0)*Table_NFI[[#This Row],[Winter Clothes Adult]],Table_NFI[Winter Clothes Adult])</f>
        <v>0</v>
      </c>
      <c r="AJ789" s="436">
        <f>IF(NFI_Expiration=1,IF($A789&lt;VLOOKUP(S$5,NFI,5,0),1,0)*Table_NFI[[#This Row],[Winter Clothes Children]],Table_NFI[Winter Clothes Children])</f>
        <v>0</v>
      </c>
      <c r="AK789" s="436">
        <f>IF(NFI_Expiration=1,IF($A789&lt;VLOOKUP(T$5,NFI,5,0),1,0)*Table_NFI[[#This Row],[Winter Items Other]],Table_NFI[Winter Items Other])</f>
        <v>0</v>
      </c>
      <c r="AL789" s="436">
        <f>IF(NFI_Expiration=1,IF($A789&lt;VLOOKUP(M$5,NFI,5,0),1,0)*Table_NFI[[#This Row],[Winter Blanket]],Table_NFI[[#This Row],[Winter Blanket]])</f>
        <v>0</v>
      </c>
      <c r="AM789" s="436">
        <f>IF(Table_NFI[[#This Row],[Winter Clothes Adult]]+Table_NFI[[#This Row],[Winter Clothes Children]]+Table_NFI[[#This Row],[Winter Items Other]]+Table_NFI[[#This Row],[Winter Blanket]]&gt;0,1,0)</f>
        <v>0</v>
      </c>
      <c r="AN789" s="439">
        <f>IF(NFI_Expiration=1,IF($A789&lt;VLOOKUP(V$5,NFI,5,0),1,0)*Table_NFI[[#This Row],[Jerry Can]],Table_NFI[Jerry Can])</f>
        <v>0</v>
      </c>
      <c r="AO789" s="771" t="str">
        <f>IFERROR(VLOOKUP(Table_NFI[[#This Row],[Camp Name]],CL,2,0),"")</f>
        <v>MMR001CMP028</v>
      </c>
      <c r="AP789" s="772">
        <f ca="1">IF(Table_NFI[[#This Row],[Pcode]]="","",IF(OFFSET(CampList[Opening Date],MATCH(Table_NFI[[#This Row],[Pcode]],CampList[CP_Pcode],0)-1,0,1,1)&gt;=NFI_Monitor_Date,1,0))</f>
        <v>0</v>
      </c>
      <c r="AQ789" s="781" t="str">
        <f>IFERROR(VLOOKUP(Table_NFI[[#This Row],[Camp Name]],CL,3,0),"")</f>
        <v>Open</v>
      </c>
      <c r="AR789" s="439" t="str">
        <f ca="1">IF(Table_NFI[[#This Row],[Pcode]]="","",OFFSET(CampList[Priority],MATCH(Table_NFI[[#This Row],[Pcode]],CampList[CP_Pcode],0)-1,0,1,1))</f>
        <v>P4</v>
      </c>
      <c r="AS789" s="438">
        <f>IFERROR(Table_NFI[[#This Row],[Kitchen Set]]/VLOOKUP(Table_NFI[[#This Row],[Camp Name]],CL,4,0),"")</f>
        <v>8.1081081081081086E-2</v>
      </c>
      <c r="AT789" s="769" t="s">
        <v>1099</v>
      </c>
      <c r="AU789" s="773"/>
    </row>
    <row r="790" spans="1:47" x14ac:dyDescent="0.25">
      <c r="A790" s="451">
        <f t="shared" si="12"/>
        <v>42.233333333333334</v>
      </c>
      <c r="B790" s="768">
        <v>41103</v>
      </c>
      <c r="C790" s="769" t="s">
        <v>454</v>
      </c>
      <c r="D790" s="770" t="s">
        <v>454</v>
      </c>
      <c r="E790" s="769" t="s">
        <v>380</v>
      </c>
      <c r="F790" s="435" t="s">
        <v>310</v>
      </c>
      <c r="G790" s="435" t="s">
        <v>326</v>
      </c>
      <c r="H790" s="436"/>
      <c r="I790" s="436"/>
      <c r="J790" s="436"/>
      <c r="K790" s="436">
        <v>6</v>
      </c>
      <c r="L790" s="437">
        <v>6</v>
      </c>
      <c r="M790" s="437">
        <v>6</v>
      </c>
      <c r="N790" s="437">
        <v>6</v>
      </c>
      <c r="O790" s="437">
        <v>6</v>
      </c>
      <c r="P790" s="437">
        <v>6</v>
      </c>
      <c r="Q790" s="437">
        <v>6</v>
      </c>
      <c r="R790" s="436"/>
      <c r="S790" s="436"/>
      <c r="T790" s="436"/>
      <c r="U790" s="436"/>
      <c r="V790" s="436"/>
      <c r="W790" s="436"/>
      <c r="X790" s="436"/>
      <c r="Y790" s="436">
        <f>IF(NFI_Expiration=1,IF($A790&lt;VLOOKUP(H$5,NFI,5,0),1,0)*Table_NFI[[#This Row],[Hygiene Kit]],Table_NFI[Hygiene Kit])</f>
        <v>0</v>
      </c>
      <c r="Z790" s="436">
        <f>IF(NFI_Expiration=1,IF($A790&lt;VLOOKUP(I$5,NFI,5,0),1,0)*Table_NFI[[#This Row],[NFI Core Kit]],Table_NFI[NFI Core Kit])</f>
        <v>0</v>
      </c>
      <c r="AA790" s="436">
        <f>IF(NFI_Expiration=1,IF($A790&lt;VLOOKUP(J$5,NFI,5,0),1,0)*Table_NFI[[#This Row],[Sanitary Kit]],Table_NFI[Sanitary Kit])</f>
        <v>0</v>
      </c>
      <c r="AB790" s="436">
        <f>IF(NFI_Expiration=1,IF($A790&lt;VLOOKUP(K$5,NFI,5,0),1,0)*Table_NFI[[#This Row],[Mosquito net]],Table_NFI[Mosquito net])</f>
        <v>0</v>
      </c>
      <c r="AC790" s="436">
        <f>IF(NFI_Expiration=1,IF($A790&lt;VLOOKUP(L$5,NFI,5,0),1,0)*Table_NFI[[#This Row],[Tarpaulin]],Table_NFI[[#This Row],[Tarpaulin]])</f>
        <v>0</v>
      </c>
      <c r="AD790" s="436">
        <f>IF(NFI_Expiration=1,IF($A790&lt;VLOOKUP(M$5,NFI,5,0),1,0)*Table_NFI[[#This Row],[Blanket]],Table_NFI[[#This Row],[Blanket]])</f>
        <v>0</v>
      </c>
      <c r="AE790" s="436">
        <f>IF(NFI_Expiration=1,IF($A790&lt;VLOOKUP(N$5,NFI,5,0),1,0)*Table_NFI[[#This Row],[Kitchen Set]],Table_NFI[Kitchen Set])</f>
        <v>0</v>
      </c>
      <c r="AF790" s="436">
        <f>IF(NFI_Expiration=1,IF($A790&lt;VLOOKUP(O$5,NFI,5,0),1,0)*Table_NFI[[#This Row],[Clothes Kit]],Table_NFI[Clothes Kit])</f>
        <v>0</v>
      </c>
      <c r="AG790" s="436">
        <f>IF(NFI_Expiration=1,IF($A790&lt;VLOOKUP(P$5,NFI,5,0),1,0)*Table_NFI[[#This Row],[Plastic Bucket]],Table_NFI[Plastic Bucket])</f>
        <v>0</v>
      </c>
      <c r="AH790" s="436">
        <f>IF(NFI_Expiration=1,IF($A790&lt;VLOOKUP(Q$5,NFI,5,0),1,0)*Table_NFI[[#This Row],[Plastic Mat]],Table_NFI[Plastic Mat])*IF(Table_NFI[[#This Row],[Distribution Date]]&gt;"2014-04-01",1,2.5)</f>
        <v>0</v>
      </c>
      <c r="AI790" s="436">
        <f>IF(NFI_Expiration=1,IF($A790&lt;VLOOKUP(R$5,NFI,5,0),1,0)*Table_NFI[[#This Row],[Winter Clothes Adult]],Table_NFI[Winter Clothes Adult])</f>
        <v>0</v>
      </c>
      <c r="AJ790" s="436">
        <f>IF(NFI_Expiration=1,IF($A790&lt;VLOOKUP(S$5,NFI,5,0),1,0)*Table_NFI[[#This Row],[Winter Clothes Children]],Table_NFI[Winter Clothes Children])</f>
        <v>0</v>
      </c>
      <c r="AK790" s="436">
        <f>IF(NFI_Expiration=1,IF($A790&lt;VLOOKUP(T$5,NFI,5,0),1,0)*Table_NFI[[#This Row],[Winter Items Other]],Table_NFI[Winter Items Other])</f>
        <v>0</v>
      </c>
      <c r="AL790" s="436">
        <f>IF(NFI_Expiration=1,IF($A790&lt;VLOOKUP(M$5,NFI,5,0),1,0)*Table_NFI[[#This Row],[Winter Blanket]],Table_NFI[[#This Row],[Winter Blanket]])</f>
        <v>0</v>
      </c>
      <c r="AM790" s="436">
        <f>IF(Table_NFI[[#This Row],[Winter Clothes Adult]]+Table_NFI[[#This Row],[Winter Clothes Children]]+Table_NFI[[#This Row],[Winter Items Other]]+Table_NFI[[#This Row],[Winter Blanket]]&gt;0,1,0)</f>
        <v>0</v>
      </c>
      <c r="AN790" s="439">
        <f>IF(NFI_Expiration=1,IF($A790&lt;VLOOKUP(V$5,NFI,5,0),1,0)*Table_NFI[[#This Row],[Jerry Can]],Table_NFI[Jerry Can])</f>
        <v>0</v>
      </c>
      <c r="AO790" s="771" t="str">
        <f>IFERROR(VLOOKUP(Table_NFI[[#This Row],[Camp Name]],CL,2,0),"")</f>
        <v>MMR001CMP039</v>
      </c>
      <c r="AP790" s="772">
        <f ca="1">IF(Table_NFI[[#This Row],[Pcode]]="","",IF(OFFSET(CampList[Opening Date],MATCH(Table_NFI[[#This Row],[Pcode]],CampList[CP_Pcode],0)-1,0,1,1)&gt;=NFI_Monitor_Date,1,0))</f>
        <v>0</v>
      </c>
      <c r="AQ790" s="781" t="str">
        <f>IFERROR(VLOOKUP(Table_NFI[[#This Row],[Camp Name]],CL,3,0),"")</f>
        <v>Open</v>
      </c>
      <c r="AR790" s="439" t="str">
        <f ca="1">IF(Table_NFI[[#This Row],[Pcode]]="","",OFFSET(CampList[Priority],MATCH(Table_NFI[[#This Row],[Pcode]],CampList[CP_Pcode],0)-1,0,1,1))</f>
        <v>P4</v>
      </c>
      <c r="AS790" s="438">
        <f>IFERROR(Table_NFI[[#This Row],[Kitchen Set]]/VLOOKUP(Table_NFI[[#This Row],[Camp Name]],CL,4,0),"")</f>
        <v>0.125</v>
      </c>
      <c r="AT790" s="769" t="s">
        <v>1099</v>
      </c>
      <c r="AU790" s="773"/>
    </row>
    <row r="791" spans="1:47" x14ac:dyDescent="0.25">
      <c r="A791" s="451">
        <f t="shared" si="12"/>
        <v>42.233333333333334</v>
      </c>
      <c r="B791" s="768">
        <v>41103</v>
      </c>
      <c r="C791" s="769" t="s">
        <v>454</v>
      </c>
      <c r="D791" s="770" t="s">
        <v>454</v>
      </c>
      <c r="E791" s="769" t="s">
        <v>380</v>
      </c>
      <c r="F791" s="435" t="s">
        <v>310</v>
      </c>
      <c r="G791" s="435" t="s">
        <v>318</v>
      </c>
      <c r="H791" s="436"/>
      <c r="I791" s="436"/>
      <c r="J791" s="436"/>
      <c r="K791" s="436">
        <v>13</v>
      </c>
      <c r="L791" s="437">
        <v>13</v>
      </c>
      <c r="M791" s="437">
        <v>13</v>
      </c>
      <c r="N791" s="437">
        <v>13</v>
      </c>
      <c r="O791" s="437">
        <v>13</v>
      </c>
      <c r="P791" s="437">
        <v>13</v>
      </c>
      <c r="Q791" s="437">
        <v>13</v>
      </c>
      <c r="R791" s="436"/>
      <c r="S791" s="436"/>
      <c r="T791" s="436"/>
      <c r="U791" s="436"/>
      <c r="V791" s="436"/>
      <c r="W791" s="436"/>
      <c r="X791" s="436"/>
      <c r="Y791" s="436">
        <f>IF(NFI_Expiration=1,IF($A791&lt;VLOOKUP(H$5,NFI,5,0),1,0)*Table_NFI[[#This Row],[Hygiene Kit]],Table_NFI[Hygiene Kit])</f>
        <v>0</v>
      </c>
      <c r="Z791" s="436">
        <f>IF(NFI_Expiration=1,IF($A791&lt;VLOOKUP(I$5,NFI,5,0),1,0)*Table_NFI[[#This Row],[NFI Core Kit]],Table_NFI[NFI Core Kit])</f>
        <v>0</v>
      </c>
      <c r="AA791" s="436">
        <f>IF(NFI_Expiration=1,IF($A791&lt;VLOOKUP(J$5,NFI,5,0),1,0)*Table_NFI[[#This Row],[Sanitary Kit]],Table_NFI[Sanitary Kit])</f>
        <v>0</v>
      </c>
      <c r="AB791" s="436">
        <f>IF(NFI_Expiration=1,IF($A791&lt;VLOOKUP(K$5,NFI,5,0),1,0)*Table_NFI[[#This Row],[Mosquito net]],Table_NFI[Mosquito net])</f>
        <v>0</v>
      </c>
      <c r="AC791" s="436">
        <f>IF(NFI_Expiration=1,IF($A791&lt;VLOOKUP(L$5,NFI,5,0),1,0)*Table_NFI[[#This Row],[Tarpaulin]],Table_NFI[[#This Row],[Tarpaulin]])</f>
        <v>0</v>
      </c>
      <c r="AD791" s="436">
        <f>IF(NFI_Expiration=1,IF($A791&lt;VLOOKUP(M$5,NFI,5,0),1,0)*Table_NFI[[#This Row],[Blanket]],Table_NFI[[#This Row],[Blanket]])</f>
        <v>0</v>
      </c>
      <c r="AE791" s="436">
        <f>IF(NFI_Expiration=1,IF($A791&lt;VLOOKUP(N$5,NFI,5,0),1,0)*Table_NFI[[#This Row],[Kitchen Set]],Table_NFI[Kitchen Set])</f>
        <v>0</v>
      </c>
      <c r="AF791" s="436">
        <f>IF(NFI_Expiration=1,IF($A791&lt;VLOOKUP(O$5,NFI,5,0),1,0)*Table_NFI[[#This Row],[Clothes Kit]],Table_NFI[Clothes Kit])</f>
        <v>0</v>
      </c>
      <c r="AG791" s="436">
        <f>IF(NFI_Expiration=1,IF($A791&lt;VLOOKUP(P$5,NFI,5,0),1,0)*Table_NFI[[#This Row],[Plastic Bucket]],Table_NFI[Plastic Bucket])</f>
        <v>0</v>
      </c>
      <c r="AH791" s="436">
        <f>IF(NFI_Expiration=1,IF($A791&lt;VLOOKUP(Q$5,NFI,5,0),1,0)*Table_NFI[[#This Row],[Plastic Mat]],Table_NFI[Plastic Mat])*IF(Table_NFI[[#This Row],[Distribution Date]]&gt;"2014-04-01",1,2.5)</f>
        <v>0</v>
      </c>
      <c r="AI791" s="436">
        <f>IF(NFI_Expiration=1,IF($A791&lt;VLOOKUP(R$5,NFI,5,0),1,0)*Table_NFI[[#This Row],[Winter Clothes Adult]],Table_NFI[Winter Clothes Adult])</f>
        <v>0</v>
      </c>
      <c r="AJ791" s="436">
        <f>IF(NFI_Expiration=1,IF($A791&lt;VLOOKUP(S$5,NFI,5,0),1,0)*Table_NFI[[#This Row],[Winter Clothes Children]],Table_NFI[Winter Clothes Children])</f>
        <v>0</v>
      </c>
      <c r="AK791" s="436">
        <f>IF(NFI_Expiration=1,IF($A791&lt;VLOOKUP(T$5,NFI,5,0),1,0)*Table_NFI[[#This Row],[Winter Items Other]],Table_NFI[Winter Items Other])</f>
        <v>0</v>
      </c>
      <c r="AL791" s="436">
        <f>IF(NFI_Expiration=1,IF($A791&lt;VLOOKUP(M$5,NFI,5,0),1,0)*Table_NFI[[#This Row],[Winter Blanket]],Table_NFI[[#This Row],[Winter Blanket]])</f>
        <v>0</v>
      </c>
      <c r="AM791" s="436">
        <f>IF(Table_NFI[[#This Row],[Winter Clothes Adult]]+Table_NFI[[#This Row],[Winter Clothes Children]]+Table_NFI[[#This Row],[Winter Items Other]]+Table_NFI[[#This Row],[Winter Blanket]]&gt;0,1,0)</f>
        <v>0</v>
      </c>
      <c r="AN791" s="439">
        <f>IF(NFI_Expiration=1,IF($A791&lt;VLOOKUP(V$5,NFI,5,0),1,0)*Table_NFI[[#This Row],[Jerry Can]],Table_NFI[Jerry Can])</f>
        <v>0</v>
      </c>
      <c r="AO791" s="771" t="str">
        <f>IFERROR(VLOOKUP(Table_NFI[[#This Row],[Camp Name]],CL,2,0),"")</f>
        <v>MMR001CMP032</v>
      </c>
      <c r="AP791" s="772">
        <f ca="1">IF(Table_NFI[[#This Row],[Pcode]]="","",IF(OFFSET(CampList[Opening Date],MATCH(Table_NFI[[#This Row],[Pcode]],CampList[CP_Pcode],0)-1,0,1,1)&gt;=NFI_Monitor_Date,1,0))</f>
        <v>0</v>
      </c>
      <c r="AQ791" s="781" t="str">
        <f>IFERROR(VLOOKUP(Table_NFI[[#This Row],[Camp Name]],CL,3,0),"")</f>
        <v>Open</v>
      </c>
      <c r="AR791" s="439" t="str">
        <f ca="1">IF(Table_NFI[[#This Row],[Pcode]]="","",OFFSET(CampList[Priority],MATCH(Table_NFI[[#This Row],[Pcode]],CampList[CP_Pcode],0)-1,0,1,1))</f>
        <v>P4</v>
      </c>
      <c r="AS791" s="438">
        <f>IFERROR(Table_NFI[[#This Row],[Kitchen Set]]/VLOOKUP(Table_NFI[[#This Row],[Camp Name]],CL,4,0),"")</f>
        <v>0.13829787234042554</v>
      </c>
      <c r="AT791" s="769" t="s">
        <v>1099</v>
      </c>
      <c r="AU791" s="773"/>
    </row>
    <row r="792" spans="1:47" x14ac:dyDescent="0.25">
      <c r="A792" s="451">
        <f t="shared" si="12"/>
        <v>42.233333333333334</v>
      </c>
      <c r="B792" s="768">
        <v>41103</v>
      </c>
      <c r="C792" s="769" t="s">
        <v>454</v>
      </c>
      <c r="D792" s="770" t="s">
        <v>454</v>
      </c>
      <c r="E792" s="769" t="s">
        <v>380</v>
      </c>
      <c r="F792" s="435" t="s">
        <v>310</v>
      </c>
      <c r="G792" s="435" t="s">
        <v>351</v>
      </c>
      <c r="H792" s="436"/>
      <c r="I792" s="436"/>
      <c r="J792" s="436"/>
      <c r="K792" s="436">
        <v>3</v>
      </c>
      <c r="L792" s="437">
        <v>3</v>
      </c>
      <c r="M792" s="437">
        <v>3</v>
      </c>
      <c r="N792" s="437">
        <v>3</v>
      </c>
      <c r="O792" s="437">
        <v>3</v>
      </c>
      <c r="P792" s="437">
        <v>3</v>
      </c>
      <c r="Q792" s="437">
        <v>3</v>
      </c>
      <c r="R792" s="436"/>
      <c r="S792" s="436"/>
      <c r="T792" s="436"/>
      <c r="U792" s="436"/>
      <c r="V792" s="436"/>
      <c r="W792" s="436"/>
      <c r="X792" s="436"/>
      <c r="Y792" s="436">
        <f>IF(NFI_Expiration=1,IF($A792&lt;VLOOKUP(H$5,NFI,5,0),1,0)*Table_NFI[[#This Row],[Hygiene Kit]],Table_NFI[Hygiene Kit])</f>
        <v>0</v>
      </c>
      <c r="Z792" s="436">
        <f>IF(NFI_Expiration=1,IF($A792&lt;VLOOKUP(I$5,NFI,5,0),1,0)*Table_NFI[[#This Row],[NFI Core Kit]],Table_NFI[NFI Core Kit])</f>
        <v>0</v>
      </c>
      <c r="AA792" s="436">
        <f>IF(NFI_Expiration=1,IF($A792&lt;VLOOKUP(J$5,NFI,5,0),1,0)*Table_NFI[[#This Row],[Sanitary Kit]],Table_NFI[Sanitary Kit])</f>
        <v>0</v>
      </c>
      <c r="AB792" s="436">
        <f>IF(NFI_Expiration=1,IF($A792&lt;VLOOKUP(K$5,NFI,5,0),1,0)*Table_NFI[[#This Row],[Mosquito net]],Table_NFI[Mosquito net])</f>
        <v>0</v>
      </c>
      <c r="AC792" s="436">
        <f>IF(NFI_Expiration=1,IF($A792&lt;VLOOKUP(L$5,NFI,5,0),1,0)*Table_NFI[[#This Row],[Tarpaulin]],Table_NFI[[#This Row],[Tarpaulin]])</f>
        <v>0</v>
      </c>
      <c r="AD792" s="436">
        <f>IF(NFI_Expiration=1,IF($A792&lt;VLOOKUP(M$5,NFI,5,0),1,0)*Table_NFI[[#This Row],[Blanket]],Table_NFI[[#This Row],[Blanket]])</f>
        <v>0</v>
      </c>
      <c r="AE792" s="436">
        <f>IF(NFI_Expiration=1,IF($A792&lt;VLOOKUP(N$5,NFI,5,0),1,0)*Table_NFI[[#This Row],[Kitchen Set]],Table_NFI[Kitchen Set])</f>
        <v>0</v>
      </c>
      <c r="AF792" s="436">
        <f>IF(NFI_Expiration=1,IF($A792&lt;VLOOKUP(O$5,NFI,5,0),1,0)*Table_NFI[[#This Row],[Clothes Kit]],Table_NFI[Clothes Kit])</f>
        <v>0</v>
      </c>
      <c r="AG792" s="436">
        <f>IF(NFI_Expiration=1,IF($A792&lt;VLOOKUP(P$5,NFI,5,0),1,0)*Table_NFI[[#This Row],[Plastic Bucket]],Table_NFI[Plastic Bucket])</f>
        <v>0</v>
      </c>
      <c r="AH792" s="436">
        <f>IF(NFI_Expiration=1,IF($A792&lt;VLOOKUP(Q$5,NFI,5,0),1,0)*Table_NFI[[#This Row],[Plastic Mat]],Table_NFI[Plastic Mat])*IF(Table_NFI[[#This Row],[Distribution Date]]&gt;"2014-04-01",1,2.5)</f>
        <v>0</v>
      </c>
      <c r="AI792" s="436">
        <f>IF(NFI_Expiration=1,IF($A792&lt;VLOOKUP(R$5,NFI,5,0),1,0)*Table_NFI[[#This Row],[Winter Clothes Adult]],Table_NFI[Winter Clothes Adult])</f>
        <v>0</v>
      </c>
      <c r="AJ792" s="436">
        <f>IF(NFI_Expiration=1,IF($A792&lt;VLOOKUP(S$5,NFI,5,0),1,0)*Table_NFI[[#This Row],[Winter Clothes Children]],Table_NFI[Winter Clothes Children])</f>
        <v>0</v>
      </c>
      <c r="AK792" s="436">
        <f>IF(NFI_Expiration=1,IF($A792&lt;VLOOKUP(T$5,NFI,5,0),1,0)*Table_NFI[[#This Row],[Winter Items Other]],Table_NFI[Winter Items Other])</f>
        <v>0</v>
      </c>
      <c r="AL792" s="436">
        <f>IF(NFI_Expiration=1,IF($A792&lt;VLOOKUP(M$5,NFI,5,0),1,0)*Table_NFI[[#This Row],[Winter Blanket]],Table_NFI[[#This Row],[Winter Blanket]])</f>
        <v>0</v>
      </c>
      <c r="AM792" s="436">
        <f>IF(Table_NFI[[#This Row],[Winter Clothes Adult]]+Table_NFI[[#This Row],[Winter Clothes Children]]+Table_NFI[[#This Row],[Winter Items Other]]+Table_NFI[[#This Row],[Winter Blanket]]&gt;0,1,0)</f>
        <v>0</v>
      </c>
      <c r="AN792" s="439">
        <f>IF(NFI_Expiration=1,IF($A792&lt;VLOOKUP(V$5,NFI,5,0),1,0)*Table_NFI[[#This Row],[Jerry Can]],Table_NFI[Jerry Can])</f>
        <v>0</v>
      </c>
      <c r="AO792" s="771" t="str">
        <f>IFERROR(VLOOKUP(Table_NFI[[#This Row],[Camp Name]],CL,2,0),"")</f>
        <v>MMR001CMP026</v>
      </c>
      <c r="AP792" s="772">
        <f ca="1">IF(Table_NFI[[#This Row],[Pcode]]="","",IF(OFFSET(CampList[Opening Date],MATCH(Table_NFI[[#This Row],[Pcode]],CampList[CP_Pcode],0)-1,0,1,1)&gt;=NFI_Monitor_Date,1,0))</f>
        <v>0</v>
      </c>
      <c r="AQ792" s="781" t="str">
        <f>IFERROR(VLOOKUP(Table_NFI[[#This Row],[Camp Name]],CL,3,0),"")</f>
        <v>Open</v>
      </c>
      <c r="AR792" s="439" t="str">
        <f ca="1">IF(Table_NFI[[#This Row],[Pcode]]="","",OFFSET(CampList[Priority],MATCH(Table_NFI[[#This Row],[Pcode]],CampList[CP_Pcode],0)-1,0,1,1))</f>
        <v>P4</v>
      </c>
      <c r="AS792" s="438">
        <f>IFERROR(Table_NFI[[#This Row],[Kitchen Set]]/VLOOKUP(Table_NFI[[#This Row],[Camp Name]],CL,4,0),"")</f>
        <v>3.2967032967032968E-2</v>
      </c>
      <c r="AT792" s="769" t="s">
        <v>1099</v>
      </c>
      <c r="AU792" s="773"/>
    </row>
    <row r="793" spans="1:47" x14ac:dyDescent="0.25">
      <c r="A793" s="451">
        <f t="shared" si="12"/>
        <v>42.233333333333334</v>
      </c>
      <c r="B793" s="768">
        <v>41103</v>
      </c>
      <c r="C793" s="769" t="s">
        <v>454</v>
      </c>
      <c r="D793" s="769" t="s">
        <v>454</v>
      </c>
      <c r="E793" s="769" t="s">
        <v>380</v>
      </c>
      <c r="F793" s="435" t="s">
        <v>310</v>
      </c>
      <c r="G793" s="435" t="s">
        <v>349</v>
      </c>
      <c r="H793" s="436"/>
      <c r="I793" s="436"/>
      <c r="J793" s="436"/>
      <c r="K793" s="436">
        <v>8</v>
      </c>
      <c r="L793" s="437">
        <v>8</v>
      </c>
      <c r="M793" s="437">
        <v>8</v>
      </c>
      <c r="N793" s="437">
        <v>8</v>
      </c>
      <c r="O793" s="437">
        <v>8</v>
      </c>
      <c r="P793" s="439">
        <v>8</v>
      </c>
      <c r="Q793" s="439">
        <v>8</v>
      </c>
      <c r="R793" s="436"/>
      <c r="S793" s="436"/>
      <c r="T793" s="436"/>
      <c r="U793" s="436"/>
      <c r="V793" s="436"/>
      <c r="W793" s="436"/>
      <c r="X793" s="436"/>
      <c r="Y793" s="436">
        <f>IF(NFI_Expiration=1,IF($A793&lt;VLOOKUP(H$5,NFI,5,0),1,0)*Table_NFI[[#This Row],[Hygiene Kit]],Table_NFI[Hygiene Kit])</f>
        <v>0</v>
      </c>
      <c r="Z793" s="436">
        <f>IF(NFI_Expiration=1,IF($A793&lt;VLOOKUP(I$5,NFI,5,0),1,0)*Table_NFI[[#This Row],[NFI Core Kit]],Table_NFI[NFI Core Kit])</f>
        <v>0</v>
      </c>
      <c r="AA793" s="436">
        <f>IF(NFI_Expiration=1,IF($A793&lt;VLOOKUP(J$5,NFI,5,0),1,0)*Table_NFI[[#This Row],[Sanitary Kit]],Table_NFI[Sanitary Kit])</f>
        <v>0</v>
      </c>
      <c r="AB793" s="436">
        <f>IF(NFI_Expiration=1,IF($A793&lt;VLOOKUP(K$5,NFI,5,0),1,0)*Table_NFI[[#This Row],[Mosquito net]],Table_NFI[Mosquito net])</f>
        <v>0</v>
      </c>
      <c r="AC793" s="436">
        <f>IF(NFI_Expiration=1,IF($A793&lt;VLOOKUP(L$5,NFI,5,0),1,0)*Table_NFI[[#This Row],[Tarpaulin]],Table_NFI[[#This Row],[Tarpaulin]])</f>
        <v>0</v>
      </c>
      <c r="AD793" s="436">
        <f>IF(NFI_Expiration=1,IF($A793&lt;VLOOKUP(M$5,NFI,5,0),1,0)*Table_NFI[[#This Row],[Blanket]],Table_NFI[[#This Row],[Blanket]])</f>
        <v>0</v>
      </c>
      <c r="AE793" s="436">
        <f>IF(NFI_Expiration=1,IF($A793&lt;VLOOKUP(N$5,NFI,5,0),1,0)*Table_NFI[[#This Row],[Kitchen Set]],Table_NFI[Kitchen Set])</f>
        <v>0</v>
      </c>
      <c r="AF793" s="436">
        <f>IF(NFI_Expiration=1,IF($A793&lt;VLOOKUP(O$5,NFI,5,0),1,0)*Table_NFI[[#This Row],[Clothes Kit]],Table_NFI[Clothes Kit])</f>
        <v>0</v>
      </c>
      <c r="AG793" s="436">
        <f>IF(NFI_Expiration=1,IF($A793&lt;VLOOKUP(P$5,NFI,5,0),1,0)*Table_NFI[[#This Row],[Plastic Bucket]],Table_NFI[Plastic Bucket])</f>
        <v>0</v>
      </c>
      <c r="AH793" s="436">
        <f>IF(NFI_Expiration=1,IF($A793&lt;VLOOKUP(Q$5,NFI,5,0),1,0)*Table_NFI[[#This Row],[Plastic Mat]],Table_NFI[Plastic Mat])*IF(Table_NFI[[#This Row],[Distribution Date]]&gt;"2014-04-01",1,2.5)</f>
        <v>0</v>
      </c>
      <c r="AI793" s="436">
        <f>IF(NFI_Expiration=1,IF($A793&lt;VLOOKUP(R$5,NFI,5,0),1,0)*Table_NFI[[#This Row],[Winter Clothes Adult]],Table_NFI[Winter Clothes Adult])</f>
        <v>0</v>
      </c>
      <c r="AJ793" s="436">
        <f>IF(NFI_Expiration=1,IF($A793&lt;VLOOKUP(S$5,NFI,5,0),1,0)*Table_NFI[[#This Row],[Winter Clothes Children]],Table_NFI[Winter Clothes Children])</f>
        <v>0</v>
      </c>
      <c r="AK793" s="436">
        <f>IF(NFI_Expiration=1,IF($A793&lt;VLOOKUP(T$5,NFI,5,0),1,0)*Table_NFI[[#This Row],[Winter Items Other]],Table_NFI[Winter Items Other])</f>
        <v>0</v>
      </c>
      <c r="AL793" s="436">
        <f>IF(NFI_Expiration=1,IF($A793&lt;VLOOKUP(M$5,NFI,5,0),1,0)*Table_NFI[[#This Row],[Winter Blanket]],Table_NFI[[#This Row],[Winter Blanket]])</f>
        <v>0</v>
      </c>
      <c r="AM793" s="436">
        <f>IF(Table_NFI[[#This Row],[Winter Clothes Adult]]+Table_NFI[[#This Row],[Winter Clothes Children]]+Table_NFI[[#This Row],[Winter Items Other]]+Table_NFI[[#This Row],[Winter Blanket]]&gt;0,1,0)</f>
        <v>0</v>
      </c>
      <c r="AN793" s="439">
        <f>IF(NFI_Expiration=1,IF($A793&lt;VLOOKUP(V$5,NFI,5,0),1,0)*Table_NFI[[#This Row],[Jerry Can]],Table_NFI[Jerry Can])</f>
        <v>0</v>
      </c>
      <c r="AO793" s="771" t="str">
        <f>IFERROR(VLOOKUP(Table_NFI[[#This Row],[Camp Name]],CL,2,0),"")</f>
        <v>MMR001CMP037</v>
      </c>
      <c r="AP793" s="772">
        <f ca="1">IF(Table_NFI[[#This Row],[Pcode]]="","",IF(OFFSET(CampList[Opening Date],MATCH(Table_NFI[[#This Row],[Pcode]],CampList[CP_Pcode],0)-1,0,1,1)&gt;=NFI_Monitor_Date,1,0))</f>
        <v>0</v>
      </c>
      <c r="AQ793" s="781" t="str">
        <f>IFERROR(VLOOKUP(Table_NFI[[#This Row],[Camp Name]],CL,3,0),"")</f>
        <v>Open</v>
      </c>
      <c r="AR793" s="439" t="str">
        <f ca="1">IF(Table_NFI[[#This Row],[Pcode]]="","",OFFSET(CampList[Priority],MATCH(Table_NFI[[#This Row],[Pcode]],CampList[CP_Pcode],0)-1,0,1,1))</f>
        <v>P4</v>
      </c>
      <c r="AS793" s="438">
        <f>IFERROR(Table_NFI[[#This Row],[Kitchen Set]]/VLOOKUP(Table_NFI[[#This Row],[Camp Name]],CL,4,0),"")</f>
        <v>0.18181818181818182</v>
      </c>
      <c r="AT793" s="769" t="s">
        <v>1099</v>
      </c>
      <c r="AU793" s="773"/>
    </row>
    <row r="794" spans="1:47" x14ac:dyDescent="0.25">
      <c r="A794" s="451">
        <f t="shared" si="12"/>
        <v>42.233333333333334</v>
      </c>
      <c r="B794" s="768">
        <v>41103</v>
      </c>
      <c r="C794" s="769" t="s">
        <v>454</v>
      </c>
      <c r="D794" s="770" t="s">
        <v>454</v>
      </c>
      <c r="E794" s="769" t="s">
        <v>380</v>
      </c>
      <c r="F794" s="435" t="s">
        <v>310</v>
      </c>
      <c r="G794" s="435" t="s">
        <v>311</v>
      </c>
      <c r="H794" s="436"/>
      <c r="I794" s="436"/>
      <c r="J794" s="436"/>
      <c r="K794" s="436">
        <v>2</v>
      </c>
      <c r="L794" s="437">
        <v>2</v>
      </c>
      <c r="M794" s="437">
        <v>2</v>
      </c>
      <c r="N794" s="437">
        <v>2</v>
      </c>
      <c r="O794" s="437">
        <v>2</v>
      </c>
      <c r="P794" s="437">
        <v>2</v>
      </c>
      <c r="Q794" s="437">
        <v>2</v>
      </c>
      <c r="R794" s="436"/>
      <c r="S794" s="436"/>
      <c r="T794" s="436"/>
      <c r="U794" s="436"/>
      <c r="V794" s="436"/>
      <c r="W794" s="436"/>
      <c r="X794" s="436"/>
      <c r="Y794" s="436">
        <f>IF(NFI_Expiration=1,IF($A794&lt;VLOOKUP(H$5,NFI,5,0),1,0)*Table_NFI[[#This Row],[Hygiene Kit]],Table_NFI[Hygiene Kit])</f>
        <v>0</v>
      </c>
      <c r="Z794" s="436">
        <f>IF(NFI_Expiration=1,IF($A794&lt;VLOOKUP(I$5,NFI,5,0),1,0)*Table_NFI[[#This Row],[NFI Core Kit]],Table_NFI[NFI Core Kit])</f>
        <v>0</v>
      </c>
      <c r="AA794" s="436">
        <f>IF(NFI_Expiration=1,IF($A794&lt;VLOOKUP(J$5,NFI,5,0),1,0)*Table_NFI[[#This Row],[Sanitary Kit]],Table_NFI[Sanitary Kit])</f>
        <v>0</v>
      </c>
      <c r="AB794" s="436">
        <f>IF(NFI_Expiration=1,IF($A794&lt;VLOOKUP(K$5,NFI,5,0),1,0)*Table_NFI[[#This Row],[Mosquito net]],Table_NFI[Mosquito net])</f>
        <v>0</v>
      </c>
      <c r="AC794" s="436">
        <f>IF(NFI_Expiration=1,IF($A794&lt;VLOOKUP(L$5,NFI,5,0),1,0)*Table_NFI[[#This Row],[Tarpaulin]],Table_NFI[[#This Row],[Tarpaulin]])</f>
        <v>0</v>
      </c>
      <c r="AD794" s="436">
        <f>IF(NFI_Expiration=1,IF($A794&lt;VLOOKUP(M$5,NFI,5,0),1,0)*Table_NFI[[#This Row],[Blanket]],Table_NFI[[#This Row],[Blanket]])</f>
        <v>0</v>
      </c>
      <c r="AE794" s="436">
        <f>IF(NFI_Expiration=1,IF($A794&lt;VLOOKUP(N$5,NFI,5,0),1,0)*Table_NFI[[#This Row],[Kitchen Set]],Table_NFI[Kitchen Set])</f>
        <v>0</v>
      </c>
      <c r="AF794" s="436">
        <f>IF(NFI_Expiration=1,IF($A794&lt;VLOOKUP(O$5,NFI,5,0),1,0)*Table_NFI[[#This Row],[Clothes Kit]],Table_NFI[Clothes Kit])</f>
        <v>0</v>
      </c>
      <c r="AG794" s="436">
        <f>IF(NFI_Expiration=1,IF($A794&lt;VLOOKUP(P$5,NFI,5,0),1,0)*Table_NFI[[#This Row],[Plastic Bucket]],Table_NFI[Plastic Bucket])</f>
        <v>0</v>
      </c>
      <c r="AH794" s="436">
        <f>IF(NFI_Expiration=1,IF($A794&lt;VLOOKUP(Q$5,NFI,5,0),1,0)*Table_NFI[[#This Row],[Plastic Mat]],Table_NFI[Plastic Mat])*IF(Table_NFI[[#This Row],[Distribution Date]]&gt;"2014-04-01",1,2.5)</f>
        <v>0</v>
      </c>
      <c r="AI794" s="436">
        <f>IF(NFI_Expiration=1,IF($A794&lt;VLOOKUP(R$5,NFI,5,0),1,0)*Table_NFI[[#This Row],[Winter Clothes Adult]],Table_NFI[Winter Clothes Adult])</f>
        <v>0</v>
      </c>
      <c r="AJ794" s="436">
        <f>IF(NFI_Expiration=1,IF($A794&lt;VLOOKUP(S$5,NFI,5,0),1,0)*Table_NFI[[#This Row],[Winter Clothes Children]],Table_NFI[Winter Clothes Children])</f>
        <v>0</v>
      </c>
      <c r="AK794" s="436">
        <f>IF(NFI_Expiration=1,IF($A794&lt;VLOOKUP(T$5,NFI,5,0),1,0)*Table_NFI[[#This Row],[Winter Items Other]],Table_NFI[Winter Items Other])</f>
        <v>0</v>
      </c>
      <c r="AL794" s="436">
        <f>IF(NFI_Expiration=1,IF($A794&lt;VLOOKUP(M$5,NFI,5,0),1,0)*Table_NFI[[#This Row],[Winter Blanket]],Table_NFI[[#This Row],[Winter Blanket]])</f>
        <v>0</v>
      </c>
      <c r="AM794" s="436">
        <f>IF(Table_NFI[[#This Row],[Winter Clothes Adult]]+Table_NFI[[#This Row],[Winter Clothes Children]]+Table_NFI[[#This Row],[Winter Items Other]]+Table_NFI[[#This Row],[Winter Blanket]]&gt;0,1,0)</f>
        <v>0</v>
      </c>
      <c r="AN794" s="439">
        <f>IF(NFI_Expiration=1,IF($A794&lt;VLOOKUP(V$5,NFI,5,0),1,0)*Table_NFI[[#This Row],[Jerry Can]],Table_NFI[Jerry Can])</f>
        <v>0</v>
      </c>
      <c r="AO794" s="771" t="str">
        <f>IFERROR(VLOOKUP(Table_NFI[[#This Row],[Camp Name]],CL,2,0),"")</f>
        <v>MMR001CMP036</v>
      </c>
      <c r="AP794" s="772">
        <f ca="1">IF(Table_NFI[[#This Row],[Pcode]]="","",IF(OFFSET(CampList[Opening Date],MATCH(Table_NFI[[#This Row],[Pcode]],CampList[CP_Pcode],0)-1,0,1,1)&gt;=NFI_Monitor_Date,1,0))</f>
        <v>0</v>
      </c>
      <c r="AQ794" s="781" t="str">
        <f>IFERROR(VLOOKUP(Table_NFI[[#This Row],[Camp Name]],CL,3,0),"")</f>
        <v>Closed</v>
      </c>
      <c r="AR794" s="439" t="str">
        <f ca="1">IF(Table_NFI[[#This Row],[Pcode]]="","",OFFSET(CampList[Priority],MATCH(Table_NFI[[#This Row],[Pcode]],CampList[CP_Pcode],0)-1,0,1,1))</f>
        <v>P4</v>
      </c>
      <c r="AS794" s="438" t="str">
        <f>IFERROR(Table_NFI[[#This Row],[Kitchen Set]]/VLOOKUP(Table_NFI[[#This Row],[Camp Name]],CL,4,0),"")</f>
        <v/>
      </c>
      <c r="AT794" s="769" t="s">
        <v>1099</v>
      </c>
      <c r="AU794" s="773"/>
    </row>
    <row r="795" spans="1:47" x14ac:dyDescent="0.25">
      <c r="A795" s="451">
        <f t="shared" si="12"/>
        <v>42.333333333333336</v>
      </c>
      <c r="B795" s="768">
        <v>41100</v>
      </c>
      <c r="C795" s="769" t="s">
        <v>454</v>
      </c>
      <c r="D795" s="770" t="s">
        <v>508</v>
      </c>
      <c r="E795" s="769" t="s">
        <v>380</v>
      </c>
      <c r="F795" s="435" t="s">
        <v>310</v>
      </c>
      <c r="G795" s="435" t="s">
        <v>322</v>
      </c>
      <c r="H795" s="436"/>
      <c r="I795" s="436"/>
      <c r="J795" s="436"/>
      <c r="K795" s="436">
        <v>0</v>
      </c>
      <c r="L795" s="437">
        <v>599</v>
      </c>
      <c r="M795" s="437">
        <v>675</v>
      </c>
      <c r="N795" s="437">
        <v>599</v>
      </c>
      <c r="O795" s="437">
        <v>0</v>
      </c>
      <c r="P795" s="437"/>
      <c r="Q795" s="437"/>
      <c r="R795" s="436"/>
      <c r="S795" s="436"/>
      <c r="T795" s="436"/>
      <c r="U795" s="436"/>
      <c r="V795" s="436"/>
      <c r="W795" s="436"/>
      <c r="X795" s="436"/>
      <c r="Y795" s="436">
        <f>IF(NFI_Expiration=1,IF($A795&lt;VLOOKUP(H$5,NFI,5,0),1,0)*Table_NFI[[#This Row],[Hygiene Kit]],Table_NFI[Hygiene Kit])</f>
        <v>0</v>
      </c>
      <c r="Z795" s="436">
        <f>IF(NFI_Expiration=1,IF($A795&lt;VLOOKUP(I$5,NFI,5,0),1,0)*Table_NFI[[#This Row],[NFI Core Kit]],Table_NFI[NFI Core Kit])</f>
        <v>0</v>
      </c>
      <c r="AA795" s="436">
        <f>IF(NFI_Expiration=1,IF($A795&lt;VLOOKUP(J$5,NFI,5,0),1,0)*Table_NFI[[#This Row],[Sanitary Kit]],Table_NFI[Sanitary Kit])</f>
        <v>0</v>
      </c>
      <c r="AB795" s="436">
        <f>IF(NFI_Expiration=1,IF($A795&lt;VLOOKUP(K$5,NFI,5,0),1,0)*Table_NFI[[#This Row],[Mosquito net]],Table_NFI[Mosquito net])</f>
        <v>0</v>
      </c>
      <c r="AC795" s="436">
        <f>IF(NFI_Expiration=1,IF($A795&lt;VLOOKUP(L$5,NFI,5,0),1,0)*Table_NFI[[#This Row],[Tarpaulin]],Table_NFI[[#This Row],[Tarpaulin]])</f>
        <v>0</v>
      </c>
      <c r="AD795" s="436">
        <f>IF(NFI_Expiration=1,IF($A795&lt;VLOOKUP(M$5,NFI,5,0),1,0)*Table_NFI[[#This Row],[Blanket]],Table_NFI[[#This Row],[Blanket]])</f>
        <v>0</v>
      </c>
      <c r="AE795" s="436">
        <f>IF(NFI_Expiration=1,IF($A795&lt;VLOOKUP(N$5,NFI,5,0),1,0)*Table_NFI[[#This Row],[Kitchen Set]],Table_NFI[Kitchen Set])</f>
        <v>0</v>
      </c>
      <c r="AF795" s="436">
        <f>IF(NFI_Expiration=1,IF($A795&lt;VLOOKUP(O$5,NFI,5,0),1,0)*Table_NFI[[#This Row],[Clothes Kit]],Table_NFI[Clothes Kit])</f>
        <v>0</v>
      </c>
      <c r="AG795" s="436">
        <f>IF(NFI_Expiration=1,IF($A795&lt;VLOOKUP(P$5,NFI,5,0),1,0)*Table_NFI[[#This Row],[Plastic Bucket]],Table_NFI[Plastic Bucket])</f>
        <v>0</v>
      </c>
      <c r="AH795" s="436">
        <f>IF(NFI_Expiration=1,IF($A795&lt;VLOOKUP(Q$5,NFI,5,0),1,0)*Table_NFI[[#This Row],[Plastic Mat]],Table_NFI[Plastic Mat])*IF(Table_NFI[[#This Row],[Distribution Date]]&gt;"2014-04-01",1,2.5)</f>
        <v>0</v>
      </c>
      <c r="AI795" s="436">
        <f>IF(NFI_Expiration=1,IF($A795&lt;VLOOKUP(R$5,NFI,5,0),1,0)*Table_NFI[[#This Row],[Winter Clothes Adult]],Table_NFI[Winter Clothes Adult])</f>
        <v>0</v>
      </c>
      <c r="AJ795" s="436">
        <f>IF(NFI_Expiration=1,IF($A795&lt;VLOOKUP(S$5,NFI,5,0),1,0)*Table_NFI[[#This Row],[Winter Clothes Children]],Table_NFI[Winter Clothes Children])</f>
        <v>0</v>
      </c>
      <c r="AK795" s="436">
        <f>IF(NFI_Expiration=1,IF($A795&lt;VLOOKUP(T$5,NFI,5,0),1,0)*Table_NFI[[#This Row],[Winter Items Other]],Table_NFI[Winter Items Other])</f>
        <v>0</v>
      </c>
      <c r="AL795" s="436">
        <f>IF(NFI_Expiration=1,IF($A795&lt;VLOOKUP(M$5,NFI,5,0),1,0)*Table_NFI[[#This Row],[Winter Blanket]],Table_NFI[[#This Row],[Winter Blanket]])</f>
        <v>0</v>
      </c>
      <c r="AM795" s="436">
        <f>IF(Table_NFI[[#This Row],[Winter Clothes Adult]]+Table_NFI[[#This Row],[Winter Clothes Children]]+Table_NFI[[#This Row],[Winter Items Other]]+Table_NFI[[#This Row],[Winter Blanket]]&gt;0,1,0)</f>
        <v>0</v>
      </c>
      <c r="AN795" s="439">
        <f>IF(NFI_Expiration=1,IF($A795&lt;VLOOKUP(V$5,NFI,5,0),1,0)*Table_NFI[[#This Row],[Jerry Can]],Table_NFI[Jerry Can])</f>
        <v>0</v>
      </c>
      <c r="AO795" s="771" t="str">
        <f>IFERROR(VLOOKUP(Table_NFI[[#This Row],[Camp Name]],CL,2,0),"")</f>
        <v>MMR001CMP119</v>
      </c>
      <c r="AP795" s="772">
        <f ca="1">IF(Table_NFI[[#This Row],[Pcode]]="","",IF(OFFSET(CampList[Opening Date],MATCH(Table_NFI[[#This Row],[Pcode]],CampList[CP_Pcode],0)-1,0,1,1)&gt;=NFI_Monitor_Date,1,0))</f>
        <v>0</v>
      </c>
      <c r="AQ795" s="781" t="str">
        <f>IFERROR(VLOOKUP(Table_NFI[[#This Row],[Camp Name]],CL,3,0),"")</f>
        <v>Open</v>
      </c>
      <c r="AR795" s="439" t="str">
        <f ca="1">IF(Table_NFI[[#This Row],[Pcode]]="","",OFFSET(CampList[Priority],MATCH(Table_NFI[[#This Row],[Pcode]],CampList[CP_Pcode],0)-1,0,1,1))</f>
        <v>P2</v>
      </c>
      <c r="AS795" s="438">
        <f>IFERROR(Table_NFI[[#This Row],[Kitchen Set]]/VLOOKUP(Table_NFI[[#This Row],[Camp Name]],CL,4,0),"")</f>
        <v>0.98519736842105265</v>
      </c>
      <c r="AT795" s="769" t="s">
        <v>1099</v>
      </c>
      <c r="AU795" s="773"/>
    </row>
    <row r="796" spans="1:47" x14ac:dyDescent="0.25">
      <c r="A796" s="451">
        <f t="shared" si="12"/>
        <v>42.366666666666667</v>
      </c>
      <c r="B796" s="768">
        <v>41099</v>
      </c>
      <c r="C796" s="769" t="s">
        <v>454</v>
      </c>
      <c r="D796" s="769" t="s">
        <v>454</v>
      </c>
      <c r="E796" s="769" t="s">
        <v>380</v>
      </c>
      <c r="F796" s="769" t="s">
        <v>310</v>
      </c>
      <c r="G796" s="435" t="s">
        <v>318</v>
      </c>
      <c r="H796" s="436"/>
      <c r="I796" s="436"/>
      <c r="J796" s="436"/>
      <c r="K796" s="436">
        <v>77</v>
      </c>
      <c r="L796" s="437">
        <v>34</v>
      </c>
      <c r="M796" s="437">
        <v>77</v>
      </c>
      <c r="N796" s="437">
        <v>35</v>
      </c>
      <c r="O796" s="437">
        <v>52</v>
      </c>
      <c r="P796" s="437">
        <v>52</v>
      </c>
      <c r="Q796" s="437">
        <v>52</v>
      </c>
      <c r="R796" s="436"/>
      <c r="S796" s="436"/>
      <c r="T796" s="436"/>
      <c r="U796" s="436"/>
      <c r="V796" s="436"/>
      <c r="W796" s="436"/>
      <c r="X796" s="436"/>
      <c r="Y796" s="436">
        <f>IF(NFI_Expiration=1,IF($A796&lt;VLOOKUP(H$5,NFI,5,0),1,0)*Table_NFI[[#This Row],[Hygiene Kit]],Table_NFI[Hygiene Kit])</f>
        <v>0</v>
      </c>
      <c r="Z796" s="436">
        <f>IF(NFI_Expiration=1,IF($A796&lt;VLOOKUP(I$5,NFI,5,0),1,0)*Table_NFI[[#This Row],[NFI Core Kit]],Table_NFI[NFI Core Kit])</f>
        <v>0</v>
      </c>
      <c r="AA796" s="436">
        <f>IF(NFI_Expiration=1,IF($A796&lt;VLOOKUP(J$5,NFI,5,0),1,0)*Table_NFI[[#This Row],[Sanitary Kit]],Table_NFI[Sanitary Kit])</f>
        <v>0</v>
      </c>
      <c r="AB796" s="436">
        <f>IF(NFI_Expiration=1,IF($A796&lt;VLOOKUP(K$5,NFI,5,0),1,0)*Table_NFI[[#This Row],[Mosquito net]],Table_NFI[Mosquito net])</f>
        <v>0</v>
      </c>
      <c r="AC796" s="436">
        <f>IF(NFI_Expiration=1,IF($A796&lt;VLOOKUP(L$5,NFI,5,0),1,0)*Table_NFI[[#This Row],[Tarpaulin]],Table_NFI[[#This Row],[Tarpaulin]])</f>
        <v>0</v>
      </c>
      <c r="AD796" s="436">
        <f>IF(NFI_Expiration=1,IF($A796&lt;VLOOKUP(M$5,NFI,5,0),1,0)*Table_NFI[[#This Row],[Blanket]],Table_NFI[[#This Row],[Blanket]])</f>
        <v>0</v>
      </c>
      <c r="AE796" s="436">
        <f>IF(NFI_Expiration=1,IF($A796&lt;VLOOKUP(N$5,NFI,5,0),1,0)*Table_NFI[[#This Row],[Kitchen Set]],Table_NFI[Kitchen Set])</f>
        <v>0</v>
      </c>
      <c r="AF796" s="436">
        <f>IF(NFI_Expiration=1,IF($A796&lt;VLOOKUP(O$5,NFI,5,0),1,0)*Table_NFI[[#This Row],[Clothes Kit]],Table_NFI[Clothes Kit])</f>
        <v>0</v>
      </c>
      <c r="AG796" s="436">
        <f>IF(NFI_Expiration=1,IF($A796&lt;VLOOKUP(P$5,NFI,5,0),1,0)*Table_NFI[[#This Row],[Plastic Bucket]],Table_NFI[Plastic Bucket])</f>
        <v>0</v>
      </c>
      <c r="AH796" s="436">
        <f>IF(NFI_Expiration=1,IF($A796&lt;VLOOKUP(Q$5,NFI,5,0),1,0)*Table_NFI[[#This Row],[Plastic Mat]],Table_NFI[Plastic Mat])*IF(Table_NFI[[#This Row],[Distribution Date]]&gt;"2014-04-01",1,2.5)</f>
        <v>0</v>
      </c>
      <c r="AI796" s="436">
        <f>IF(NFI_Expiration=1,IF($A796&lt;VLOOKUP(R$5,NFI,5,0),1,0)*Table_NFI[[#This Row],[Winter Clothes Adult]],Table_NFI[Winter Clothes Adult])</f>
        <v>0</v>
      </c>
      <c r="AJ796" s="436">
        <f>IF(NFI_Expiration=1,IF($A796&lt;VLOOKUP(S$5,NFI,5,0),1,0)*Table_NFI[[#This Row],[Winter Clothes Children]],Table_NFI[Winter Clothes Children])</f>
        <v>0</v>
      </c>
      <c r="AK796" s="436">
        <f>IF(NFI_Expiration=1,IF($A796&lt;VLOOKUP(T$5,NFI,5,0),1,0)*Table_NFI[[#This Row],[Winter Items Other]],Table_NFI[Winter Items Other])</f>
        <v>0</v>
      </c>
      <c r="AL796" s="436">
        <f>IF(NFI_Expiration=1,IF($A796&lt;VLOOKUP(M$5,NFI,5,0),1,0)*Table_NFI[[#This Row],[Winter Blanket]],Table_NFI[[#This Row],[Winter Blanket]])</f>
        <v>0</v>
      </c>
      <c r="AM796" s="436">
        <f>IF(Table_NFI[[#This Row],[Winter Clothes Adult]]+Table_NFI[[#This Row],[Winter Clothes Children]]+Table_NFI[[#This Row],[Winter Items Other]]+Table_NFI[[#This Row],[Winter Blanket]]&gt;0,1,0)</f>
        <v>0</v>
      </c>
      <c r="AN796" s="439">
        <f>IF(NFI_Expiration=1,IF($A796&lt;VLOOKUP(V$5,NFI,5,0),1,0)*Table_NFI[[#This Row],[Jerry Can]],Table_NFI[Jerry Can])</f>
        <v>0</v>
      </c>
      <c r="AO796" s="771" t="str">
        <f>IFERROR(VLOOKUP(Table_NFI[[#This Row],[Camp Name]],CL,2,0),"")</f>
        <v>MMR001CMP032</v>
      </c>
      <c r="AP796" s="772">
        <f ca="1">IF(Table_NFI[[#This Row],[Pcode]]="","",IF(OFFSET(CampList[Opening Date],MATCH(Table_NFI[[#This Row],[Pcode]],CampList[CP_Pcode],0)-1,0,1,1)&gt;=NFI_Monitor_Date,1,0))</f>
        <v>0</v>
      </c>
      <c r="AQ796" s="781" t="str">
        <f>IFERROR(VLOOKUP(Table_NFI[[#This Row],[Camp Name]],CL,3,0),"")</f>
        <v>Open</v>
      </c>
      <c r="AR796" s="439" t="str">
        <f ca="1">IF(Table_NFI[[#This Row],[Pcode]]="","",OFFSET(CampList[Priority],MATCH(Table_NFI[[#This Row],[Pcode]],CampList[CP_Pcode],0)-1,0,1,1))</f>
        <v>P4</v>
      </c>
      <c r="AS796" s="438">
        <f>IFERROR(Table_NFI[[#This Row],[Kitchen Set]]/VLOOKUP(Table_NFI[[#This Row],[Camp Name]],CL,4,0),"")</f>
        <v>0.37234042553191488</v>
      </c>
      <c r="AT796" s="769" t="s">
        <v>1099</v>
      </c>
      <c r="AU796" s="773"/>
    </row>
    <row r="797" spans="1:47" x14ac:dyDescent="0.25">
      <c r="A797" s="451">
        <f t="shared" si="12"/>
        <v>42.466666666666669</v>
      </c>
      <c r="B797" s="768">
        <v>41096</v>
      </c>
      <c r="C797" s="769" t="s">
        <v>454</v>
      </c>
      <c r="D797" s="769" t="s">
        <v>454</v>
      </c>
      <c r="E797" s="769" t="s">
        <v>380</v>
      </c>
      <c r="F797" s="769" t="s">
        <v>310</v>
      </c>
      <c r="G797" s="435" t="s">
        <v>316</v>
      </c>
      <c r="H797" s="436"/>
      <c r="I797" s="436"/>
      <c r="J797" s="436"/>
      <c r="K797" s="436">
        <v>17</v>
      </c>
      <c r="L797" s="437">
        <v>17</v>
      </c>
      <c r="M797" s="437">
        <v>17</v>
      </c>
      <c r="N797" s="437">
        <v>17</v>
      </c>
      <c r="O797" s="437">
        <v>17</v>
      </c>
      <c r="P797" s="437">
        <v>17</v>
      </c>
      <c r="Q797" s="437">
        <v>17</v>
      </c>
      <c r="R797" s="436"/>
      <c r="S797" s="436"/>
      <c r="T797" s="436"/>
      <c r="U797" s="436"/>
      <c r="V797" s="436"/>
      <c r="W797" s="436"/>
      <c r="X797" s="436"/>
      <c r="Y797" s="436">
        <f>IF(NFI_Expiration=1,IF($A797&lt;VLOOKUP(H$5,NFI,5,0),1,0)*Table_NFI[[#This Row],[Hygiene Kit]],Table_NFI[Hygiene Kit])</f>
        <v>0</v>
      </c>
      <c r="Z797" s="436">
        <f>IF(NFI_Expiration=1,IF($A797&lt;VLOOKUP(I$5,NFI,5,0),1,0)*Table_NFI[[#This Row],[NFI Core Kit]],Table_NFI[NFI Core Kit])</f>
        <v>0</v>
      </c>
      <c r="AA797" s="436">
        <f>IF(NFI_Expiration=1,IF($A797&lt;VLOOKUP(J$5,NFI,5,0),1,0)*Table_NFI[[#This Row],[Sanitary Kit]],Table_NFI[Sanitary Kit])</f>
        <v>0</v>
      </c>
      <c r="AB797" s="436">
        <f>IF(NFI_Expiration=1,IF($A797&lt;VLOOKUP(K$5,NFI,5,0),1,0)*Table_NFI[[#This Row],[Mosquito net]],Table_NFI[Mosquito net])</f>
        <v>0</v>
      </c>
      <c r="AC797" s="436">
        <f>IF(NFI_Expiration=1,IF($A797&lt;VLOOKUP(L$5,NFI,5,0),1,0)*Table_NFI[[#This Row],[Tarpaulin]],Table_NFI[[#This Row],[Tarpaulin]])</f>
        <v>0</v>
      </c>
      <c r="AD797" s="436">
        <f>IF(NFI_Expiration=1,IF($A797&lt;VLOOKUP(M$5,NFI,5,0),1,0)*Table_NFI[[#This Row],[Blanket]],Table_NFI[[#This Row],[Blanket]])</f>
        <v>0</v>
      </c>
      <c r="AE797" s="436">
        <f>IF(NFI_Expiration=1,IF($A797&lt;VLOOKUP(N$5,NFI,5,0),1,0)*Table_NFI[[#This Row],[Kitchen Set]],Table_NFI[Kitchen Set])</f>
        <v>0</v>
      </c>
      <c r="AF797" s="436">
        <f>IF(NFI_Expiration=1,IF($A797&lt;VLOOKUP(O$5,NFI,5,0),1,0)*Table_NFI[[#This Row],[Clothes Kit]],Table_NFI[Clothes Kit])</f>
        <v>0</v>
      </c>
      <c r="AG797" s="436">
        <f>IF(NFI_Expiration=1,IF($A797&lt;VLOOKUP(P$5,NFI,5,0),1,0)*Table_NFI[[#This Row],[Plastic Bucket]],Table_NFI[Plastic Bucket])</f>
        <v>0</v>
      </c>
      <c r="AH797" s="436">
        <f>IF(NFI_Expiration=1,IF($A797&lt;VLOOKUP(Q$5,NFI,5,0),1,0)*Table_NFI[[#This Row],[Plastic Mat]],Table_NFI[Plastic Mat])*IF(Table_NFI[[#This Row],[Distribution Date]]&gt;"2014-04-01",1,2.5)</f>
        <v>0</v>
      </c>
      <c r="AI797" s="436">
        <f>IF(NFI_Expiration=1,IF($A797&lt;VLOOKUP(R$5,NFI,5,0),1,0)*Table_NFI[[#This Row],[Winter Clothes Adult]],Table_NFI[Winter Clothes Adult])</f>
        <v>0</v>
      </c>
      <c r="AJ797" s="436">
        <f>IF(NFI_Expiration=1,IF($A797&lt;VLOOKUP(S$5,NFI,5,0),1,0)*Table_NFI[[#This Row],[Winter Clothes Children]],Table_NFI[Winter Clothes Children])</f>
        <v>0</v>
      </c>
      <c r="AK797" s="436">
        <f>IF(NFI_Expiration=1,IF($A797&lt;VLOOKUP(T$5,NFI,5,0),1,0)*Table_NFI[[#This Row],[Winter Items Other]],Table_NFI[Winter Items Other])</f>
        <v>0</v>
      </c>
      <c r="AL797" s="436">
        <f>IF(NFI_Expiration=1,IF($A797&lt;VLOOKUP(M$5,NFI,5,0),1,0)*Table_NFI[[#This Row],[Winter Blanket]],Table_NFI[[#This Row],[Winter Blanket]])</f>
        <v>0</v>
      </c>
      <c r="AM797" s="436">
        <f>IF(Table_NFI[[#This Row],[Winter Clothes Adult]]+Table_NFI[[#This Row],[Winter Clothes Children]]+Table_NFI[[#This Row],[Winter Items Other]]+Table_NFI[[#This Row],[Winter Blanket]]&gt;0,1,0)</f>
        <v>0</v>
      </c>
      <c r="AN797" s="439">
        <f>IF(NFI_Expiration=1,IF($A797&lt;VLOOKUP(V$5,NFI,5,0),1,0)*Table_NFI[[#This Row],[Jerry Can]],Table_NFI[Jerry Can])</f>
        <v>0</v>
      </c>
      <c r="AO797" s="771" t="str">
        <f>IFERROR(VLOOKUP(Table_NFI[[#This Row],[Camp Name]],CL,2,0),"")</f>
        <v>MMR001CMP038</v>
      </c>
      <c r="AP797" s="772">
        <f ca="1">IF(Table_NFI[[#This Row],[Pcode]]="","",IF(OFFSET(CampList[Opening Date],MATCH(Table_NFI[[#This Row],[Pcode]],CampList[CP_Pcode],0)-1,0,1,1)&gt;=NFI_Monitor_Date,1,0))</f>
        <v>0</v>
      </c>
      <c r="AQ797" s="781" t="str">
        <f>IFERROR(VLOOKUP(Table_NFI[[#This Row],[Camp Name]],CL,3,0),"")</f>
        <v>Open</v>
      </c>
      <c r="AR797" s="439" t="str">
        <f ca="1">IF(Table_NFI[[#This Row],[Pcode]]="","",OFFSET(CampList[Priority],MATCH(Table_NFI[[#This Row],[Pcode]],CampList[CP_Pcode],0)-1,0,1,1))</f>
        <v>P4</v>
      </c>
      <c r="AS797" s="438">
        <f>IFERROR(Table_NFI[[#This Row],[Kitchen Set]]/VLOOKUP(Table_NFI[[#This Row],[Camp Name]],CL,4,0),"")</f>
        <v>0.18888888888888888</v>
      </c>
      <c r="AT797" s="769" t="s">
        <v>1099</v>
      </c>
      <c r="AU797" s="773"/>
    </row>
    <row r="798" spans="1:47" x14ac:dyDescent="0.25">
      <c r="A798" s="451">
        <f t="shared" si="12"/>
        <v>42.5</v>
      </c>
      <c r="B798" s="768">
        <v>41095</v>
      </c>
      <c r="C798" s="769" t="s">
        <v>454</v>
      </c>
      <c r="D798" s="769" t="s">
        <v>454</v>
      </c>
      <c r="E798" s="769" t="s">
        <v>380</v>
      </c>
      <c r="F798" s="435" t="s">
        <v>5</v>
      </c>
      <c r="G798" s="435" t="s">
        <v>24</v>
      </c>
      <c r="H798" s="436"/>
      <c r="I798" s="436"/>
      <c r="J798" s="436"/>
      <c r="K798" s="436">
        <v>36</v>
      </c>
      <c r="L798" s="437">
        <v>14</v>
      </c>
      <c r="M798" s="437">
        <v>36</v>
      </c>
      <c r="N798" s="437">
        <v>14</v>
      </c>
      <c r="O798" s="437">
        <v>14</v>
      </c>
      <c r="P798" s="439">
        <v>14</v>
      </c>
      <c r="Q798" s="439">
        <v>14</v>
      </c>
      <c r="R798" s="436"/>
      <c r="S798" s="436"/>
      <c r="T798" s="436"/>
      <c r="U798" s="436"/>
      <c r="V798" s="436"/>
      <c r="W798" s="436"/>
      <c r="X798" s="436"/>
      <c r="Y798" s="436">
        <f>IF(NFI_Expiration=1,IF($A798&lt;VLOOKUP(H$5,NFI,5,0),1,0)*Table_NFI[[#This Row],[Hygiene Kit]],Table_NFI[Hygiene Kit])</f>
        <v>0</v>
      </c>
      <c r="Z798" s="436">
        <f>IF(NFI_Expiration=1,IF($A798&lt;VLOOKUP(I$5,NFI,5,0),1,0)*Table_NFI[[#This Row],[NFI Core Kit]],Table_NFI[NFI Core Kit])</f>
        <v>0</v>
      </c>
      <c r="AA798" s="436">
        <f>IF(NFI_Expiration=1,IF($A798&lt;VLOOKUP(J$5,NFI,5,0),1,0)*Table_NFI[[#This Row],[Sanitary Kit]],Table_NFI[Sanitary Kit])</f>
        <v>0</v>
      </c>
      <c r="AB798" s="436">
        <f>IF(NFI_Expiration=1,IF($A798&lt;VLOOKUP(K$5,NFI,5,0),1,0)*Table_NFI[[#This Row],[Mosquito net]],Table_NFI[Mosquito net])</f>
        <v>0</v>
      </c>
      <c r="AC798" s="436">
        <f>IF(NFI_Expiration=1,IF($A798&lt;VLOOKUP(L$5,NFI,5,0),1,0)*Table_NFI[[#This Row],[Tarpaulin]],Table_NFI[[#This Row],[Tarpaulin]])</f>
        <v>0</v>
      </c>
      <c r="AD798" s="436">
        <f>IF(NFI_Expiration=1,IF($A798&lt;VLOOKUP(M$5,NFI,5,0),1,0)*Table_NFI[[#This Row],[Blanket]],Table_NFI[[#This Row],[Blanket]])</f>
        <v>0</v>
      </c>
      <c r="AE798" s="436">
        <f>IF(NFI_Expiration=1,IF($A798&lt;VLOOKUP(N$5,NFI,5,0),1,0)*Table_NFI[[#This Row],[Kitchen Set]],Table_NFI[Kitchen Set])</f>
        <v>0</v>
      </c>
      <c r="AF798" s="436">
        <f>IF(NFI_Expiration=1,IF($A798&lt;VLOOKUP(O$5,NFI,5,0),1,0)*Table_NFI[[#This Row],[Clothes Kit]],Table_NFI[Clothes Kit])</f>
        <v>0</v>
      </c>
      <c r="AG798" s="436">
        <f>IF(NFI_Expiration=1,IF($A798&lt;VLOOKUP(P$5,NFI,5,0),1,0)*Table_NFI[[#This Row],[Plastic Bucket]],Table_NFI[Plastic Bucket])</f>
        <v>0</v>
      </c>
      <c r="AH798" s="436">
        <f>IF(NFI_Expiration=1,IF($A798&lt;VLOOKUP(Q$5,NFI,5,0),1,0)*Table_NFI[[#This Row],[Plastic Mat]],Table_NFI[Plastic Mat])*IF(Table_NFI[[#This Row],[Distribution Date]]&gt;"2014-04-01",1,2.5)</f>
        <v>0</v>
      </c>
      <c r="AI798" s="436">
        <f>IF(NFI_Expiration=1,IF($A798&lt;VLOOKUP(R$5,NFI,5,0),1,0)*Table_NFI[[#This Row],[Winter Clothes Adult]],Table_NFI[Winter Clothes Adult])</f>
        <v>0</v>
      </c>
      <c r="AJ798" s="436">
        <f>IF(NFI_Expiration=1,IF($A798&lt;VLOOKUP(S$5,NFI,5,0),1,0)*Table_NFI[[#This Row],[Winter Clothes Children]],Table_NFI[Winter Clothes Children])</f>
        <v>0</v>
      </c>
      <c r="AK798" s="436">
        <f>IF(NFI_Expiration=1,IF($A798&lt;VLOOKUP(T$5,NFI,5,0),1,0)*Table_NFI[[#This Row],[Winter Items Other]],Table_NFI[Winter Items Other])</f>
        <v>0</v>
      </c>
      <c r="AL798" s="436">
        <f>IF(NFI_Expiration=1,IF($A798&lt;VLOOKUP(M$5,NFI,5,0),1,0)*Table_NFI[[#This Row],[Winter Blanket]],Table_NFI[[#This Row],[Winter Blanket]])</f>
        <v>0</v>
      </c>
      <c r="AM798" s="436">
        <f>IF(Table_NFI[[#This Row],[Winter Clothes Adult]]+Table_NFI[[#This Row],[Winter Clothes Children]]+Table_NFI[[#This Row],[Winter Items Other]]+Table_NFI[[#This Row],[Winter Blanket]]&gt;0,1,0)</f>
        <v>0</v>
      </c>
      <c r="AN798" s="439">
        <f>IF(NFI_Expiration=1,IF($A798&lt;VLOOKUP(V$5,NFI,5,0),1,0)*Table_NFI[[#This Row],[Jerry Can]],Table_NFI[Jerry Can])</f>
        <v>0</v>
      </c>
      <c r="AO798" s="771" t="str">
        <f>IFERROR(VLOOKUP(Table_NFI[[#This Row],[Camp Name]],CL,2,0),"")</f>
        <v>MMR001CMP055</v>
      </c>
      <c r="AP798" s="772">
        <f ca="1">IF(Table_NFI[[#This Row],[Pcode]]="","",IF(OFFSET(CampList[Opening Date],MATCH(Table_NFI[[#This Row],[Pcode]],CampList[CP_Pcode],0)-1,0,1,1)&gt;=NFI_Monitor_Date,1,0))</f>
        <v>0</v>
      </c>
      <c r="AQ798" s="781" t="str">
        <f>IFERROR(VLOOKUP(Table_NFI[[#This Row],[Camp Name]],CL,3,0),"")</f>
        <v>Open</v>
      </c>
      <c r="AR798" s="439" t="str">
        <f ca="1">IF(Table_NFI[[#This Row],[Pcode]]="","",OFFSET(CampList[Priority],MATCH(Table_NFI[[#This Row],[Pcode]],CampList[CP_Pcode],0)-1,0,1,1))</f>
        <v>P4</v>
      </c>
      <c r="AS798" s="438">
        <f>IFERROR(Table_NFI[[#This Row],[Kitchen Set]]/VLOOKUP(Table_NFI[[#This Row],[Camp Name]],CL,4,0),"")</f>
        <v>0.56000000000000005</v>
      </c>
      <c r="AT798" s="769" t="s">
        <v>1099</v>
      </c>
      <c r="AU798" s="773"/>
    </row>
    <row r="799" spans="1:47" x14ac:dyDescent="0.25">
      <c r="A799" s="451">
        <f t="shared" si="12"/>
        <v>42.833333333333336</v>
      </c>
      <c r="B799" s="768">
        <v>41085</v>
      </c>
      <c r="C799" s="769" t="s">
        <v>454</v>
      </c>
      <c r="D799" s="770" t="s">
        <v>454</v>
      </c>
      <c r="E799" s="769" t="s">
        <v>380</v>
      </c>
      <c r="F799" s="435" t="s">
        <v>185</v>
      </c>
      <c r="G799" s="435" t="s">
        <v>209</v>
      </c>
      <c r="H799" s="436"/>
      <c r="I799" s="441"/>
      <c r="J799" s="434"/>
      <c r="K799" s="434">
        <v>290</v>
      </c>
      <c r="L799" s="434">
        <v>145</v>
      </c>
      <c r="M799" s="434">
        <v>290</v>
      </c>
      <c r="N799" s="434">
        <v>145</v>
      </c>
      <c r="O799" s="434">
        <v>145</v>
      </c>
      <c r="P799" s="437">
        <v>145</v>
      </c>
      <c r="Q799" s="437">
        <v>145</v>
      </c>
      <c r="R799" s="436"/>
      <c r="S799" s="436"/>
      <c r="T799" s="436"/>
      <c r="U799" s="436"/>
      <c r="V799" s="436"/>
      <c r="W799" s="436"/>
      <c r="X799" s="436"/>
      <c r="Y799" s="436">
        <f>IF(NFI_Expiration=1,IF($A799&lt;VLOOKUP(H$5,NFI,5,0),1,0)*Table_NFI[[#This Row],[Hygiene Kit]],Table_NFI[Hygiene Kit])</f>
        <v>0</v>
      </c>
      <c r="Z799" s="436">
        <f>IF(NFI_Expiration=1,IF($A799&lt;VLOOKUP(I$5,NFI,5,0),1,0)*Table_NFI[[#This Row],[NFI Core Kit]],Table_NFI[NFI Core Kit])</f>
        <v>0</v>
      </c>
      <c r="AA799" s="436">
        <f>IF(NFI_Expiration=1,IF($A799&lt;VLOOKUP(J$5,NFI,5,0),1,0)*Table_NFI[[#This Row],[Sanitary Kit]],Table_NFI[Sanitary Kit])</f>
        <v>0</v>
      </c>
      <c r="AB799" s="436">
        <f>IF(NFI_Expiration=1,IF($A799&lt;VLOOKUP(K$5,NFI,5,0),1,0)*Table_NFI[[#This Row],[Mosquito net]],Table_NFI[Mosquito net])</f>
        <v>0</v>
      </c>
      <c r="AC799" s="436">
        <f>IF(NFI_Expiration=1,IF($A799&lt;VLOOKUP(L$5,NFI,5,0),1,0)*Table_NFI[[#This Row],[Tarpaulin]],Table_NFI[[#This Row],[Tarpaulin]])</f>
        <v>0</v>
      </c>
      <c r="AD799" s="436">
        <f>IF(NFI_Expiration=1,IF($A799&lt;VLOOKUP(M$5,NFI,5,0),1,0)*Table_NFI[[#This Row],[Blanket]],Table_NFI[[#This Row],[Blanket]])</f>
        <v>0</v>
      </c>
      <c r="AE799" s="436">
        <f>IF(NFI_Expiration=1,IF($A799&lt;VLOOKUP(N$5,NFI,5,0),1,0)*Table_NFI[[#This Row],[Kitchen Set]],Table_NFI[Kitchen Set])</f>
        <v>0</v>
      </c>
      <c r="AF799" s="436">
        <f>IF(NFI_Expiration=1,IF($A799&lt;VLOOKUP(O$5,NFI,5,0),1,0)*Table_NFI[[#This Row],[Clothes Kit]],Table_NFI[Clothes Kit])</f>
        <v>0</v>
      </c>
      <c r="AG799" s="436">
        <f>IF(NFI_Expiration=1,IF($A799&lt;VLOOKUP(P$5,NFI,5,0),1,0)*Table_NFI[[#This Row],[Plastic Bucket]],Table_NFI[Plastic Bucket])</f>
        <v>0</v>
      </c>
      <c r="AH799" s="436">
        <f>IF(NFI_Expiration=1,IF($A799&lt;VLOOKUP(Q$5,NFI,5,0),1,0)*Table_NFI[[#This Row],[Plastic Mat]],Table_NFI[Plastic Mat])*IF(Table_NFI[[#This Row],[Distribution Date]]&gt;"2014-04-01",1,2.5)</f>
        <v>0</v>
      </c>
      <c r="AI799" s="436">
        <f>IF(NFI_Expiration=1,IF($A799&lt;VLOOKUP(R$5,NFI,5,0),1,0)*Table_NFI[[#This Row],[Winter Clothes Adult]],Table_NFI[Winter Clothes Adult])</f>
        <v>0</v>
      </c>
      <c r="AJ799" s="436">
        <f>IF(NFI_Expiration=1,IF($A799&lt;VLOOKUP(S$5,NFI,5,0),1,0)*Table_NFI[[#This Row],[Winter Clothes Children]],Table_NFI[Winter Clothes Children])</f>
        <v>0</v>
      </c>
      <c r="AK799" s="436">
        <f>IF(NFI_Expiration=1,IF($A799&lt;VLOOKUP(T$5,NFI,5,0),1,0)*Table_NFI[[#This Row],[Winter Items Other]],Table_NFI[Winter Items Other])</f>
        <v>0</v>
      </c>
      <c r="AL799" s="436">
        <f>IF(NFI_Expiration=1,IF($A799&lt;VLOOKUP(M$5,NFI,5,0),1,0)*Table_NFI[[#This Row],[Winter Blanket]],Table_NFI[[#This Row],[Winter Blanket]])</f>
        <v>0</v>
      </c>
      <c r="AM799" s="436">
        <f>IF(Table_NFI[[#This Row],[Winter Clothes Adult]]+Table_NFI[[#This Row],[Winter Clothes Children]]+Table_NFI[[#This Row],[Winter Items Other]]+Table_NFI[[#This Row],[Winter Blanket]]&gt;0,1,0)</f>
        <v>0</v>
      </c>
      <c r="AN799" s="439">
        <f>IF(NFI_Expiration=1,IF($A799&lt;VLOOKUP(V$5,NFI,5,0),1,0)*Table_NFI[[#This Row],[Jerry Can]],Table_NFI[Jerry Can])</f>
        <v>0</v>
      </c>
      <c r="AO799" s="771" t="str">
        <f>IFERROR(VLOOKUP(Table_NFI[[#This Row],[Camp Name]],CL,2,0),"")</f>
        <v>MMR001CMP056</v>
      </c>
      <c r="AP799" s="772">
        <f ca="1">IF(Table_NFI[[#This Row],[Pcode]]="","",IF(OFFSET(CampList[Opening Date],MATCH(Table_NFI[[#This Row],[Pcode]],CampList[CP_Pcode],0)-1,0,1,1)&gt;=NFI_Monitor_Date,1,0))</f>
        <v>0</v>
      </c>
      <c r="AQ799" s="781" t="str">
        <f>IFERROR(VLOOKUP(Table_NFI[[#This Row],[Camp Name]],CL,3,0),"")</f>
        <v>Open</v>
      </c>
      <c r="AR799" s="439" t="str">
        <f ca="1">IF(Table_NFI[[#This Row],[Pcode]]="","",OFFSET(CampList[Priority],MATCH(Table_NFI[[#This Row],[Pcode]],CampList[CP_Pcode],0)-1,0,1,1))</f>
        <v>P4</v>
      </c>
      <c r="AS799" s="438">
        <f>IFERROR(Table_NFI[[#This Row],[Kitchen Set]]/VLOOKUP(Table_NFI[[#This Row],[Camp Name]],CL,4,0),"")</f>
        <v>0.70048309178743962</v>
      </c>
      <c r="AT799" s="769" t="s">
        <v>1099</v>
      </c>
      <c r="AU799" s="773"/>
    </row>
    <row r="800" spans="1:47" x14ac:dyDescent="0.25">
      <c r="A800" s="451">
        <f t="shared" si="12"/>
        <v>42.9</v>
      </c>
      <c r="B800" s="768">
        <v>41083</v>
      </c>
      <c r="C800" s="769" t="s">
        <v>454</v>
      </c>
      <c r="D800" s="770" t="s">
        <v>454</v>
      </c>
      <c r="E800" s="769" t="s">
        <v>380</v>
      </c>
      <c r="F800" s="435" t="s">
        <v>185</v>
      </c>
      <c r="G800" s="435" t="s">
        <v>192</v>
      </c>
      <c r="H800" s="436"/>
      <c r="I800" s="441"/>
      <c r="J800" s="434"/>
      <c r="K800" s="434">
        <v>24</v>
      </c>
      <c r="L800" s="434">
        <v>13</v>
      </c>
      <c r="M800" s="434">
        <v>24</v>
      </c>
      <c r="N800" s="434">
        <v>13</v>
      </c>
      <c r="O800" s="434">
        <v>13</v>
      </c>
      <c r="P800" s="437">
        <v>13</v>
      </c>
      <c r="Q800" s="437">
        <v>13</v>
      </c>
      <c r="R800" s="436"/>
      <c r="S800" s="436"/>
      <c r="T800" s="436"/>
      <c r="U800" s="436"/>
      <c r="V800" s="436"/>
      <c r="W800" s="436"/>
      <c r="X800" s="436"/>
      <c r="Y800" s="436">
        <f>IF(NFI_Expiration=1,IF($A800&lt;VLOOKUP(H$5,NFI,5,0),1,0)*Table_NFI[[#This Row],[Hygiene Kit]],Table_NFI[Hygiene Kit])</f>
        <v>0</v>
      </c>
      <c r="Z800" s="436">
        <f>IF(NFI_Expiration=1,IF($A800&lt;VLOOKUP(I$5,NFI,5,0),1,0)*Table_NFI[[#This Row],[NFI Core Kit]],Table_NFI[NFI Core Kit])</f>
        <v>0</v>
      </c>
      <c r="AA800" s="436">
        <f>IF(NFI_Expiration=1,IF($A800&lt;VLOOKUP(J$5,NFI,5,0),1,0)*Table_NFI[[#This Row],[Sanitary Kit]],Table_NFI[Sanitary Kit])</f>
        <v>0</v>
      </c>
      <c r="AB800" s="436">
        <f>IF(NFI_Expiration=1,IF($A800&lt;VLOOKUP(K$5,NFI,5,0),1,0)*Table_NFI[[#This Row],[Mosquito net]],Table_NFI[Mosquito net])</f>
        <v>0</v>
      </c>
      <c r="AC800" s="436">
        <f>IF(NFI_Expiration=1,IF($A800&lt;VLOOKUP(L$5,NFI,5,0),1,0)*Table_NFI[[#This Row],[Tarpaulin]],Table_NFI[[#This Row],[Tarpaulin]])</f>
        <v>0</v>
      </c>
      <c r="AD800" s="436">
        <f>IF(NFI_Expiration=1,IF($A800&lt;VLOOKUP(M$5,NFI,5,0),1,0)*Table_NFI[[#This Row],[Blanket]],Table_NFI[[#This Row],[Blanket]])</f>
        <v>0</v>
      </c>
      <c r="AE800" s="436">
        <f>IF(NFI_Expiration=1,IF($A800&lt;VLOOKUP(N$5,NFI,5,0),1,0)*Table_NFI[[#This Row],[Kitchen Set]],Table_NFI[Kitchen Set])</f>
        <v>0</v>
      </c>
      <c r="AF800" s="436">
        <f>IF(NFI_Expiration=1,IF($A800&lt;VLOOKUP(O$5,NFI,5,0),1,0)*Table_NFI[[#This Row],[Clothes Kit]],Table_NFI[Clothes Kit])</f>
        <v>0</v>
      </c>
      <c r="AG800" s="436">
        <f>IF(NFI_Expiration=1,IF($A800&lt;VLOOKUP(P$5,NFI,5,0),1,0)*Table_NFI[[#This Row],[Plastic Bucket]],Table_NFI[Plastic Bucket])</f>
        <v>0</v>
      </c>
      <c r="AH800" s="436">
        <f>IF(NFI_Expiration=1,IF($A800&lt;VLOOKUP(Q$5,NFI,5,0),1,0)*Table_NFI[[#This Row],[Plastic Mat]],Table_NFI[Plastic Mat])*IF(Table_NFI[[#This Row],[Distribution Date]]&gt;"2014-04-01",1,2.5)</f>
        <v>0</v>
      </c>
      <c r="AI800" s="436">
        <f>IF(NFI_Expiration=1,IF($A800&lt;VLOOKUP(R$5,NFI,5,0),1,0)*Table_NFI[[#This Row],[Winter Clothes Adult]],Table_NFI[Winter Clothes Adult])</f>
        <v>0</v>
      </c>
      <c r="AJ800" s="436">
        <f>IF(NFI_Expiration=1,IF($A800&lt;VLOOKUP(S$5,NFI,5,0),1,0)*Table_NFI[[#This Row],[Winter Clothes Children]],Table_NFI[Winter Clothes Children])</f>
        <v>0</v>
      </c>
      <c r="AK800" s="436">
        <f>IF(NFI_Expiration=1,IF($A800&lt;VLOOKUP(T$5,NFI,5,0),1,0)*Table_NFI[[#This Row],[Winter Items Other]],Table_NFI[Winter Items Other])</f>
        <v>0</v>
      </c>
      <c r="AL800" s="436">
        <f>IF(NFI_Expiration=1,IF($A800&lt;VLOOKUP(M$5,NFI,5,0),1,0)*Table_NFI[[#This Row],[Winter Blanket]],Table_NFI[[#This Row],[Winter Blanket]])</f>
        <v>0</v>
      </c>
      <c r="AM800" s="436">
        <f>IF(Table_NFI[[#This Row],[Winter Clothes Adult]]+Table_NFI[[#This Row],[Winter Clothes Children]]+Table_NFI[[#This Row],[Winter Items Other]]+Table_NFI[[#This Row],[Winter Blanket]]&gt;0,1,0)</f>
        <v>0</v>
      </c>
      <c r="AN800" s="439">
        <f>IF(NFI_Expiration=1,IF($A800&lt;VLOOKUP(V$5,NFI,5,0),1,0)*Table_NFI[[#This Row],[Jerry Can]],Table_NFI[Jerry Can])</f>
        <v>0</v>
      </c>
      <c r="AO800" s="771" t="str">
        <f>IFERROR(VLOOKUP(Table_NFI[[#This Row],[Camp Name]],CL,2,0),"")</f>
        <v>MMR001CMP123</v>
      </c>
      <c r="AP800" s="772">
        <f ca="1">IF(Table_NFI[[#This Row],[Pcode]]="","",IF(OFFSET(CampList[Opening Date],MATCH(Table_NFI[[#This Row],[Pcode]],CampList[CP_Pcode],0)-1,0,1,1)&gt;=NFI_Monitor_Date,1,0))</f>
        <v>0</v>
      </c>
      <c r="AQ800" s="781" t="str">
        <f>IFERROR(VLOOKUP(Table_NFI[[#This Row],[Camp Name]],CL,3,0),"")</f>
        <v>Open</v>
      </c>
      <c r="AR800" s="439" t="str">
        <f ca="1">IF(Table_NFI[[#This Row],[Pcode]]="","",OFFSET(CampList[Priority],MATCH(Table_NFI[[#This Row],[Pcode]],CampList[CP_Pcode],0)-1,0,1,1))</f>
        <v>P2</v>
      </c>
      <c r="AS800" s="438">
        <f>IFERROR(Table_NFI[[#This Row],[Kitchen Set]]/VLOOKUP(Table_NFI[[#This Row],[Camp Name]],CL,4,0),"")</f>
        <v>0.11206896551724138</v>
      </c>
      <c r="AT800" s="769" t="s">
        <v>1099</v>
      </c>
      <c r="AU800" s="773"/>
    </row>
    <row r="801" spans="1:47" x14ac:dyDescent="0.25">
      <c r="A801" s="451">
        <f t="shared" si="12"/>
        <v>42.93333333333333</v>
      </c>
      <c r="B801" s="768">
        <v>41082</v>
      </c>
      <c r="C801" s="769" t="s">
        <v>454</v>
      </c>
      <c r="D801" s="769" t="s">
        <v>454</v>
      </c>
      <c r="E801" s="769" t="s">
        <v>380</v>
      </c>
      <c r="F801" s="435" t="s">
        <v>185</v>
      </c>
      <c r="G801" s="435" t="s">
        <v>215</v>
      </c>
      <c r="H801" s="436"/>
      <c r="I801" s="436"/>
      <c r="J801" s="436"/>
      <c r="K801" s="436">
        <v>140</v>
      </c>
      <c r="L801" s="437">
        <v>70</v>
      </c>
      <c r="M801" s="437">
        <v>140</v>
      </c>
      <c r="N801" s="437">
        <v>70</v>
      </c>
      <c r="O801" s="437">
        <v>70</v>
      </c>
      <c r="P801" s="439">
        <v>70</v>
      </c>
      <c r="Q801" s="439">
        <v>70</v>
      </c>
      <c r="R801" s="436"/>
      <c r="S801" s="436"/>
      <c r="T801" s="436"/>
      <c r="U801" s="436"/>
      <c r="V801" s="436"/>
      <c r="W801" s="436"/>
      <c r="X801" s="436"/>
      <c r="Y801" s="436">
        <f>IF(NFI_Expiration=1,IF($A801&lt;VLOOKUP(H$5,NFI,5,0),1,0)*Table_NFI[[#This Row],[Hygiene Kit]],Table_NFI[Hygiene Kit])</f>
        <v>0</v>
      </c>
      <c r="Z801" s="436">
        <f>IF(NFI_Expiration=1,IF($A801&lt;VLOOKUP(I$5,NFI,5,0),1,0)*Table_NFI[[#This Row],[NFI Core Kit]],Table_NFI[NFI Core Kit])</f>
        <v>0</v>
      </c>
      <c r="AA801" s="436">
        <f>IF(NFI_Expiration=1,IF($A801&lt;VLOOKUP(J$5,NFI,5,0),1,0)*Table_NFI[[#This Row],[Sanitary Kit]],Table_NFI[Sanitary Kit])</f>
        <v>0</v>
      </c>
      <c r="AB801" s="436">
        <f>IF(NFI_Expiration=1,IF($A801&lt;VLOOKUP(K$5,NFI,5,0),1,0)*Table_NFI[[#This Row],[Mosquito net]],Table_NFI[Mosquito net])</f>
        <v>0</v>
      </c>
      <c r="AC801" s="436">
        <f>IF(NFI_Expiration=1,IF($A801&lt;VLOOKUP(L$5,NFI,5,0),1,0)*Table_NFI[[#This Row],[Tarpaulin]],Table_NFI[[#This Row],[Tarpaulin]])</f>
        <v>0</v>
      </c>
      <c r="AD801" s="436">
        <f>IF(NFI_Expiration=1,IF($A801&lt;VLOOKUP(M$5,NFI,5,0),1,0)*Table_NFI[[#This Row],[Blanket]],Table_NFI[[#This Row],[Blanket]])</f>
        <v>0</v>
      </c>
      <c r="AE801" s="436">
        <f>IF(NFI_Expiration=1,IF($A801&lt;VLOOKUP(N$5,NFI,5,0),1,0)*Table_NFI[[#This Row],[Kitchen Set]],Table_NFI[Kitchen Set])</f>
        <v>0</v>
      </c>
      <c r="AF801" s="436">
        <f>IF(NFI_Expiration=1,IF($A801&lt;VLOOKUP(O$5,NFI,5,0),1,0)*Table_NFI[[#This Row],[Clothes Kit]],Table_NFI[Clothes Kit])</f>
        <v>0</v>
      </c>
      <c r="AG801" s="436">
        <f>IF(NFI_Expiration=1,IF($A801&lt;VLOOKUP(P$5,NFI,5,0),1,0)*Table_NFI[[#This Row],[Plastic Bucket]],Table_NFI[Plastic Bucket])</f>
        <v>0</v>
      </c>
      <c r="AH801" s="436">
        <f>IF(NFI_Expiration=1,IF($A801&lt;VLOOKUP(Q$5,NFI,5,0),1,0)*Table_NFI[[#This Row],[Plastic Mat]],Table_NFI[Plastic Mat])*IF(Table_NFI[[#This Row],[Distribution Date]]&gt;"2014-04-01",1,2.5)</f>
        <v>0</v>
      </c>
      <c r="AI801" s="436">
        <f>IF(NFI_Expiration=1,IF($A801&lt;VLOOKUP(R$5,NFI,5,0),1,0)*Table_NFI[[#This Row],[Winter Clothes Adult]],Table_NFI[Winter Clothes Adult])</f>
        <v>0</v>
      </c>
      <c r="AJ801" s="436">
        <f>IF(NFI_Expiration=1,IF($A801&lt;VLOOKUP(S$5,NFI,5,0),1,0)*Table_NFI[[#This Row],[Winter Clothes Children]],Table_NFI[Winter Clothes Children])</f>
        <v>0</v>
      </c>
      <c r="AK801" s="436">
        <f>IF(NFI_Expiration=1,IF($A801&lt;VLOOKUP(T$5,NFI,5,0),1,0)*Table_NFI[[#This Row],[Winter Items Other]],Table_NFI[Winter Items Other])</f>
        <v>0</v>
      </c>
      <c r="AL801" s="436">
        <f>IF(NFI_Expiration=1,IF($A801&lt;VLOOKUP(M$5,NFI,5,0),1,0)*Table_NFI[[#This Row],[Winter Blanket]],Table_NFI[[#This Row],[Winter Blanket]])</f>
        <v>0</v>
      </c>
      <c r="AM801" s="436">
        <f>IF(Table_NFI[[#This Row],[Winter Clothes Adult]]+Table_NFI[[#This Row],[Winter Clothes Children]]+Table_NFI[[#This Row],[Winter Items Other]]+Table_NFI[[#This Row],[Winter Blanket]]&gt;0,1,0)</f>
        <v>0</v>
      </c>
      <c r="AN801" s="439">
        <f>IF(NFI_Expiration=1,IF($A801&lt;VLOOKUP(V$5,NFI,5,0),1,0)*Table_NFI[[#This Row],[Jerry Can]],Table_NFI[Jerry Can])</f>
        <v>0</v>
      </c>
      <c r="AO801" s="771" t="str">
        <f>IFERROR(VLOOKUP(Table_NFI[[#This Row],[Camp Name]],CL,2,0),"")</f>
        <v>MMR001CMP131</v>
      </c>
      <c r="AP801" s="772">
        <f ca="1">IF(Table_NFI[[#This Row],[Pcode]]="","",IF(OFFSET(CampList[Opening Date],MATCH(Table_NFI[[#This Row],[Pcode]],CampList[CP_Pcode],0)-1,0,1,1)&gt;=NFI_Monitor_Date,1,0))</f>
        <v>0</v>
      </c>
      <c r="AQ801" s="781" t="str">
        <f>IFERROR(VLOOKUP(Table_NFI[[#This Row],[Camp Name]],CL,3,0),"")</f>
        <v>Open</v>
      </c>
      <c r="AR801" s="439" t="str">
        <f ca="1">IF(Table_NFI[[#This Row],[Pcode]]="","",OFFSET(CampList[Priority],MATCH(Table_NFI[[#This Row],[Pcode]],CampList[CP_Pcode],0)-1,0,1,1))</f>
        <v>P1</v>
      </c>
      <c r="AS801" s="438">
        <f>IFERROR(Table_NFI[[#This Row],[Kitchen Set]]/VLOOKUP(Table_NFI[[#This Row],[Camp Name]],CL,4,0),"")</f>
        <v>0.18666666666666668</v>
      </c>
      <c r="AT801" s="769" t="s">
        <v>1099</v>
      </c>
      <c r="AU801" s="773"/>
    </row>
    <row r="802" spans="1:47" x14ac:dyDescent="0.25">
      <c r="A802" s="451">
        <f t="shared" si="12"/>
        <v>43</v>
      </c>
      <c r="B802" s="768">
        <v>41080</v>
      </c>
      <c r="C802" s="769" t="s">
        <v>454</v>
      </c>
      <c r="D802" s="770" t="s">
        <v>454</v>
      </c>
      <c r="E802" s="769" t="s">
        <v>380</v>
      </c>
      <c r="F802" s="435" t="s">
        <v>310</v>
      </c>
      <c r="G802" s="435" t="s">
        <v>311</v>
      </c>
      <c r="H802" s="436"/>
      <c r="I802" s="436"/>
      <c r="J802" s="436"/>
      <c r="K802" s="436">
        <v>141</v>
      </c>
      <c r="L802" s="437">
        <v>81</v>
      </c>
      <c r="M802" s="437">
        <v>148</v>
      </c>
      <c r="N802" s="437">
        <v>84</v>
      </c>
      <c r="O802" s="437">
        <v>78</v>
      </c>
      <c r="P802" s="437">
        <v>78</v>
      </c>
      <c r="Q802" s="437">
        <v>78</v>
      </c>
      <c r="R802" s="436"/>
      <c r="S802" s="436"/>
      <c r="T802" s="436"/>
      <c r="U802" s="436"/>
      <c r="V802" s="436"/>
      <c r="W802" s="436"/>
      <c r="X802" s="436"/>
      <c r="Y802" s="436">
        <f>IF(NFI_Expiration=1,IF($A802&lt;VLOOKUP(H$5,NFI,5,0),1,0)*Table_NFI[[#This Row],[Hygiene Kit]],Table_NFI[Hygiene Kit])</f>
        <v>0</v>
      </c>
      <c r="Z802" s="436">
        <f>IF(NFI_Expiration=1,IF($A802&lt;VLOOKUP(I$5,NFI,5,0),1,0)*Table_NFI[[#This Row],[NFI Core Kit]],Table_NFI[NFI Core Kit])</f>
        <v>0</v>
      </c>
      <c r="AA802" s="436">
        <f>IF(NFI_Expiration=1,IF($A802&lt;VLOOKUP(J$5,NFI,5,0),1,0)*Table_NFI[[#This Row],[Sanitary Kit]],Table_NFI[Sanitary Kit])</f>
        <v>0</v>
      </c>
      <c r="AB802" s="436">
        <f>IF(NFI_Expiration=1,IF($A802&lt;VLOOKUP(K$5,NFI,5,0),1,0)*Table_NFI[[#This Row],[Mosquito net]],Table_NFI[Mosquito net])</f>
        <v>0</v>
      </c>
      <c r="AC802" s="436">
        <f>IF(NFI_Expiration=1,IF($A802&lt;VLOOKUP(L$5,NFI,5,0),1,0)*Table_NFI[[#This Row],[Tarpaulin]],Table_NFI[[#This Row],[Tarpaulin]])</f>
        <v>0</v>
      </c>
      <c r="AD802" s="436">
        <f>IF(NFI_Expiration=1,IF($A802&lt;VLOOKUP(M$5,NFI,5,0),1,0)*Table_NFI[[#This Row],[Blanket]],Table_NFI[[#This Row],[Blanket]])</f>
        <v>0</v>
      </c>
      <c r="AE802" s="436">
        <f>IF(NFI_Expiration=1,IF($A802&lt;VLOOKUP(N$5,NFI,5,0),1,0)*Table_NFI[[#This Row],[Kitchen Set]],Table_NFI[Kitchen Set])</f>
        <v>0</v>
      </c>
      <c r="AF802" s="436">
        <f>IF(NFI_Expiration=1,IF($A802&lt;VLOOKUP(O$5,NFI,5,0),1,0)*Table_NFI[[#This Row],[Clothes Kit]],Table_NFI[Clothes Kit])</f>
        <v>0</v>
      </c>
      <c r="AG802" s="436">
        <f>IF(NFI_Expiration=1,IF($A802&lt;VLOOKUP(P$5,NFI,5,0),1,0)*Table_NFI[[#This Row],[Plastic Bucket]],Table_NFI[Plastic Bucket])</f>
        <v>0</v>
      </c>
      <c r="AH802" s="436">
        <f>IF(NFI_Expiration=1,IF($A802&lt;VLOOKUP(Q$5,NFI,5,0),1,0)*Table_NFI[[#This Row],[Plastic Mat]],Table_NFI[Plastic Mat])*IF(Table_NFI[[#This Row],[Distribution Date]]&gt;"2014-04-01",1,2.5)</f>
        <v>0</v>
      </c>
      <c r="AI802" s="436">
        <f>IF(NFI_Expiration=1,IF($A802&lt;VLOOKUP(R$5,NFI,5,0),1,0)*Table_NFI[[#This Row],[Winter Clothes Adult]],Table_NFI[Winter Clothes Adult])</f>
        <v>0</v>
      </c>
      <c r="AJ802" s="436">
        <f>IF(NFI_Expiration=1,IF($A802&lt;VLOOKUP(S$5,NFI,5,0),1,0)*Table_NFI[[#This Row],[Winter Clothes Children]],Table_NFI[Winter Clothes Children])</f>
        <v>0</v>
      </c>
      <c r="AK802" s="436">
        <f>IF(NFI_Expiration=1,IF($A802&lt;VLOOKUP(T$5,NFI,5,0),1,0)*Table_NFI[[#This Row],[Winter Items Other]],Table_NFI[Winter Items Other])</f>
        <v>0</v>
      </c>
      <c r="AL802" s="436">
        <f>IF(NFI_Expiration=1,IF($A802&lt;VLOOKUP(M$5,NFI,5,0),1,0)*Table_NFI[[#This Row],[Winter Blanket]],Table_NFI[[#This Row],[Winter Blanket]])</f>
        <v>0</v>
      </c>
      <c r="AM802" s="436">
        <f>IF(Table_NFI[[#This Row],[Winter Clothes Adult]]+Table_NFI[[#This Row],[Winter Clothes Children]]+Table_NFI[[#This Row],[Winter Items Other]]+Table_NFI[[#This Row],[Winter Blanket]]&gt;0,1,0)</f>
        <v>0</v>
      </c>
      <c r="AN802" s="439">
        <f>IF(NFI_Expiration=1,IF($A802&lt;VLOOKUP(V$5,NFI,5,0),1,0)*Table_NFI[[#This Row],[Jerry Can]],Table_NFI[Jerry Can])</f>
        <v>0</v>
      </c>
      <c r="AO802" s="771" t="str">
        <f>IFERROR(VLOOKUP(Table_NFI[[#This Row],[Camp Name]],CL,2,0),"")</f>
        <v>MMR001CMP036</v>
      </c>
      <c r="AP802" s="772">
        <f ca="1">IF(Table_NFI[[#This Row],[Pcode]]="","",IF(OFFSET(CampList[Opening Date],MATCH(Table_NFI[[#This Row],[Pcode]],CampList[CP_Pcode],0)-1,0,1,1)&gt;=NFI_Monitor_Date,1,0))</f>
        <v>0</v>
      </c>
      <c r="AQ802" s="781" t="str">
        <f>IFERROR(VLOOKUP(Table_NFI[[#This Row],[Camp Name]],CL,3,0),"")</f>
        <v>Closed</v>
      </c>
      <c r="AR802" s="439" t="str">
        <f ca="1">IF(Table_NFI[[#This Row],[Pcode]]="","",OFFSET(CampList[Priority],MATCH(Table_NFI[[#This Row],[Pcode]],CampList[CP_Pcode],0)-1,0,1,1))</f>
        <v>P4</v>
      </c>
      <c r="AS802" s="438" t="str">
        <f>IFERROR(Table_NFI[[#This Row],[Kitchen Set]]/VLOOKUP(Table_NFI[[#This Row],[Camp Name]],CL,4,0),"")</f>
        <v/>
      </c>
      <c r="AT802" s="769" t="s">
        <v>1099</v>
      </c>
      <c r="AU802" s="773"/>
    </row>
    <row r="803" spans="1:47" x14ac:dyDescent="0.25">
      <c r="A803" s="451">
        <f t="shared" si="12"/>
        <v>43.033333333333331</v>
      </c>
      <c r="B803" s="768">
        <v>41079</v>
      </c>
      <c r="C803" s="769" t="s">
        <v>454</v>
      </c>
      <c r="D803" s="770" t="s">
        <v>454</v>
      </c>
      <c r="E803" s="769" t="s">
        <v>380</v>
      </c>
      <c r="F803" s="435" t="s">
        <v>310</v>
      </c>
      <c r="G803" s="435" t="s">
        <v>324</v>
      </c>
      <c r="H803" s="436"/>
      <c r="I803" s="436"/>
      <c r="J803" s="436"/>
      <c r="K803" s="436">
        <v>32</v>
      </c>
      <c r="L803" s="437">
        <v>17</v>
      </c>
      <c r="M803" s="437">
        <v>32</v>
      </c>
      <c r="N803" s="437">
        <v>17</v>
      </c>
      <c r="O803" s="437">
        <v>17</v>
      </c>
      <c r="P803" s="437">
        <v>17</v>
      </c>
      <c r="Q803" s="437">
        <v>17</v>
      </c>
      <c r="R803" s="436"/>
      <c r="S803" s="436"/>
      <c r="T803" s="436"/>
      <c r="U803" s="436"/>
      <c r="V803" s="436"/>
      <c r="W803" s="436"/>
      <c r="X803" s="436"/>
      <c r="Y803" s="436">
        <f>IF(NFI_Expiration=1,IF($A803&lt;VLOOKUP(H$5,NFI,5,0),1,0)*Table_NFI[[#This Row],[Hygiene Kit]],Table_NFI[Hygiene Kit])</f>
        <v>0</v>
      </c>
      <c r="Z803" s="436">
        <f>IF(NFI_Expiration=1,IF($A803&lt;VLOOKUP(I$5,NFI,5,0),1,0)*Table_NFI[[#This Row],[NFI Core Kit]],Table_NFI[NFI Core Kit])</f>
        <v>0</v>
      </c>
      <c r="AA803" s="436">
        <f>IF(NFI_Expiration=1,IF($A803&lt;VLOOKUP(J$5,NFI,5,0),1,0)*Table_NFI[[#This Row],[Sanitary Kit]],Table_NFI[Sanitary Kit])</f>
        <v>0</v>
      </c>
      <c r="AB803" s="436">
        <f>IF(NFI_Expiration=1,IF($A803&lt;VLOOKUP(K$5,NFI,5,0),1,0)*Table_NFI[[#This Row],[Mosquito net]],Table_NFI[Mosquito net])</f>
        <v>0</v>
      </c>
      <c r="AC803" s="436">
        <f>IF(NFI_Expiration=1,IF($A803&lt;VLOOKUP(L$5,NFI,5,0),1,0)*Table_NFI[[#This Row],[Tarpaulin]],Table_NFI[[#This Row],[Tarpaulin]])</f>
        <v>0</v>
      </c>
      <c r="AD803" s="436">
        <f>IF(NFI_Expiration=1,IF($A803&lt;VLOOKUP(M$5,NFI,5,0),1,0)*Table_NFI[[#This Row],[Blanket]],Table_NFI[[#This Row],[Blanket]])</f>
        <v>0</v>
      </c>
      <c r="AE803" s="436">
        <f>IF(NFI_Expiration=1,IF($A803&lt;VLOOKUP(N$5,NFI,5,0),1,0)*Table_NFI[[#This Row],[Kitchen Set]],Table_NFI[Kitchen Set])</f>
        <v>0</v>
      </c>
      <c r="AF803" s="436">
        <f>IF(NFI_Expiration=1,IF($A803&lt;VLOOKUP(O$5,NFI,5,0),1,0)*Table_NFI[[#This Row],[Clothes Kit]],Table_NFI[Clothes Kit])</f>
        <v>0</v>
      </c>
      <c r="AG803" s="436">
        <f>IF(NFI_Expiration=1,IF($A803&lt;VLOOKUP(P$5,NFI,5,0),1,0)*Table_NFI[[#This Row],[Plastic Bucket]],Table_NFI[Plastic Bucket])</f>
        <v>0</v>
      </c>
      <c r="AH803" s="436">
        <f>IF(NFI_Expiration=1,IF($A803&lt;VLOOKUP(Q$5,NFI,5,0),1,0)*Table_NFI[[#This Row],[Plastic Mat]],Table_NFI[Plastic Mat])*IF(Table_NFI[[#This Row],[Distribution Date]]&gt;"2014-04-01",1,2.5)</f>
        <v>0</v>
      </c>
      <c r="AI803" s="436">
        <f>IF(NFI_Expiration=1,IF($A803&lt;VLOOKUP(R$5,NFI,5,0),1,0)*Table_NFI[[#This Row],[Winter Clothes Adult]],Table_NFI[Winter Clothes Adult])</f>
        <v>0</v>
      </c>
      <c r="AJ803" s="436">
        <f>IF(NFI_Expiration=1,IF($A803&lt;VLOOKUP(S$5,NFI,5,0),1,0)*Table_NFI[[#This Row],[Winter Clothes Children]],Table_NFI[Winter Clothes Children])</f>
        <v>0</v>
      </c>
      <c r="AK803" s="436">
        <f>IF(NFI_Expiration=1,IF($A803&lt;VLOOKUP(T$5,NFI,5,0),1,0)*Table_NFI[[#This Row],[Winter Items Other]],Table_NFI[Winter Items Other])</f>
        <v>0</v>
      </c>
      <c r="AL803" s="436">
        <f>IF(NFI_Expiration=1,IF($A803&lt;VLOOKUP(M$5,NFI,5,0),1,0)*Table_NFI[[#This Row],[Winter Blanket]],Table_NFI[[#This Row],[Winter Blanket]])</f>
        <v>0</v>
      </c>
      <c r="AM803" s="436">
        <f>IF(Table_NFI[[#This Row],[Winter Clothes Adult]]+Table_NFI[[#This Row],[Winter Clothes Children]]+Table_NFI[[#This Row],[Winter Items Other]]+Table_NFI[[#This Row],[Winter Blanket]]&gt;0,1,0)</f>
        <v>0</v>
      </c>
      <c r="AN803" s="439">
        <f>IF(NFI_Expiration=1,IF($A803&lt;VLOOKUP(V$5,NFI,5,0),1,0)*Table_NFI[[#This Row],[Jerry Can]],Table_NFI[Jerry Can])</f>
        <v>0</v>
      </c>
      <c r="AO803" s="771" t="str">
        <f>IFERROR(VLOOKUP(Table_NFI[[#This Row],[Camp Name]],CL,2,0),"")</f>
        <v>MMR001CMP040</v>
      </c>
      <c r="AP803" s="772">
        <f ca="1">IF(Table_NFI[[#This Row],[Pcode]]="","",IF(OFFSET(CampList[Opening Date],MATCH(Table_NFI[[#This Row],[Pcode]],CampList[CP_Pcode],0)-1,0,1,1)&gt;=NFI_Monitor_Date,1,0))</f>
        <v>0</v>
      </c>
      <c r="AQ803" s="781" t="str">
        <f>IFERROR(VLOOKUP(Table_NFI[[#This Row],[Camp Name]],CL,3,0),"")</f>
        <v>Open</v>
      </c>
      <c r="AR803" s="439" t="str">
        <f ca="1">IF(Table_NFI[[#This Row],[Pcode]]="","",OFFSET(CampList[Priority],MATCH(Table_NFI[[#This Row],[Pcode]],CampList[CP_Pcode],0)-1,0,1,1))</f>
        <v>P4</v>
      </c>
      <c r="AS803" s="438">
        <f>IFERROR(Table_NFI[[#This Row],[Kitchen Set]]/VLOOKUP(Table_NFI[[#This Row],[Camp Name]],CL,4,0),"")</f>
        <v>3.9719626168224297E-2</v>
      </c>
      <c r="AT803" s="769" t="s">
        <v>1099</v>
      </c>
      <c r="AU803" s="773"/>
    </row>
    <row r="804" spans="1:47" x14ac:dyDescent="0.25">
      <c r="A804" s="451">
        <f t="shared" si="12"/>
        <v>43.033333333333331</v>
      </c>
      <c r="B804" s="768">
        <v>41079</v>
      </c>
      <c r="C804" s="769" t="s">
        <v>454</v>
      </c>
      <c r="D804" s="770" t="s">
        <v>454</v>
      </c>
      <c r="E804" s="769" t="s">
        <v>380</v>
      </c>
      <c r="F804" s="435" t="s">
        <v>310</v>
      </c>
      <c r="G804" s="435" t="s">
        <v>349</v>
      </c>
      <c r="H804" s="436"/>
      <c r="I804" s="436"/>
      <c r="J804" s="436"/>
      <c r="K804" s="436">
        <v>31</v>
      </c>
      <c r="L804" s="437">
        <v>15</v>
      </c>
      <c r="M804" s="437">
        <v>31</v>
      </c>
      <c r="N804" s="437">
        <v>15</v>
      </c>
      <c r="O804" s="437">
        <v>15</v>
      </c>
      <c r="P804" s="437">
        <v>15</v>
      </c>
      <c r="Q804" s="437">
        <v>15</v>
      </c>
      <c r="R804" s="436"/>
      <c r="S804" s="436"/>
      <c r="T804" s="436"/>
      <c r="U804" s="436"/>
      <c r="V804" s="436"/>
      <c r="W804" s="436"/>
      <c r="X804" s="436"/>
      <c r="Y804" s="436">
        <f>IF(NFI_Expiration=1,IF($A804&lt;VLOOKUP(H$5,NFI,5,0),1,0)*Table_NFI[[#This Row],[Hygiene Kit]],Table_NFI[Hygiene Kit])</f>
        <v>0</v>
      </c>
      <c r="Z804" s="436">
        <f>IF(NFI_Expiration=1,IF($A804&lt;VLOOKUP(I$5,NFI,5,0),1,0)*Table_NFI[[#This Row],[NFI Core Kit]],Table_NFI[NFI Core Kit])</f>
        <v>0</v>
      </c>
      <c r="AA804" s="436">
        <f>IF(NFI_Expiration=1,IF($A804&lt;VLOOKUP(J$5,NFI,5,0),1,0)*Table_NFI[[#This Row],[Sanitary Kit]],Table_NFI[Sanitary Kit])</f>
        <v>0</v>
      </c>
      <c r="AB804" s="436">
        <f>IF(NFI_Expiration=1,IF($A804&lt;VLOOKUP(K$5,NFI,5,0),1,0)*Table_NFI[[#This Row],[Mosquito net]],Table_NFI[Mosquito net])</f>
        <v>0</v>
      </c>
      <c r="AC804" s="436">
        <f>IF(NFI_Expiration=1,IF($A804&lt;VLOOKUP(L$5,NFI,5,0),1,0)*Table_NFI[[#This Row],[Tarpaulin]],Table_NFI[[#This Row],[Tarpaulin]])</f>
        <v>0</v>
      </c>
      <c r="AD804" s="436">
        <f>IF(NFI_Expiration=1,IF($A804&lt;VLOOKUP(M$5,NFI,5,0),1,0)*Table_NFI[[#This Row],[Blanket]],Table_NFI[[#This Row],[Blanket]])</f>
        <v>0</v>
      </c>
      <c r="AE804" s="436">
        <f>IF(NFI_Expiration=1,IF($A804&lt;VLOOKUP(N$5,NFI,5,0),1,0)*Table_NFI[[#This Row],[Kitchen Set]],Table_NFI[Kitchen Set])</f>
        <v>0</v>
      </c>
      <c r="AF804" s="436">
        <f>IF(NFI_Expiration=1,IF($A804&lt;VLOOKUP(O$5,NFI,5,0),1,0)*Table_NFI[[#This Row],[Clothes Kit]],Table_NFI[Clothes Kit])</f>
        <v>0</v>
      </c>
      <c r="AG804" s="436">
        <f>IF(NFI_Expiration=1,IF($A804&lt;VLOOKUP(P$5,NFI,5,0),1,0)*Table_NFI[[#This Row],[Plastic Bucket]],Table_NFI[Plastic Bucket])</f>
        <v>0</v>
      </c>
      <c r="AH804" s="436">
        <f>IF(NFI_Expiration=1,IF($A804&lt;VLOOKUP(Q$5,NFI,5,0),1,0)*Table_NFI[[#This Row],[Plastic Mat]],Table_NFI[Plastic Mat])*IF(Table_NFI[[#This Row],[Distribution Date]]&gt;"2014-04-01",1,2.5)</f>
        <v>0</v>
      </c>
      <c r="AI804" s="436">
        <f>IF(NFI_Expiration=1,IF($A804&lt;VLOOKUP(R$5,NFI,5,0),1,0)*Table_NFI[[#This Row],[Winter Clothes Adult]],Table_NFI[Winter Clothes Adult])</f>
        <v>0</v>
      </c>
      <c r="AJ804" s="436">
        <f>IF(NFI_Expiration=1,IF($A804&lt;VLOOKUP(S$5,NFI,5,0),1,0)*Table_NFI[[#This Row],[Winter Clothes Children]],Table_NFI[Winter Clothes Children])</f>
        <v>0</v>
      </c>
      <c r="AK804" s="436">
        <f>IF(NFI_Expiration=1,IF($A804&lt;VLOOKUP(T$5,NFI,5,0),1,0)*Table_NFI[[#This Row],[Winter Items Other]],Table_NFI[Winter Items Other])</f>
        <v>0</v>
      </c>
      <c r="AL804" s="436">
        <f>IF(NFI_Expiration=1,IF($A804&lt;VLOOKUP(M$5,NFI,5,0),1,0)*Table_NFI[[#This Row],[Winter Blanket]],Table_NFI[[#This Row],[Winter Blanket]])</f>
        <v>0</v>
      </c>
      <c r="AM804" s="436">
        <f>IF(Table_NFI[[#This Row],[Winter Clothes Adult]]+Table_NFI[[#This Row],[Winter Clothes Children]]+Table_NFI[[#This Row],[Winter Items Other]]+Table_NFI[[#This Row],[Winter Blanket]]&gt;0,1,0)</f>
        <v>0</v>
      </c>
      <c r="AN804" s="439">
        <f>IF(NFI_Expiration=1,IF($A804&lt;VLOOKUP(V$5,NFI,5,0),1,0)*Table_NFI[[#This Row],[Jerry Can]],Table_NFI[Jerry Can])</f>
        <v>0</v>
      </c>
      <c r="AO804" s="771" t="str">
        <f>IFERROR(VLOOKUP(Table_NFI[[#This Row],[Camp Name]],CL,2,0),"")</f>
        <v>MMR001CMP037</v>
      </c>
      <c r="AP804" s="772">
        <f ca="1">IF(Table_NFI[[#This Row],[Pcode]]="","",IF(OFFSET(CampList[Opening Date],MATCH(Table_NFI[[#This Row],[Pcode]],CampList[CP_Pcode],0)-1,0,1,1)&gt;=NFI_Monitor_Date,1,0))</f>
        <v>0</v>
      </c>
      <c r="AQ804" s="781" t="str">
        <f>IFERROR(VLOOKUP(Table_NFI[[#This Row],[Camp Name]],CL,3,0),"")</f>
        <v>Open</v>
      </c>
      <c r="AR804" s="439" t="str">
        <f ca="1">IF(Table_NFI[[#This Row],[Pcode]]="","",OFFSET(CampList[Priority],MATCH(Table_NFI[[#This Row],[Pcode]],CampList[CP_Pcode],0)-1,0,1,1))</f>
        <v>P4</v>
      </c>
      <c r="AS804" s="438">
        <f>IFERROR(Table_NFI[[#This Row],[Kitchen Set]]/VLOOKUP(Table_NFI[[#This Row],[Camp Name]],CL,4,0),"")</f>
        <v>0.34090909090909088</v>
      </c>
      <c r="AT804" s="769" t="s">
        <v>1099</v>
      </c>
      <c r="AU804" s="773"/>
    </row>
    <row r="805" spans="1:47" x14ac:dyDescent="0.25">
      <c r="A805" s="451">
        <f t="shared" si="12"/>
        <v>43.033333333333331</v>
      </c>
      <c r="B805" s="768">
        <v>41079</v>
      </c>
      <c r="C805" s="769" t="s">
        <v>454</v>
      </c>
      <c r="D805" s="770" t="s">
        <v>454</v>
      </c>
      <c r="E805" s="769" t="s">
        <v>380</v>
      </c>
      <c r="F805" s="435" t="s">
        <v>310</v>
      </c>
      <c r="G805" s="435" t="s">
        <v>316</v>
      </c>
      <c r="H805" s="436"/>
      <c r="I805" s="436"/>
      <c r="J805" s="436"/>
      <c r="K805" s="436">
        <v>28</v>
      </c>
      <c r="L805" s="437">
        <v>15</v>
      </c>
      <c r="M805" s="437">
        <v>28</v>
      </c>
      <c r="N805" s="437">
        <v>15</v>
      </c>
      <c r="O805" s="437">
        <v>15</v>
      </c>
      <c r="P805" s="437">
        <v>15</v>
      </c>
      <c r="Q805" s="437">
        <v>15</v>
      </c>
      <c r="R805" s="436"/>
      <c r="S805" s="436"/>
      <c r="T805" s="436"/>
      <c r="U805" s="436"/>
      <c r="V805" s="436"/>
      <c r="W805" s="436"/>
      <c r="X805" s="436"/>
      <c r="Y805" s="436">
        <f>IF(NFI_Expiration=1,IF($A805&lt;VLOOKUP(H$5,NFI,5,0),1,0)*Table_NFI[[#This Row],[Hygiene Kit]],Table_NFI[Hygiene Kit])</f>
        <v>0</v>
      </c>
      <c r="Z805" s="436">
        <f>IF(NFI_Expiration=1,IF($A805&lt;VLOOKUP(I$5,NFI,5,0),1,0)*Table_NFI[[#This Row],[NFI Core Kit]],Table_NFI[NFI Core Kit])</f>
        <v>0</v>
      </c>
      <c r="AA805" s="436">
        <f>IF(NFI_Expiration=1,IF($A805&lt;VLOOKUP(J$5,NFI,5,0),1,0)*Table_NFI[[#This Row],[Sanitary Kit]],Table_NFI[Sanitary Kit])</f>
        <v>0</v>
      </c>
      <c r="AB805" s="436">
        <f>IF(NFI_Expiration=1,IF($A805&lt;VLOOKUP(K$5,NFI,5,0),1,0)*Table_NFI[[#This Row],[Mosquito net]],Table_NFI[Mosquito net])</f>
        <v>0</v>
      </c>
      <c r="AC805" s="436">
        <f>IF(NFI_Expiration=1,IF($A805&lt;VLOOKUP(L$5,NFI,5,0),1,0)*Table_NFI[[#This Row],[Tarpaulin]],Table_NFI[[#This Row],[Tarpaulin]])</f>
        <v>0</v>
      </c>
      <c r="AD805" s="436">
        <f>IF(NFI_Expiration=1,IF($A805&lt;VLOOKUP(M$5,NFI,5,0),1,0)*Table_NFI[[#This Row],[Blanket]],Table_NFI[[#This Row],[Blanket]])</f>
        <v>0</v>
      </c>
      <c r="AE805" s="436">
        <f>IF(NFI_Expiration=1,IF($A805&lt;VLOOKUP(N$5,NFI,5,0),1,0)*Table_NFI[[#This Row],[Kitchen Set]],Table_NFI[Kitchen Set])</f>
        <v>0</v>
      </c>
      <c r="AF805" s="436">
        <f>IF(NFI_Expiration=1,IF($A805&lt;VLOOKUP(O$5,NFI,5,0),1,0)*Table_NFI[[#This Row],[Clothes Kit]],Table_NFI[Clothes Kit])</f>
        <v>0</v>
      </c>
      <c r="AG805" s="436">
        <f>IF(NFI_Expiration=1,IF($A805&lt;VLOOKUP(P$5,NFI,5,0),1,0)*Table_NFI[[#This Row],[Plastic Bucket]],Table_NFI[Plastic Bucket])</f>
        <v>0</v>
      </c>
      <c r="AH805" s="436">
        <f>IF(NFI_Expiration=1,IF($A805&lt;VLOOKUP(Q$5,NFI,5,0),1,0)*Table_NFI[[#This Row],[Plastic Mat]],Table_NFI[Plastic Mat])*IF(Table_NFI[[#This Row],[Distribution Date]]&gt;"2014-04-01",1,2.5)</f>
        <v>0</v>
      </c>
      <c r="AI805" s="436">
        <f>IF(NFI_Expiration=1,IF($A805&lt;VLOOKUP(R$5,NFI,5,0),1,0)*Table_NFI[[#This Row],[Winter Clothes Adult]],Table_NFI[Winter Clothes Adult])</f>
        <v>0</v>
      </c>
      <c r="AJ805" s="436">
        <f>IF(NFI_Expiration=1,IF($A805&lt;VLOOKUP(S$5,NFI,5,0),1,0)*Table_NFI[[#This Row],[Winter Clothes Children]],Table_NFI[Winter Clothes Children])</f>
        <v>0</v>
      </c>
      <c r="AK805" s="436">
        <f>IF(NFI_Expiration=1,IF($A805&lt;VLOOKUP(T$5,NFI,5,0),1,0)*Table_NFI[[#This Row],[Winter Items Other]],Table_NFI[Winter Items Other])</f>
        <v>0</v>
      </c>
      <c r="AL805" s="436">
        <f>IF(NFI_Expiration=1,IF($A805&lt;VLOOKUP(M$5,NFI,5,0),1,0)*Table_NFI[[#This Row],[Winter Blanket]],Table_NFI[[#This Row],[Winter Blanket]])</f>
        <v>0</v>
      </c>
      <c r="AM805" s="436">
        <f>IF(Table_NFI[[#This Row],[Winter Clothes Adult]]+Table_NFI[[#This Row],[Winter Clothes Children]]+Table_NFI[[#This Row],[Winter Items Other]]+Table_NFI[[#This Row],[Winter Blanket]]&gt;0,1,0)</f>
        <v>0</v>
      </c>
      <c r="AN805" s="439">
        <f>IF(NFI_Expiration=1,IF($A805&lt;VLOOKUP(V$5,NFI,5,0),1,0)*Table_NFI[[#This Row],[Jerry Can]],Table_NFI[Jerry Can])</f>
        <v>0</v>
      </c>
      <c r="AO805" s="771" t="str">
        <f>IFERROR(VLOOKUP(Table_NFI[[#This Row],[Camp Name]],CL,2,0),"")</f>
        <v>MMR001CMP038</v>
      </c>
      <c r="AP805" s="772">
        <f ca="1">IF(Table_NFI[[#This Row],[Pcode]]="","",IF(OFFSET(CampList[Opening Date],MATCH(Table_NFI[[#This Row],[Pcode]],CampList[CP_Pcode],0)-1,0,1,1)&gt;=NFI_Monitor_Date,1,0))</f>
        <v>0</v>
      </c>
      <c r="AQ805" s="781" t="str">
        <f>IFERROR(VLOOKUP(Table_NFI[[#This Row],[Camp Name]],CL,3,0),"")</f>
        <v>Open</v>
      </c>
      <c r="AR805" s="439" t="str">
        <f ca="1">IF(Table_NFI[[#This Row],[Pcode]]="","",OFFSET(CampList[Priority],MATCH(Table_NFI[[#This Row],[Pcode]],CampList[CP_Pcode],0)-1,0,1,1))</f>
        <v>P4</v>
      </c>
      <c r="AS805" s="438">
        <f>IFERROR(Table_NFI[[#This Row],[Kitchen Set]]/VLOOKUP(Table_NFI[[#This Row],[Camp Name]],CL,4,0),"")</f>
        <v>0.16666666666666666</v>
      </c>
      <c r="AT805" s="769" t="s">
        <v>1099</v>
      </c>
      <c r="AU805" s="773"/>
    </row>
    <row r="806" spans="1:47" x14ac:dyDescent="0.25">
      <c r="A806" s="451">
        <f t="shared" si="12"/>
        <v>43.333333333333336</v>
      </c>
      <c r="B806" s="768">
        <v>41070</v>
      </c>
      <c r="C806" s="769" t="s">
        <v>454</v>
      </c>
      <c r="D806" s="770" t="s">
        <v>454</v>
      </c>
      <c r="E806" s="769" t="s">
        <v>380</v>
      </c>
      <c r="F806" s="435" t="s">
        <v>27</v>
      </c>
      <c r="G806" s="435" t="s">
        <v>365</v>
      </c>
      <c r="H806" s="436"/>
      <c r="I806" s="436"/>
      <c r="J806" s="436"/>
      <c r="K806" s="436">
        <v>200</v>
      </c>
      <c r="L806" s="437">
        <v>100</v>
      </c>
      <c r="M806" s="437">
        <v>150</v>
      </c>
      <c r="N806" s="437">
        <v>100</v>
      </c>
      <c r="O806" s="437">
        <v>100</v>
      </c>
      <c r="P806" s="437">
        <v>100</v>
      </c>
      <c r="Q806" s="437">
        <v>100</v>
      </c>
      <c r="R806" s="436"/>
      <c r="S806" s="436"/>
      <c r="T806" s="436"/>
      <c r="U806" s="436"/>
      <c r="V806" s="436"/>
      <c r="W806" s="436"/>
      <c r="X806" s="436"/>
      <c r="Y806" s="436">
        <f>IF(NFI_Expiration=1,IF($A806&lt;VLOOKUP(H$5,NFI,5,0),1,0)*Table_NFI[[#This Row],[Hygiene Kit]],Table_NFI[Hygiene Kit])</f>
        <v>0</v>
      </c>
      <c r="Z806" s="436">
        <f>IF(NFI_Expiration=1,IF($A806&lt;VLOOKUP(I$5,NFI,5,0),1,0)*Table_NFI[[#This Row],[NFI Core Kit]],Table_NFI[NFI Core Kit])</f>
        <v>0</v>
      </c>
      <c r="AA806" s="436">
        <f>IF(NFI_Expiration=1,IF($A806&lt;VLOOKUP(J$5,NFI,5,0),1,0)*Table_NFI[[#This Row],[Sanitary Kit]],Table_NFI[Sanitary Kit])</f>
        <v>0</v>
      </c>
      <c r="AB806" s="436">
        <f>IF(NFI_Expiration=1,IF($A806&lt;VLOOKUP(K$5,NFI,5,0),1,0)*Table_NFI[[#This Row],[Mosquito net]],Table_NFI[Mosquito net])</f>
        <v>0</v>
      </c>
      <c r="AC806" s="436">
        <f>IF(NFI_Expiration=1,IF($A806&lt;VLOOKUP(L$5,NFI,5,0),1,0)*Table_NFI[[#This Row],[Tarpaulin]],Table_NFI[[#This Row],[Tarpaulin]])</f>
        <v>0</v>
      </c>
      <c r="AD806" s="436">
        <f>IF(NFI_Expiration=1,IF($A806&lt;VLOOKUP(M$5,NFI,5,0),1,0)*Table_NFI[[#This Row],[Blanket]],Table_NFI[[#This Row],[Blanket]])</f>
        <v>0</v>
      </c>
      <c r="AE806" s="436">
        <f>IF(NFI_Expiration=1,IF($A806&lt;VLOOKUP(N$5,NFI,5,0),1,0)*Table_NFI[[#This Row],[Kitchen Set]],Table_NFI[Kitchen Set])</f>
        <v>0</v>
      </c>
      <c r="AF806" s="436">
        <f>IF(NFI_Expiration=1,IF($A806&lt;VLOOKUP(O$5,NFI,5,0),1,0)*Table_NFI[[#This Row],[Clothes Kit]],Table_NFI[Clothes Kit])</f>
        <v>0</v>
      </c>
      <c r="AG806" s="436">
        <f>IF(NFI_Expiration=1,IF($A806&lt;VLOOKUP(P$5,NFI,5,0),1,0)*Table_NFI[[#This Row],[Plastic Bucket]],Table_NFI[Plastic Bucket])</f>
        <v>0</v>
      </c>
      <c r="AH806" s="436">
        <f>IF(NFI_Expiration=1,IF($A806&lt;VLOOKUP(Q$5,NFI,5,0),1,0)*Table_NFI[[#This Row],[Plastic Mat]],Table_NFI[Plastic Mat])*IF(Table_NFI[[#This Row],[Distribution Date]]&gt;"2014-04-01",1,2.5)</f>
        <v>0</v>
      </c>
      <c r="AI806" s="436">
        <f>IF(NFI_Expiration=1,IF($A806&lt;VLOOKUP(R$5,NFI,5,0),1,0)*Table_NFI[[#This Row],[Winter Clothes Adult]],Table_NFI[Winter Clothes Adult])</f>
        <v>0</v>
      </c>
      <c r="AJ806" s="436">
        <f>IF(NFI_Expiration=1,IF($A806&lt;VLOOKUP(S$5,NFI,5,0),1,0)*Table_NFI[[#This Row],[Winter Clothes Children]],Table_NFI[Winter Clothes Children])</f>
        <v>0</v>
      </c>
      <c r="AK806" s="436">
        <f>IF(NFI_Expiration=1,IF($A806&lt;VLOOKUP(T$5,NFI,5,0),1,0)*Table_NFI[[#This Row],[Winter Items Other]],Table_NFI[Winter Items Other])</f>
        <v>0</v>
      </c>
      <c r="AL806" s="436">
        <f>IF(NFI_Expiration=1,IF($A806&lt;VLOOKUP(M$5,NFI,5,0),1,0)*Table_NFI[[#This Row],[Winter Blanket]],Table_NFI[[#This Row],[Winter Blanket]])</f>
        <v>0</v>
      </c>
      <c r="AM806" s="436">
        <f>IF(Table_NFI[[#This Row],[Winter Clothes Adult]]+Table_NFI[[#This Row],[Winter Clothes Children]]+Table_NFI[[#This Row],[Winter Items Other]]+Table_NFI[[#This Row],[Winter Blanket]]&gt;0,1,0)</f>
        <v>0</v>
      </c>
      <c r="AN806" s="439">
        <f>IF(NFI_Expiration=1,IF($A806&lt;VLOOKUP(V$5,NFI,5,0),1,0)*Table_NFI[[#This Row],[Jerry Can]],Table_NFI[Jerry Can])</f>
        <v>0</v>
      </c>
      <c r="AO806" s="771" t="str">
        <f>IFERROR(VLOOKUP(Table_NFI[[#This Row],[Camp Name]],CL,2,0),"")</f>
        <v>MMR001CMP195</v>
      </c>
      <c r="AP806" s="772">
        <f ca="1">IF(Table_NFI[[#This Row],[Pcode]]="","",IF(OFFSET(CampList[Opening Date],MATCH(Table_NFI[[#This Row],[Pcode]],CampList[CP_Pcode],0)-1,0,1,1)&gt;=NFI_Monitor_Date,1,0))</f>
        <v>0</v>
      </c>
      <c r="AQ806" s="781" t="str">
        <f>IFERROR(VLOOKUP(Table_NFI[[#This Row],[Camp Name]],CL,3,0),"")</f>
        <v>Open</v>
      </c>
      <c r="AR806" s="439" t="str">
        <f ca="1">IF(Table_NFI[[#This Row],[Pcode]]="","",OFFSET(CampList[Priority],MATCH(Table_NFI[[#This Row],[Pcode]],CampList[CP_Pcode],0)-1,0,1,1))</f>
        <v>P1</v>
      </c>
      <c r="AS806" s="438">
        <f>IFERROR(Table_NFI[[#This Row],[Kitchen Set]]/VLOOKUP(Table_NFI[[#This Row],[Camp Name]],CL,4,0),"")</f>
        <v>0.69444444444444442</v>
      </c>
      <c r="AT806" s="769" t="s">
        <v>1099</v>
      </c>
      <c r="AU806" s="773"/>
    </row>
    <row r="807" spans="1:47" x14ac:dyDescent="0.25">
      <c r="A807" s="451">
        <f t="shared" si="12"/>
        <v>43.4</v>
      </c>
      <c r="B807" s="768">
        <v>41068</v>
      </c>
      <c r="C807" s="769" t="s">
        <v>454</v>
      </c>
      <c r="D807" s="769" t="s">
        <v>454</v>
      </c>
      <c r="E807" s="769" t="s">
        <v>380</v>
      </c>
      <c r="F807" s="435" t="s">
        <v>5</v>
      </c>
      <c r="G807" s="435" t="s">
        <v>20</v>
      </c>
      <c r="H807" s="436"/>
      <c r="I807" s="436"/>
      <c r="J807" s="436"/>
      <c r="K807" s="436">
        <v>12</v>
      </c>
      <c r="L807" s="437">
        <v>6</v>
      </c>
      <c r="M807" s="437">
        <v>12</v>
      </c>
      <c r="N807" s="437">
        <v>6</v>
      </c>
      <c r="O807" s="437">
        <v>6</v>
      </c>
      <c r="P807" s="439">
        <v>6</v>
      </c>
      <c r="Q807" s="439">
        <v>6</v>
      </c>
      <c r="R807" s="436"/>
      <c r="S807" s="436"/>
      <c r="T807" s="436"/>
      <c r="U807" s="436"/>
      <c r="V807" s="436"/>
      <c r="W807" s="436"/>
      <c r="X807" s="436"/>
      <c r="Y807" s="436">
        <f>IF(NFI_Expiration=1,IF($A807&lt;VLOOKUP(H$5,NFI,5,0),1,0)*Table_NFI[[#This Row],[Hygiene Kit]],Table_NFI[Hygiene Kit])</f>
        <v>0</v>
      </c>
      <c r="Z807" s="436">
        <f>IF(NFI_Expiration=1,IF($A807&lt;VLOOKUP(I$5,NFI,5,0),1,0)*Table_NFI[[#This Row],[NFI Core Kit]],Table_NFI[NFI Core Kit])</f>
        <v>0</v>
      </c>
      <c r="AA807" s="436">
        <f>IF(NFI_Expiration=1,IF($A807&lt;VLOOKUP(J$5,NFI,5,0),1,0)*Table_NFI[[#This Row],[Sanitary Kit]],Table_NFI[Sanitary Kit])</f>
        <v>0</v>
      </c>
      <c r="AB807" s="436">
        <f>IF(NFI_Expiration=1,IF($A807&lt;VLOOKUP(K$5,NFI,5,0),1,0)*Table_NFI[[#This Row],[Mosquito net]],Table_NFI[Mosquito net])</f>
        <v>0</v>
      </c>
      <c r="AC807" s="436">
        <f>IF(NFI_Expiration=1,IF($A807&lt;VLOOKUP(L$5,NFI,5,0),1,0)*Table_NFI[[#This Row],[Tarpaulin]],Table_NFI[[#This Row],[Tarpaulin]])</f>
        <v>0</v>
      </c>
      <c r="AD807" s="436">
        <f>IF(NFI_Expiration=1,IF($A807&lt;VLOOKUP(M$5,NFI,5,0),1,0)*Table_NFI[[#This Row],[Blanket]],Table_NFI[[#This Row],[Blanket]])</f>
        <v>0</v>
      </c>
      <c r="AE807" s="436">
        <f>IF(NFI_Expiration=1,IF($A807&lt;VLOOKUP(N$5,NFI,5,0),1,0)*Table_NFI[[#This Row],[Kitchen Set]],Table_NFI[Kitchen Set])</f>
        <v>0</v>
      </c>
      <c r="AF807" s="436">
        <f>IF(NFI_Expiration=1,IF($A807&lt;VLOOKUP(O$5,NFI,5,0),1,0)*Table_NFI[[#This Row],[Clothes Kit]],Table_NFI[Clothes Kit])</f>
        <v>0</v>
      </c>
      <c r="AG807" s="436">
        <f>IF(NFI_Expiration=1,IF($A807&lt;VLOOKUP(P$5,NFI,5,0),1,0)*Table_NFI[[#This Row],[Plastic Bucket]],Table_NFI[Plastic Bucket])</f>
        <v>0</v>
      </c>
      <c r="AH807" s="436">
        <f>IF(NFI_Expiration=1,IF($A807&lt;VLOOKUP(Q$5,NFI,5,0),1,0)*Table_NFI[[#This Row],[Plastic Mat]],Table_NFI[Plastic Mat])*IF(Table_NFI[[#This Row],[Distribution Date]]&gt;"2014-04-01",1,2.5)</f>
        <v>0</v>
      </c>
      <c r="AI807" s="436">
        <f>IF(NFI_Expiration=1,IF($A807&lt;VLOOKUP(R$5,NFI,5,0),1,0)*Table_NFI[[#This Row],[Winter Clothes Adult]],Table_NFI[Winter Clothes Adult])</f>
        <v>0</v>
      </c>
      <c r="AJ807" s="436">
        <f>IF(NFI_Expiration=1,IF($A807&lt;VLOOKUP(S$5,NFI,5,0),1,0)*Table_NFI[[#This Row],[Winter Clothes Children]],Table_NFI[Winter Clothes Children])</f>
        <v>0</v>
      </c>
      <c r="AK807" s="436">
        <f>IF(NFI_Expiration=1,IF($A807&lt;VLOOKUP(T$5,NFI,5,0),1,0)*Table_NFI[[#This Row],[Winter Items Other]],Table_NFI[Winter Items Other])</f>
        <v>0</v>
      </c>
      <c r="AL807" s="436">
        <f>IF(NFI_Expiration=1,IF($A807&lt;VLOOKUP(M$5,NFI,5,0),1,0)*Table_NFI[[#This Row],[Winter Blanket]],Table_NFI[[#This Row],[Winter Blanket]])</f>
        <v>0</v>
      </c>
      <c r="AM807" s="436">
        <f>IF(Table_NFI[[#This Row],[Winter Clothes Adult]]+Table_NFI[[#This Row],[Winter Clothes Children]]+Table_NFI[[#This Row],[Winter Items Other]]+Table_NFI[[#This Row],[Winter Blanket]]&gt;0,1,0)</f>
        <v>0</v>
      </c>
      <c r="AN807" s="439">
        <f>IF(NFI_Expiration=1,IF($A807&lt;VLOOKUP(V$5,NFI,5,0),1,0)*Table_NFI[[#This Row],[Jerry Can]],Table_NFI[Jerry Can])</f>
        <v>0</v>
      </c>
      <c r="AO807" s="771" t="str">
        <f>IFERROR(VLOOKUP(Table_NFI[[#This Row],[Camp Name]],CL,2,0),"")</f>
        <v>MMR001CMP054</v>
      </c>
      <c r="AP807" s="772">
        <f ca="1">IF(Table_NFI[[#This Row],[Pcode]]="","",IF(OFFSET(CampList[Opening Date],MATCH(Table_NFI[[#This Row],[Pcode]],CampList[CP_Pcode],0)-1,0,1,1)&gt;=NFI_Monitor_Date,1,0))</f>
        <v>0</v>
      </c>
      <c r="AQ807" s="781" t="str">
        <f>IFERROR(VLOOKUP(Table_NFI[[#This Row],[Camp Name]],CL,3,0),"")</f>
        <v>Open</v>
      </c>
      <c r="AR807" s="439" t="str">
        <f ca="1">IF(Table_NFI[[#This Row],[Pcode]]="","",OFFSET(CampList[Priority],MATCH(Table_NFI[[#This Row],[Pcode]],CampList[CP_Pcode],0)-1,0,1,1))</f>
        <v>P4</v>
      </c>
      <c r="AS807" s="438">
        <f>IFERROR(Table_NFI[[#This Row],[Kitchen Set]]/VLOOKUP(Table_NFI[[#This Row],[Camp Name]],CL,4,0),"")</f>
        <v>0.3</v>
      </c>
      <c r="AT807" s="769" t="s">
        <v>1099</v>
      </c>
      <c r="AU807" s="773"/>
    </row>
    <row r="808" spans="1:47" x14ac:dyDescent="0.25">
      <c r="A808" s="451">
        <f t="shared" si="12"/>
        <v>43.466666666666669</v>
      </c>
      <c r="B808" s="768">
        <v>41066</v>
      </c>
      <c r="C808" s="769" t="s">
        <v>454</v>
      </c>
      <c r="D808" s="770" t="s">
        <v>575</v>
      </c>
      <c r="E808" s="769" t="s">
        <v>380</v>
      </c>
      <c r="F808" s="435" t="s">
        <v>185</v>
      </c>
      <c r="G808" s="435" t="s">
        <v>194</v>
      </c>
      <c r="H808" s="436"/>
      <c r="I808" s="436"/>
      <c r="J808" s="436"/>
      <c r="K808" s="436">
        <v>0</v>
      </c>
      <c r="L808" s="437">
        <v>200</v>
      </c>
      <c r="M808" s="437">
        <v>0</v>
      </c>
      <c r="N808" s="437">
        <v>0</v>
      </c>
      <c r="O808" s="437">
        <v>0</v>
      </c>
      <c r="P808" s="437"/>
      <c r="Q808" s="437"/>
      <c r="R808" s="436"/>
      <c r="S808" s="436"/>
      <c r="T808" s="436"/>
      <c r="U808" s="436"/>
      <c r="V808" s="436"/>
      <c r="W808" s="436"/>
      <c r="X808" s="436"/>
      <c r="Y808" s="436">
        <f>IF(NFI_Expiration=1,IF($A808&lt;VLOOKUP(H$5,NFI,5,0),1,0)*Table_NFI[[#This Row],[Hygiene Kit]],Table_NFI[Hygiene Kit])</f>
        <v>0</v>
      </c>
      <c r="Z808" s="436">
        <f>IF(NFI_Expiration=1,IF($A808&lt;VLOOKUP(I$5,NFI,5,0),1,0)*Table_NFI[[#This Row],[NFI Core Kit]],Table_NFI[NFI Core Kit])</f>
        <v>0</v>
      </c>
      <c r="AA808" s="436">
        <f>IF(NFI_Expiration=1,IF($A808&lt;VLOOKUP(J$5,NFI,5,0),1,0)*Table_NFI[[#This Row],[Sanitary Kit]],Table_NFI[Sanitary Kit])</f>
        <v>0</v>
      </c>
      <c r="AB808" s="436">
        <f>IF(NFI_Expiration=1,IF($A808&lt;VLOOKUP(K$5,NFI,5,0),1,0)*Table_NFI[[#This Row],[Mosquito net]],Table_NFI[Mosquito net])</f>
        <v>0</v>
      </c>
      <c r="AC808" s="436">
        <f>IF(NFI_Expiration=1,IF($A808&lt;VLOOKUP(L$5,NFI,5,0),1,0)*Table_NFI[[#This Row],[Tarpaulin]],Table_NFI[[#This Row],[Tarpaulin]])</f>
        <v>0</v>
      </c>
      <c r="AD808" s="436">
        <f>IF(NFI_Expiration=1,IF($A808&lt;VLOOKUP(M$5,NFI,5,0),1,0)*Table_NFI[[#This Row],[Blanket]],Table_NFI[[#This Row],[Blanket]])</f>
        <v>0</v>
      </c>
      <c r="AE808" s="436">
        <f>IF(NFI_Expiration=1,IF($A808&lt;VLOOKUP(N$5,NFI,5,0),1,0)*Table_NFI[[#This Row],[Kitchen Set]],Table_NFI[Kitchen Set])</f>
        <v>0</v>
      </c>
      <c r="AF808" s="436">
        <f>IF(NFI_Expiration=1,IF($A808&lt;VLOOKUP(O$5,NFI,5,0),1,0)*Table_NFI[[#This Row],[Clothes Kit]],Table_NFI[Clothes Kit])</f>
        <v>0</v>
      </c>
      <c r="AG808" s="436">
        <f>IF(NFI_Expiration=1,IF($A808&lt;VLOOKUP(P$5,NFI,5,0),1,0)*Table_NFI[[#This Row],[Plastic Bucket]],Table_NFI[Plastic Bucket])</f>
        <v>0</v>
      </c>
      <c r="AH808" s="436">
        <f>IF(NFI_Expiration=1,IF($A808&lt;VLOOKUP(Q$5,NFI,5,0),1,0)*Table_NFI[[#This Row],[Plastic Mat]],Table_NFI[Plastic Mat])*IF(Table_NFI[[#This Row],[Distribution Date]]&gt;"2014-04-01",1,2.5)</f>
        <v>0</v>
      </c>
      <c r="AI808" s="436">
        <f>IF(NFI_Expiration=1,IF($A808&lt;VLOOKUP(R$5,NFI,5,0),1,0)*Table_NFI[[#This Row],[Winter Clothes Adult]],Table_NFI[Winter Clothes Adult])</f>
        <v>0</v>
      </c>
      <c r="AJ808" s="436">
        <f>IF(NFI_Expiration=1,IF($A808&lt;VLOOKUP(S$5,NFI,5,0),1,0)*Table_NFI[[#This Row],[Winter Clothes Children]],Table_NFI[Winter Clothes Children])</f>
        <v>0</v>
      </c>
      <c r="AK808" s="436">
        <f>IF(NFI_Expiration=1,IF($A808&lt;VLOOKUP(T$5,NFI,5,0),1,0)*Table_NFI[[#This Row],[Winter Items Other]],Table_NFI[Winter Items Other])</f>
        <v>0</v>
      </c>
      <c r="AL808" s="436">
        <f>IF(NFI_Expiration=1,IF($A808&lt;VLOOKUP(M$5,NFI,5,0),1,0)*Table_NFI[[#This Row],[Winter Blanket]],Table_NFI[[#This Row],[Winter Blanket]])</f>
        <v>0</v>
      </c>
      <c r="AM808" s="436">
        <f>IF(Table_NFI[[#This Row],[Winter Clothes Adult]]+Table_NFI[[#This Row],[Winter Clothes Children]]+Table_NFI[[#This Row],[Winter Items Other]]+Table_NFI[[#This Row],[Winter Blanket]]&gt;0,1,0)</f>
        <v>0</v>
      </c>
      <c r="AN808" s="439">
        <f>IF(NFI_Expiration=1,IF($A808&lt;VLOOKUP(V$5,NFI,5,0),1,0)*Table_NFI[[#This Row],[Jerry Can]],Table_NFI[Jerry Can])</f>
        <v>0</v>
      </c>
      <c r="AO808" s="771" t="str">
        <f>IFERROR(VLOOKUP(Table_NFI[[#This Row],[Camp Name]],CL,2,0),"")</f>
        <v>MMR001CMP122</v>
      </c>
      <c r="AP808" s="772">
        <f ca="1">IF(Table_NFI[[#This Row],[Pcode]]="","",IF(OFFSET(CampList[Opening Date],MATCH(Table_NFI[[#This Row],[Pcode]],CampList[CP_Pcode],0)-1,0,1,1)&gt;=NFI_Monitor_Date,1,0))</f>
        <v>0</v>
      </c>
      <c r="AQ808" s="781" t="str">
        <f>IFERROR(VLOOKUP(Table_NFI[[#This Row],[Camp Name]],CL,3,0),"")</f>
        <v>Open</v>
      </c>
      <c r="AR808" s="439" t="str">
        <f ca="1">IF(Table_NFI[[#This Row],[Pcode]]="","",OFFSET(CampList[Priority],MATCH(Table_NFI[[#This Row],[Pcode]],CampList[CP_Pcode],0)-1,0,1,1))</f>
        <v>P2</v>
      </c>
      <c r="AS808" s="438">
        <f>IFERROR(Table_NFI[[#This Row],[Kitchen Set]]/VLOOKUP(Table_NFI[[#This Row],[Camp Name]],CL,4,0),"")</f>
        <v>0</v>
      </c>
      <c r="AT808" s="769" t="s">
        <v>1099</v>
      </c>
      <c r="AU808" s="773"/>
    </row>
    <row r="809" spans="1:47" x14ac:dyDescent="0.25">
      <c r="A809" s="451">
        <f t="shared" si="12"/>
        <v>43.466666666666669</v>
      </c>
      <c r="B809" s="768">
        <v>41066</v>
      </c>
      <c r="C809" s="769" t="s">
        <v>454</v>
      </c>
      <c r="D809" s="770" t="s">
        <v>454</v>
      </c>
      <c r="E809" s="769" t="s">
        <v>380</v>
      </c>
      <c r="F809" s="435" t="s">
        <v>185</v>
      </c>
      <c r="G809" s="435" t="s">
        <v>219</v>
      </c>
      <c r="H809" s="436"/>
      <c r="I809" s="436"/>
      <c r="J809" s="436"/>
      <c r="K809" s="436">
        <v>144</v>
      </c>
      <c r="L809" s="437">
        <v>76</v>
      </c>
      <c r="M809" s="437">
        <v>143</v>
      </c>
      <c r="N809" s="437">
        <v>76</v>
      </c>
      <c r="O809" s="437">
        <v>78</v>
      </c>
      <c r="P809" s="437">
        <v>78</v>
      </c>
      <c r="Q809" s="437">
        <v>78</v>
      </c>
      <c r="R809" s="436"/>
      <c r="S809" s="436"/>
      <c r="T809" s="436"/>
      <c r="U809" s="436"/>
      <c r="V809" s="436"/>
      <c r="W809" s="436"/>
      <c r="X809" s="436"/>
      <c r="Y809" s="436">
        <f>IF(NFI_Expiration=1,IF($A809&lt;VLOOKUP(H$5,NFI,5,0),1,0)*Table_NFI[[#This Row],[Hygiene Kit]],Table_NFI[Hygiene Kit])</f>
        <v>0</v>
      </c>
      <c r="Z809" s="436">
        <f>IF(NFI_Expiration=1,IF($A809&lt;VLOOKUP(I$5,NFI,5,0),1,0)*Table_NFI[[#This Row],[NFI Core Kit]],Table_NFI[NFI Core Kit])</f>
        <v>0</v>
      </c>
      <c r="AA809" s="436">
        <f>IF(NFI_Expiration=1,IF($A809&lt;VLOOKUP(J$5,NFI,5,0),1,0)*Table_NFI[[#This Row],[Sanitary Kit]],Table_NFI[Sanitary Kit])</f>
        <v>0</v>
      </c>
      <c r="AB809" s="436">
        <f>IF(NFI_Expiration=1,IF($A809&lt;VLOOKUP(K$5,NFI,5,0),1,0)*Table_NFI[[#This Row],[Mosquito net]],Table_NFI[Mosquito net])</f>
        <v>0</v>
      </c>
      <c r="AC809" s="436">
        <f>IF(NFI_Expiration=1,IF($A809&lt;VLOOKUP(L$5,NFI,5,0),1,0)*Table_NFI[[#This Row],[Tarpaulin]],Table_NFI[[#This Row],[Tarpaulin]])</f>
        <v>0</v>
      </c>
      <c r="AD809" s="436">
        <f>IF(NFI_Expiration=1,IF($A809&lt;VLOOKUP(M$5,NFI,5,0),1,0)*Table_NFI[[#This Row],[Blanket]],Table_NFI[[#This Row],[Blanket]])</f>
        <v>0</v>
      </c>
      <c r="AE809" s="436">
        <f>IF(NFI_Expiration=1,IF($A809&lt;VLOOKUP(N$5,NFI,5,0),1,0)*Table_NFI[[#This Row],[Kitchen Set]],Table_NFI[Kitchen Set])</f>
        <v>0</v>
      </c>
      <c r="AF809" s="436">
        <f>IF(NFI_Expiration=1,IF($A809&lt;VLOOKUP(O$5,NFI,5,0),1,0)*Table_NFI[[#This Row],[Clothes Kit]],Table_NFI[Clothes Kit])</f>
        <v>0</v>
      </c>
      <c r="AG809" s="436">
        <f>IF(NFI_Expiration=1,IF($A809&lt;VLOOKUP(P$5,NFI,5,0),1,0)*Table_NFI[[#This Row],[Plastic Bucket]],Table_NFI[Plastic Bucket])</f>
        <v>0</v>
      </c>
      <c r="AH809" s="436">
        <f>IF(NFI_Expiration=1,IF($A809&lt;VLOOKUP(Q$5,NFI,5,0),1,0)*Table_NFI[[#This Row],[Plastic Mat]],Table_NFI[Plastic Mat])*IF(Table_NFI[[#This Row],[Distribution Date]]&gt;"2014-04-01",1,2.5)</f>
        <v>0</v>
      </c>
      <c r="AI809" s="436">
        <f>IF(NFI_Expiration=1,IF($A809&lt;VLOOKUP(R$5,NFI,5,0),1,0)*Table_NFI[[#This Row],[Winter Clothes Adult]],Table_NFI[Winter Clothes Adult])</f>
        <v>0</v>
      </c>
      <c r="AJ809" s="436">
        <f>IF(NFI_Expiration=1,IF($A809&lt;VLOOKUP(S$5,NFI,5,0),1,0)*Table_NFI[[#This Row],[Winter Clothes Children]],Table_NFI[Winter Clothes Children])</f>
        <v>0</v>
      </c>
      <c r="AK809" s="436">
        <f>IF(NFI_Expiration=1,IF($A809&lt;VLOOKUP(T$5,NFI,5,0),1,0)*Table_NFI[[#This Row],[Winter Items Other]],Table_NFI[Winter Items Other])</f>
        <v>0</v>
      </c>
      <c r="AL809" s="436">
        <f>IF(NFI_Expiration=1,IF($A809&lt;VLOOKUP(M$5,NFI,5,0),1,0)*Table_NFI[[#This Row],[Winter Blanket]],Table_NFI[[#This Row],[Winter Blanket]])</f>
        <v>0</v>
      </c>
      <c r="AM809" s="436">
        <f>IF(Table_NFI[[#This Row],[Winter Clothes Adult]]+Table_NFI[[#This Row],[Winter Clothes Children]]+Table_NFI[[#This Row],[Winter Items Other]]+Table_NFI[[#This Row],[Winter Blanket]]&gt;0,1,0)</f>
        <v>0</v>
      </c>
      <c r="AN809" s="439">
        <f>IF(NFI_Expiration=1,IF($A809&lt;VLOOKUP(V$5,NFI,5,0),1,0)*Table_NFI[[#This Row],[Jerry Can]],Table_NFI[Jerry Can])</f>
        <v>0</v>
      </c>
      <c r="AO809" s="771" t="str">
        <f>IFERROR(VLOOKUP(Table_NFI[[#This Row],[Camp Name]],CL,2,0),"")</f>
        <v>MMR001CMP126</v>
      </c>
      <c r="AP809" s="772">
        <f ca="1">IF(Table_NFI[[#This Row],[Pcode]]="","",IF(OFFSET(CampList[Opening Date],MATCH(Table_NFI[[#This Row],[Pcode]],CampList[CP_Pcode],0)-1,0,1,1)&gt;=NFI_Monitor_Date,1,0))</f>
        <v>0</v>
      </c>
      <c r="AQ809" s="781" t="str">
        <f>IFERROR(VLOOKUP(Table_NFI[[#This Row],[Camp Name]],CL,3,0),"")</f>
        <v>Open</v>
      </c>
      <c r="AR809" s="439" t="str">
        <f ca="1">IF(Table_NFI[[#This Row],[Pcode]]="","",OFFSET(CampList[Priority],MATCH(Table_NFI[[#This Row],[Pcode]],CampList[CP_Pcode],0)-1,0,1,1))</f>
        <v>P2</v>
      </c>
      <c r="AS809" s="438">
        <f>IFERROR(Table_NFI[[#This Row],[Kitchen Set]]/VLOOKUP(Table_NFI[[#This Row],[Camp Name]],CL,4,0),"")</f>
        <v>0.11225997045790251</v>
      </c>
      <c r="AT809" s="769" t="s">
        <v>1099</v>
      </c>
      <c r="AU809" s="773"/>
    </row>
    <row r="810" spans="1:47" x14ac:dyDescent="0.25">
      <c r="A810" s="451">
        <f t="shared" si="12"/>
        <v>43.5</v>
      </c>
      <c r="B810" s="768">
        <v>41065</v>
      </c>
      <c r="C810" s="769" t="s">
        <v>454</v>
      </c>
      <c r="D810" s="769" t="s">
        <v>454</v>
      </c>
      <c r="E810" s="769" t="s">
        <v>380</v>
      </c>
      <c r="F810" s="769" t="s">
        <v>185</v>
      </c>
      <c r="G810" s="435" t="s">
        <v>211</v>
      </c>
      <c r="H810" s="436"/>
      <c r="I810" s="436"/>
      <c r="J810" s="436"/>
      <c r="K810" s="436">
        <v>10</v>
      </c>
      <c r="L810" s="437">
        <v>5</v>
      </c>
      <c r="M810" s="437">
        <v>10</v>
      </c>
      <c r="N810" s="437">
        <v>5</v>
      </c>
      <c r="O810" s="437">
        <v>5</v>
      </c>
      <c r="P810" s="439">
        <v>5</v>
      </c>
      <c r="Q810" s="439">
        <v>5</v>
      </c>
      <c r="R810" s="436"/>
      <c r="S810" s="436"/>
      <c r="T810" s="436"/>
      <c r="U810" s="436"/>
      <c r="V810" s="436"/>
      <c r="W810" s="436"/>
      <c r="X810" s="436"/>
      <c r="Y810" s="436">
        <f>IF(NFI_Expiration=1,IF($A810&lt;VLOOKUP(H$5,NFI,5,0),1,0)*Table_NFI[[#This Row],[Hygiene Kit]],Table_NFI[Hygiene Kit])</f>
        <v>0</v>
      </c>
      <c r="Z810" s="436">
        <f>IF(NFI_Expiration=1,IF($A810&lt;VLOOKUP(I$5,NFI,5,0),1,0)*Table_NFI[[#This Row],[NFI Core Kit]],Table_NFI[NFI Core Kit])</f>
        <v>0</v>
      </c>
      <c r="AA810" s="436">
        <f>IF(NFI_Expiration=1,IF($A810&lt;VLOOKUP(J$5,NFI,5,0),1,0)*Table_NFI[[#This Row],[Sanitary Kit]],Table_NFI[Sanitary Kit])</f>
        <v>0</v>
      </c>
      <c r="AB810" s="436">
        <f>IF(NFI_Expiration=1,IF($A810&lt;VLOOKUP(K$5,NFI,5,0),1,0)*Table_NFI[[#This Row],[Mosquito net]],Table_NFI[Mosquito net])</f>
        <v>0</v>
      </c>
      <c r="AC810" s="436">
        <f>IF(NFI_Expiration=1,IF($A810&lt;VLOOKUP(L$5,NFI,5,0),1,0)*Table_NFI[[#This Row],[Tarpaulin]],Table_NFI[[#This Row],[Tarpaulin]])</f>
        <v>0</v>
      </c>
      <c r="AD810" s="436">
        <f>IF(NFI_Expiration=1,IF($A810&lt;VLOOKUP(M$5,NFI,5,0),1,0)*Table_NFI[[#This Row],[Blanket]],Table_NFI[[#This Row],[Blanket]])</f>
        <v>0</v>
      </c>
      <c r="AE810" s="436">
        <f>IF(NFI_Expiration=1,IF($A810&lt;VLOOKUP(N$5,NFI,5,0),1,0)*Table_NFI[[#This Row],[Kitchen Set]],Table_NFI[Kitchen Set])</f>
        <v>0</v>
      </c>
      <c r="AF810" s="436">
        <f>IF(NFI_Expiration=1,IF($A810&lt;VLOOKUP(O$5,NFI,5,0),1,0)*Table_NFI[[#This Row],[Clothes Kit]],Table_NFI[Clothes Kit])</f>
        <v>0</v>
      </c>
      <c r="AG810" s="436">
        <f>IF(NFI_Expiration=1,IF($A810&lt;VLOOKUP(P$5,NFI,5,0),1,0)*Table_NFI[[#This Row],[Plastic Bucket]],Table_NFI[Plastic Bucket])</f>
        <v>0</v>
      </c>
      <c r="AH810" s="436">
        <f>IF(NFI_Expiration=1,IF($A810&lt;VLOOKUP(Q$5,NFI,5,0),1,0)*Table_NFI[[#This Row],[Plastic Mat]],Table_NFI[Plastic Mat])*IF(Table_NFI[[#This Row],[Distribution Date]]&gt;"2014-04-01",1,2.5)</f>
        <v>0</v>
      </c>
      <c r="AI810" s="436">
        <f>IF(NFI_Expiration=1,IF($A810&lt;VLOOKUP(R$5,NFI,5,0),1,0)*Table_NFI[[#This Row],[Winter Clothes Adult]],Table_NFI[Winter Clothes Adult])</f>
        <v>0</v>
      </c>
      <c r="AJ810" s="436">
        <f>IF(NFI_Expiration=1,IF($A810&lt;VLOOKUP(S$5,NFI,5,0),1,0)*Table_NFI[[#This Row],[Winter Clothes Children]],Table_NFI[Winter Clothes Children])</f>
        <v>0</v>
      </c>
      <c r="AK810" s="436">
        <f>IF(NFI_Expiration=1,IF($A810&lt;VLOOKUP(T$5,NFI,5,0),1,0)*Table_NFI[[#This Row],[Winter Items Other]],Table_NFI[Winter Items Other])</f>
        <v>0</v>
      </c>
      <c r="AL810" s="436">
        <f>IF(NFI_Expiration=1,IF($A810&lt;VLOOKUP(M$5,NFI,5,0),1,0)*Table_NFI[[#This Row],[Winter Blanket]],Table_NFI[[#This Row],[Winter Blanket]])</f>
        <v>0</v>
      </c>
      <c r="AM810" s="436">
        <f>IF(Table_NFI[[#This Row],[Winter Clothes Adult]]+Table_NFI[[#This Row],[Winter Clothes Children]]+Table_NFI[[#This Row],[Winter Items Other]]+Table_NFI[[#This Row],[Winter Blanket]]&gt;0,1,0)</f>
        <v>0</v>
      </c>
      <c r="AN810" s="439">
        <f>IF(NFI_Expiration=1,IF($A810&lt;VLOOKUP(V$5,NFI,5,0),1,0)*Table_NFI[[#This Row],[Jerry Can]],Table_NFI[Jerry Can])</f>
        <v>0</v>
      </c>
      <c r="AO810" s="771" t="str">
        <f>IFERROR(VLOOKUP(Table_NFI[[#This Row],[Camp Name]],CL,2,0),"")</f>
        <v>MMR001CMP057</v>
      </c>
      <c r="AP810" s="772">
        <f ca="1">IF(Table_NFI[[#This Row],[Pcode]]="","",IF(OFFSET(CampList[Opening Date],MATCH(Table_NFI[[#This Row],[Pcode]],CampList[CP_Pcode],0)-1,0,1,1)&gt;=NFI_Monitor_Date,1,0))</f>
        <v>0</v>
      </c>
      <c r="AQ810" s="781" t="str">
        <f>IFERROR(VLOOKUP(Table_NFI[[#This Row],[Camp Name]],CL,3,0),"")</f>
        <v>Closed</v>
      </c>
      <c r="AR810" s="439" t="str">
        <f ca="1">IF(Table_NFI[[#This Row],[Pcode]]="","",OFFSET(CampList[Priority],MATCH(Table_NFI[[#This Row],[Pcode]],CampList[CP_Pcode],0)-1,0,1,1))</f>
        <v>P4</v>
      </c>
      <c r="AS810" s="438" t="str">
        <f>IFERROR(Table_NFI[[#This Row],[Kitchen Set]]/VLOOKUP(Table_NFI[[#This Row],[Camp Name]],CL,4,0),"")</f>
        <v/>
      </c>
      <c r="AT810" s="769" t="s">
        <v>1099</v>
      </c>
      <c r="AU810" s="773"/>
    </row>
    <row r="811" spans="1:47" x14ac:dyDescent="0.25">
      <c r="A811" s="451">
        <f t="shared" si="12"/>
        <v>43.633333333333333</v>
      </c>
      <c r="B811" s="768">
        <v>41061</v>
      </c>
      <c r="C811" s="769" t="s">
        <v>454</v>
      </c>
      <c r="D811" s="769" t="s">
        <v>454</v>
      </c>
      <c r="E811" s="769" t="s">
        <v>380</v>
      </c>
      <c r="F811" s="435" t="s">
        <v>237</v>
      </c>
      <c r="G811" s="435" t="s">
        <v>263</v>
      </c>
      <c r="H811" s="436"/>
      <c r="I811" s="436"/>
      <c r="J811" s="436"/>
      <c r="K811" s="436">
        <v>22</v>
      </c>
      <c r="L811" s="437">
        <v>11</v>
      </c>
      <c r="M811" s="437">
        <v>22</v>
      </c>
      <c r="N811" s="437">
        <v>11</v>
      </c>
      <c r="O811" s="437">
        <v>11</v>
      </c>
      <c r="P811" s="439">
        <v>11</v>
      </c>
      <c r="Q811" s="439">
        <v>11</v>
      </c>
      <c r="R811" s="436"/>
      <c r="S811" s="436"/>
      <c r="T811" s="436"/>
      <c r="U811" s="436"/>
      <c r="V811" s="436"/>
      <c r="W811" s="436"/>
      <c r="X811" s="436"/>
      <c r="Y811" s="436">
        <f>IF(NFI_Expiration=1,IF($A811&lt;VLOOKUP(H$5,NFI,5,0),1,0)*Table_NFI[[#This Row],[Hygiene Kit]],Table_NFI[Hygiene Kit])</f>
        <v>0</v>
      </c>
      <c r="Z811" s="436">
        <f>IF(NFI_Expiration=1,IF($A811&lt;VLOOKUP(I$5,NFI,5,0),1,0)*Table_NFI[[#This Row],[NFI Core Kit]],Table_NFI[NFI Core Kit])</f>
        <v>0</v>
      </c>
      <c r="AA811" s="436">
        <f>IF(NFI_Expiration=1,IF($A811&lt;VLOOKUP(J$5,NFI,5,0),1,0)*Table_NFI[[#This Row],[Sanitary Kit]],Table_NFI[Sanitary Kit])</f>
        <v>0</v>
      </c>
      <c r="AB811" s="436">
        <f>IF(NFI_Expiration=1,IF($A811&lt;VLOOKUP(K$5,NFI,5,0),1,0)*Table_NFI[[#This Row],[Mosquito net]],Table_NFI[Mosquito net])</f>
        <v>0</v>
      </c>
      <c r="AC811" s="436">
        <f>IF(NFI_Expiration=1,IF($A811&lt;VLOOKUP(L$5,NFI,5,0),1,0)*Table_NFI[[#This Row],[Tarpaulin]],Table_NFI[[#This Row],[Tarpaulin]])</f>
        <v>0</v>
      </c>
      <c r="AD811" s="436">
        <f>IF(NFI_Expiration=1,IF($A811&lt;VLOOKUP(M$5,NFI,5,0),1,0)*Table_NFI[[#This Row],[Blanket]],Table_NFI[[#This Row],[Blanket]])</f>
        <v>0</v>
      </c>
      <c r="AE811" s="436">
        <f>IF(NFI_Expiration=1,IF($A811&lt;VLOOKUP(N$5,NFI,5,0),1,0)*Table_NFI[[#This Row],[Kitchen Set]],Table_NFI[Kitchen Set])</f>
        <v>0</v>
      </c>
      <c r="AF811" s="436">
        <f>IF(NFI_Expiration=1,IF($A811&lt;VLOOKUP(O$5,NFI,5,0),1,0)*Table_NFI[[#This Row],[Clothes Kit]],Table_NFI[Clothes Kit])</f>
        <v>0</v>
      </c>
      <c r="AG811" s="436">
        <f>IF(NFI_Expiration=1,IF($A811&lt;VLOOKUP(P$5,NFI,5,0),1,0)*Table_NFI[[#This Row],[Plastic Bucket]],Table_NFI[Plastic Bucket])</f>
        <v>0</v>
      </c>
      <c r="AH811" s="436">
        <f>IF(NFI_Expiration=1,IF($A811&lt;VLOOKUP(Q$5,NFI,5,0),1,0)*Table_NFI[[#This Row],[Plastic Mat]],Table_NFI[Plastic Mat])*IF(Table_NFI[[#This Row],[Distribution Date]]&gt;"2014-04-01",1,2.5)</f>
        <v>0</v>
      </c>
      <c r="AI811" s="436">
        <f>IF(NFI_Expiration=1,IF($A811&lt;VLOOKUP(R$5,NFI,5,0),1,0)*Table_NFI[[#This Row],[Winter Clothes Adult]],Table_NFI[Winter Clothes Adult])</f>
        <v>0</v>
      </c>
      <c r="AJ811" s="436">
        <f>IF(NFI_Expiration=1,IF($A811&lt;VLOOKUP(S$5,NFI,5,0),1,0)*Table_NFI[[#This Row],[Winter Clothes Children]],Table_NFI[Winter Clothes Children])</f>
        <v>0</v>
      </c>
      <c r="AK811" s="436">
        <f>IF(NFI_Expiration=1,IF($A811&lt;VLOOKUP(T$5,NFI,5,0),1,0)*Table_NFI[[#This Row],[Winter Items Other]],Table_NFI[Winter Items Other])</f>
        <v>0</v>
      </c>
      <c r="AL811" s="436">
        <f>IF(NFI_Expiration=1,IF($A811&lt;VLOOKUP(M$5,NFI,5,0),1,0)*Table_NFI[[#This Row],[Winter Blanket]],Table_NFI[[#This Row],[Winter Blanket]])</f>
        <v>0</v>
      </c>
      <c r="AM811" s="436">
        <f>IF(Table_NFI[[#This Row],[Winter Clothes Adult]]+Table_NFI[[#This Row],[Winter Clothes Children]]+Table_NFI[[#This Row],[Winter Items Other]]+Table_NFI[[#This Row],[Winter Blanket]]&gt;0,1,0)</f>
        <v>0</v>
      </c>
      <c r="AN811" s="439">
        <f>IF(NFI_Expiration=1,IF($A811&lt;VLOOKUP(V$5,NFI,5,0),1,0)*Table_NFI[[#This Row],[Jerry Can]],Table_NFI[Jerry Can])</f>
        <v>0</v>
      </c>
      <c r="AO811" s="771" t="str">
        <f>IFERROR(VLOOKUP(Table_NFI[[#This Row],[Camp Name]],CL,2,0),"")</f>
        <v>MMR001CMP020</v>
      </c>
      <c r="AP811" s="772">
        <f ca="1">IF(Table_NFI[[#This Row],[Pcode]]="","",IF(OFFSET(CampList[Opening Date],MATCH(Table_NFI[[#This Row],[Pcode]],CampList[CP_Pcode],0)-1,0,1,1)&gt;=NFI_Monitor_Date,1,0))</f>
        <v>0</v>
      </c>
      <c r="AQ811" s="781" t="str">
        <f>IFERROR(VLOOKUP(Table_NFI[[#This Row],[Camp Name]],CL,3,0),"")</f>
        <v>Open</v>
      </c>
      <c r="AR811" s="439" t="str">
        <f ca="1">IF(Table_NFI[[#This Row],[Pcode]]="","",OFFSET(CampList[Priority],MATCH(Table_NFI[[#This Row],[Pcode]],CampList[CP_Pcode],0)-1,0,1,1))</f>
        <v>P4</v>
      </c>
      <c r="AS811" s="438">
        <f>IFERROR(Table_NFI[[#This Row],[Kitchen Set]]/VLOOKUP(Table_NFI[[#This Row],[Camp Name]],CL,4,0),"")</f>
        <v>0.5</v>
      </c>
      <c r="AT811" s="769" t="s">
        <v>1099</v>
      </c>
      <c r="AU811" s="773"/>
    </row>
    <row r="812" spans="1:47" x14ac:dyDescent="0.25">
      <c r="A812" s="451">
        <f t="shared" si="12"/>
        <v>43.633333333333333</v>
      </c>
      <c r="B812" s="768">
        <v>41061</v>
      </c>
      <c r="C812" s="769" t="s">
        <v>454</v>
      </c>
      <c r="D812" s="769" t="s">
        <v>454</v>
      </c>
      <c r="E812" s="769" t="s">
        <v>380</v>
      </c>
      <c r="F812" s="435" t="s">
        <v>237</v>
      </c>
      <c r="G812" s="435" t="s">
        <v>265</v>
      </c>
      <c r="H812" s="436"/>
      <c r="I812" s="436"/>
      <c r="J812" s="436"/>
      <c r="K812" s="436">
        <v>35</v>
      </c>
      <c r="L812" s="437">
        <v>17</v>
      </c>
      <c r="M812" s="437">
        <v>35</v>
      </c>
      <c r="N812" s="437">
        <v>17</v>
      </c>
      <c r="O812" s="437">
        <v>17</v>
      </c>
      <c r="P812" s="439">
        <v>17</v>
      </c>
      <c r="Q812" s="439">
        <v>17</v>
      </c>
      <c r="R812" s="436"/>
      <c r="S812" s="436"/>
      <c r="T812" s="436"/>
      <c r="U812" s="436"/>
      <c r="V812" s="436"/>
      <c r="W812" s="436"/>
      <c r="X812" s="436"/>
      <c r="Y812" s="436">
        <f>IF(NFI_Expiration=1,IF($A812&lt;VLOOKUP(H$5,NFI,5,0),1,0)*Table_NFI[[#This Row],[Hygiene Kit]],Table_NFI[Hygiene Kit])</f>
        <v>0</v>
      </c>
      <c r="Z812" s="436">
        <f>IF(NFI_Expiration=1,IF($A812&lt;VLOOKUP(I$5,NFI,5,0),1,0)*Table_NFI[[#This Row],[NFI Core Kit]],Table_NFI[NFI Core Kit])</f>
        <v>0</v>
      </c>
      <c r="AA812" s="436">
        <f>IF(NFI_Expiration=1,IF($A812&lt;VLOOKUP(J$5,NFI,5,0),1,0)*Table_NFI[[#This Row],[Sanitary Kit]],Table_NFI[Sanitary Kit])</f>
        <v>0</v>
      </c>
      <c r="AB812" s="436">
        <f>IF(NFI_Expiration=1,IF($A812&lt;VLOOKUP(K$5,NFI,5,0),1,0)*Table_NFI[[#This Row],[Mosquito net]],Table_NFI[Mosquito net])</f>
        <v>0</v>
      </c>
      <c r="AC812" s="436">
        <f>IF(NFI_Expiration=1,IF($A812&lt;VLOOKUP(L$5,NFI,5,0),1,0)*Table_NFI[[#This Row],[Tarpaulin]],Table_NFI[[#This Row],[Tarpaulin]])</f>
        <v>0</v>
      </c>
      <c r="AD812" s="436">
        <f>IF(NFI_Expiration=1,IF($A812&lt;VLOOKUP(M$5,NFI,5,0),1,0)*Table_NFI[[#This Row],[Blanket]],Table_NFI[[#This Row],[Blanket]])</f>
        <v>0</v>
      </c>
      <c r="AE812" s="436">
        <f>IF(NFI_Expiration=1,IF($A812&lt;VLOOKUP(N$5,NFI,5,0),1,0)*Table_NFI[[#This Row],[Kitchen Set]],Table_NFI[Kitchen Set])</f>
        <v>0</v>
      </c>
      <c r="AF812" s="436">
        <f>IF(NFI_Expiration=1,IF($A812&lt;VLOOKUP(O$5,NFI,5,0),1,0)*Table_NFI[[#This Row],[Clothes Kit]],Table_NFI[Clothes Kit])</f>
        <v>0</v>
      </c>
      <c r="AG812" s="436">
        <f>IF(NFI_Expiration=1,IF($A812&lt;VLOOKUP(P$5,NFI,5,0),1,0)*Table_NFI[[#This Row],[Plastic Bucket]],Table_NFI[Plastic Bucket])</f>
        <v>0</v>
      </c>
      <c r="AH812" s="436">
        <f>IF(NFI_Expiration=1,IF($A812&lt;VLOOKUP(Q$5,NFI,5,0),1,0)*Table_NFI[[#This Row],[Plastic Mat]],Table_NFI[Plastic Mat])*IF(Table_NFI[[#This Row],[Distribution Date]]&gt;"2014-04-01",1,2.5)</f>
        <v>0</v>
      </c>
      <c r="AI812" s="436">
        <f>IF(NFI_Expiration=1,IF($A812&lt;VLOOKUP(R$5,NFI,5,0),1,0)*Table_NFI[[#This Row],[Winter Clothes Adult]],Table_NFI[Winter Clothes Adult])</f>
        <v>0</v>
      </c>
      <c r="AJ812" s="436">
        <f>IF(NFI_Expiration=1,IF($A812&lt;VLOOKUP(S$5,NFI,5,0),1,0)*Table_NFI[[#This Row],[Winter Clothes Children]],Table_NFI[Winter Clothes Children])</f>
        <v>0</v>
      </c>
      <c r="AK812" s="436">
        <f>IF(NFI_Expiration=1,IF($A812&lt;VLOOKUP(T$5,NFI,5,0),1,0)*Table_NFI[[#This Row],[Winter Items Other]],Table_NFI[Winter Items Other])</f>
        <v>0</v>
      </c>
      <c r="AL812" s="436">
        <f>IF(NFI_Expiration=1,IF($A812&lt;VLOOKUP(M$5,NFI,5,0),1,0)*Table_NFI[[#This Row],[Winter Blanket]],Table_NFI[[#This Row],[Winter Blanket]])</f>
        <v>0</v>
      </c>
      <c r="AM812" s="436">
        <f>IF(Table_NFI[[#This Row],[Winter Clothes Adult]]+Table_NFI[[#This Row],[Winter Clothes Children]]+Table_NFI[[#This Row],[Winter Items Other]]+Table_NFI[[#This Row],[Winter Blanket]]&gt;0,1,0)</f>
        <v>0</v>
      </c>
      <c r="AN812" s="439">
        <f>IF(NFI_Expiration=1,IF($A812&lt;VLOOKUP(V$5,NFI,5,0),1,0)*Table_NFI[[#This Row],[Jerry Can]],Table_NFI[Jerry Can])</f>
        <v>0</v>
      </c>
      <c r="AO812" s="771" t="str">
        <f>IFERROR(VLOOKUP(Table_NFI[[#This Row],[Camp Name]],CL,2,0),"")</f>
        <v>MMR001CMP021</v>
      </c>
      <c r="AP812" s="772">
        <f ca="1">IF(Table_NFI[[#This Row],[Pcode]]="","",IF(OFFSET(CampList[Opening Date],MATCH(Table_NFI[[#This Row],[Pcode]],CampList[CP_Pcode],0)-1,0,1,1)&gt;=NFI_Monitor_Date,1,0))</f>
        <v>0</v>
      </c>
      <c r="AQ812" s="781" t="str">
        <f>IFERROR(VLOOKUP(Table_NFI[[#This Row],[Camp Name]],CL,3,0),"")</f>
        <v>Open</v>
      </c>
      <c r="AR812" s="439" t="str">
        <f ca="1">IF(Table_NFI[[#This Row],[Pcode]]="","",OFFSET(CampList[Priority],MATCH(Table_NFI[[#This Row],[Pcode]],CampList[CP_Pcode],0)-1,0,1,1))</f>
        <v>P4</v>
      </c>
      <c r="AS812" s="438">
        <f>IFERROR(Table_NFI[[#This Row],[Kitchen Set]]/VLOOKUP(Table_NFI[[#This Row],[Camp Name]],CL,4,0),"")</f>
        <v>1.2142857142857142</v>
      </c>
      <c r="AT812" s="769" t="s">
        <v>1099</v>
      </c>
      <c r="AU812" s="773"/>
    </row>
    <row r="813" spans="1:47" x14ac:dyDescent="0.25">
      <c r="A813" s="451">
        <f t="shared" si="12"/>
        <v>43.666666666666664</v>
      </c>
      <c r="B813" s="768">
        <v>41060</v>
      </c>
      <c r="C813" s="769" t="s">
        <v>454</v>
      </c>
      <c r="D813" s="769" t="s">
        <v>462</v>
      </c>
      <c r="E813" s="769" t="s">
        <v>380</v>
      </c>
      <c r="F813" s="435" t="s">
        <v>5</v>
      </c>
      <c r="G813" s="435" t="s">
        <v>22</v>
      </c>
      <c r="H813" s="436"/>
      <c r="I813" s="436"/>
      <c r="J813" s="436"/>
      <c r="K813" s="436">
        <v>0</v>
      </c>
      <c r="L813" s="437">
        <v>20</v>
      </c>
      <c r="M813" s="437">
        <v>0</v>
      </c>
      <c r="N813" s="437">
        <v>0</v>
      </c>
      <c r="O813" s="437">
        <v>0</v>
      </c>
      <c r="P813" s="439"/>
      <c r="Q813" s="439"/>
      <c r="R813" s="436"/>
      <c r="S813" s="436"/>
      <c r="T813" s="436"/>
      <c r="U813" s="436"/>
      <c r="V813" s="436"/>
      <c r="W813" s="436"/>
      <c r="X813" s="436"/>
      <c r="Y813" s="436">
        <f>IF(NFI_Expiration=1,IF($A813&lt;VLOOKUP(H$5,NFI,5,0),1,0)*Table_NFI[[#This Row],[Hygiene Kit]],Table_NFI[Hygiene Kit])</f>
        <v>0</v>
      </c>
      <c r="Z813" s="436">
        <f>IF(NFI_Expiration=1,IF($A813&lt;VLOOKUP(I$5,NFI,5,0),1,0)*Table_NFI[[#This Row],[NFI Core Kit]],Table_NFI[NFI Core Kit])</f>
        <v>0</v>
      </c>
      <c r="AA813" s="436">
        <f>IF(NFI_Expiration=1,IF($A813&lt;VLOOKUP(J$5,NFI,5,0),1,0)*Table_NFI[[#This Row],[Sanitary Kit]],Table_NFI[Sanitary Kit])</f>
        <v>0</v>
      </c>
      <c r="AB813" s="436">
        <f>IF(NFI_Expiration=1,IF($A813&lt;VLOOKUP(K$5,NFI,5,0),1,0)*Table_NFI[[#This Row],[Mosquito net]],Table_NFI[Mosquito net])</f>
        <v>0</v>
      </c>
      <c r="AC813" s="436">
        <f>IF(NFI_Expiration=1,IF($A813&lt;VLOOKUP(L$5,NFI,5,0),1,0)*Table_NFI[[#This Row],[Tarpaulin]],Table_NFI[[#This Row],[Tarpaulin]])</f>
        <v>0</v>
      </c>
      <c r="AD813" s="436">
        <f>IF(NFI_Expiration=1,IF($A813&lt;VLOOKUP(M$5,NFI,5,0),1,0)*Table_NFI[[#This Row],[Blanket]],Table_NFI[[#This Row],[Blanket]])</f>
        <v>0</v>
      </c>
      <c r="AE813" s="436">
        <f>IF(NFI_Expiration=1,IF($A813&lt;VLOOKUP(N$5,NFI,5,0),1,0)*Table_NFI[[#This Row],[Kitchen Set]],Table_NFI[Kitchen Set])</f>
        <v>0</v>
      </c>
      <c r="AF813" s="436">
        <f>IF(NFI_Expiration=1,IF($A813&lt;VLOOKUP(O$5,NFI,5,0),1,0)*Table_NFI[[#This Row],[Clothes Kit]],Table_NFI[Clothes Kit])</f>
        <v>0</v>
      </c>
      <c r="AG813" s="436">
        <f>IF(NFI_Expiration=1,IF($A813&lt;VLOOKUP(P$5,NFI,5,0),1,0)*Table_NFI[[#This Row],[Plastic Bucket]],Table_NFI[Plastic Bucket])</f>
        <v>0</v>
      </c>
      <c r="AH813" s="436">
        <f>IF(NFI_Expiration=1,IF($A813&lt;VLOOKUP(Q$5,NFI,5,0),1,0)*Table_NFI[[#This Row],[Plastic Mat]],Table_NFI[Plastic Mat])*IF(Table_NFI[[#This Row],[Distribution Date]]&gt;"2014-04-01",1,2.5)</f>
        <v>0</v>
      </c>
      <c r="AI813" s="436">
        <f>IF(NFI_Expiration=1,IF($A813&lt;VLOOKUP(R$5,NFI,5,0),1,0)*Table_NFI[[#This Row],[Winter Clothes Adult]],Table_NFI[Winter Clothes Adult])</f>
        <v>0</v>
      </c>
      <c r="AJ813" s="436">
        <f>IF(NFI_Expiration=1,IF($A813&lt;VLOOKUP(S$5,NFI,5,0),1,0)*Table_NFI[[#This Row],[Winter Clothes Children]],Table_NFI[Winter Clothes Children])</f>
        <v>0</v>
      </c>
      <c r="AK813" s="436">
        <f>IF(NFI_Expiration=1,IF($A813&lt;VLOOKUP(T$5,NFI,5,0),1,0)*Table_NFI[[#This Row],[Winter Items Other]],Table_NFI[Winter Items Other])</f>
        <v>0</v>
      </c>
      <c r="AL813" s="436">
        <f>IF(NFI_Expiration=1,IF($A813&lt;VLOOKUP(M$5,NFI,5,0),1,0)*Table_NFI[[#This Row],[Winter Blanket]],Table_NFI[[#This Row],[Winter Blanket]])</f>
        <v>0</v>
      </c>
      <c r="AM813" s="436">
        <f>IF(Table_NFI[[#This Row],[Winter Clothes Adult]]+Table_NFI[[#This Row],[Winter Clothes Children]]+Table_NFI[[#This Row],[Winter Items Other]]+Table_NFI[[#This Row],[Winter Blanket]]&gt;0,1,0)</f>
        <v>0</v>
      </c>
      <c r="AN813" s="439">
        <f>IF(NFI_Expiration=1,IF($A813&lt;VLOOKUP(V$5,NFI,5,0),1,0)*Table_NFI[[#This Row],[Jerry Can]],Table_NFI[Jerry Can])</f>
        <v>0</v>
      </c>
      <c r="AO813" s="771" t="str">
        <f>IFERROR(VLOOKUP(Table_NFI[[#This Row],[Camp Name]],CL,2,0),"")</f>
        <v>MMR001CMP047</v>
      </c>
      <c r="AP813" s="772">
        <f ca="1">IF(Table_NFI[[#This Row],[Pcode]]="","",IF(OFFSET(CampList[Opening Date],MATCH(Table_NFI[[#This Row],[Pcode]],CampList[CP_Pcode],0)-1,0,1,1)&gt;=NFI_Monitor_Date,1,0))</f>
        <v>0</v>
      </c>
      <c r="AQ813" s="781" t="str">
        <f>IFERROR(VLOOKUP(Table_NFI[[#This Row],[Camp Name]],CL,3,0),"")</f>
        <v>Open</v>
      </c>
      <c r="AR813" s="439" t="str">
        <f ca="1">IF(Table_NFI[[#This Row],[Pcode]]="","",OFFSET(CampList[Priority],MATCH(Table_NFI[[#This Row],[Pcode]],CampList[CP_Pcode],0)-1,0,1,1))</f>
        <v>P4</v>
      </c>
      <c r="AS813" s="438">
        <f>IFERROR(Table_NFI[[#This Row],[Kitchen Set]]/VLOOKUP(Table_NFI[[#This Row],[Camp Name]],CL,4,0),"")</f>
        <v>0</v>
      </c>
      <c r="AT813" s="769" t="s">
        <v>1099</v>
      </c>
      <c r="AU813" s="773"/>
    </row>
    <row r="814" spans="1:47" x14ac:dyDescent="0.25">
      <c r="A814" s="451">
        <f t="shared" si="12"/>
        <v>43.766666666666666</v>
      </c>
      <c r="B814" s="768">
        <v>41057</v>
      </c>
      <c r="C814" s="769" t="s">
        <v>454</v>
      </c>
      <c r="D814" s="769" t="s">
        <v>454</v>
      </c>
      <c r="E814" s="769" t="s">
        <v>380</v>
      </c>
      <c r="F814" s="435" t="s">
        <v>310</v>
      </c>
      <c r="G814" s="435" t="s">
        <v>338</v>
      </c>
      <c r="H814" s="436"/>
      <c r="I814" s="436"/>
      <c r="J814" s="436"/>
      <c r="K814" s="436">
        <v>0</v>
      </c>
      <c r="L814" s="437">
        <v>11</v>
      </c>
      <c r="M814" s="437">
        <v>0</v>
      </c>
      <c r="N814" s="437">
        <v>0</v>
      </c>
      <c r="O814" s="437">
        <v>0</v>
      </c>
      <c r="P814" s="439"/>
      <c r="Q814" s="439"/>
      <c r="R814" s="436"/>
      <c r="S814" s="436"/>
      <c r="T814" s="436"/>
      <c r="U814" s="436"/>
      <c r="V814" s="436"/>
      <c r="W814" s="436"/>
      <c r="X814" s="436"/>
      <c r="Y814" s="436">
        <f>IF(NFI_Expiration=1,IF($A814&lt;VLOOKUP(H$5,NFI,5,0),1,0)*Table_NFI[[#This Row],[Hygiene Kit]],Table_NFI[Hygiene Kit])</f>
        <v>0</v>
      </c>
      <c r="Z814" s="436">
        <f>IF(NFI_Expiration=1,IF($A814&lt;VLOOKUP(I$5,NFI,5,0),1,0)*Table_NFI[[#This Row],[NFI Core Kit]],Table_NFI[NFI Core Kit])</f>
        <v>0</v>
      </c>
      <c r="AA814" s="436">
        <f>IF(NFI_Expiration=1,IF($A814&lt;VLOOKUP(J$5,NFI,5,0),1,0)*Table_NFI[[#This Row],[Sanitary Kit]],Table_NFI[Sanitary Kit])</f>
        <v>0</v>
      </c>
      <c r="AB814" s="436">
        <f>IF(NFI_Expiration=1,IF($A814&lt;VLOOKUP(K$5,NFI,5,0),1,0)*Table_NFI[[#This Row],[Mosquito net]],Table_NFI[Mosquito net])</f>
        <v>0</v>
      </c>
      <c r="AC814" s="436">
        <f>IF(NFI_Expiration=1,IF($A814&lt;VLOOKUP(L$5,NFI,5,0),1,0)*Table_NFI[[#This Row],[Tarpaulin]],Table_NFI[[#This Row],[Tarpaulin]])</f>
        <v>0</v>
      </c>
      <c r="AD814" s="436">
        <f>IF(NFI_Expiration=1,IF($A814&lt;VLOOKUP(M$5,NFI,5,0),1,0)*Table_NFI[[#This Row],[Blanket]],Table_NFI[[#This Row],[Blanket]])</f>
        <v>0</v>
      </c>
      <c r="AE814" s="436">
        <f>IF(NFI_Expiration=1,IF($A814&lt;VLOOKUP(N$5,NFI,5,0),1,0)*Table_NFI[[#This Row],[Kitchen Set]],Table_NFI[Kitchen Set])</f>
        <v>0</v>
      </c>
      <c r="AF814" s="436">
        <f>IF(NFI_Expiration=1,IF($A814&lt;VLOOKUP(O$5,NFI,5,0),1,0)*Table_NFI[[#This Row],[Clothes Kit]],Table_NFI[Clothes Kit])</f>
        <v>0</v>
      </c>
      <c r="AG814" s="436">
        <f>IF(NFI_Expiration=1,IF($A814&lt;VLOOKUP(P$5,NFI,5,0),1,0)*Table_NFI[[#This Row],[Plastic Bucket]],Table_NFI[Plastic Bucket])</f>
        <v>0</v>
      </c>
      <c r="AH814" s="436">
        <f>IF(NFI_Expiration=1,IF($A814&lt;VLOOKUP(Q$5,NFI,5,0),1,0)*Table_NFI[[#This Row],[Plastic Mat]],Table_NFI[Plastic Mat])*IF(Table_NFI[[#This Row],[Distribution Date]]&gt;"2014-04-01",1,2.5)</f>
        <v>0</v>
      </c>
      <c r="AI814" s="436">
        <f>IF(NFI_Expiration=1,IF($A814&lt;VLOOKUP(R$5,NFI,5,0),1,0)*Table_NFI[[#This Row],[Winter Clothes Adult]],Table_NFI[Winter Clothes Adult])</f>
        <v>0</v>
      </c>
      <c r="AJ814" s="436">
        <f>IF(NFI_Expiration=1,IF($A814&lt;VLOOKUP(S$5,NFI,5,0),1,0)*Table_NFI[[#This Row],[Winter Clothes Children]],Table_NFI[Winter Clothes Children])</f>
        <v>0</v>
      </c>
      <c r="AK814" s="436">
        <f>IF(NFI_Expiration=1,IF($A814&lt;VLOOKUP(T$5,NFI,5,0),1,0)*Table_NFI[[#This Row],[Winter Items Other]],Table_NFI[Winter Items Other])</f>
        <v>0</v>
      </c>
      <c r="AL814" s="436">
        <f>IF(NFI_Expiration=1,IF($A814&lt;VLOOKUP(M$5,NFI,5,0),1,0)*Table_NFI[[#This Row],[Winter Blanket]],Table_NFI[[#This Row],[Winter Blanket]])</f>
        <v>0</v>
      </c>
      <c r="AM814" s="436">
        <f>IF(Table_NFI[[#This Row],[Winter Clothes Adult]]+Table_NFI[[#This Row],[Winter Clothes Children]]+Table_NFI[[#This Row],[Winter Items Other]]+Table_NFI[[#This Row],[Winter Blanket]]&gt;0,1,0)</f>
        <v>0</v>
      </c>
      <c r="AN814" s="439">
        <f>IF(NFI_Expiration=1,IF($A814&lt;VLOOKUP(V$5,NFI,5,0),1,0)*Table_NFI[[#This Row],[Jerry Can]],Table_NFI[Jerry Can])</f>
        <v>0</v>
      </c>
      <c r="AO814" s="771" t="str">
        <f>IFERROR(VLOOKUP(Table_NFI[[#This Row],[Camp Name]],CL,2,0),"")</f>
        <v>MMR001CMP030</v>
      </c>
      <c r="AP814" s="772">
        <f ca="1">IF(Table_NFI[[#This Row],[Pcode]]="","",IF(OFFSET(CampList[Opening Date],MATCH(Table_NFI[[#This Row],[Pcode]],CampList[CP_Pcode],0)-1,0,1,1)&gt;=NFI_Monitor_Date,1,0))</f>
        <v>0</v>
      </c>
      <c r="AQ814" s="781" t="str">
        <f>IFERROR(VLOOKUP(Table_NFI[[#This Row],[Camp Name]],CL,3,0),"")</f>
        <v>Open</v>
      </c>
      <c r="AR814" s="439" t="str">
        <f ca="1">IF(Table_NFI[[#This Row],[Pcode]]="","",OFFSET(CampList[Priority],MATCH(Table_NFI[[#This Row],[Pcode]],CampList[CP_Pcode],0)-1,0,1,1))</f>
        <v>P4</v>
      </c>
      <c r="AS814" s="438">
        <f>IFERROR(Table_NFI[[#This Row],[Kitchen Set]]/VLOOKUP(Table_NFI[[#This Row],[Camp Name]],CL,4,0),"")</f>
        <v>0</v>
      </c>
      <c r="AT814" s="769" t="s">
        <v>1099</v>
      </c>
      <c r="AU814" s="773"/>
    </row>
    <row r="815" spans="1:47" x14ac:dyDescent="0.25">
      <c r="A815" s="451">
        <f t="shared" si="12"/>
        <v>43.833333333333336</v>
      </c>
      <c r="B815" s="768">
        <v>41055</v>
      </c>
      <c r="C815" s="769" t="s">
        <v>454</v>
      </c>
      <c r="D815" s="770" t="s">
        <v>462</v>
      </c>
      <c r="E815" s="769" t="s">
        <v>380</v>
      </c>
      <c r="F815" s="435" t="s">
        <v>302</v>
      </c>
      <c r="G815" s="435" t="s">
        <v>304</v>
      </c>
      <c r="H815" s="436"/>
      <c r="I815" s="436"/>
      <c r="J815" s="436"/>
      <c r="K815" s="436">
        <v>200</v>
      </c>
      <c r="L815" s="437">
        <v>200</v>
      </c>
      <c r="M815" s="437">
        <v>0</v>
      </c>
      <c r="N815" s="437">
        <v>0</v>
      </c>
      <c r="O815" s="437">
        <v>0</v>
      </c>
      <c r="P815" s="437"/>
      <c r="Q815" s="437"/>
      <c r="R815" s="436"/>
      <c r="S815" s="436"/>
      <c r="T815" s="436"/>
      <c r="U815" s="436"/>
      <c r="V815" s="436"/>
      <c r="W815" s="436"/>
      <c r="X815" s="436"/>
      <c r="Y815" s="436">
        <f>IF(NFI_Expiration=1,IF($A815&lt;VLOOKUP(H$5,NFI,5,0),1,0)*Table_NFI[[#This Row],[Hygiene Kit]],Table_NFI[Hygiene Kit])</f>
        <v>0</v>
      </c>
      <c r="Z815" s="436">
        <f>IF(NFI_Expiration=1,IF($A815&lt;VLOOKUP(I$5,NFI,5,0),1,0)*Table_NFI[[#This Row],[NFI Core Kit]],Table_NFI[NFI Core Kit])</f>
        <v>0</v>
      </c>
      <c r="AA815" s="436">
        <f>IF(NFI_Expiration=1,IF($A815&lt;VLOOKUP(J$5,NFI,5,0),1,0)*Table_NFI[[#This Row],[Sanitary Kit]],Table_NFI[Sanitary Kit])</f>
        <v>0</v>
      </c>
      <c r="AB815" s="436">
        <f>IF(NFI_Expiration=1,IF($A815&lt;VLOOKUP(K$5,NFI,5,0),1,0)*Table_NFI[[#This Row],[Mosquito net]],Table_NFI[Mosquito net])</f>
        <v>0</v>
      </c>
      <c r="AC815" s="436">
        <f>IF(NFI_Expiration=1,IF($A815&lt;VLOOKUP(L$5,NFI,5,0),1,0)*Table_NFI[[#This Row],[Tarpaulin]],Table_NFI[[#This Row],[Tarpaulin]])</f>
        <v>0</v>
      </c>
      <c r="AD815" s="436">
        <f>IF(NFI_Expiration=1,IF($A815&lt;VLOOKUP(M$5,NFI,5,0),1,0)*Table_NFI[[#This Row],[Blanket]],Table_NFI[[#This Row],[Blanket]])</f>
        <v>0</v>
      </c>
      <c r="AE815" s="436">
        <f>IF(NFI_Expiration=1,IF($A815&lt;VLOOKUP(N$5,NFI,5,0),1,0)*Table_NFI[[#This Row],[Kitchen Set]],Table_NFI[Kitchen Set])</f>
        <v>0</v>
      </c>
      <c r="AF815" s="436">
        <f>IF(NFI_Expiration=1,IF($A815&lt;VLOOKUP(O$5,NFI,5,0),1,0)*Table_NFI[[#This Row],[Clothes Kit]],Table_NFI[Clothes Kit])</f>
        <v>0</v>
      </c>
      <c r="AG815" s="436">
        <f>IF(NFI_Expiration=1,IF($A815&lt;VLOOKUP(P$5,NFI,5,0),1,0)*Table_NFI[[#This Row],[Plastic Bucket]],Table_NFI[Plastic Bucket])</f>
        <v>0</v>
      </c>
      <c r="AH815" s="436">
        <f>IF(NFI_Expiration=1,IF($A815&lt;VLOOKUP(Q$5,NFI,5,0),1,0)*Table_NFI[[#This Row],[Plastic Mat]],Table_NFI[Plastic Mat])*IF(Table_NFI[[#This Row],[Distribution Date]]&gt;"2014-04-01",1,2.5)</f>
        <v>0</v>
      </c>
      <c r="AI815" s="436">
        <f>IF(NFI_Expiration=1,IF($A815&lt;VLOOKUP(R$5,NFI,5,0),1,0)*Table_NFI[[#This Row],[Winter Clothes Adult]],Table_NFI[Winter Clothes Adult])</f>
        <v>0</v>
      </c>
      <c r="AJ815" s="436">
        <f>IF(NFI_Expiration=1,IF($A815&lt;VLOOKUP(S$5,NFI,5,0),1,0)*Table_NFI[[#This Row],[Winter Clothes Children]],Table_NFI[Winter Clothes Children])</f>
        <v>0</v>
      </c>
      <c r="AK815" s="436">
        <f>IF(NFI_Expiration=1,IF($A815&lt;VLOOKUP(T$5,NFI,5,0),1,0)*Table_NFI[[#This Row],[Winter Items Other]],Table_NFI[Winter Items Other])</f>
        <v>0</v>
      </c>
      <c r="AL815" s="436">
        <f>IF(NFI_Expiration=1,IF($A815&lt;VLOOKUP(M$5,NFI,5,0),1,0)*Table_NFI[[#This Row],[Winter Blanket]],Table_NFI[[#This Row],[Winter Blanket]])</f>
        <v>0</v>
      </c>
      <c r="AM815" s="436">
        <f>IF(Table_NFI[[#This Row],[Winter Clothes Adult]]+Table_NFI[[#This Row],[Winter Clothes Children]]+Table_NFI[[#This Row],[Winter Items Other]]+Table_NFI[[#This Row],[Winter Blanket]]&gt;0,1,0)</f>
        <v>0</v>
      </c>
      <c r="AN815" s="439">
        <f>IF(NFI_Expiration=1,IF($A815&lt;VLOOKUP(V$5,NFI,5,0),1,0)*Table_NFI[[#This Row],[Jerry Can]],Table_NFI[Jerry Can])</f>
        <v>0</v>
      </c>
      <c r="AO815" s="771" t="str">
        <f>IFERROR(VLOOKUP(Table_NFI[[#This Row],[Camp Name]],CL,2,0),"")</f>
        <v>MMR001CMP147</v>
      </c>
      <c r="AP815" s="772">
        <f ca="1">IF(Table_NFI[[#This Row],[Pcode]]="","",IF(OFFSET(CampList[Opening Date],MATCH(Table_NFI[[#This Row],[Pcode]],CampList[CP_Pcode],0)-1,0,1,1)&gt;=NFI_Monitor_Date,1,0))</f>
        <v>0</v>
      </c>
      <c r="AQ815" s="781" t="str">
        <f>IFERROR(VLOOKUP(Table_NFI[[#This Row],[Camp Name]],CL,3,0),"")</f>
        <v>Open</v>
      </c>
      <c r="AR815" s="439" t="str">
        <f ca="1">IF(Table_NFI[[#This Row],[Pcode]]="","",OFFSET(CampList[Priority],MATCH(Table_NFI[[#This Row],[Pcode]],CampList[CP_Pcode],0)-1,0,1,1))</f>
        <v>P4</v>
      </c>
      <c r="AS815" s="438">
        <f>IFERROR(Table_NFI[[#This Row],[Kitchen Set]]/VLOOKUP(Table_NFI[[#This Row],[Camp Name]],CL,4,0),"")</f>
        <v>0</v>
      </c>
      <c r="AT815" s="769" t="s">
        <v>1099</v>
      </c>
      <c r="AU815" s="773"/>
    </row>
    <row r="816" spans="1:47" x14ac:dyDescent="0.25">
      <c r="A816" s="451">
        <f t="shared" si="12"/>
        <v>43.866666666666667</v>
      </c>
      <c r="B816" s="768">
        <v>41054</v>
      </c>
      <c r="C816" s="769" t="s">
        <v>454</v>
      </c>
      <c r="D816" s="770" t="s">
        <v>454</v>
      </c>
      <c r="E816" s="769" t="s">
        <v>380</v>
      </c>
      <c r="F816" s="435" t="s">
        <v>237</v>
      </c>
      <c r="G816" s="435" t="s">
        <v>281</v>
      </c>
      <c r="H816" s="436"/>
      <c r="I816" s="436"/>
      <c r="J816" s="436"/>
      <c r="K816" s="436">
        <v>0</v>
      </c>
      <c r="L816" s="437">
        <v>25</v>
      </c>
      <c r="M816" s="437">
        <v>0</v>
      </c>
      <c r="N816" s="437">
        <v>0</v>
      </c>
      <c r="O816" s="437">
        <v>0</v>
      </c>
      <c r="P816" s="437"/>
      <c r="Q816" s="437"/>
      <c r="R816" s="436"/>
      <c r="S816" s="436"/>
      <c r="T816" s="436"/>
      <c r="U816" s="436"/>
      <c r="V816" s="436"/>
      <c r="W816" s="436"/>
      <c r="X816" s="436"/>
      <c r="Y816" s="436">
        <f>IF(NFI_Expiration=1,IF($A816&lt;VLOOKUP(H$5,NFI,5,0),1,0)*Table_NFI[[#This Row],[Hygiene Kit]],Table_NFI[Hygiene Kit])</f>
        <v>0</v>
      </c>
      <c r="Z816" s="436">
        <f>IF(NFI_Expiration=1,IF($A816&lt;VLOOKUP(I$5,NFI,5,0),1,0)*Table_NFI[[#This Row],[NFI Core Kit]],Table_NFI[NFI Core Kit])</f>
        <v>0</v>
      </c>
      <c r="AA816" s="436">
        <f>IF(NFI_Expiration=1,IF($A816&lt;VLOOKUP(J$5,NFI,5,0),1,0)*Table_NFI[[#This Row],[Sanitary Kit]],Table_NFI[Sanitary Kit])</f>
        <v>0</v>
      </c>
      <c r="AB816" s="436">
        <f>IF(NFI_Expiration=1,IF($A816&lt;VLOOKUP(K$5,NFI,5,0),1,0)*Table_NFI[[#This Row],[Mosquito net]],Table_NFI[Mosquito net])</f>
        <v>0</v>
      </c>
      <c r="AC816" s="436">
        <f>IF(NFI_Expiration=1,IF($A816&lt;VLOOKUP(L$5,NFI,5,0),1,0)*Table_NFI[[#This Row],[Tarpaulin]],Table_NFI[[#This Row],[Tarpaulin]])</f>
        <v>0</v>
      </c>
      <c r="AD816" s="436">
        <f>IF(NFI_Expiration=1,IF($A816&lt;VLOOKUP(M$5,NFI,5,0),1,0)*Table_NFI[[#This Row],[Blanket]],Table_NFI[[#This Row],[Blanket]])</f>
        <v>0</v>
      </c>
      <c r="AE816" s="436">
        <f>IF(NFI_Expiration=1,IF($A816&lt;VLOOKUP(N$5,NFI,5,0),1,0)*Table_NFI[[#This Row],[Kitchen Set]],Table_NFI[Kitchen Set])</f>
        <v>0</v>
      </c>
      <c r="AF816" s="436">
        <f>IF(NFI_Expiration=1,IF($A816&lt;VLOOKUP(O$5,NFI,5,0),1,0)*Table_NFI[[#This Row],[Clothes Kit]],Table_NFI[Clothes Kit])</f>
        <v>0</v>
      </c>
      <c r="AG816" s="436">
        <f>IF(NFI_Expiration=1,IF($A816&lt;VLOOKUP(P$5,NFI,5,0),1,0)*Table_NFI[[#This Row],[Plastic Bucket]],Table_NFI[Plastic Bucket])</f>
        <v>0</v>
      </c>
      <c r="AH816" s="436">
        <f>IF(NFI_Expiration=1,IF($A816&lt;VLOOKUP(Q$5,NFI,5,0),1,0)*Table_NFI[[#This Row],[Plastic Mat]],Table_NFI[Plastic Mat])*IF(Table_NFI[[#This Row],[Distribution Date]]&gt;"2014-04-01",1,2.5)</f>
        <v>0</v>
      </c>
      <c r="AI816" s="436">
        <f>IF(NFI_Expiration=1,IF($A816&lt;VLOOKUP(R$5,NFI,5,0),1,0)*Table_NFI[[#This Row],[Winter Clothes Adult]],Table_NFI[Winter Clothes Adult])</f>
        <v>0</v>
      </c>
      <c r="AJ816" s="436">
        <f>IF(NFI_Expiration=1,IF($A816&lt;VLOOKUP(S$5,NFI,5,0),1,0)*Table_NFI[[#This Row],[Winter Clothes Children]],Table_NFI[Winter Clothes Children])</f>
        <v>0</v>
      </c>
      <c r="AK816" s="436">
        <f>IF(NFI_Expiration=1,IF($A816&lt;VLOOKUP(T$5,NFI,5,0),1,0)*Table_NFI[[#This Row],[Winter Items Other]],Table_NFI[Winter Items Other])</f>
        <v>0</v>
      </c>
      <c r="AL816" s="436">
        <f>IF(NFI_Expiration=1,IF($A816&lt;VLOOKUP(M$5,NFI,5,0),1,0)*Table_NFI[[#This Row],[Winter Blanket]],Table_NFI[[#This Row],[Winter Blanket]])</f>
        <v>0</v>
      </c>
      <c r="AM816" s="436">
        <f>IF(Table_NFI[[#This Row],[Winter Clothes Adult]]+Table_NFI[[#This Row],[Winter Clothes Children]]+Table_NFI[[#This Row],[Winter Items Other]]+Table_NFI[[#This Row],[Winter Blanket]]&gt;0,1,0)</f>
        <v>0</v>
      </c>
      <c r="AN816" s="439">
        <f>IF(NFI_Expiration=1,IF($A816&lt;VLOOKUP(V$5,NFI,5,0),1,0)*Table_NFI[[#This Row],[Jerry Can]],Table_NFI[Jerry Can])</f>
        <v>0</v>
      </c>
      <c r="AO816" s="771" t="str">
        <f>IFERROR(VLOOKUP(Table_NFI[[#This Row],[Camp Name]],CL,2,0),"")</f>
        <v>MMR001CMP009</v>
      </c>
      <c r="AP816" s="772">
        <f ca="1">IF(Table_NFI[[#This Row],[Pcode]]="","",IF(OFFSET(CampList[Opening Date],MATCH(Table_NFI[[#This Row],[Pcode]],CampList[CP_Pcode],0)-1,0,1,1)&gt;=NFI_Monitor_Date,1,0))</f>
        <v>0</v>
      </c>
      <c r="AQ816" s="781" t="str">
        <f>IFERROR(VLOOKUP(Table_NFI[[#This Row],[Camp Name]],CL,3,0),"")</f>
        <v>Open</v>
      </c>
      <c r="AR816" s="439" t="str">
        <f ca="1">IF(Table_NFI[[#This Row],[Pcode]]="","",OFFSET(CampList[Priority],MATCH(Table_NFI[[#This Row],[Pcode]],CampList[CP_Pcode],0)-1,0,1,1))</f>
        <v>P4</v>
      </c>
      <c r="AS816" s="438">
        <f>IFERROR(Table_NFI[[#This Row],[Kitchen Set]]/VLOOKUP(Table_NFI[[#This Row],[Camp Name]],CL,4,0),"")</f>
        <v>0</v>
      </c>
      <c r="AT816" s="769" t="s">
        <v>1099</v>
      </c>
      <c r="AU816" s="773"/>
    </row>
    <row r="817" spans="1:47" x14ac:dyDescent="0.25">
      <c r="A817" s="451">
        <f t="shared" si="12"/>
        <v>43.93333333333333</v>
      </c>
      <c r="B817" s="768">
        <v>41052</v>
      </c>
      <c r="C817" s="769" t="s">
        <v>454</v>
      </c>
      <c r="D817" s="769" t="s">
        <v>454</v>
      </c>
      <c r="E817" s="769" t="s">
        <v>380</v>
      </c>
      <c r="F817" s="435" t="s">
        <v>237</v>
      </c>
      <c r="G817" s="435" t="s">
        <v>253</v>
      </c>
      <c r="H817" s="436"/>
      <c r="I817" s="436"/>
      <c r="J817" s="436"/>
      <c r="K817" s="436">
        <v>22</v>
      </c>
      <c r="L817" s="437">
        <v>15</v>
      </c>
      <c r="M817" s="437">
        <v>22</v>
      </c>
      <c r="N817" s="437">
        <v>15</v>
      </c>
      <c r="O817" s="437">
        <v>15</v>
      </c>
      <c r="P817" s="439">
        <v>15</v>
      </c>
      <c r="Q817" s="439">
        <v>15</v>
      </c>
      <c r="R817" s="436"/>
      <c r="S817" s="436"/>
      <c r="T817" s="436"/>
      <c r="U817" s="436"/>
      <c r="V817" s="436"/>
      <c r="W817" s="436"/>
      <c r="X817" s="436"/>
      <c r="Y817" s="436">
        <f>IF(NFI_Expiration=1,IF($A817&lt;VLOOKUP(H$5,NFI,5,0),1,0)*Table_NFI[[#This Row],[Hygiene Kit]],Table_NFI[Hygiene Kit])</f>
        <v>0</v>
      </c>
      <c r="Z817" s="436">
        <f>IF(NFI_Expiration=1,IF($A817&lt;VLOOKUP(I$5,NFI,5,0),1,0)*Table_NFI[[#This Row],[NFI Core Kit]],Table_NFI[NFI Core Kit])</f>
        <v>0</v>
      </c>
      <c r="AA817" s="436">
        <f>IF(NFI_Expiration=1,IF($A817&lt;VLOOKUP(J$5,NFI,5,0),1,0)*Table_NFI[[#This Row],[Sanitary Kit]],Table_NFI[Sanitary Kit])</f>
        <v>0</v>
      </c>
      <c r="AB817" s="436">
        <f>IF(NFI_Expiration=1,IF($A817&lt;VLOOKUP(K$5,NFI,5,0),1,0)*Table_NFI[[#This Row],[Mosquito net]],Table_NFI[Mosquito net])</f>
        <v>0</v>
      </c>
      <c r="AC817" s="436">
        <f>IF(NFI_Expiration=1,IF($A817&lt;VLOOKUP(L$5,NFI,5,0),1,0)*Table_NFI[[#This Row],[Tarpaulin]],Table_NFI[[#This Row],[Tarpaulin]])</f>
        <v>0</v>
      </c>
      <c r="AD817" s="436">
        <f>IF(NFI_Expiration=1,IF($A817&lt;VLOOKUP(M$5,NFI,5,0),1,0)*Table_NFI[[#This Row],[Blanket]],Table_NFI[[#This Row],[Blanket]])</f>
        <v>0</v>
      </c>
      <c r="AE817" s="436">
        <f>IF(NFI_Expiration=1,IF($A817&lt;VLOOKUP(N$5,NFI,5,0),1,0)*Table_NFI[[#This Row],[Kitchen Set]],Table_NFI[Kitchen Set])</f>
        <v>0</v>
      </c>
      <c r="AF817" s="436">
        <f>IF(NFI_Expiration=1,IF($A817&lt;VLOOKUP(O$5,NFI,5,0),1,0)*Table_NFI[[#This Row],[Clothes Kit]],Table_NFI[Clothes Kit])</f>
        <v>0</v>
      </c>
      <c r="AG817" s="436">
        <f>IF(NFI_Expiration=1,IF($A817&lt;VLOOKUP(P$5,NFI,5,0),1,0)*Table_NFI[[#This Row],[Plastic Bucket]],Table_NFI[Plastic Bucket])</f>
        <v>0</v>
      </c>
      <c r="AH817" s="436">
        <f>IF(NFI_Expiration=1,IF($A817&lt;VLOOKUP(Q$5,NFI,5,0),1,0)*Table_NFI[[#This Row],[Plastic Mat]],Table_NFI[Plastic Mat])*IF(Table_NFI[[#This Row],[Distribution Date]]&gt;"2014-04-01",1,2.5)</f>
        <v>0</v>
      </c>
      <c r="AI817" s="436">
        <f>IF(NFI_Expiration=1,IF($A817&lt;VLOOKUP(R$5,NFI,5,0),1,0)*Table_NFI[[#This Row],[Winter Clothes Adult]],Table_NFI[Winter Clothes Adult])</f>
        <v>0</v>
      </c>
      <c r="AJ817" s="436">
        <f>IF(NFI_Expiration=1,IF($A817&lt;VLOOKUP(S$5,NFI,5,0),1,0)*Table_NFI[[#This Row],[Winter Clothes Children]],Table_NFI[Winter Clothes Children])</f>
        <v>0</v>
      </c>
      <c r="AK817" s="436">
        <f>IF(NFI_Expiration=1,IF($A817&lt;VLOOKUP(T$5,NFI,5,0),1,0)*Table_NFI[[#This Row],[Winter Items Other]],Table_NFI[Winter Items Other])</f>
        <v>0</v>
      </c>
      <c r="AL817" s="436">
        <f>IF(NFI_Expiration=1,IF($A817&lt;VLOOKUP(M$5,NFI,5,0),1,0)*Table_NFI[[#This Row],[Winter Blanket]],Table_NFI[[#This Row],[Winter Blanket]])</f>
        <v>0</v>
      </c>
      <c r="AM817" s="436">
        <f>IF(Table_NFI[[#This Row],[Winter Clothes Adult]]+Table_NFI[[#This Row],[Winter Clothes Children]]+Table_NFI[[#This Row],[Winter Items Other]]+Table_NFI[[#This Row],[Winter Blanket]]&gt;0,1,0)</f>
        <v>0</v>
      </c>
      <c r="AN817" s="439">
        <f>IF(NFI_Expiration=1,IF($A817&lt;VLOOKUP(V$5,NFI,5,0),1,0)*Table_NFI[[#This Row],[Jerry Can]],Table_NFI[Jerry Can])</f>
        <v>0</v>
      </c>
      <c r="AO817" s="771" t="str">
        <f>IFERROR(VLOOKUP(Table_NFI[[#This Row],[Camp Name]],CL,2,0),"")</f>
        <v>MMR001CMP018</v>
      </c>
      <c r="AP817" s="772">
        <f ca="1">IF(Table_NFI[[#This Row],[Pcode]]="","",IF(OFFSET(CampList[Opening Date],MATCH(Table_NFI[[#This Row],[Pcode]],CampList[CP_Pcode],0)-1,0,1,1)&gt;=NFI_Monitor_Date,1,0))</f>
        <v>0</v>
      </c>
      <c r="AQ817" s="781" t="str">
        <f>IFERROR(VLOOKUP(Table_NFI[[#This Row],[Camp Name]],CL,3,0),"")</f>
        <v>Open</v>
      </c>
      <c r="AR817" s="439" t="str">
        <f ca="1">IF(Table_NFI[[#This Row],[Pcode]]="","",OFFSET(CampList[Priority],MATCH(Table_NFI[[#This Row],[Pcode]],CampList[CP_Pcode],0)-1,0,1,1))</f>
        <v>P4</v>
      </c>
      <c r="AS817" s="438">
        <f>IFERROR(Table_NFI[[#This Row],[Kitchen Set]]/VLOOKUP(Table_NFI[[#This Row],[Camp Name]],CL,4,0),"")</f>
        <v>7.3891625615763554E-2</v>
      </c>
      <c r="AT817" s="769" t="s">
        <v>1099</v>
      </c>
      <c r="AU817" s="773"/>
    </row>
    <row r="818" spans="1:47" x14ac:dyDescent="0.25">
      <c r="A818" s="451">
        <f t="shared" si="12"/>
        <v>43.93333333333333</v>
      </c>
      <c r="B818" s="768">
        <v>41052</v>
      </c>
      <c r="C818" s="769" t="s">
        <v>454</v>
      </c>
      <c r="D818" s="769" t="s">
        <v>454</v>
      </c>
      <c r="E818" s="769" t="s">
        <v>380</v>
      </c>
      <c r="F818" s="435" t="s">
        <v>237</v>
      </c>
      <c r="G818" s="435" t="s">
        <v>271</v>
      </c>
      <c r="H818" s="436"/>
      <c r="I818" s="436"/>
      <c r="J818" s="436"/>
      <c r="K818" s="436">
        <v>58</v>
      </c>
      <c r="L818" s="437">
        <v>29</v>
      </c>
      <c r="M818" s="437">
        <v>58</v>
      </c>
      <c r="N818" s="437">
        <v>29</v>
      </c>
      <c r="O818" s="437">
        <v>29</v>
      </c>
      <c r="P818" s="439">
        <v>29</v>
      </c>
      <c r="Q818" s="439">
        <v>29</v>
      </c>
      <c r="R818" s="436"/>
      <c r="S818" s="436"/>
      <c r="T818" s="436"/>
      <c r="U818" s="436"/>
      <c r="V818" s="436"/>
      <c r="W818" s="436"/>
      <c r="X818" s="436"/>
      <c r="Y818" s="436">
        <f>IF(NFI_Expiration=1,IF($A818&lt;VLOOKUP(H$5,NFI,5,0),1,0)*Table_NFI[[#This Row],[Hygiene Kit]],Table_NFI[Hygiene Kit])</f>
        <v>0</v>
      </c>
      <c r="Z818" s="436">
        <f>IF(NFI_Expiration=1,IF($A818&lt;VLOOKUP(I$5,NFI,5,0),1,0)*Table_NFI[[#This Row],[NFI Core Kit]],Table_NFI[NFI Core Kit])</f>
        <v>0</v>
      </c>
      <c r="AA818" s="436">
        <f>IF(NFI_Expiration=1,IF($A818&lt;VLOOKUP(J$5,NFI,5,0),1,0)*Table_NFI[[#This Row],[Sanitary Kit]],Table_NFI[Sanitary Kit])</f>
        <v>0</v>
      </c>
      <c r="AB818" s="436">
        <f>IF(NFI_Expiration=1,IF($A818&lt;VLOOKUP(K$5,NFI,5,0),1,0)*Table_NFI[[#This Row],[Mosquito net]],Table_NFI[Mosquito net])</f>
        <v>0</v>
      </c>
      <c r="AC818" s="436">
        <f>IF(NFI_Expiration=1,IF($A818&lt;VLOOKUP(L$5,NFI,5,0),1,0)*Table_NFI[[#This Row],[Tarpaulin]],Table_NFI[[#This Row],[Tarpaulin]])</f>
        <v>0</v>
      </c>
      <c r="AD818" s="436">
        <f>IF(NFI_Expiration=1,IF($A818&lt;VLOOKUP(M$5,NFI,5,0),1,0)*Table_NFI[[#This Row],[Blanket]],Table_NFI[[#This Row],[Blanket]])</f>
        <v>0</v>
      </c>
      <c r="AE818" s="436">
        <f>IF(NFI_Expiration=1,IF($A818&lt;VLOOKUP(N$5,NFI,5,0),1,0)*Table_NFI[[#This Row],[Kitchen Set]],Table_NFI[Kitchen Set])</f>
        <v>0</v>
      </c>
      <c r="AF818" s="436">
        <f>IF(NFI_Expiration=1,IF($A818&lt;VLOOKUP(O$5,NFI,5,0),1,0)*Table_NFI[[#This Row],[Clothes Kit]],Table_NFI[Clothes Kit])</f>
        <v>0</v>
      </c>
      <c r="AG818" s="436">
        <f>IF(NFI_Expiration=1,IF($A818&lt;VLOOKUP(P$5,NFI,5,0),1,0)*Table_NFI[[#This Row],[Plastic Bucket]],Table_NFI[Plastic Bucket])</f>
        <v>0</v>
      </c>
      <c r="AH818" s="436">
        <f>IF(NFI_Expiration=1,IF($A818&lt;VLOOKUP(Q$5,NFI,5,0),1,0)*Table_NFI[[#This Row],[Plastic Mat]],Table_NFI[Plastic Mat])*IF(Table_NFI[[#This Row],[Distribution Date]]&gt;"2014-04-01",1,2.5)</f>
        <v>0</v>
      </c>
      <c r="AI818" s="436">
        <f>IF(NFI_Expiration=1,IF($A818&lt;VLOOKUP(R$5,NFI,5,0),1,0)*Table_NFI[[#This Row],[Winter Clothes Adult]],Table_NFI[Winter Clothes Adult])</f>
        <v>0</v>
      </c>
      <c r="AJ818" s="436">
        <f>IF(NFI_Expiration=1,IF($A818&lt;VLOOKUP(S$5,NFI,5,0),1,0)*Table_NFI[[#This Row],[Winter Clothes Children]],Table_NFI[Winter Clothes Children])</f>
        <v>0</v>
      </c>
      <c r="AK818" s="436">
        <f>IF(NFI_Expiration=1,IF($A818&lt;VLOOKUP(T$5,NFI,5,0),1,0)*Table_NFI[[#This Row],[Winter Items Other]],Table_NFI[Winter Items Other])</f>
        <v>0</v>
      </c>
      <c r="AL818" s="436">
        <f>IF(NFI_Expiration=1,IF($A818&lt;VLOOKUP(M$5,NFI,5,0),1,0)*Table_NFI[[#This Row],[Winter Blanket]],Table_NFI[[#This Row],[Winter Blanket]])</f>
        <v>0</v>
      </c>
      <c r="AM818" s="436">
        <f>IF(Table_NFI[[#This Row],[Winter Clothes Adult]]+Table_NFI[[#This Row],[Winter Clothes Children]]+Table_NFI[[#This Row],[Winter Items Other]]+Table_NFI[[#This Row],[Winter Blanket]]&gt;0,1,0)</f>
        <v>0</v>
      </c>
      <c r="AN818" s="439">
        <f>IF(NFI_Expiration=1,IF($A818&lt;VLOOKUP(V$5,NFI,5,0),1,0)*Table_NFI[[#This Row],[Jerry Can]],Table_NFI[Jerry Can])</f>
        <v>0</v>
      </c>
      <c r="AO818" s="771" t="str">
        <f>IFERROR(VLOOKUP(Table_NFI[[#This Row],[Camp Name]],CL,2,0),"")</f>
        <v>MMR001CMP024</v>
      </c>
      <c r="AP818" s="772">
        <f ca="1">IF(Table_NFI[[#This Row],[Pcode]]="","",IF(OFFSET(CampList[Opening Date],MATCH(Table_NFI[[#This Row],[Pcode]],CampList[CP_Pcode],0)-1,0,1,1)&gt;=NFI_Monitor_Date,1,0))</f>
        <v>0</v>
      </c>
      <c r="AQ818" s="781" t="str">
        <f>IFERROR(VLOOKUP(Table_NFI[[#This Row],[Camp Name]],CL,3,0),"")</f>
        <v>Open</v>
      </c>
      <c r="AR818" s="439" t="str">
        <f ca="1">IF(Table_NFI[[#This Row],[Pcode]]="","",OFFSET(CampList[Priority],MATCH(Table_NFI[[#This Row],[Pcode]],CampList[CP_Pcode],0)-1,0,1,1))</f>
        <v>P4</v>
      </c>
      <c r="AS818" s="438">
        <f>IFERROR(Table_NFI[[#This Row],[Kitchen Set]]/VLOOKUP(Table_NFI[[#This Row],[Camp Name]],CL,4,0),"")</f>
        <v>0.42028985507246375</v>
      </c>
      <c r="AT818" s="769" t="s">
        <v>1099</v>
      </c>
      <c r="AU818" s="773"/>
    </row>
    <row r="819" spans="1:47" x14ac:dyDescent="0.25">
      <c r="A819" s="451">
        <f t="shared" si="12"/>
        <v>43.93333333333333</v>
      </c>
      <c r="B819" s="768">
        <v>41052</v>
      </c>
      <c r="C819" s="769" t="s">
        <v>454</v>
      </c>
      <c r="D819" s="770" t="s">
        <v>454</v>
      </c>
      <c r="E819" s="769" t="s">
        <v>380</v>
      </c>
      <c r="F819" s="435" t="s">
        <v>237</v>
      </c>
      <c r="G819" s="435" t="s">
        <v>238</v>
      </c>
      <c r="H819" s="436"/>
      <c r="I819" s="436"/>
      <c r="J819" s="436"/>
      <c r="K819" s="436">
        <v>54</v>
      </c>
      <c r="L819" s="437">
        <v>29</v>
      </c>
      <c r="M819" s="437">
        <v>54</v>
      </c>
      <c r="N819" s="437">
        <v>29</v>
      </c>
      <c r="O819" s="437">
        <v>29</v>
      </c>
      <c r="P819" s="437">
        <v>29</v>
      </c>
      <c r="Q819" s="437">
        <v>29</v>
      </c>
      <c r="R819" s="436"/>
      <c r="S819" s="436"/>
      <c r="T819" s="436"/>
      <c r="U819" s="436"/>
      <c r="V819" s="436"/>
      <c r="W819" s="436"/>
      <c r="X819" s="436"/>
      <c r="Y819" s="436">
        <f>IF(NFI_Expiration=1,IF($A819&lt;VLOOKUP(H$5,NFI,5,0),1,0)*Table_NFI[[#This Row],[Hygiene Kit]],Table_NFI[Hygiene Kit])</f>
        <v>0</v>
      </c>
      <c r="Z819" s="436">
        <f>IF(NFI_Expiration=1,IF($A819&lt;VLOOKUP(I$5,NFI,5,0),1,0)*Table_NFI[[#This Row],[NFI Core Kit]],Table_NFI[NFI Core Kit])</f>
        <v>0</v>
      </c>
      <c r="AA819" s="436">
        <f>IF(NFI_Expiration=1,IF($A819&lt;VLOOKUP(J$5,NFI,5,0),1,0)*Table_NFI[[#This Row],[Sanitary Kit]],Table_NFI[Sanitary Kit])</f>
        <v>0</v>
      </c>
      <c r="AB819" s="436">
        <f>IF(NFI_Expiration=1,IF($A819&lt;VLOOKUP(K$5,NFI,5,0),1,0)*Table_NFI[[#This Row],[Mosquito net]],Table_NFI[Mosquito net])</f>
        <v>0</v>
      </c>
      <c r="AC819" s="436">
        <f>IF(NFI_Expiration=1,IF($A819&lt;VLOOKUP(L$5,NFI,5,0),1,0)*Table_NFI[[#This Row],[Tarpaulin]],Table_NFI[[#This Row],[Tarpaulin]])</f>
        <v>0</v>
      </c>
      <c r="AD819" s="436">
        <f>IF(NFI_Expiration=1,IF($A819&lt;VLOOKUP(M$5,NFI,5,0),1,0)*Table_NFI[[#This Row],[Blanket]],Table_NFI[[#This Row],[Blanket]])</f>
        <v>0</v>
      </c>
      <c r="AE819" s="436">
        <f>IF(NFI_Expiration=1,IF($A819&lt;VLOOKUP(N$5,NFI,5,0),1,0)*Table_NFI[[#This Row],[Kitchen Set]],Table_NFI[Kitchen Set])</f>
        <v>0</v>
      </c>
      <c r="AF819" s="436">
        <f>IF(NFI_Expiration=1,IF($A819&lt;VLOOKUP(O$5,NFI,5,0),1,0)*Table_NFI[[#This Row],[Clothes Kit]],Table_NFI[Clothes Kit])</f>
        <v>0</v>
      </c>
      <c r="AG819" s="436">
        <f>IF(NFI_Expiration=1,IF($A819&lt;VLOOKUP(P$5,NFI,5,0),1,0)*Table_NFI[[#This Row],[Plastic Bucket]],Table_NFI[Plastic Bucket])</f>
        <v>0</v>
      </c>
      <c r="AH819" s="436">
        <f>IF(NFI_Expiration=1,IF($A819&lt;VLOOKUP(Q$5,NFI,5,0),1,0)*Table_NFI[[#This Row],[Plastic Mat]],Table_NFI[Plastic Mat])*IF(Table_NFI[[#This Row],[Distribution Date]]&gt;"2014-04-01",1,2.5)</f>
        <v>0</v>
      </c>
      <c r="AI819" s="436">
        <f>IF(NFI_Expiration=1,IF($A819&lt;VLOOKUP(R$5,NFI,5,0),1,0)*Table_NFI[[#This Row],[Winter Clothes Adult]],Table_NFI[Winter Clothes Adult])</f>
        <v>0</v>
      </c>
      <c r="AJ819" s="436">
        <f>IF(NFI_Expiration=1,IF($A819&lt;VLOOKUP(S$5,NFI,5,0),1,0)*Table_NFI[[#This Row],[Winter Clothes Children]],Table_NFI[Winter Clothes Children])</f>
        <v>0</v>
      </c>
      <c r="AK819" s="436">
        <f>IF(NFI_Expiration=1,IF($A819&lt;VLOOKUP(T$5,NFI,5,0),1,0)*Table_NFI[[#This Row],[Winter Items Other]],Table_NFI[Winter Items Other])</f>
        <v>0</v>
      </c>
      <c r="AL819" s="436">
        <f>IF(NFI_Expiration=1,IF($A819&lt;VLOOKUP(M$5,NFI,5,0),1,0)*Table_NFI[[#This Row],[Winter Blanket]],Table_NFI[[#This Row],[Winter Blanket]])</f>
        <v>0</v>
      </c>
      <c r="AM819" s="436">
        <f>IF(Table_NFI[[#This Row],[Winter Clothes Adult]]+Table_NFI[[#This Row],[Winter Clothes Children]]+Table_NFI[[#This Row],[Winter Items Other]]+Table_NFI[[#This Row],[Winter Blanket]]&gt;0,1,0)</f>
        <v>0</v>
      </c>
      <c r="AN819" s="439">
        <f>IF(NFI_Expiration=1,IF($A819&lt;VLOOKUP(V$5,NFI,5,0),1,0)*Table_NFI[[#This Row],[Jerry Can]],Table_NFI[Jerry Can])</f>
        <v>0</v>
      </c>
      <c r="AO819" s="771" t="str">
        <f>IFERROR(VLOOKUP(Table_NFI[[#This Row],[Camp Name]],CL,2,0),"")</f>
        <v>MMR001CMP001</v>
      </c>
      <c r="AP819" s="772">
        <f ca="1">IF(Table_NFI[[#This Row],[Pcode]]="","",IF(OFFSET(CampList[Opening Date],MATCH(Table_NFI[[#This Row],[Pcode]],CampList[CP_Pcode],0)-1,0,1,1)&gt;=NFI_Monitor_Date,1,0))</f>
        <v>0</v>
      </c>
      <c r="AQ819" s="781" t="str">
        <f>IFERROR(VLOOKUP(Table_NFI[[#This Row],[Camp Name]],CL,3,0),"")</f>
        <v>Open</v>
      </c>
      <c r="AR819" s="439" t="str">
        <f ca="1">IF(Table_NFI[[#This Row],[Pcode]]="","",OFFSET(CampList[Priority],MATCH(Table_NFI[[#This Row],[Pcode]],CampList[CP_Pcode],0)-1,0,1,1))</f>
        <v>P4</v>
      </c>
      <c r="AS819" s="438">
        <f>IFERROR(Table_NFI[[#This Row],[Kitchen Set]]/VLOOKUP(Table_NFI[[#This Row],[Camp Name]],CL,4,0),"")</f>
        <v>0.41428571428571431</v>
      </c>
      <c r="AT819" s="769" t="s">
        <v>1099</v>
      </c>
      <c r="AU819" s="773"/>
    </row>
    <row r="820" spans="1:47" x14ac:dyDescent="0.25">
      <c r="A820" s="451">
        <f t="shared" si="12"/>
        <v>44</v>
      </c>
      <c r="B820" s="768">
        <v>41050</v>
      </c>
      <c r="C820" s="769" t="s">
        <v>454</v>
      </c>
      <c r="D820" s="770" t="s">
        <v>454</v>
      </c>
      <c r="E820" s="769" t="s">
        <v>380</v>
      </c>
      <c r="F820" s="435" t="s">
        <v>5</v>
      </c>
      <c r="G820" s="435" t="s">
        <v>6</v>
      </c>
      <c r="H820" s="436"/>
      <c r="I820" s="436"/>
      <c r="J820" s="436"/>
      <c r="K820" s="436">
        <v>0</v>
      </c>
      <c r="L820" s="437">
        <v>15</v>
      </c>
      <c r="M820" s="437">
        <v>0</v>
      </c>
      <c r="N820" s="437">
        <v>0</v>
      </c>
      <c r="O820" s="437">
        <v>0</v>
      </c>
      <c r="P820" s="437"/>
      <c r="Q820" s="437"/>
      <c r="R820" s="436"/>
      <c r="S820" s="436"/>
      <c r="T820" s="436"/>
      <c r="U820" s="436"/>
      <c r="V820" s="436"/>
      <c r="W820" s="436"/>
      <c r="X820" s="436"/>
      <c r="Y820" s="436">
        <f>IF(NFI_Expiration=1,IF($A820&lt;VLOOKUP(H$5,NFI,5,0),1,0)*Table_NFI[[#This Row],[Hygiene Kit]],Table_NFI[Hygiene Kit])</f>
        <v>0</v>
      </c>
      <c r="Z820" s="436">
        <f>IF(NFI_Expiration=1,IF($A820&lt;VLOOKUP(I$5,NFI,5,0),1,0)*Table_NFI[[#This Row],[NFI Core Kit]],Table_NFI[NFI Core Kit])</f>
        <v>0</v>
      </c>
      <c r="AA820" s="436">
        <f>IF(NFI_Expiration=1,IF($A820&lt;VLOOKUP(J$5,NFI,5,0),1,0)*Table_NFI[[#This Row],[Sanitary Kit]],Table_NFI[Sanitary Kit])</f>
        <v>0</v>
      </c>
      <c r="AB820" s="436">
        <f>IF(NFI_Expiration=1,IF($A820&lt;VLOOKUP(K$5,NFI,5,0),1,0)*Table_NFI[[#This Row],[Mosquito net]],Table_NFI[Mosquito net])</f>
        <v>0</v>
      </c>
      <c r="AC820" s="436">
        <f>IF(NFI_Expiration=1,IF($A820&lt;VLOOKUP(L$5,NFI,5,0),1,0)*Table_NFI[[#This Row],[Tarpaulin]],Table_NFI[[#This Row],[Tarpaulin]])</f>
        <v>0</v>
      </c>
      <c r="AD820" s="436">
        <f>IF(NFI_Expiration=1,IF($A820&lt;VLOOKUP(M$5,NFI,5,0),1,0)*Table_NFI[[#This Row],[Blanket]],Table_NFI[[#This Row],[Blanket]])</f>
        <v>0</v>
      </c>
      <c r="AE820" s="436">
        <f>IF(NFI_Expiration=1,IF($A820&lt;VLOOKUP(N$5,NFI,5,0),1,0)*Table_NFI[[#This Row],[Kitchen Set]],Table_NFI[Kitchen Set])</f>
        <v>0</v>
      </c>
      <c r="AF820" s="436">
        <f>IF(NFI_Expiration=1,IF($A820&lt;VLOOKUP(O$5,NFI,5,0),1,0)*Table_NFI[[#This Row],[Clothes Kit]],Table_NFI[Clothes Kit])</f>
        <v>0</v>
      </c>
      <c r="AG820" s="436">
        <f>IF(NFI_Expiration=1,IF($A820&lt;VLOOKUP(P$5,NFI,5,0),1,0)*Table_NFI[[#This Row],[Plastic Bucket]],Table_NFI[Plastic Bucket])</f>
        <v>0</v>
      </c>
      <c r="AH820" s="436">
        <f>IF(NFI_Expiration=1,IF($A820&lt;VLOOKUP(Q$5,NFI,5,0),1,0)*Table_NFI[[#This Row],[Plastic Mat]],Table_NFI[Plastic Mat])*IF(Table_NFI[[#This Row],[Distribution Date]]&gt;"2014-04-01",1,2.5)</f>
        <v>0</v>
      </c>
      <c r="AI820" s="436">
        <f>IF(NFI_Expiration=1,IF($A820&lt;VLOOKUP(R$5,NFI,5,0),1,0)*Table_NFI[[#This Row],[Winter Clothes Adult]],Table_NFI[Winter Clothes Adult])</f>
        <v>0</v>
      </c>
      <c r="AJ820" s="436">
        <f>IF(NFI_Expiration=1,IF($A820&lt;VLOOKUP(S$5,NFI,5,0),1,0)*Table_NFI[[#This Row],[Winter Clothes Children]],Table_NFI[Winter Clothes Children])</f>
        <v>0</v>
      </c>
      <c r="AK820" s="436">
        <f>IF(NFI_Expiration=1,IF($A820&lt;VLOOKUP(T$5,NFI,5,0),1,0)*Table_NFI[[#This Row],[Winter Items Other]],Table_NFI[Winter Items Other])</f>
        <v>0</v>
      </c>
      <c r="AL820" s="436">
        <f>IF(NFI_Expiration=1,IF($A820&lt;VLOOKUP(M$5,NFI,5,0),1,0)*Table_NFI[[#This Row],[Winter Blanket]],Table_NFI[[#This Row],[Winter Blanket]])</f>
        <v>0</v>
      </c>
      <c r="AM820" s="436">
        <f>IF(Table_NFI[[#This Row],[Winter Clothes Adult]]+Table_NFI[[#This Row],[Winter Clothes Children]]+Table_NFI[[#This Row],[Winter Items Other]]+Table_NFI[[#This Row],[Winter Blanket]]&gt;0,1,0)</f>
        <v>0</v>
      </c>
      <c r="AN820" s="439">
        <f>IF(NFI_Expiration=1,IF($A820&lt;VLOOKUP(V$5,NFI,5,0),1,0)*Table_NFI[[#This Row],[Jerry Can]],Table_NFI[Jerry Can])</f>
        <v>0</v>
      </c>
      <c r="AO820" s="771" t="str">
        <f>IFERROR(VLOOKUP(Table_NFI[[#This Row],[Camp Name]],CL,2,0),"")</f>
        <v>MMR001CMP050</v>
      </c>
      <c r="AP820" s="772">
        <f ca="1">IF(Table_NFI[[#This Row],[Pcode]]="","",IF(OFFSET(CampList[Opening Date],MATCH(Table_NFI[[#This Row],[Pcode]],CampList[CP_Pcode],0)-1,0,1,1)&gt;=NFI_Monitor_Date,1,0))</f>
        <v>0</v>
      </c>
      <c r="AQ820" s="781" t="str">
        <f>IFERROR(VLOOKUP(Table_NFI[[#This Row],[Camp Name]],CL,3,0),"")</f>
        <v>Open</v>
      </c>
      <c r="AR820" s="439" t="str">
        <f ca="1">IF(Table_NFI[[#This Row],[Pcode]]="","",OFFSET(CampList[Priority],MATCH(Table_NFI[[#This Row],[Pcode]],CampList[CP_Pcode],0)-1,0,1,1))</f>
        <v>P4</v>
      </c>
      <c r="AS820" s="438">
        <f>IFERROR(Table_NFI[[#This Row],[Kitchen Set]]/VLOOKUP(Table_NFI[[#This Row],[Camp Name]],CL,4,0),"")</f>
        <v>0</v>
      </c>
      <c r="AT820" s="769" t="s">
        <v>1099</v>
      </c>
      <c r="AU820" s="773"/>
    </row>
    <row r="821" spans="1:47" x14ac:dyDescent="0.25">
      <c r="A821" s="451">
        <f t="shared" si="12"/>
        <v>44.2</v>
      </c>
      <c r="B821" s="768">
        <v>41044</v>
      </c>
      <c r="C821" s="769" t="s">
        <v>454</v>
      </c>
      <c r="D821" s="770" t="s">
        <v>461</v>
      </c>
      <c r="E821" s="769" t="s">
        <v>380</v>
      </c>
      <c r="F821" s="435" t="s">
        <v>5</v>
      </c>
      <c r="G821" s="435" t="s">
        <v>6</v>
      </c>
      <c r="H821" s="436"/>
      <c r="I821" s="436"/>
      <c r="J821" s="436"/>
      <c r="K821" s="436">
        <v>90</v>
      </c>
      <c r="L821" s="437">
        <v>0</v>
      </c>
      <c r="M821" s="437">
        <v>0</v>
      </c>
      <c r="N821" s="437">
        <v>0</v>
      </c>
      <c r="O821" s="437">
        <v>0</v>
      </c>
      <c r="P821" s="437"/>
      <c r="Q821" s="437"/>
      <c r="R821" s="436"/>
      <c r="S821" s="436"/>
      <c r="T821" s="436"/>
      <c r="U821" s="436"/>
      <c r="V821" s="436"/>
      <c r="W821" s="436"/>
      <c r="X821" s="436"/>
      <c r="Y821" s="436">
        <f>IF(NFI_Expiration=1,IF($A821&lt;VLOOKUP(H$5,NFI,5,0),1,0)*Table_NFI[[#This Row],[Hygiene Kit]],Table_NFI[Hygiene Kit])</f>
        <v>0</v>
      </c>
      <c r="Z821" s="436">
        <f>IF(NFI_Expiration=1,IF($A821&lt;VLOOKUP(I$5,NFI,5,0),1,0)*Table_NFI[[#This Row],[NFI Core Kit]],Table_NFI[NFI Core Kit])</f>
        <v>0</v>
      </c>
      <c r="AA821" s="436">
        <f>IF(NFI_Expiration=1,IF($A821&lt;VLOOKUP(J$5,NFI,5,0),1,0)*Table_NFI[[#This Row],[Sanitary Kit]],Table_NFI[Sanitary Kit])</f>
        <v>0</v>
      </c>
      <c r="AB821" s="436">
        <f>IF(NFI_Expiration=1,IF($A821&lt;VLOOKUP(K$5,NFI,5,0),1,0)*Table_NFI[[#This Row],[Mosquito net]],Table_NFI[Mosquito net])</f>
        <v>0</v>
      </c>
      <c r="AC821" s="436">
        <f>IF(NFI_Expiration=1,IF($A821&lt;VLOOKUP(L$5,NFI,5,0),1,0)*Table_NFI[[#This Row],[Tarpaulin]],Table_NFI[[#This Row],[Tarpaulin]])</f>
        <v>0</v>
      </c>
      <c r="AD821" s="436">
        <f>IF(NFI_Expiration=1,IF($A821&lt;VLOOKUP(M$5,NFI,5,0),1,0)*Table_NFI[[#This Row],[Blanket]],Table_NFI[[#This Row],[Blanket]])</f>
        <v>0</v>
      </c>
      <c r="AE821" s="436">
        <f>IF(NFI_Expiration=1,IF($A821&lt;VLOOKUP(N$5,NFI,5,0),1,0)*Table_NFI[[#This Row],[Kitchen Set]],Table_NFI[Kitchen Set])</f>
        <v>0</v>
      </c>
      <c r="AF821" s="436">
        <f>IF(NFI_Expiration=1,IF($A821&lt;VLOOKUP(O$5,NFI,5,0),1,0)*Table_NFI[[#This Row],[Clothes Kit]],Table_NFI[Clothes Kit])</f>
        <v>0</v>
      </c>
      <c r="AG821" s="436">
        <f>IF(NFI_Expiration=1,IF($A821&lt;VLOOKUP(P$5,NFI,5,0),1,0)*Table_NFI[[#This Row],[Plastic Bucket]],Table_NFI[Plastic Bucket])</f>
        <v>0</v>
      </c>
      <c r="AH821" s="436">
        <f>IF(NFI_Expiration=1,IF($A821&lt;VLOOKUP(Q$5,NFI,5,0),1,0)*Table_NFI[[#This Row],[Plastic Mat]],Table_NFI[Plastic Mat])*IF(Table_NFI[[#This Row],[Distribution Date]]&gt;"2014-04-01",1,2.5)</f>
        <v>0</v>
      </c>
      <c r="AI821" s="436">
        <f>IF(NFI_Expiration=1,IF($A821&lt;VLOOKUP(R$5,NFI,5,0),1,0)*Table_NFI[[#This Row],[Winter Clothes Adult]],Table_NFI[Winter Clothes Adult])</f>
        <v>0</v>
      </c>
      <c r="AJ821" s="436">
        <f>IF(NFI_Expiration=1,IF($A821&lt;VLOOKUP(S$5,NFI,5,0),1,0)*Table_NFI[[#This Row],[Winter Clothes Children]],Table_NFI[Winter Clothes Children])</f>
        <v>0</v>
      </c>
      <c r="AK821" s="436">
        <f>IF(NFI_Expiration=1,IF($A821&lt;VLOOKUP(T$5,NFI,5,0),1,0)*Table_NFI[[#This Row],[Winter Items Other]],Table_NFI[Winter Items Other])</f>
        <v>0</v>
      </c>
      <c r="AL821" s="436">
        <f>IF(NFI_Expiration=1,IF($A821&lt;VLOOKUP(M$5,NFI,5,0),1,0)*Table_NFI[[#This Row],[Winter Blanket]],Table_NFI[[#This Row],[Winter Blanket]])</f>
        <v>0</v>
      </c>
      <c r="AM821" s="436">
        <f>IF(Table_NFI[[#This Row],[Winter Clothes Adult]]+Table_NFI[[#This Row],[Winter Clothes Children]]+Table_NFI[[#This Row],[Winter Items Other]]+Table_NFI[[#This Row],[Winter Blanket]]&gt;0,1,0)</f>
        <v>0</v>
      </c>
      <c r="AN821" s="439">
        <f>IF(NFI_Expiration=1,IF($A821&lt;VLOOKUP(V$5,NFI,5,0),1,0)*Table_NFI[[#This Row],[Jerry Can]],Table_NFI[Jerry Can])</f>
        <v>0</v>
      </c>
      <c r="AO821" s="771" t="str">
        <f>IFERROR(VLOOKUP(Table_NFI[[#This Row],[Camp Name]],CL,2,0),"")</f>
        <v>MMR001CMP050</v>
      </c>
      <c r="AP821" s="772">
        <f ca="1">IF(Table_NFI[[#This Row],[Pcode]]="","",IF(OFFSET(CampList[Opening Date],MATCH(Table_NFI[[#This Row],[Pcode]],CampList[CP_Pcode],0)-1,0,1,1)&gt;=NFI_Monitor_Date,1,0))</f>
        <v>0</v>
      </c>
      <c r="AQ821" s="781" t="str">
        <f>IFERROR(VLOOKUP(Table_NFI[[#This Row],[Camp Name]],CL,3,0),"")</f>
        <v>Open</v>
      </c>
      <c r="AR821" s="439" t="str">
        <f ca="1">IF(Table_NFI[[#This Row],[Pcode]]="","",OFFSET(CampList[Priority],MATCH(Table_NFI[[#This Row],[Pcode]],CampList[CP_Pcode],0)-1,0,1,1))</f>
        <v>P4</v>
      </c>
      <c r="AS821" s="438">
        <f>IFERROR(Table_NFI[[#This Row],[Kitchen Set]]/VLOOKUP(Table_NFI[[#This Row],[Camp Name]],CL,4,0),"")</f>
        <v>0</v>
      </c>
      <c r="AT821" s="769" t="s">
        <v>1099</v>
      </c>
      <c r="AU821" s="773"/>
    </row>
    <row r="822" spans="1:47" x14ac:dyDescent="0.25">
      <c r="A822" s="451">
        <f t="shared" si="12"/>
        <v>44.333333333333336</v>
      </c>
      <c r="B822" s="768">
        <v>41040</v>
      </c>
      <c r="C822" s="769" t="s">
        <v>454</v>
      </c>
      <c r="D822" s="769" t="s">
        <v>461</v>
      </c>
      <c r="E822" s="769" t="s">
        <v>380</v>
      </c>
      <c r="F822" s="435" t="s">
        <v>302</v>
      </c>
      <c r="G822" s="435" t="s">
        <v>306</v>
      </c>
      <c r="H822" s="436"/>
      <c r="I822" s="436"/>
      <c r="J822" s="436"/>
      <c r="K822" s="436">
        <v>38</v>
      </c>
      <c r="L822" s="437">
        <v>23</v>
      </c>
      <c r="M822" s="437">
        <v>38</v>
      </c>
      <c r="N822" s="437">
        <v>23</v>
      </c>
      <c r="O822" s="437">
        <v>23</v>
      </c>
      <c r="P822" s="439">
        <v>23</v>
      </c>
      <c r="Q822" s="439">
        <v>23</v>
      </c>
      <c r="R822" s="436"/>
      <c r="S822" s="436"/>
      <c r="T822" s="436"/>
      <c r="U822" s="436"/>
      <c r="V822" s="436"/>
      <c r="W822" s="436"/>
      <c r="X822" s="436"/>
      <c r="Y822" s="436">
        <f>IF(NFI_Expiration=1,IF($A822&lt;VLOOKUP(H$5,NFI,5,0),1,0)*Table_NFI[[#This Row],[Hygiene Kit]],Table_NFI[Hygiene Kit])</f>
        <v>0</v>
      </c>
      <c r="Z822" s="436">
        <f>IF(NFI_Expiration=1,IF($A822&lt;VLOOKUP(I$5,NFI,5,0),1,0)*Table_NFI[[#This Row],[NFI Core Kit]],Table_NFI[NFI Core Kit])</f>
        <v>0</v>
      </c>
      <c r="AA822" s="436">
        <f>IF(NFI_Expiration=1,IF($A822&lt;VLOOKUP(J$5,NFI,5,0),1,0)*Table_NFI[[#This Row],[Sanitary Kit]],Table_NFI[Sanitary Kit])</f>
        <v>0</v>
      </c>
      <c r="AB822" s="436">
        <f>IF(NFI_Expiration=1,IF($A822&lt;VLOOKUP(K$5,NFI,5,0),1,0)*Table_NFI[[#This Row],[Mosquito net]],Table_NFI[Mosquito net])</f>
        <v>0</v>
      </c>
      <c r="AC822" s="436">
        <f>IF(NFI_Expiration=1,IF($A822&lt;VLOOKUP(L$5,NFI,5,0),1,0)*Table_NFI[[#This Row],[Tarpaulin]],Table_NFI[[#This Row],[Tarpaulin]])</f>
        <v>0</v>
      </c>
      <c r="AD822" s="436">
        <f>IF(NFI_Expiration=1,IF($A822&lt;VLOOKUP(M$5,NFI,5,0),1,0)*Table_NFI[[#This Row],[Blanket]],Table_NFI[[#This Row],[Blanket]])</f>
        <v>0</v>
      </c>
      <c r="AE822" s="436">
        <f>IF(NFI_Expiration=1,IF($A822&lt;VLOOKUP(N$5,NFI,5,0),1,0)*Table_NFI[[#This Row],[Kitchen Set]],Table_NFI[Kitchen Set])</f>
        <v>0</v>
      </c>
      <c r="AF822" s="436">
        <f>IF(NFI_Expiration=1,IF($A822&lt;VLOOKUP(O$5,NFI,5,0),1,0)*Table_NFI[[#This Row],[Clothes Kit]],Table_NFI[Clothes Kit])</f>
        <v>0</v>
      </c>
      <c r="AG822" s="436">
        <f>IF(NFI_Expiration=1,IF($A822&lt;VLOOKUP(P$5,NFI,5,0),1,0)*Table_NFI[[#This Row],[Plastic Bucket]],Table_NFI[Plastic Bucket])</f>
        <v>0</v>
      </c>
      <c r="AH822" s="436">
        <f>IF(NFI_Expiration=1,IF($A822&lt;VLOOKUP(Q$5,NFI,5,0),1,0)*Table_NFI[[#This Row],[Plastic Mat]],Table_NFI[Plastic Mat])*IF(Table_NFI[[#This Row],[Distribution Date]]&gt;"2014-04-01",1,2.5)</f>
        <v>0</v>
      </c>
      <c r="AI822" s="436">
        <f>IF(NFI_Expiration=1,IF($A822&lt;VLOOKUP(R$5,NFI,5,0),1,0)*Table_NFI[[#This Row],[Winter Clothes Adult]],Table_NFI[Winter Clothes Adult])</f>
        <v>0</v>
      </c>
      <c r="AJ822" s="436">
        <f>IF(NFI_Expiration=1,IF($A822&lt;VLOOKUP(S$5,NFI,5,0),1,0)*Table_NFI[[#This Row],[Winter Clothes Children]],Table_NFI[Winter Clothes Children])</f>
        <v>0</v>
      </c>
      <c r="AK822" s="436">
        <f>IF(NFI_Expiration=1,IF($A822&lt;VLOOKUP(T$5,NFI,5,0),1,0)*Table_NFI[[#This Row],[Winter Items Other]],Table_NFI[Winter Items Other])</f>
        <v>0</v>
      </c>
      <c r="AL822" s="436">
        <f>IF(NFI_Expiration=1,IF($A822&lt;VLOOKUP(M$5,NFI,5,0),1,0)*Table_NFI[[#This Row],[Winter Blanket]],Table_NFI[[#This Row],[Winter Blanket]])</f>
        <v>0</v>
      </c>
      <c r="AM822" s="436">
        <f>IF(Table_NFI[[#This Row],[Winter Clothes Adult]]+Table_NFI[[#This Row],[Winter Clothes Children]]+Table_NFI[[#This Row],[Winter Items Other]]+Table_NFI[[#This Row],[Winter Blanket]]&gt;0,1,0)</f>
        <v>0</v>
      </c>
      <c r="AN822" s="439">
        <f>IF(NFI_Expiration=1,IF($A822&lt;VLOOKUP(V$5,NFI,5,0),1,0)*Table_NFI[[#This Row],[Jerry Can]],Table_NFI[Jerry Can])</f>
        <v>0</v>
      </c>
      <c r="AO822" s="771" t="str">
        <f>IFERROR(VLOOKUP(Table_NFI[[#This Row],[Camp Name]],CL,2,0),"")</f>
        <v>MMR001CMP067</v>
      </c>
      <c r="AP822" s="772">
        <f ca="1">IF(Table_NFI[[#This Row],[Pcode]]="","",IF(OFFSET(CampList[Opening Date],MATCH(Table_NFI[[#This Row],[Pcode]],CampList[CP_Pcode],0)-1,0,1,1)&gt;=NFI_Monitor_Date,1,0))</f>
        <v>0</v>
      </c>
      <c r="AQ822" s="781" t="str">
        <f>IFERROR(VLOOKUP(Table_NFI[[#This Row],[Camp Name]],CL,3,0),"")</f>
        <v>Open</v>
      </c>
      <c r="AR822" s="439" t="str">
        <f ca="1">IF(Table_NFI[[#This Row],[Pcode]]="","",OFFSET(CampList[Priority],MATCH(Table_NFI[[#This Row],[Pcode]],CampList[CP_Pcode],0)-1,0,1,1))</f>
        <v>P4</v>
      </c>
      <c r="AS822" s="438">
        <f>IFERROR(Table_NFI[[#This Row],[Kitchen Set]]/VLOOKUP(Table_NFI[[#This Row],[Camp Name]],CL,4,0),"")</f>
        <v>0.27710843373493976</v>
      </c>
      <c r="AT822" s="769" t="s">
        <v>1099</v>
      </c>
      <c r="AU822" s="773"/>
    </row>
    <row r="823" spans="1:47" x14ac:dyDescent="0.25">
      <c r="A823" s="451">
        <f t="shared" si="12"/>
        <v>44.333333333333336</v>
      </c>
      <c r="B823" s="768">
        <v>41040</v>
      </c>
      <c r="C823" s="769" t="s">
        <v>454</v>
      </c>
      <c r="D823" s="770" t="s">
        <v>454</v>
      </c>
      <c r="E823" s="769" t="s">
        <v>380</v>
      </c>
      <c r="F823" s="435" t="s">
        <v>310</v>
      </c>
      <c r="G823" s="435" t="s">
        <v>330</v>
      </c>
      <c r="H823" s="436"/>
      <c r="I823" s="436"/>
      <c r="J823" s="436"/>
      <c r="K823" s="436">
        <v>57</v>
      </c>
      <c r="L823" s="437">
        <v>29</v>
      </c>
      <c r="M823" s="437">
        <v>57</v>
      </c>
      <c r="N823" s="437">
        <v>29</v>
      </c>
      <c r="O823" s="437">
        <v>29</v>
      </c>
      <c r="P823" s="437">
        <v>29</v>
      </c>
      <c r="Q823" s="437">
        <v>29</v>
      </c>
      <c r="R823" s="436"/>
      <c r="S823" s="436"/>
      <c r="T823" s="436"/>
      <c r="U823" s="436"/>
      <c r="V823" s="436"/>
      <c r="W823" s="436"/>
      <c r="X823" s="436"/>
      <c r="Y823" s="436">
        <f>IF(NFI_Expiration=1,IF($A823&lt;VLOOKUP(H$5,NFI,5,0),1,0)*Table_NFI[[#This Row],[Hygiene Kit]],Table_NFI[Hygiene Kit])</f>
        <v>0</v>
      </c>
      <c r="Z823" s="436">
        <f>IF(NFI_Expiration=1,IF($A823&lt;VLOOKUP(I$5,NFI,5,0),1,0)*Table_NFI[[#This Row],[NFI Core Kit]],Table_NFI[NFI Core Kit])</f>
        <v>0</v>
      </c>
      <c r="AA823" s="436">
        <f>IF(NFI_Expiration=1,IF($A823&lt;VLOOKUP(J$5,NFI,5,0),1,0)*Table_NFI[[#This Row],[Sanitary Kit]],Table_NFI[Sanitary Kit])</f>
        <v>0</v>
      </c>
      <c r="AB823" s="436">
        <f>IF(NFI_Expiration=1,IF($A823&lt;VLOOKUP(K$5,NFI,5,0),1,0)*Table_NFI[[#This Row],[Mosquito net]],Table_NFI[Mosquito net])</f>
        <v>0</v>
      </c>
      <c r="AC823" s="436">
        <f>IF(NFI_Expiration=1,IF($A823&lt;VLOOKUP(L$5,NFI,5,0),1,0)*Table_NFI[[#This Row],[Tarpaulin]],Table_NFI[[#This Row],[Tarpaulin]])</f>
        <v>0</v>
      </c>
      <c r="AD823" s="436">
        <f>IF(NFI_Expiration=1,IF($A823&lt;VLOOKUP(M$5,NFI,5,0),1,0)*Table_NFI[[#This Row],[Blanket]],Table_NFI[[#This Row],[Blanket]])</f>
        <v>0</v>
      </c>
      <c r="AE823" s="436">
        <f>IF(NFI_Expiration=1,IF($A823&lt;VLOOKUP(N$5,NFI,5,0),1,0)*Table_NFI[[#This Row],[Kitchen Set]],Table_NFI[Kitchen Set])</f>
        <v>0</v>
      </c>
      <c r="AF823" s="436">
        <f>IF(NFI_Expiration=1,IF($A823&lt;VLOOKUP(O$5,NFI,5,0),1,0)*Table_NFI[[#This Row],[Clothes Kit]],Table_NFI[Clothes Kit])</f>
        <v>0</v>
      </c>
      <c r="AG823" s="436">
        <f>IF(NFI_Expiration=1,IF($A823&lt;VLOOKUP(P$5,NFI,5,0),1,0)*Table_NFI[[#This Row],[Plastic Bucket]],Table_NFI[Plastic Bucket])</f>
        <v>0</v>
      </c>
      <c r="AH823" s="436">
        <f>IF(NFI_Expiration=1,IF($A823&lt;VLOOKUP(Q$5,NFI,5,0),1,0)*Table_NFI[[#This Row],[Plastic Mat]],Table_NFI[Plastic Mat])*IF(Table_NFI[[#This Row],[Distribution Date]]&gt;"2014-04-01",1,2.5)</f>
        <v>0</v>
      </c>
      <c r="AI823" s="436">
        <f>IF(NFI_Expiration=1,IF($A823&lt;VLOOKUP(R$5,NFI,5,0),1,0)*Table_NFI[[#This Row],[Winter Clothes Adult]],Table_NFI[Winter Clothes Adult])</f>
        <v>0</v>
      </c>
      <c r="AJ823" s="436">
        <f>IF(NFI_Expiration=1,IF($A823&lt;VLOOKUP(S$5,NFI,5,0),1,0)*Table_NFI[[#This Row],[Winter Clothes Children]],Table_NFI[Winter Clothes Children])</f>
        <v>0</v>
      </c>
      <c r="AK823" s="436">
        <f>IF(NFI_Expiration=1,IF($A823&lt;VLOOKUP(T$5,NFI,5,0),1,0)*Table_NFI[[#This Row],[Winter Items Other]],Table_NFI[Winter Items Other])</f>
        <v>0</v>
      </c>
      <c r="AL823" s="436">
        <f>IF(NFI_Expiration=1,IF($A823&lt;VLOOKUP(M$5,NFI,5,0),1,0)*Table_NFI[[#This Row],[Winter Blanket]],Table_NFI[[#This Row],[Winter Blanket]])</f>
        <v>0</v>
      </c>
      <c r="AM823" s="436">
        <f>IF(Table_NFI[[#This Row],[Winter Clothes Adult]]+Table_NFI[[#This Row],[Winter Clothes Children]]+Table_NFI[[#This Row],[Winter Items Other]]+Table_NFI[[#This Row],[Winter Blanket]]&gt;0,1,0)</f>
        <v>0</v>
      </c>
      <c r="AN823" s="439">
        <f>IF(NFI_Expiration=1,IF($A823&lt;VLOOKUP(V$5,NFI,5,0),1,0)*Table_NFI[[#This Row],[Jerry Can]],Table_NFI[Jerry Can])</f>
        <v>0</v>
      </c>
      <c r="AO823" s="771" t="str">
        <f>IFERROR(VLOOKUP(Table_NFI[[#This Row],[Camp Name]],CL,2,0),"")</f>
        <v>MMR001CMP029</v>
      </c>
      <c r="AP823" s="772">
        <f ca="1">IF(Table_NFI[[#This Row],[Pcode]]="","",IF(OFFSET(CampList[Opening Date],MATCH(Table_NFI[[#This Row],[Pcode]],CampList[CP_Pcode],0)-1,0,1,1)&gt;=NFI_Monitor_Date,1,0))</f>
        <v>0</v>
      </c>
      <c r="AQ823" s="781" t="str">
        <f>IFERROR(VLOOKUP(Table_NFI[[#This Row],[Camp Name]],CL,3,0),"")</f>
        <v>Open</v>
      </c>
      <c r="AR823" s="439" t="str">
        <f ca="1">IF(Table_NFI[[#This Row],[Pcode]]="","",OFFSET(CampList[Priority],MATCH(Table_NFI[[#This Row],[Pcode]],CampList[CP_Pcode],0)-1,0,1,1))</f>
        <v>P4</v>
      </c>
      <c r="AS823" s="438">
        <f>IFERROR(Table_NFI[[#This Row],[Kitchen Set]]/VLOOKUP(Table_NFI[[#This Row],[Camp Name]],CL,4,0),"")</f>
        <v>0.1277533039647577</v>
      </c>
      <c r="AT823" s="769" t="s">
        <v>1099</v>
      </c>
      <c r="AU823" s="773"/>
    </row>
    <row r="824" spans="1:47" x14ac:dyDescent="0.25">
      <c r="A824" s="451">
        <f t="shared" si="12"/>
        <v>44.333333333333336</v>
      </c>
      <c r="B824" s="768">
        <v>41040</v>
      </c>
      <c r="C824" s="769" t="s">
        <v>454</v>
      </c>
      <c r="D824" s="770" t="s">
        <v>454</v>
      </c>
      <c r="E824" s="769" t="s">
        <v>380</v>
      </c>
      <c r="F824" s="435" t="s">
        <v>310</v>
      </c>
      <c r="G824" s="435" t="s">
        <v>324</v>
      </c>
      <c r="H824" s="436"/>
      <c r="I824" s="436"/>
      <c r="J824" s="436"/>
      <c r="K824" s="436">
        <v>50</v>
      </c>
      <c r="L824" s="437">
        <v>25</v>
      </c>
      <c r="M824" s="437">
        <v>50</v>
      </c>
      <c r="N824" s="437">
        <v>24</v>
      </c>
      <c r="O824" s="437">
        <v>13</v>
      </c>
      <c r="P824" s="437">
        <v>13</v>
      </c>
      <c r="Q824" s="437">
        <v>13</v>
      </c>
      <c r="R824" s="436"/>
      <c r="S824" s="436"/>
      <c r="T824" s="436"/>
      <c r="U824" s="436"/>
      <c r="V824" s="436"/>
      <c r="W824" s="436"/>
      <c r="X824" s="436"/>
      <c r="Y824" s="436">
        <f>IF(NFI_Expiration=1,IF($A824&lt;VLOOKUP(H$5,NFI,5,0),1,0)*Table_NFI[[#This Row],[Hygiene Kit]],Table_NFI[Hygiene Kit])</f>
        <v>0</v>
      </c>
      <c r="Z824" s="436">
        <f>IF(NFI_Expiration=1,IF($A824&lt;VLOOKUP(I$5,NFI,5,0),1,0)*Table_NFI[[#This Row],[NFI Core Kit]],Table_NFI[NFI Core Kit])</f>
        <v>0</v>
      </c>
      <c r="AA824" s="436">
        <f>IF(NFI_Expiration=1,IF($A824&lt;VLOOKUP(J$5,NFI,5,0),1,0)*Table_NFI[[#This Row],[Sanitary Kit]],Table_NFI[Sanitary Kit])</f>
        <v>0</v>
      </c>
      <c r="AB824" s="436">
        <f>IF(NFI_Expiration=1,IF($A824&lt;VLOOKUP(K$5,NFI,5,0),1,0)*Table_NFI[[#This Row],[Mosquito net]],Table_NFI[Mosquito net])</f>
        <v>0</v>
      </c>
      <c r="AC824" s="436">
        <f>IF(NFI_Expiration=1,IF($A824&lt;VLOOKUP(L$5,NFI,5,0),1,0)*Table_NFI[[#This Row],[Tarpaulin]],Table_NFI[[#This Row],[Tarpaulin]])</f>
        <v>0</v>
      </c>
      <c r="AD824" s="436">
        <f>IF(NFI_Expiration=1,IF($A824&lt;VLOOKUP(M$5,NFI,5,0),1,0)*Table_NFI[[#This Row],[Blanket]],Table_NFI[[#This Row],[Blanket]])</f>
        <v>0</v>
      </c>
      <c r="AE824" s="436">
        <f>IF(NFI_Expiration=1,IF($A824&lt;VLOOKUP(N$5,NFI,5,0),1,0)*Table_NFI[[#This Row],[Kitchen Set]],Table_NFI[Kitchen Set])</f>
        <v>0</v>
      </c>
      <c r="AF824" s="436">
        <f>IF(NFI_Expiration=1,IF($A824&lt;VLOOKUP(O$5,NFI,5,0),1,0)*Table_NFI[[#This Row],[Clothes Kit]],Table_NFI[Clothes Kit])</f>
        <v>0</v>
      </c>
      <c r="AG824" s="436">
        <f>IF(NFI_Expiration=1,IF($A824&lt;VLOOKUP(P$5,NFI,5,0),1,0)*Table_NFI[[#This Row],[Plastic Bucket]],Table_NFI[Plastic Bucket])</f>
        <v>0</v>
      </c>
      <c r="AH824" s="436">
        <f>IF(NFI_Expiration=1,IF($A824&lt;VLOOKUP(Q$5,NFI,5,0),1,0)*Table_NFI[[#This Row],[Plastic Mat]],Table_NFI[Plastic Mat])*IF(Table_NFI[[#This Row],[Distribution Date]]&gt;"2014-04-01",1,2.5)</f>
        <v>0</v>
      </c>
      <c r="AI824" s="436">
        <f>IF(NFI_Expiration=1,IF($A824&lt;VLOOKUP(R$5,NFI,5,0),1,0)*Table_NFI[[#This Row],[Winter Clothes Adult]],Table_NFI[Winter Clothes Adult])</f>
        <v>0</v>
      </c>
      <c r="AJ824" s="436">
        <f>IF(NFI_Expiration=1,IF($A824&lt;VLOOKUP(S$5,NFI,5,0),1,0)*Table_NFI[[#This Row],[Winter Clothes Children]],Table_NFI[Winter Clothes Children])</f>
        <v>0</v>
      </c>
      <c r="AK824" s="436">
        <f>IF(NFI_Expiration=1,IF($A824&lt;VLOOKUP(T$5,NFI,5,0),1,0)*Table_NFI[[#This Row],[Winter Items Other]],Table_NFI[Winter Items Other])</f>
        <v>0</v>
      </c>
      <c r="AL824" s="436">
        <f>IF(NFI_Expiration=1,IF($A824&lt;VLOOKUP(M$5,NFI,5,0),1,0)*Table_NFI[[#This Row],[Winter Blanket]],Table_NFI[[#This Row],[Winter Blanket]])</f>
        <v>0</v>
      </c>
      <c r="AM824" s="436">
        <f>IF(Table_NFI[[#This Row],[Winter Clothes Adult]]+Table_NFI[[#This Row],[Winter Clothes Children]]+Table_NFI[[#This Row],[Winter Items Other]]+Table_NFI[[#This Row],[Winter Blanket]]&gt;0,1,0)</f>
        <v>0</v>
      </c>
      <c r="AN824" s="439">
        <f>IF(NFI_Expiration=1,IF($A824&lt;VLOOKUP(V$5,NFI,5,0),1,0)*Table_NFI[[#This Row],[Jerry Can]],Table_NFI[Jerry Can])</f>
        <v>0</v>
      </c>
      <c r="AO824" s="771" t="str">
        <f>IFERROR(VLOOKUP(Table_NFI[[#This Row],[Camp Name]],CL,2,0),"")</f>
        <v>MMR001CMP040</v>
      </c>
      <c r="AP824" s="772">
        <f ca="1">IF(Table_NFI[[#This Row],[Pcode]]="","",IF(OFFSET(CampList[Opening Date],MATCH(Table_NFI[[#This Row],[Pcode]],CampList[CP_Pcode],0)-1,0,1,1)&gt;=NFI_Monitor_Date,1,0))</f>
        <v>0</v>
      </c>
      <c r="AQ824" s="781" t="str">
        <f>IFERROR(VLOOKUP(Table_NFI[[#This Row],[Camp Name]],CL,3,0),"")</f>
        <v>Open</v>
      </c>
      <c r="AR824" s="439" t="str">
        <f ca="1">IF(Table_NFI[[#This Row],[Pcode]]="","",OFFSET(CampList[Priority],MATCH(Table_NFI[[#This Row],[Pcode]],CampList[CP_Pcode],0)-1,0,1,1))</f>
        <v>P4</v>
      </c>
      <c r="AS824" s="438">
        <f>IFERROR(Table_NFI[[#This Row],[Kitchen Set]]/VLOOKUP(Table_NFI[[#This Row],[Camp Name]],CL,4,0),"")</f>
        <v>5.6074766355140186E-2</v>
      </c>
      <c r="AT824" s="769" t="s">
        <v>1099</v>
      </c>
      <c r="AU824" s="773"/>
    </row>
    <row r="825" spans="1:47" x14ac:dyDescent="0.25">
      <c r="A825" s="451">
        <f t="shared" si="12"/>
        <v>44.333333333333336</v>
      </c>
      <c r="B825" s="768">
        <v>41040</v>
      </c>
      <c r="C825" s="769" t="s">
        <v>454</v>
      </c>
      <c r="D825" s="769" t="s">
        <v>461</v>
      </c>
      <c r="E825" s="769" t="s">
        <v>380</v>
      </c>
      <c r="F825" s="769" t="s">
        <v>302</v>
      </c>
      <c r="G825" s="435" t="s">
        <v>308</v>
      </c>
      <c r="H825" s="436"/>
      <c r="I825" s="436"/>
      <c r="J825" s="436"/>
      <c r="K825" s="436">
        <v>37</v>
      </c>
      <c r="L825" s="437">
        <v>22</v>
      </c>
      <c r="M825" s="437">
        <v>37</v>
      </c>
      <c r="N825" s="437">
        <v>22</v>
      </c>
      <c r="O825" s="437">
        <v>22</v>
      </c>
      <c r="P825" s="439">
        <v>22</v>
      </c>
      <c r="Q825" s="439">
        <v>22</v>
      </c>
      <c r="R825" s="436"/>
      <c r="S825" s="436"/>
      <c r="T825" s="436"/>
      <c r="U825" s="436"/>
      <c r="V825" s="436"/>
      <c r="W825" s="436"/>
      <c r="X825" s="436"/>
      <c r="Y825" s="436">
        <f>IF(NFI_Expiration=1,IF($A825&lt;VLOOKUP(H$5,NFI,5,0),1,0)*Table_NFI[[#This Row],[Hygiene Kit]],Table_NFI[Hygiene Kit])</f>
        <v>0</v>
      </c>
      <c r="Z825" s="436">
        <f>IF(NFI_Expiration=1,IF($A825&lt;VLOOKUP(I$5,NFI,5,0),1,0)*Table_NFI[[#This Row],[NFI Core Kit]],Table_NFI[NFI Core Kit])</f>
        <v>0</v>
      </c>
      <c r="AA825" s="436">
        <f>IF(NFI_Expiration=1,IF($A825&lt;VLOOKUP(J$5,NFI,5,0),1,0)*Table_NFI[[#This Row],[Sanitary Kit]],Table_NFI[Sanitary Kit])</f>
        <v>0</v>
      </c>
      <c r="AB825" s="436">
        <f>IF(NFI_Expiration=1,IF($A825&lt;VLOOKUP(K$5,NFI,5,0),1,0)*Table_NFI[[#This Row],[Mosquito net]],Table_NFI[Mosquito net])</f>
        <v>0</v>
      </c>
      <c r="AC825" s="436">
        <f>IF(NFI_Expiration=1,IF($A825&lt;VLOOKUP(L$5,NFI,5,0),1,0)*Table_NFI[[#This Row],[Tarpaulin]],Table_NFI[[#This Row],[Tarpaulin]])</f>
        <v>0</v>
      </c>
      <c r="AD825" s="436">
        <f>IF(NFI_Expiration=1,IF($A825&lt;VLOOKUP(M$5,NFI,5,0),1,0)*Table_NFI[[#This Row],[Blanket]],Table_NFI[[#This Row],[Blanket]])</f>
        <v>0</v>
      </c>
      <c r="AE825" s="436">
        <f>IF(NFI_Expiration=1,IF($A825&lt;VLOOKUP(N$5,NFI,5,0),1,0)*Table_NFI[[#This Row],[Kitchen Set]],Table_NFI[Kitchen Set])</f>
        <v>0</v>
      </c>
      <c r="AF825" s="436">
        <f>IF(NFI_Expiration=1,IF($A825&lt;VLOOKUP(O$5,NFI,5,0),1,0)*Table_NFI[[#This Row],[Clothes Kit]],Table_NFI[Clothes Kit])</f>
        <v>0</v>
      </c>
      <c r="AG825" s="436">
        <f>IF(NFI_Expiration=1,IF($A825&lt;VLOOKUP(P$5,NFI,5,0),1,0)*Table_NFI[[#This Row],[Plastic Bucket]],Table_NFI[Plastic Bucket])</f>
        <v>0</v>
      </c>
      <c r="AH825" s="436">
        <f>IF(NFI_Expiration=1,IF($A825&lt;VLOOKUP(Q$5,NFI,5,0),1,0)*Table_NFI[[#This Row],[Plastic Mat]],Table_NFI[Plastic Mat])*IF(Table_NFI[[#This Row],[Distribution Date]]&gt;"2014-04-01",1,2.5)</f>
        <v>0</v>
      </c>
      <c r="AI825" s="436">
        <f>IF(NFI_Expiration=1,IF($A825&lt;VLOOKUP(R$5,NFI,5,0),1,0)*Table_NFI[[#This Row],[Winter Clothes Adult]],Table_NFI[Winter Clothes Adult])</f>
        <v>0</v>
      </c>
      <c r="AJ825" s="436">
        <f>IF(NFI_Expiration=1,IF($A825&lt;VLOOKUP(S$5,NFI,5,0),1,0)*Table_NFI[[#This Row],[Winter Clothes Children]],Table_NFI[Winter Clothes Children])</f>
        <v>0</v>
      </c>
      <c r="AK825" s="436">
        <f>IF(NFI_Expiration=1,IF($A825&lt;VLOOKUP(T$5,NFI,5,0),1,0)*Table_NFI[[#This Row],[Winter Items Other]],Table_NFI[Winter Items Other])</f>
        <v>0</v>
      </c>
      <c r="AL825" s="436">
        <f>IF(NFI_Expiration=1,IF($A825&lt;VLOOKUP(M$5,NFI,5,0),1,0)*Table_NFI[[#This Row],[Winter Blanket]],Table_NFI[[#This Row],[Winter Blanket]])</f>
        <v>0</v>
      </c>
      <c r="AM825" s="436">
        <f>IF(Table_NFI[[#This Row],[Winter Clothes Adult]]+Table_NFI[[#This Row],[Winter Clothes Children]]+Table_NFI[[#This Row],[Winter Items Other]]+Table_NFI[[#This Row],[Winter Blanket]]&gt;0,1,0)</f>
        <v>0</v>
      </c>
      <c r="AN825" s="439">
        <f>IF(NFI_Expiration=1,IF($A825&lt;VLOOKUP(V$5,NFI,5,0),1,0)*Table_NFI[[#This Row],[Jerry Can]],Table_NFI[Jerry Can])</f>
        <v>0</v>
      </c>
      <c r="AO825" s="771" t="str">
        <f>IFERROR(VLOOKUP(Table_NFI[[#This Row],[Camp Name]],CL,2,0),"")</f>
        <v>MMR001CMP068</v>
      </c>
      <c r="AP825" s="772">
        <f ca="1">IF(Table_NFI[[#This Row],[Pcode]]="","",IF(OFFSET(CampList[Opening Date],MATCH(Table_NFI[[#This Row],[Pcode]],CampList[CP_Pcode],0)-1,0,1,1)&gt;=NFI_Monitor_Date,1,0))</f>
        <v>0</v>
      </c>
      <c r="AQ825" s="781" t="str">
        <f>IFERROR(VLOOKUP(Table_NFI[[#This Row],[Camp Name]],CL,3,0),"")</f>
        <v>Open</v>
      </c>
      <c r="AR825" s="439" t="str">
        <f ca="1">IF(Table_NFI[[#This Row],[Pcode]]="","",OFFSET(CampList[Priority],MATCH(Table_NFI[[#This Row],[Pcode]],CampList[CP_Pcode],0)-1,0,1,1))</f>
        <v>P4</v>
      </c>
      <c r="AS825" s="438">
        <f>IFERROR(Table_NFI[[#This Row],[Kitchen Set]]/VLOOKUP(Table_NFI[[#This Row],[Camp Name]],CL,4,0),"")</f>
        <v>0.53658536585365857</v>
      </c>
      <c r="AT825" s="769" t="s">
        <v>1099</v>
      </c>
      <c r="AU825" s="773"/>
    </row>
    <row r="826" spans="1:47" x14ac:dyDescent="0.25">
      <c r="A826" s="451">
        <f t="shared" si="12"/>
        <v>44.4</v>
      </c>
      <c r="B826" s="768">
        <v>41038</v>
      </c>
      <c r="C826" s="769" t="s">
        <v>454</v>
      </c>
      <c r="D826" s="770" t="s">
        <v>454</v>
      </c>
      <c r="E826" s="769" t="s">
        <v>380</v>
      </c>
      <c r="F826" s="435" t="s">
        <v>310</v>
      </c>
      <c r="G826" s="435" t="s">
        <v>311</v>
      </c>
      <c r="H826" s="436"/>
      <c r="I826" s="436"/>
      <c r="J826" s="436"/>
      <c r="K826" s="436">
        <v>161</v>
      </c>
      <c r="L826" s="437">
        <v>83</v>
      </c>
      <c r="M826" s="437">
        <v>161</v>
      </c>
      <c r="N826" s="437">
        <v>83</v>
      </c>
      <c r="O826" s="437">
        <v>83</v>
      </c>
      <c r="P826" s="437">
        <v>83</v>
      </c>
      <c r="Q826" s="437">
        <v>83</v>
      </c>
      <c r="R826" s="436"/>
      <c r="S826" s="436"/>
      <c r="T826" s="436"/>
      <c r="U826" s="436"/>
      <c r="V826" s="436"/>
      <c r="W826" s="436"/>
      <c r="X826" s="436"/>
      <c r="Y826" s="436">
        <f>IF(NFI_Expiration=1,IF($A826&lt;VLOOKUP(H$5,NFI,5,0),1,0)*Table_NFI[[#This Row],[Hygiene Kit]],Table_NFI[Hygiene Kit])</f>
        <v>0</v>
      </c>
      <c r="Z826" s="436">
        <f>IF(NFI_Expiration=1,IF($A826&lt;VLOOKUP(I$5,NFI,5,0),1,0)*Table_NFI[[#This Row],[NFI Core Kit]],Table_NFI[NFI Core Kit])</f>
        <v>0</v>
      </c>
      <c r="AA826" s="436">
        <f>IF(NFI_Expiration=1,IF($A826&lt;VLOOKUP(J$5,NFI,5,0),1,0)*Table_NFI[[#This Row],[Sanitary Kit]],Table_NFI[Sanitary Kit])</f>
        <v>0</v>
      </c>
      <c r="AB826" s="436">
        <f>IF(NFI_Expiration=1,IF($A826&lt;VLOOKUP(K$5,NFI,5,0),1,0)*Table_NFI[[#This Row],[Mosquito net]],Table_NFI[Mosquito net])</f>
        <v>0</v>
      </c>
      <c r="AC826" s="436">
        <f>IF(NFI_Expiration=1,IF($A826&lt;VLOOKUP(L$5,NFI,5,0),1,0)*Table_NFI[[#This Row],[Tarpaulin]],Table_NFI[[#This Row],[Tarpaulin]])</f>
        <v>0</v>
      </c>
      <c r="AD826" s="436">
        <f>IF(NFI_Expiration=1,IF($A826&lt;VLOOKUP(M$5,NFI,5,0),1,0)*Table_NFI[[#This Row],[Blanket]],Table_NFI[[#This Row],[Blanket]])</f>
        <v>0</v>
      </c>
      <c r="AE826" s="436">
        <f>IF(NFI_Expiration=1,IF($A826&lt;VLOOKUP(N$5,NFI,5,0),1,0)*Table_NFI[[#This Row],[Kitchen Set]],Table_NFI[Kitchen Set])</f>
        <v>0</v>
      </c>
      <c r="AF826" s="436">
        <f>IF(NFI_Expiration=1,IF($A826&lt;VLOOKUP(O$5,NFI,5,0),1,0)*Table_NFI[[#This Row],[Clothes Kit]],Table_NFI[Clothes Kit])</f>
        <v>0</v>
      </c>
      <c r="AG826" s="436">
        <f>IF(NFI_Expiration=1,IF($A826&lt;VLOOKUP(P$5,NFI,5,0),1,0)*Table_NFI[[#This Row],[Plastic Bucket]],Table_NFI[Plastic Bucket])</f>
        <v>0</v>
      </c>
      <c r="AH826" s="436">
        <f>IF(NFI_Expiration=1,IF($A826&lt;VLOOKUP(Q$5,NFI,5,0),1,0)*Table_NFI[[#This Row],[Plastic Mat]],Table_NFI[Plastic Mat])*IF(Table_NFI[[#This Row],[Distribution Date]]&gt;"2014-04-01",1,2.5)</f>
        <v>0</v>
      </c>
      <c r="AI826" s="436">
        <f>IF(NFI_Expiration=1,IF($A826&lt;VLOOKUP(R$5,NFI,5,0),1,0)*Table_NFI[[#This Row],[Winter Clothes Adult]],Table_NFI[Winter Clothes Adult])</f>
        <v>0</v>
      </c>
      <c r="AJ826" s="436">
        <f>IF(NFI_Expiration=1,IF($A826&lt;VLOOKUP(S$5,NFI,5,0),1,0)*Table_NFI[[#This Row],[Winter Clothes Children]],Table_NFI[Winter Clothes Children])</f>
        <v>0</v>
      </c>
      <c r="AK826" s="436">
        <f>IF(NFI_Expiration=1,IF($A826&lt;VLOOKUP(T$5,NFI,5,0),1,0)*Table_NFI[[#This Row],[Winter Items Other]],Table_NFI[Winter Items Other])</f>
        <v>0</v>
      </c>
      <c r="AL826" s="436">
        <f>IF(NFI_Expiration=1,IF($A826&lt;VLOOKUP(M$5,NFI,5,0),1,0)*Table_NFI[[#This Row],[Winter Blanket]],Table_NFI[[#This Row],[Winter Blanket]])</f>
        <v>0</v>
      </c>
      <c r="AM826" s="436">
        <f>IF(Table_NFI[[#This Row],[Winter Clothes Adult]]+Table_NFI[[#This Row],[Winter Clothes Children]]+Table_NFI[[#This Row],[Winter Items Other]]+Table_NFI[[#This Row],[Winter Blanket]]&gt;0,1,0)</f>
        <v>0</v>
      </c>
      <c r="AN826" s="439">
        <f>IF(NFI_Expiration=1,IF($A826&lt;VLOOKUP(V$5,NFI,5,0),1,0)*Table_NFI[[#This Row],[Jerry Can]],Table_NFI[Jerry Can])</f>
        <v>0</v>
      </c>
      <c r="AO826" s="771" t="str">
        <f>IFERROR(VLOOKUP(Table_NFI[[#This Row],[Camp Name]],CL,2,0),"")</f>
        <v>MMR001CMP036</v>
      </c>
      <c r="AP826" s="772">
        <f ca="1">IF(Table_NFI[[#This Row],[Pcode]]="","",IF(OFFSET(CampList[Opening Date],MATCH(Table_NFI[[#This Row],[Pcode]],CampList[CP_Pcode],0)-1,0,1,1)&gt;=NFI_Monitor_Date,1,0))</f>
        <v>0</v>
      </c>
      <c r="AQ826" s="781" t="str">
        <f>IFERROR(VLOOKUP(Table_NFI[[#This Row],[Camp Name]],CL,3,0),"")</f>
        <v>Closed</v>
      </c>
      <c r="AR826" s="439" t="str">
        <f ca="1">IF(Table_NFI[[#This Row],[Pcode]]="","",OFFSET(CampList[Priority],MATCH(Table_NFI[[#This Row],[Pcode]],CampList[CP_Pcode],0)-1,0,1,1))</f>
        <v>P4</v>
      </c>
      <c r="AS826" s="438" t="str">
        <f>IFERROR(Table_NFI[[#This Row],[Kitchen Set]]/VLOOKUP(Table_NFI[[#This Row],[Camp Name]],CL,4,0),"")</f>
        <v/>
      </c>
      <c r="AT826" s="769" t="s">
        <v>1099</v>
      </c>
      <c r="AU826" s="773"/>
    </row>
    <row r="827" spans="1:47" x14ac:dyDescent="0.25">
      <c r="A827" s="451">
        <f t="shared" si="12"/>
        <v>44.6</v>
      </c>
      <c r="B827" s="768">
        <v>41032</v>
      </c>
      <c r="C827" s="769" t="s">
        <v>454</v>
      </c>
      <c r="D827" s="770" t="s">
        <v>454</v>
      </c>
      <c r="E827" s="769" t="s">
        <v>380</v>
      </c>
      <c r="F827" s="435" t="s">
        <v>310</v>
      </c>
      <c r="G827" s="435" t="s">
        <v>328</v>
      </c>
      <c r="H827" s="436"/>
      <c r="I827" s="436"/>
      <c r="J827" s="436"/>
      <c r="K827" s="436">
        <v>42</v>
      </c>
      <c r="L827" s="437">
        <v>0</v>
      </c>
      <c r="M827" s="437">
        <v>42</v>
      </c>
      <c r="N827" s="437">
        <v>0</v>
      </c>
      <c r="O827" s="437">
        <v>20</v>
      </c>
      <c r="P827" s="437">
        <v>20</v>
      </c>
      <c r="Q827" s="437">
        <v>20</v>
      </c>
      <c r="R827" s="436"/>
      <c r="S827" s="436"/>
      <c r="T827" s="436"/>
      <c r="U827" s="436"/>
      <c r="V827" s="436"/>
      <c r="W827" s="436"/>
      <c r="X827" s="436"/>
      <c r="Y827" s="436">
        <f>IF(NFI_Expiration=1,IF($A827&lt;VLOOKUP(H$5,NFI,5,0),1,0)*Table_NFI[[#This Row],[Hygiene Kit]],Table_NFI[Hygiene Kit])</f>
        <v>0</v>
      </c>
      <c r="Z827" s="436">
        <f>IF(NFI_Expiration=1,IF($A827&lt;VLOOKUP(I$5,NFI,5,0),1,0)*Table_NFI[[#This Row],[NFI Core Kit]],Table_NFI[NFI Core Kit])</f>
        <v>0</v>
      </c>
      <c r="AA827" s="436">
        <f>IF(NFI_Expiration=1,IF($A827&lt;VLOOKUP(J$5,NFI,5,0),1,0)*Table_NFI[[#This Row],[Sanitary Kit]],Table_NFI[Sanitary Kit])</f>
        <v>0</v>
      </c>
      <c r="AB827" s="436">
        <f>IF(NFI_Expiration=1,IF($A827&lt;VLOOKUP(K$5,NFI,5,0),1,0)*Table_NFI[[#This Row],[Mosquito net]],Table_NFI[Mosquito net])</f>
        <v>0</v>
      </c>
      <c r="AC827" s="436">
        <f>IF(NFI_Expiration=1,IF($A827&lt;VLOOKUP(L$5,NFI,5,0),1,0)*Table_NFI[[#This Row],[Tarpaulin]],Table_NFI[[#This Row],[Tarpaulin]])</f>
        <v>0</v>
      </c>
      <c r="AD827" s="436">
        <f>IF(NFI_Expiration=1,IF($A827&lt;VLOOKUP(M$5,NFI,5,0),1,0)*Table_NFI[[#This Row],[Blanket]],Table_NFI[[#This Row],[Blanket]])</f>
        <v>0</v>
      </c>
      <c r="AE827" s="436">
        <f>IF(NFI_Expiration=1,IF($A827&lt;VLOOKUP(N$5,NFI,5,0),1,0)*Table_NFI[[#This Row],[Kitchen Set]],Table_NFI[Kitchen Set])</f>
        <v>0</v>
      </c>
      <c r="AF827" s="436">
        <f>IF(NFI_Expiration=1,IF($A827&lt;VLOOKUP(O$5,NFI,5,0),1,0)*Table_NFI[[#This Row],[Clothes Kit]],Table_NFI[Clothes Kit])</f>
        <v>0</v>
      </c>
      <c r="AG827" s="436">
        <f>IF(NFI_Expiration=1,IF($A827&lt;VLOOKUP(P$5,NFI,5,0),1,0)*Table_NFI[[#This Row],[Plastic Bucket]],Table_NFI[Plastic Bucket])</f>
        <v>0</v>
      </c>
      <c r="AH827" s="436">
        <f>IF(NFI_Expiration=1,IF($A827&lt;VLOOKUP(Q$5,NFI,5,0),1,0)*Table_NFI[[#This Row],[Plastic Mat]],Table_NFI[Plastic Mat])*IF(Table_NFI[[#This Row],[Distribution Date]]&gt;"2014-04-01",1,2.5)</f>
        <v>0</v>
      </c>
      <c r="AI827" s="436">
        <f>IF(NFI_Expiration=1,IF($A827&lt;VLOOKUP(R$5,NFI,5,0),1,0)*Table_NFI[[#This Row],[Winter Clothes Adult]],Table_NFI[Winter Clothes Adult])</f>
        <v>0</v>
      </c>
      <c r="AJ827" s="436">
        <f>IF(NFI_Expiration=1,IF($A827&lt;VLOOKUP(S$5,NFI,5,0),1,0)*Table_NFI[[#This Row],[Winter Clothes Children]],Table_NFI[Winter Clothes Children])</f>
        <v>0</v>
      </c>
      <c r="AK827" s="436">
        <f>IF(NFI_Expiration=1,IF($A827&lt;VLOOKUP(T$5,NFI,5,0),1,0)*Table_NFI[[#This Row],[Winter Items Other]],Table_NFI[Winter Items Other])</f>
        <v>0</v>
      </c>
      <c r="AL827" s="436">
        <f>IF(NFI_Expiration=1,IF($A827&lt;VLOOKUP(M$5,NFI,5,0),1,0)*Table_NFI[[#This Row],[Winter Blanket]],Table_NFI[[#This Row],[Winter Blanket]])</f>
        <v>0</v>
      </c>
      <c r="AM827" s="436">
        <f>IF(Table_NFI[[#This Row],[Winter Clothes Adult]]+Table_NFI[[#This Row],[Winter Clothes Children]]+Table_NFI[[#This Row],[Winter Items Other]]+Table_NFI[[#This Row],[Winter Blanket]]&gt;0,1,0)</f>
        <v>0</v>
      </c>
      <c r="AN827" s="439">
        <f>IF(NFI_Expiration=1,IF($A827&lt;VLOOKUP(V$5,NFI,5,0),1,0)*Table_NFI[[#This Row],[Jerry Can]],Table_NFI[Jerry Can])</f>
        <v>0</v>
      </c>
      <c r="AO827" s="771" t="str">
        <f>IFERROR(VLOOKUP(Table_NFI[[#This Row],[Camp Name]],CL,2,0),"")</f>
        <v>MMR001CMP031</v>
      </c>
      <c r="AP827" s="772">
        <f ca="1">IF(Table_NFI[[#This Row],[Pcode]]="","",IF(OFFSET(CampList[Opening Date],MATCH(Table_NFI[[#This Row],[Pcode]],CampList[CP_Pcode],0)-1,0,1,1)&gt;=NFI_Monitor_Date,1,0))</f>
        <v>0</v>
      </c>
      <c r="AQ827" s="781" t="str">
        <f>IFERROR(VLOOKUP(Table_NFI[[#This Row],[Camp Name]],CL,3,0),"")</f>
        <v>Open</v>
      </c>
      <c r="AR827" s="439" t="str">
        <f ca="1">IF(Table_NFI[[#This Row],[Pcode]]="","",OFFSET(CampList[Priority],MATCH(Table_NFI[[#This Row],[Pcode]],CampList[CP_Pcode],0)-1,0,1,1))</f>
        <v>P4</v>
      </c>
      <c r="AS827" s="438">
        <f>IFERROR(Table_NFI[[#This Row],[Kitchen Set]]/VLOOKUP(Table_NFI[[#This Row],[Camp Name]],CL,4,0),"")</f>
        <v>0</v>
      </c>
      <c r="AT827" s="769" t="s">
        <v>1099</v>
      </c>
      <c r="AU827" s="773"/>
    </row>
    <row r="828" spans="1:47" x14ac:dyDescent="0.25">
      <c r="A828" s="451">
        <f t="shared" si="12"/>
        <v>44.6</v>
      </c>
      <c r="B828" s="768">
        <v>41032</v>
      </c>
      <c r="C828" s="769" t="s">
        <v>454</v>
      </c>
      <c r="D828" s="770" t="s">
        <v>454</v>
      </c>
      <c r="E828" s="769" t="s">
        <v>380</v>
      </c>
      <c r="F828" s="435" t="s">
        <v>237</v>
      </c>
      <c r="G828" s="435" t="s">
        <v>267</v>
      </c>
      <c r="H828" s="436"/>
      <c r="I828" s="436"/>
      <c r="J828" s="436"/>
      <c r="K828" s="436">
        <v>0</v>
      </c>
      <c r="L828" s="437">
        <v>0</v>
      </c>
      <c r="M828" s="437">
        <v>0</v>
      </c>
      <c r="N828" s="437">
        <v>0</v>
      </c>
      <c r="O828" s="437">
        <v>5</v>
      </c>
      <c r="P828" s="437">
        <v>5</v>
      </c>
      <c r="Q828" s="437">
        <v>5</v>
      </c>
      <c r="R828" s="436"/>
      <c r="S828" s="436"/>
      <c r="T828" s="436"/>
      <c r="U828" s="436"/>
      <c r="V828" s="436"/>
      <c r="W828" s="436"/>
      <c r="X828" s="436"/>
      <c r="Y828" s="436">
        <f>IF(NFI_Expiration=1,IF($A828&lt;VLOOKUP(H$5,NFI,5,0),1,0)*Table_NFI[[#This Row],[Hygiene Kit]],Table_NFI[Hygiene Kit])</f>
        <v>0</v>
      </c>
      <c r="Z828" s="436">
        <f>IF(NFI_Expiration=1,IF($A828&lt;VLOOKUP(I$5,NFI,5,0),1,0)*Table_NFI[[#This Row],[NFI Core Kit]],Table_NFI[NFI Core Kit])</f>
        <v>0</v>
      </c>
      <c r="AA828" s="436">
        <f>IF(NFI_Expiration=1,IF($A828&lt;VLOOKUP(J$5,NFI,5,0),1,0)*Table_NFI[[#This Row],[Sanitary Kit]],Table_NFI[Sanitary Kit])</f>
        <v>0</v>
      </c>
      <c r="AB828" s="436">
        <f>IF(NFI_Expiration=1,IF($A828&lt;VLOOKUP(K$5,NFI,5,0),1,0)*Table_NFI[[#This Row],[Mosquito net]],Table_NFI[Mosquito net])</f>
        <v>0</v>
      </c>
      <c r="AC828" s="436">
        <f>IF(NFI_Expiration=1,IF($A828&lt;VLOOKUP(L$5,NFI,5,0),1,0)*Table_NFI[[#This Row],[Tarpaulin]],Table_NFI[[#This Row],[Tarpaulin]])</f>
        <v>0</v>
      </c>
      <c r="AD828" s="436">
        <f>IF(NFI_Expiration=1,IF($A828&lt;VLOOKUP(M$5,NFI,5,0),1,0)*Table_NFI[[#This Row],[Blanket]],Table_NFI[[#This Row],[Blanket]])</f>
        <v>0</v>
      </c>
      <c r="AE828" s="436">
        <f>IF(NFI_Expiration=1,IF($A828&lt;VLOOKUP(N$5,NFI,5,0),1,0)*Table_NFI[[#This Row],[Kitchen Set]],Table_NFI[Kitchen Set])</f>
        <v>0</v>
      </c>
      <c r="AF828" s="436">
        <f>IF(NFI_Expiration=1,IF($A828&lt;VLOOKUP(O$5,NFI,5,0),1,0)*Table_NFI[[#This Row],[Clothes Kit]],Table_NFI[Clothes Kit])</f>
        <v>0</v>
      </c>
      <c r="AG828" s="436">
        <f>IF(NFI_Expiration=1,IF($A828&lt;VLOOKUP(P$5,NFI,5,0),1,0)*Table_NFI[[#This Row],[Plastic Bucket]],Table_NFI[Plastic Bucket])</f>
        <v>0</v>
      </c>
      <c r="AH828" s="436">
        <f>IF(NFI_Expiration=1,IF($A828&lt;VLOOKUP(Q$5,NFI,5,0),1,0)*Table_NFI[[#This Row],[Plastic Mat]],Table_NFI[Plastic Mat])*IF(Table_NFI[[#This Row],[Distribution Date]]&gt;"2014-04-01",1,2.5)</f>
        <v>0</v>
      </c>
      <c r="AI828" s="436">
        <f>IF(NFI_Expiration=1,IF($A828&lt;VLOOKUP(R$5,NFI,5,0),1,0)*Table_NFI[[#This Row],[Winter Clothes Adult]],Table_NFI[Winter Clothes Adult])</f>
        <v>0</v>
      </c>
      <c r="AJ828" s="436">
        <f>IF(NFI_Expiration=1,IF($A828&lt;VLOOKUP(S$5,NFI,5,0),1,0)*Table_NFI[[#This Row],[Winter Clothes Children]],Table_NFI[Winter Clothes Children])</f>
        <v>0</v>
      </c>
      <c r="AK828" s="436">
        <f>IF(NFI_Expiration=1,IF($A828&lt;VLOOKUP(T$5,NFI,5,0),1,0)*Table_NFI[[#This Row],[Winter Items Other]],Table_NFI[Winter Items Other])</f>
        <v>0</v>
      </c>
      <c r="AL828" s="436">
        <f>IF(NFI_Expiration=1,IF($A828&lt;VLOOKUP(M$5,NFI,5,0),1,0)*Table_NFI[[#This Row],[Winter Blanket]],Table_NFI[[#This Row],[Winter Blanket]])</f>
        <v>0</v>
      </c>
      <c r="AM828" s="436">
        <f>IF(Table_NFI[[#This Row],[Winter Clothes Adult]]+Table_NFI[[#This Row],[Winter Clothes Children]]+Table_NFI[[#This Row],[Winter Items Other]]+Table_NFI[[#This Row],[Winter Blanket]]&gt;0,1,0)</f>
        <v>0</v>
      </c>
      <c r="AN828" s="439">
        <f>IF(NFI_Expiration=1,IF($A828&lt;VLOOKUP(V$5,NFI,5,0),1,0)*Table_NFI[[#This Row],[Jerry Can]],Table_NFI[Jerry Can])</f>
        <v>0</v>
      </c>
      <c r="AO828" s="771" t="str">
        <f>IFERROR(VLOOKUP(Table_NFI[[#This Row],[Camp Name]],CL,2,0),"")</f>
        <v>MMR001CMP017</v>
      </c>
      <c r="AP828" s="772">
        <f ca="1">IF(Table_NFI[[#This Row],[Pcode]]="","",IF(OFFSET(CampList[Opening Date],MATCH(Table_NFI[[#This Row],[Pcode]],CampList[CP_Pcode],0)-1,0,1,1)&gt;=NFI_Monitor_Date,1,0))</f>
        <v>0</v>
      </c>
      <c r="AQ828" s="781" t="str">
        <f>IFERROR(VLOOKUP(Table_NFI[[#This Row],[Camp Name]],CL,3,0),"")</f>
        <v>Closed</v>
      </c>
      <c r="AR828" s="439" t="str">
        <f ca="1">IF(Table_NFI[[#This Row],[Pcode]]="","",OFFSET(CampList[Priority],MATCH(Table_NFI[[#This Row],[Pcode]],CampList[CP_Pcode],0)-1,0,1,1))</f>
        <v>P4</v>
      </c>
      <c r="AS828" s="438" t="str">
        <f>IFERROR(Table_NFI[[#This Row],[Kitchen Set]]/VLOOKUP(Table_NFI[[#This Row],[Camp Name]],CL,4,0),"")</f>
        <v/>
      </c>
      <c r="AT828" s="769" t="s">
        <v>1099</v>
      </c>
      <c r="AU828" s="773"/>
    </row>
    <row r="829" spans="1:47" x14ac:dyDescent="0.25">
      <c r="A829" s="451">
        <f t="shared" si="12"/>
        <v>44.6</v>
      </c>
      <c r="B829" s="768">
        <v>41032</v>
      </c>
      <c r="C829" s="769" t="s">
        <v>454</v>
      </c>
      <c r="D829" s="769" t="s">
        <v>454</v>
      </c>
      <c r="E829" s="769" t="s">
        <v>380</v>
      </c>
      <c r="F829" s="435" t="s">
        <v>310</v>
      </c>
      <c r="G829" s="435" t="s">
        <v>338</v>
      </c>
      <c r="H829" s="436"/>
      <c r="I829" s="436"/>
      <c r="J829" s="436"/>
      <c r="K829" s="436">
        <v>12</v>
      </c>
      <c r="L829" s="437">
        <v>0</v>
      </c>
      <c r="M829" s="437">
        <v>12</v>
      </c>
      <c r="N829" s="437">
        <v>6</v>
      </c>
      <c r="O829" s="437">
        <v>6</v>
      </c>
      <c r="P829" s="439">
        <v>6</v>
      </c>
      <c r="Q829" s="439">
        <v>6</v>
      </c>
      <c r="R829" s="436"/>
      <c r="S829" s="436"/>
      <c r="T829" s="436"/>
      <c r="U829" s="436"/>
      <c r="V829" s="436"/>
      <c r="W829" s="436"/>
      <c r="X829" s="436"/>
      <c r="Y829" s="436">
        <f>IF(NFI_Expiration=1,IF($A829&lt;VLOOKUP(H$5,NFI,5,0),1,0)*Table_NFI[[#This Row],[Hygiene Kit]],Table_NFI[Hygiene Kit])</f>
        <v>0</v>
      </c>
      <c r="Z829" s="436">
        <f>IF(NFI_Expiration=1,IF($A829&lt;VLOOKUP(I$5,NFI,5,0),1,0)*Table_NFI[[#This Row],[NFI Core Kit]],Table_NFI[NFI Core Kit])</f>
        <v>0</v>
      </c>
      <c r="AA829" s="436">
        <f>IF(NFI_Expiration=1,IF($A829&lt;VLOOKUP(J$5,NFI,5,0),1,0)*Table_NFI[[#This Row],[Sanitary Kit]],Table_NFI[Sanitary Kit])</f>
        <v>0</v>
      </c>
      <c r="AB829" s="436">
        <f>IF(NFI_Expiration=1,IF($A829&lt;VLOOKUP(K$5,NFI,5,0),1,0)*Table_NFI[[#This Row],[Mosquito net]],Table_NFI[Mosquito net])</f>
        <v>0</v>
      </c>
      <c r="AC829" s="436">
        <f>IF(NFI_Expiration=1,IF($A829&lt;VLOOKUP(L$5,NFI,5,0),1,0)*Table_NFI[[#This Row],[Tarpaulin]],Table_NFI[[#This Row],[Tarpaulin]])</f>
        <v>0</v>
      </c>
      <c r="AD829" s="436">
        <f>IF(NFI_Expiration=1,IF($A829&lt;VLOOKUP(M$5,NFI,5,0),1,0)*Table_NFI[[#This Row],[Blanket]],Table_NFI[[#This Row],[Blanket]])</f>
        <v>0</v>
      </c>
      <c r="AE829" s="436">
        <f>IF(NFI_Expiration=1,IF($A829&lt;VLOOKUP(N$5,NFI,5,0),1,0)*Table_NFI[[#This Row],[Kitchen Set]],Table_NFI[Kitchen Set])</f>
        <v>0</v>
      </c>
      <c r="AF829" s="436">
        <f>IF(NFI_Expiration=1,IF($A829&lt;VLOOKUP(O$5,NFI,5,0),1,0)*Table_NFI[[#This Row],[Clothes Kit]],Table_NFI[Clothes Kit])</f>
        <v>0</v>
      </c>
      <c r="AG829" s="436">
        <f>IF(NFI_Expiration=1,IF($A829&lt;VLOOKUP(P$5,NFI,5,0),1,0)*Table_NFI[[#This Row],[Plastic Bucket]],Table_NFI[Plastic Bucket])</f>
        <v>0</v>
      </c>
      <c r="AH829" s="436">
        <f>IF(NFI_Expiration=1,IF($A829&lt;VLOOKUP(Q$5,NFI,5,0),1,0)*Table_NFI[[#This Row],[Plastic Mat]],Table_NFI[Plastic Mat])*IF(Table_NFI[[#This Row],[Distribution Date]]&gt;"2014-04-01",1,2.5)</f>
        <v>0</v>
      </c>
      <c r="AI829" s="436">
        <f>IF(NFI_Expiration=1,IF($A829&lt;VLOOKUP(R$5,NFI,5,0),1,0)*Table_NFI[[#This Row],[Winter Clothes Adult]],Table_NFI[Winter Clothes Adult])</f>
        <v>0</v>
      </c>
      <c r="AJ829" s="436">
        <f>IF(NFI_Expiration=1,IF($A829&lt;VLOOKUP(S$5,NFI,5,0),1,0)*Table_NFI[[#This Row],[Winter Clothes Children]],Table_NFI[Winter Clothes Children])</f>
        <v>0</v>
      </c>
      <c r="AK829" s="436">
        <f>IF(NFI_Expiration=1,IF($A829&lt;VLOOKUP(T$5,NFI,5,0),1,0)*Table_NFI[[#This Row],[Winter Items Other]],Table_NFI[Winter Items Other])</f>
        <v>0</v>
      </c>
      <c r="AL829" s="436">
        <f>IF(NFI_Expiration=1,IF($A829&lt;VLOOKUP(M$5,NFI,5,0),1,0)*Table_NFI[[#This Row],[Winter Blanket]],Table_NFI[[#This Row],[Winter Blanket]])</f>
        <v>0</v>
      </c>
      <c r="AM829" s="436">
        <f>IF(Table_NFI[[#This Row],[Winter Clothes Adult]]+Table_NFI[[#This Row],[Winter Clothes Children]]+Table_NFI[[#This Row],[Winter Items Other]]+Table_NFI[[#This Row],[Winter Blanket]]&gt;0,1,0)</f>
        <v>0</v>
      </c>
      <c r="AN829" s="439">
        <f>IF(NFI_Expiration=1,IF($A829&lt;VLOOKUP(V$5,NFI,5,0),1,0)*Table_NFI[[#This Row],[Jerry Can]],Table_NFI[Jerry Can])</f>
        <v>0</v>
      </c>
      <c r="AO829" s="771" t="str">
        <f>IFERROR(VLOOKUP(Table_NFI[[#This Row],[Camp Name]],CL,2,0),"")</f>
        <v>MMR001CMP030</v>
      </c>
      <c r="AP829" s="772">
        <f ca="1">IF(Table_NFI[[#This Row],[Pcode]]="","",IF(OFFSET(CampList[Opening Date],MATCH(Table_NFI[[#This Row],[Pcode]],CampList[CP_Pcode],0)-1,0,1,1)&gt;=NFI_Monitor_Date,1,0))</f>
        <v>0</v>
      </c>
      <c r="AQ829" s="781" t="str">
        <f>IFERROR(VLOOKUP(Table_NFI[[#This Row],[Camp Name]],CL,3,0),"")</f>
        <v>Open</v>
      </c>
      <c r="AR829" s="439" t="str">
        <f ca="1">IF(Table_NFI[[#This Row],[Pcode]]="","",OFFSET(CampList[Priority],MATCH(Table_NFI[[#This Row],[Pcode]],CampList[CP_Pcode],0)-1,0,1,1))</f>
        <v>P4</v>
      </c>
      <c r="AS829" s="438">
        <f>IFERROR(Table_NFI[[#This Row],[Kitchen Set]]/VLOOKUP(Table_NFI[[#This Row],[Camp Name]],CL,4,0),"")</f>
        <v>0.19354838709677419</v>
      </c>
      <c r="AT829" s="769" t="s">
        <v>1099</v>
      </c>
      <c r="AU829" s="773"/>
    </row>
    <row r="830" spans="1:47" x14ac:dyDescent="0.25">
      <c r="A830" s="451">
        <f t="shared" si="12"/>
        <v>44.6</v>
      </c>
      <c r="B830" s="768">
        <v>41032</v>
      </c>
      <c r="C830" s="769" t="s">
        <v>454</v>
      </c>
      <c r="D830" s="769" t="s">
        <v>454</v>
      </c>
      <c r="E830" s="769" t="s">
        <v>380</v>
      </c>
      <c r="F830" s="435" t="s">
        <v>310</v>
      </c>
      <c r="G830" s="435" t="s">
        <v>351</v>
      </c>
      <c r="H830" s="436"/>
      <c r="I830" s="436"/>
      <c r="J830" s="436"/>
      <c r="K830" s="436">
        <v>34</v>
      </c>
      <c r="L830" s="437">
        <v>0</v>
      </c>
      <c r="M830" s="437">
        <v>34</v>
      </c>
      <c r="N830" s="437">
        <v>0</v>
      </c>
      <c r="O830" s="437">
        <v>18</v>
      </c>
      <c r="P830" s="439">
        <v>18</v>
      </c>
      <c r="Q830" s="439">
        <v>18</v>
      </c>
      <c r="R830" s="436"/>
      <c r="S830" s="436"/>
      <c r="T830" s="436"/>
      <c r="U830" s="436"/>
      <c r="V830" s="436"/>
      <c r="W830" s="436"/>
      <c r="X830" s="436"/>
      <c r="Y830" s="436">
        <f>IF(NFI_Expiration=1,IF($A830&lt;VLOOKUP(H$5,NFI,5,0),1,0)*Table_NFI[[#This Row],[Hygiene Kit]],Table_NFI[Hygiene Kit])</f>
        <v>0</v>
      </c>
      <c r="Z830" s="436">
        <f>IF(NFI_Expiration=1,IF($A830&lt;VLOOKUP(I$5,NFI,5,0),1,0)*Table_NFI[[#This Row],[NFI Core Kit]],Table_NFI[NFI Core Kit])</f>
        <v>0</v>
      </c>
      <c r="AA830" s="436">
        <f>IF(NFI_Expiration=1,IF($A830&lt;VLOOKUP(J$5,NFI,5,0),1,0)*Table_NFI[[#This Row],[Sanitary Kit]],Table_NFI[Sanitary Kit])</f>
        <v>0</v>
      </c>
      <c r="AB830" s="436">
        <f>IF(NFI_Expiration=1,IF($A830&lt;VLOOKUP(K$5,NFI,5,0),1,0)*Table_NFI[[#This Row],[Mosquito net]],Table_NFI[Mosquito net])</f>
        <v>0</v>
      </c>
      <c r="AC830" s="436">
        <f>IF(NFI_Expiration=1,IF($A830&lt;VLOOKUP(L$5,NFI,5,0),1,0)*Table_NFI[[#This Row],[Tarpaulin]],Table_NFI[[#This Row],[Tarpaulin]])</f>
        <v>0</v>
      </c>
      <c r="AD830" s="436">
        <f>IF(NFI_Expiration=1,IF($A830&lt;VLOOKUP(M$5,NFI,5,0),1,0)*Table_NFI[[#This Row],[Blanket]],Table_NFI[[#This Row],[Blanket]])</f>
        <v>0</v>
      </c>
      <c r="AE830" s="436">
        <f>IF(NFI_Expiration=1,IF($A830&lt;VLOOKUP(N$5,NFI,5,0),1,0)*Table_NFI[[#This Row],[Kitchen Set]],Table_NFI[Kitchen Set])</f>
        <v>0</v>
      </c>
      <c r="AF830" s="436">
        <f>IF(NFI_Expiration=1,IF($A830&lt;VLOOKUP(O$5,NFI,5,0),1,0)*Table_NFI[[#This Row],[Clothes Kit]],Table_NFI[Clothes Kit])</f>
        <v>0</v>
      </c>
      <c r="AG830" s="436">
        <f>IF(NFI_Expiration=1,IF($A830&lt;VLOOKUP(P$5,NFI,5,0),1,0)*Table_NFI[[#This Row],[Plastic Bucket]],Table_NFI[Plastic Bucket])</f>
        <v>0</v>
      </c>
      <c r="AH830" s="436">
        <f>IF(NFI_Expiration=1,IF($A830&lt;VLOOKUP(Q$5,NFI,5,0),1,0)*Table_NFI[[#This Row],[Plastic Mat]],Table_NFI[Plastic Mat])*IF(Table_NFI[[#This Row],[Distribution Date]]&gt;"2014-04-01",1,2.5)</f>
        <v>0</v>
      </c>
      <c r="AI830" s="436">
        <f>IF(NFI_Expiration=1,IF($A830&lt;VLOOKUP(R$5,NFI,5,0),1,0)*Table_NFI[[#This Row],[Winter Clothes Adult]],Table_NFI[Winter Clothes Adult])</f>
        <v>0</v>
      </c>
      <c r="AJ830" s="436">
        <f>IF(NFI_Expiration=1,IF($A830&lt;VLOOKUP(S$5,NFI,5,0),1,0)*Table_NFI[[#This Row],[Winter Clothes Children]],Table_NFI[Winter Clothes Children])</f>
        <v>0</v>
      </c>
      <c r="AK830" s="436">
        <f>IF(NFI_Expiration=1,IF($A830&lt;VLOOKUP(T$5,NFI,5,0),1,0)*Table_NFI[[#This Row],[Winter Items Other]],Table_NFI[Winter Items Other])</f>
        <v>0</v>
      </c>
      <c r="AL830" s="436">
        <f>IF(NFI_Expiration=1,IF($A830&lt;VLOOKUP(M$5,NFI,5,0),1,0)*Table_NFI[[#This Row],[Winter Blanket]],Table_NFI[[#This Row],[Winter Blanket]])</f>
        <v>0</v>
      </c>
      <c r="AM830" s="436">
        <f>IF(Table_NFI[[#This Row],[Winter Clothes Adult]]+Table_NFI[[#This Row],[Winter Clothes Children]]+Table_NFI[[#This Row],[Winter Items Other]]+Table_NFI[[#This Row],[Winter Blanket]]&gt;0,1,0)</f>
        <v>0</v>
      </c>
      <c r="AN830" s="439">
        <f>IF(NFI_Expiration=1,IF($A830&lt;VLOOKUP(V$5,NFI,5,0),1,0)*Table_NFI[[#This Row],[Jerry Can]],Table_NFI[Jerry Can])</f>
        <v>0</v>
      </c>
      <c r="AO830" s="771" t="str">
        <f>IFERROR(VLOOKUP(Table_NFI[[#This Row],[Camp Name]],CL,2,0),"")</f>
        <v>MMR001CMP026</v>
      </c>
      <c r="AP830" s="772">
        <f ca="1">IF(Table_NFI[[#This Row],[Pcode]]="","",IF(OFFSET(CampList[Opening Date],MATCH(Table_NFI[[#This Row],[Pcode]],CampList[CP_Pcode],0)-1,0,1,1)&gt;=NFI_Monitor_Date,1,0))</f>
        <v>0</v>
      </c>
      <c r="AQ830" s="781" t="str">
        <f>IFERROR(VLOOKUP(Table_NFI[[#This Row],[Camp Name]],CL,3,0),"")</f>
        <v>Open</v>
      </c>
      <c r="AR830" s="439" t="str">
        <f ca="1">IF(Table_NFI[[#This Row],[Pcode]]="","",OFFSET(CampList[Priority],MATCH(Table_NFI[[#This Row],[Pcode]],CampList[CP_Pcode],0)-1,0,1,1))</f>
        <v>P4</v>
      </c>
      <c r="AS830" s="438">
        <f>IFERROR(Table_NFI[[#This Row],[Kitchen Set]]/VLOOKUP(Table_NFI[[#This Row],[Camp Name]],CL,4,0),"")</f>
        <v>0</v>
      </c>
      <c r="AT830" s="769" t="s">
        <v>1099</v>
      </c>
      <c r="AU830" s="773"/>
    </row>
    <row r="831" spans="1:47" x14ac:dyDescent="0.25">
      <c r="A831" s="451">
        <f t="shared" si="12"/>
        <v>44.666666666666664</v>
      </c>
      <c r="B831" s="768">
        <v>41030</v>
      </c>
      <c r="C831" s="769" t="s">
        <v>454</v>
      </c>
      <c r="D831" s="770" t="s">
        <v>454</v>
      </c>
      <c r="E831" s="769" t="s">
        <v>380</v>
      </c>
      <c r="F831" s="435" t="s">
        <v>310</v>
      </c>
      <c r="G831" s="435" t="s">
        <v>351</v>
      </c>
      <c r="H831" s="436"/>
      <c r="I831" s="436"/>
      <c r="J831" s="436"/>
      <c r="K831" s="436">
        <v>52</v>
      </c>
      <c r="L831" s="437">
        <v>0</v>
      </c>
      <c r="M831" s="437">
        <v>52</v>
      </c>
      <c r="N831" s="437">
        <v>0</v>
      </c>
      <c r="O831" s="437">
        <v>24</v>
      </c>
      <c r="P831" s="437">
        <v>24</v>
      </c>
      <c r="Q831" s="437">
        <v>24</v>
      </c>
      <c r="R831" s="436"/>
      <c r="S831" s="436"/>
      <c r="T831" s="436"/>
      <c r="U831" s="436"/>
      <c r="V831" s="436"/>
      <c r="W831" s="436"/>
      <c r="X831" s="436"/>
      <c r="Y831" s="436">
        <f>IF(NFI_Expiration=1,IF($A831&lt;VLOOKUP(H$5,NFI,5,0),1,0)*Table_NFI[[#This Row],[Hygiene Kit]],Table_NFI[Hygiene Kit])</f>
        <v>0</v>
      </c>
      <c r="Z831" s="436">
        <f>IF(NFI_Expiration=1,IF($A831&lt;VLOOKUP(I$5,NFI,5,0),1,0)*Table_NFI[[#This Row],[NFI Core Kit]],Table_NFI[NFI Core Kit])</f>
        <v>0</v>
      </c>
      <c r="AA831" s="436">
        <f>IF(NFI_Expiration=1,IF($A831&lt;VLOOKUP(J$5,NFI,5,0),1,0)*Table_NFI[[#This Row],[Sanitary Kit]],Table_NFI[Sanitary Kit])</f>
        <v>0</v>
      </c>
      <c r="AB831" s="436">
        <f>IF(NFI_Expiration=1,IF($A831&lt;VLOOKUP(K$5,NFI,5,0),1,0)*Table_NFI[[#This Row],[Mosquito net]],Table_NFI[Mosquito net])</f>
        <v>0</v>
      </c>
      <c r="AC831" s="436">
        <f>IF(NFI_Expiration=1,IF($A831&lt;VLOOKUP(L$5,NFI,5,0),1,0)*Table_NFI[[#This Row],[Tarpaulin]],Table_NFI[[#This Row],[Tarpaulin]])</f>
        <v>0</v>
      </c>
      <c r="AD831" s="436">
        <f>IF(NFI_Expiration=1,IF($A831&lt;VLOOKUP(M$5,NFI,5,0),1,0)*Table_NFI[[#This Row],[Blanket]],Table_NFI[[#This Row],[Blanket]])</f>
        <v>0</v>
      </c>
      <c r="AE831" s="436">
        <f>IF(NFI_Expiration=1,IF($A831&lt;VLOOKUP(N$5,NFI,5,0),1,0)*Table_NFI[[#This Row],[Kitchen Set]],Table_NFI[Kitchen Set])</f>
        <v>0</v>
      </c>
      <c r="AF831" s="436">
        <f>IF(NFI_Expiration=1,IF($A831&lt;VLOOKUP(O$5,NFI,5,0),1,0)*Table_NFI[[#This Row],[Clothes Kit]],Table_NFI[Clothes Kit])</f>
        <v>0</v>
      </c>
      <c r="AG831" s="436">
        <f>IF(NFI_Expiration=1,IF($A831&lt;VLOOKUP(P$5,NFI,5,0),1,0)*Table_NFI[[#This Row],[Plastic Bucket]],Table_NFI[Plastic Bucket])</f>
        <v>0</v>
      </c>
      <c r="AH831" s="436">
        <f>IF(NFI_Expiration=1,IF($A831&lt;VLOOKUP(Q$5,NFI,5,0),1,0)*Table_NFI[[#This Row],[Plastic Mat]],Table_NFI[Plastic Mat])*IF(Table_NFI[[#This Row],[Distribution Date]]&gt;"2014-04-01",1,2.5)</f>
        <v>0</v>
      </c>
      <c r="AI831" s="436">
        <f>IF(NFI_Expiration=1,IF($A831&lt;VLOOKUP(R$5,NFI,5,0),1,0)*Table_NFI[[#This Row],[Winter Clothes Adult]],Table_NFI[Winter Clothes Adult])</f>
        <v>0</v>
      </c>
      <c r="AJ831" s="436">
        <f>IF(NFI_Expiration=1,IF($A831&lt;VLOOKUP(S$5,NFI,5,0),1,0)*Table_NFI[[#This Row],[Winter Clothes Children]],Table_NFI[Winter Clothes Children])</f>
        <v>0</v>
      </c>
      <c r="AK831" s="436">
        <f>IF(NFI_Expiration=1,IF($A831&lt;VLOOKUP(T$5,NFI,5,0),1,0)*Table_NFI[[#This Row],[Winter Items Other]],Table_NFI[Winter Items Other])</f>
        <v>0</v>
      </c>
      <c r="AL831" s="436">
        <f>IF(NFI_Expiration=1,IF($A831&lt;VLOOKUP(M$5,NFI,5,0),1,0)*Table_NFI[[#This Row],[Winter Blanket]],Table_NFI[[#This Row],[Winter Blanket]])</f>
        <v>0</v>
      </c>
      <c r="AM831" s="436">
        <f>IF(Table_NFI[[#This Row],[Winter Clothes Adult]]+Table_NFI[[#This Row],[Winter Clothes Children]]+Table_NFI[[#This Row],[Winter Items Other]]+Table_NFI[[#This Row],[Winter Blanket]]&gt;0,1,0)</f>
        <v>0</v>
      </c>
      <c r="AN831" s="439">
        <f>IF(NFI_Expiration=1,IF($A831&lt;VLOOKUP(V$5,NFI,5,0),1,0)*Table_NFI[[#This Row],[Jerry Can]],Table_NFI[Jerry Can])</f>
        <v>0</v>
      </c>
      <c r="AO831" s="771" t="str">
        <f>IFERROR(VLOOKUP(Table_NFI[[#This Row],[Camp Name]],CL,2,0),"")</f>
        <v>MMR001CMP026</v>
      </c>
      <c r="AP831" s="772">
        <f ca="1">IF(Table_NFI[[#This Row],[Pcode]]="","",IF(OFFSET(CampList[Opening Date],MATCH(Table_NFI[[#This Row],[Pcode]],CampList[CP_Pcode],0)-1,0,1,1)&gt;=NFI_Monitor_Date,1,0))</f>
        <v>0</v>
      </c>
      <c r="AQ831" s="781" t="str">
        <f>IFERROR(VLOOKUP(Table_NFI[[#This Row],[Camp Name]],CL,3,0),"")</f>
        <v>Open</v>
      </c>
      <c r="AR831" s="439" t="str">
        <f ca="1">IF(Table_NFI[[#This Row],[Pcode]]="","",OFFSET(CampList[Priority],MATCH(Table_NFI[[#This Row],[Pcode]],CampList[CP_Pcode],0)-1,0,1,1))</f>
        <v>P4</v>
      </c>
      <c r="AS831" s="438">
        <f>IFERROR(Table_NFI[[#This Row],[Kitchen Set]]/VLOOKUP(Table_NFI[[#This Row],[Camp Name]],CL,4,0),"")</f>
        <v>0</v>
      </c>
      <c r="AT831" s="769" t="s">
        <v>1099</v>
      </c>
      <c r="AU831" s="773"/>
    </row>
    <row r="832" spans="1:47" x14ac:dyDescent="0.25">
      <c r="A832" s="451">
        <f t="shared" si="12"/>
        <v>44.866666666666667</v>
      </c>
      <c r="B832" s="768">
        <v>41024</v>
      </c>
      <c r="C832" s="769" t="s">
        <v>454</v>
      </c>
      <c r="D832" s="769" t="s">
        <v>454</v>
      </c>
      <c r="E832" s="769" t="s">
        <v>380</v>
      </c>
      <c r="F832" s="435" t="s">
        <v>185</v>
      </c>
      <c r="G832" s="435" t="s">
        <v>192</v>
      </c>
      <c r="H832" s="436"/>
      <c r="I832" s="436"/>
      <c r="J832" s="436"/>
      <c r="K832" s="436">
        <v>198</v>
      </c>
      <c r="L832" s="437">
        <v>99</v>
      </c>
      <c r="M832" s="437">
        <v>198</v>
      </c>
      <c r="N832" s="437">
        <v>99</v>
      </c>
      <c r="O832" s="437">
        <v>99</v>
      </c>
      <c r="P832" s="439">
        <v>99</v>
      </c>
      <c r="Q832" s="439">
        <v>99</v>
      </c>
      <c r="R832" s="436"/>
      <c r="S832" s="436"/>
      <c r="T832" s="436"/>
      <c r="U832" s="436"/>
      <c r="V832" s="436"/>
      <c r="W832" s="436"/>
      <c r="X832" s="436"/>
      <c r="Y832" s="436">
        <f>IF(NFI_Expiration=1,IF($A832&lt;VLOOKUP(H$5,NFI,5,0),1,0)*Table_NFI[[#This Row],[Hygiene Kit]],Table_NFI[Hygiene Kit])</f>
        <v>0</v>
      </c>
      <c r="Z832" s="436">
        <f>IF(NFI_Expiration=1,IF($A832&lt;VLOOKUP(I$5,NFI,5,0),1,0)*Table_NFI[[#This Row],[NFI Core Kit]],Table_NFI[NFI Core Kit])</f>
        <v>0</v>
      </c>
      <c r="AA832" s="436">
        <f>IF(NFI_Expiration=1,IF($A832&lt;VLOOKUP(J$5,NFI,5,0),1,0)*Table_NFI[[#This Row],[Sanitary Kit]],Table_NFI[Sanitary Kit])</f>
        <v>0</v>
      </c>
      <c r="AB832" s="436">
        <f>IF(NFI_Expiration=1,IF($A832&lt;VLOOKUP(K$5,NFI,5,0),1,0)*Table_NFI[[#This Row],[Mosquito net]],Table_NFI[Mosquito net])</f>
        <v>0</v>
      </c>
      <c r="AC832" s="436">
        <f>IF(NFI_Expiration=1,IF($A832&lt;VLOOKUP(L$5,NFI,5,0),1,0)*Table_NFI[[#This Row],[Tarpaulin]],Table_NFI[[#This Row],[Tarpaulin]])</f>
        <v>0</v>
      </c>
      <c r="AD832" s="436">
        <f>IF(NFI_Expiration=1,IF($A832&lt;VLOOKUP(M$5,NFI,5,0),1,0)*Table_NFI[[#This Row],[Blanket]],Table_NFI[[#This Row],[Blanket]])</f>
        <v>0</v>
      </c>
      <c r="AE832" s="436">
        <f>IF(NFI_Expiration=1,IF($A832&lt;VLOOKUP(N$5,NFI,5,0),1,0)*Table_NFI[[#This Row],[Kitchen Set]],Table_NFI[Kitchen Set])</f>
        <v>0</v>
      </c>
      <c r="AF832" s="436">
        <f>IF(NFI_Expiration=1,IF($A832&lt;VLOOKUP(O$5,NFI,5,0),1,0)*Table_NFI[[#This Row],[Clothes Kit]],Table_NFI[Clothes Kit])</f>
        <v>0</v>
      </c>
      <c r="AG832" s="436">
        <f>IF(NFI_Expiration=1,IF($A832&lt;VLOOKUP(P$5,NFI,5,0),1,0)*Table_NFI[[#This Row],[Plastic Bucket]],Table_NFI[Plastic Bucket])</f>
        <v>0</v>
      </c>
      <c r="AH832" s="436">
        <f>IF(NFI_Expiration=1,IF($A832&lt;VLOOKUP(Q$5,NFI,5,0),1,0)*Table_NFI[[#This Row],[Plastic Mat]],Table_NFI[Plastic Mat])*IF(Table_NFI[[#This Row],[Distribution Date]]&gt;"2014-04-01",1,2.5)</f>
        <v>0</v>
      </c>
      <c r="AI832" s="436">
        <f>IF(NFI_Expiration=1,IF($A832&lt;VLOOKUP(R$5,NFI,5,0),1,0)*Table_NFI[[#This Row],[Winter Clothes Adult]],Table_NFI[Winter Clothes Adult])</f>
        <v>0</v>
      </c>
      <c r="AJ832" s="436">
        <f>IF(NFI_Expiration=1,IF($A832&lt;VLOOKUP(S$5,NFI,5,0),1,0)*Table_NFI[[#This Row],[Winter Clothes Children]],Table_NFI[Winter Clothes Children])</f>
        <v>0</v>
      </c>
      <c r="AK832" s="436">
        <f>IF(NFI_Expiration=1,IF($A832&lt;VLOOKUP(T$5,NFI,5,0),1,0)*Table_NFI[[#This Row],[Winter Items Other]],Table_NFI[Winter Items Other])</f>
        <v>0</v>
      </c>
      <c r="AL832" s="436">
        <f>IF(NFI_Expiration=1,IF($A832&lt;VLOOKUP(M$5,NFI,5,0),1,0)*Table_NFI[[#This Row],[Winter Blanket]],Table_NFI[[#This Row],[Winter Blanket]])</f>
        <v>0</v>
      </c>
      <c r="AM832" s="436">
        <f>IF(Table_NFI[[#This Row],[Winter Clothes Adult]]+Table_NFI[[#This Row],[Winter Clothes Children]]+Table_NFI[[#This Row],[Winter Items Other]]+Table_NFI[[#This Row],[Winter Blanket]]&gt;0,1,0)</f>
        <v>0</v>
      </c>
      <c r="AN832" s="439">
        <f>IF(NFI_Expiration=1,IF($A832&lt;VLOOKUP(V$5,NFI,5,0),1,0)*Table_NFI[[#This Row],[Jerry Can]],Table_NFI[Jerry Can])</f>
        <v>0</v>
      </c>
      <c r="AO832" s="771" t="str">
        <f>IFERROR(VLOOKUP(Table_NFI[[#This Row],[Camp Name]],CL,2,0),"")</f>
        <v>MMR001CMP123</v>
      </c>
      <c r="AP832" s="772">
        <f ca="1">IF(Table_NFI[[#This Row],[Pcode]]="","",IF(OFFSET(CampList[Opening Date],MATCH(Table_NFI[[#This Row],[Pcode]],CampList[CP_Pcode],0)-1,0,1,1)&gt;=NFI_Monitor_Date,1,0))</f>
        <v>0</v>
      </c>
      <c r="AQ832" s="781" t="str">
        <f>IFERROR(VLOOKUP(Table_NFI[[#This Row],[Camp Name]],CL,3,0),"")</f>
        <v>Open</v>
      </c>
      <c r="AR832" s="439" t="str">
        <f ca="1">IF(Table_NFI[[#This Row],[Pcode]]="","",OFFSET(CampList[Priority],MATCH(Table_NFI[[#This Row],[Pcode]],CampList[CP_Pcode],0)-1,0,1,1))</f>
        <v>P2</v>
      </c>
      <c r="AS832" s="438">
        <f>IFERROR(Table_NFI[[#This Row],[Kitchen Set]]/VLOOKUP(Table_NFI[[#This Row],[Camp Name]],CL,4,0),"")</f>
        <v>0.85344827586206895</v>
      </c>
      <c r="AT832" s="769" t="s">
        <v>1099</v>
      </c>
      <c r="AU832" s="773"/>
    </row>
    <row r="833" spans="1:47" x14ac:dyDescent="0.25">
      <c r="A833" s="451">
        <f t="shared" si="12"/>
        <v>44.866666666666667</v>
      </c>
      <c r="B833" s="768">
        <v>41024</v>
      </c>
      <c r="C833" s="769" t="s">
        <v>454</v>
      </c>
      <c r="D833" s="769" t="s">
        <v>454</v>
      </c>
      <c r="E833" s="769" t="s">
        <v>380</v>
      </c>
      <c r="F833" s="435" t="s">
        <v>237</v>
      </c>
      <c r="G833" s="435" t="s">
        <v>283</v>
      </c>
      <c r="H833" s="436"/>
      <c r="I833" s="436"/>
      <c r="J833" s="436"/>
      <c r="K833" s="436">
        <v>39</v>
      </c>
      <c r="L833" s="437">
        <v>19</v>
      </c>
      <c r="M833" s="437">
        <v>78</v>
      </c>
      <c r="N833" s="437">
        <v>19</v>
      </c>
      <c r="O833" s="437">
        <v>0</v>
      </c>
      <c r="P833" s="439"/>
      <c r="Q833" s="439"/>
      <c r="R833" s="436"/>
      <c r="S833" s="436"/>
      <c r="T833" s="436"/>
      <c r="U833" s="436"/>
      <c r="V833" s="436"/>
      <c r="W833" s="436"/>
      <c r="X833" s="436"/>
      <c r="Y833" s="436">
        <f>IF(NFI_Expiration=1,IF($A833&lt;VLOOKUP(H$5,NFI,5,0),1,0)*Table_NFI[[#This Row],[Hygiene Kit]],Table_NFI[Hygiene Kit])</f>
        <v>0</v>
      </c>
      <c r="Z833" s="436">
        <f>IF(NFI_Expiration=1,IF($A833&lt;VLOOKUP(I$5,NFI,5,0),1,0)*Table_NFI[[#This Row],[NFI Core Kit]],Table_NFI[NFI Core Kit])</f>
        <v>0</v>
      </c>
      <c r="AA833" s="436">
        <f>IF(NFI_Expiration=1,IF($A833&lt;VLOOKUP(J$5,NFI,5,0),1,0)*Table_NFI[[#This Row],[Sanitary Kit]],Table_NFI[Sanitary Kit])</f>
        <v>0</v>
      </c>
      <c r="AB833" s="436">
        <f>IF(NFI_Expiration=1,IF($A833&lt;VLOOKUP(K$5,NFI,5,0),1,0)*Table_NFI[[#This Row],[Mosquito net]],Table_NFI[Mosquito net])</f>
        <v>0</v>
      </c>
      <c r="AC833" s="436">
        <f>IF(NFI_Expiration=1,IF($A833&lt;VLOOKUP(L$5,NFI,5,0),1,0)*Table_NFI[[#This Row],[Tarpaulin]],Table_NFI[[#This Row],[Tarpaulin]])</f>
        <v>0</v>
      </c>
      <c r="AD833" s="436">
        <f>IF(NFI_Expiration=1,IF($A833&lt;VLOOKUP(M$5,NFI,5,0),1,0)*Table_NFI[[#This Row],[Blanket]],Table_NFI[[#This Row],[Blanket]])</f>
        <v>0</v>
      </c>
      <c r="AE833" s="436">
        <f>IF(NFI_Expiration=1,IF($A833&lt;VLOOKUP(N$5,NFI,5,0),1,0)*Table_NFI[[#This Row],[Kitchen Set]],Table_NFI[Kitchen Set])</f>
        <v>0</v>
      </c>
      <c r="AF833" s="436">
        <f>IF(NFI_Expiration=1,IF($A833&lt;VLOOKUP(O$5,NFI,5,0),1,0)*Table_NFI[[#This Row],[Clothes Kit]],Table_NFI[Clothes Kit])</f>
        <v>0</v>
      </c>
      <c r="AG833" s="436">
        <f>IF(NFI_Expiration=1,IF($A833&lt;VLOOKUP(P$5,NFI,5,0),1,0)*Table_NFI[[#This Row],[Plastic Bucket]],Table_NFI[Plastic Bucket])</f>
        <v>0</v>
      </c>
      <c r="AH833" s="436">
        <f>IF(NFI_Expiration=1,IF($A833&lt;VLOOKUP(Q$5,NFI,5,0),1,0)*Table_NFI[[#This Row],[Plastic Mat]],Table_NFI[Plastic Mat])*IF(Table_NFI[[#This Row],[Distribution Date]]&gt;"2014-04-01",1,2.5)</f>
        <v>0</v>
      </c>
      <c r="AI833" s="436">
        <f>IF(NFI_Expiration=1,IF($A833&lt;VLOOKUP(R$5,NFI,5,0),1,0)*Table_NFI[[#This Row],[Winter Clothes Adult]],Table_NFI[Winter Clothes Adult])</f>
        <v>0</v>
      </c>
      <c r="AJ833" s="436">
        <f>IF(NFI_Expiration=1,IF($A833&lt;VLOOKUP(S$5,NFI,5,0),1,0)*Table_NFI[[#This Row],[Winter Clothes Children]],Table_NFI[Winter Clothes Children])</f>
        <v>0</v>
      </c>
      <c r="AK833" s="436">
        <f>IF(NFI_Expiration=1,IF($A833&lt;VLOOKUP(T$5,NFI,5,0),1,0)*Table_NFI[[#This Row],[Winter Items Other]],Table_NFI[Winter Items Other])</f>
        <v>0</v>
      </c>
      <c r="AL833" s="436">
        <f>IF(NFI_Expiration=1,IF($A833&lt;VLOOKUP(M$5,NFI,5,0),1,0)*Table_NFI[[#This Row],[Winter Blanket]],Table_NFI[[#This Row],[Winter Blanket]])</f>
        <v>0</v>
      </c>
      <c r="AM833" s="436">
        <f>IF(Table_NFI[[#This Row],[Winter Clothes Adult]]+Table_NFI[[#This Row],[Winter Clothes Children]]+Table_NFI[[#This Row],[Winter Items Other]]+Table_NFI[[#This Row],[Winter Blanket]]&gt;0,1,0)</f>
        <v>0</v>
      </c>
      <c r="AN833" s="439">
        <f>IF(NFI_Expiration=1,IF($A833&lt;VLOOKUP(V$5,NFI,5,0),1,0)*Table_NFI[[#This Row],[Jerry Can]],Table_NFI[Jerry Can])</f>
        <v>0</v>
      </c>
      <c r="AO833" s="771" t="str">
        <f>IFERROR(VLOOKUP(Table_NFI[[#This Row],[Camp Name]],CL,2,0),"")</f>
        <v>MMR001CMP022</v>
      </c>
      <c r="AP833" s="772">
        <f ca="1">IF(Table_NFI[[#This Row],[Pcode]]="","",IF(OFFSET(CampList[Opening Date],MATCH(Table_NFI[[#This Row],[Pcode]],CampList[CP_Pcode],0)-1,0,1,1)&gt;=NFI_Monitor_Date,1,0))</f>
        <v>0</v>
      </c>
      <c r="AQ833" s="781" t="str">
        <f>IFERROR(VLOOKUP(Table_NFI[[#This Row],[Camp Name]],CL,3,0),"")</f>
        <v>Open</v>
      </c>
      <c r="AR833" s="439" t="str">
        <f ca="1">IF(Table_NFI[[#This Row],[Pcode]]="","",OFFSET(CampList[Priority],MATCH(Table_NFI[[#This Row],[Pcode]],CampList[CP_Pcode],0)-1,0,1,1))</f>
        <v>P4</v>
      </c>
      <c r="AS833" s="438">
        <f>IFERROR(Table_NFI[[#This Row],[Kitchen Set]]/VLOOKUP(Table_NFI[[#This Row],[Camp Name]],CL,4,0),"")</f>
        <v>2.7142857142857144</v>
      </c>
      <c r="AT833" s="769" t="s">
        <v>1099</v>
      </c>
      <c r="AU833" s="773"/>
    </row>
    <row r="834" spans="1:47" x14ac:dyDescent="0.25">
      <c r="A834" s="451">
        <f t="shared" si="12"/>
        <v>44.966666666666669</v>
      </c>
      <c r="B834" s="768">
        <v>41021</v>
      </c>
      <c r="C834" s="769" t="s">
        <v>454</v>
      </c>
      <c r="D834" s="769" t="s">
        <v>454</v>
      </c>
      <c r="E834" s="769" t="s">
        <v>380</v>
      </c>
      <c r="F834" s="435" t="s">
        <v>185</v>
      </c>
      <c r="G834" s="435" t="s">
        <v>914</v>
      </c>
      <c r="H834" s="436"/>
      <c r="I834" s="436"/>
      <c r="J834" s="436"/>
      <c r="K834" s="436">
        <v>846</v>
      </c>
      <c r="L834" s="437">
        <v>423</v>
      </c>
      <c r="M834" s="437">
        <v>846</v>
      </c>
      <c r="N834" s="437">
        <v>423</v>
      </c>
      <c r="O834" s="437">
        <v>423</v>
      </c>
      <c r="P834" s="439">
        <v>423</v>
      </c>
      <c r="Q834" s="439">
        <v>423</v>
      </c>
      <c r="R834" s="436"/>
      <c r="S834" s="436"/>
      <c r="T834" s="436"/>
      <c r="U834" s="436"/>
      <c r="V834" s="436"/>
      <c r="W834" s="436"/>
      <c r="X834" s="436"/>
      <c r="Y834" s="436">
        <f>IF(NFI_Expiration=1,IF($A834&lt;VLOOKUP(H$5,NFI,5,0),1,0)*Table_NFI[[#This Row],[Hygiene Kit]],Table_NFI[Hygiene Kit])</f>
        <v>0</v>
      </c>
      <c r="Z834" s="436">
        <f>IF(NFI_Expiration=1,IF($A834&lt;VLOOKUP(I$5,NFI,5,0),1,0)*Table_NFI[[#This Row],[NFI Core Kit]],Table_NFI[NFI Core Kit])</f>
        <v>0</v>
      </c>
      <c r="AA834" s="436">
        <f>IF(NFI_Expiration=1,IF($A834&lt;VLOOKUP(J$5,NFI,5,0),1,0)*Table_NFI[[#This Row],[Sanitary Kit]],Table_NFI[Sanitary Kit])</f>
        <v>0</v>
      </c>
      <c r="AB834" s="436">
        <f>IF(NFI_Expiration=1,IF($A834&lt;VLOOKUP(K$5,NFI,5,0),1,0)*Table_NFI[[#This Row],[Mosquito net]],Table_NFI[Mosquito net])</f>
        <v>0</v>
      </c>
      <c r="AC834" s="436">
        <f>IF(NFI_Expiration=1,IF($A834&lt;VLOOKUP(L$5,NFI,5,0),1,0)*Table_NFI[[#This Row],[Tarpaulin]],Table_NFI[[#This Row],[Tarpaulin]])</f>
        <v>0</v>
      </c>
      <c r="AD834" s="436">
        <f>IF(NFI_Expiration=1,IF($A834&lt;VLOOKUP(M$5,NFI,5,0),1,0)*Table_NFI[[#This Row],[Blanket]],Table_NFI[[#This Row],[Blanket]])</f>
        <v>0</v>
      </c>
      <c r="AE834" s="436">
        <f>IF(NFI_Expiration=1,IF($A834&lt;VLOOKUP(N$5,NFI,5,0),1,0)*Table_NFI[[#This Row],[Kitchen Set]],Table_NFI[Kitchen Set])</f>
        <v>0</v>
      </c>
      <c r="AF834" s="436">
        <f>IF(NFI_Expiration=1,IF($A834&lt;VLOOKUP(O$5,NFI,5,0),1,0)*Table_NFI[[#This Row],[Clothes Kit]],Table_NFI[Clothes Kit])</f>
        <v>0</v>
      </c>
      <c r="AG834" s="436">
        <f>IF(NFI_Expiration=1,IF($A834&lt;VLOOKUP(P$5,NFI,5,0),1,0)*Table_NFI[[#This Row],[Plastic Bucket]],Table_NFI[Plastic Bucket])</f>
        <v>0</v>
      </c>
      <c r="AH834" s="436">
        <f>IF(NFI_Expiration=1,IF($A834&lt;VLOOKUP(Q$5,NFI,5,0),1,0)*Table_NFI[[#This Row],[Plastic Mat]],Table_NFI[Plastic Mat])*IF(Table_NFI[[#This Row],[Distribution Date]]&gt;"2014-04-01",1,2.5)</f>
        <v>0</v>
      </c>
      <c r="AI834" s="436">
        <f>IF(NFI_Expiration=1,IF($A834&lt;VLOOKUP(R$5,NFI,5,0),1,0)*Table_NFI[[#This Row],[Winter Clothes Adult]],Table_NFI[Winter Clothes Adult])</f>
        <v>0</v>
      </c>
      <c r="AJ834" s="436">
        <f>IF(NFI_Expiration=1,IF($A834&lt;VLOOKUP(S$5,NFI,5,0),1,0)*Table_NFI[[#This Row],[Winter Clothes Children]],Table_NFI[Winter Clothes Children])</f>
        <v>0</v>
      </c>
      <c r="AK834" s="436">
        <f>IF(NFI_Expiration=1,IF($A834&lt;VLOOKUP(T$5,NFI,5,0),1,0)*Table_NFI[[#This Row],[Winter Items Other]],Table_NFI[Winter Items Other])</f>
        <v>0</v>
      </c>
      <c r="AL834" s="436">
        <f>IF(NFI_Expiration=1,IF($A834&lt;VLOOKUP(M$5,NFI,5,0),1,0)*Table_NFI[[#This Row],[Winter Blanket]],Table_NFI[[#This Row],[Winter Blanket]])</f>
        <v>0</v>
      </c>
      <c r="AM834" s="436">
        <f>IF(Table_NFI[[#This Row],[Winter Clothes Adult]]+Table_NFI[[#This Row],[Winter Clothes Children]]+Table_NFI[[#This Row],[Winter Items Other]]+Table_NFI[[#This Row],[Winter Blanket]]&gt;0,1,0)</f>
        <v>0</v>
      </c>
      <c r="AN834" s="439">
        <f>IF(NFI_Expiration=1,IF($A834&lt;VLOOKUP(V$5,NFI,5,0),1,0)*Table_NFI[[#This Row],[Jerry Can]],Table_NFI[Jerry Can])</f>
        <v>0</v>
      </c>
      <c r="AO834" s="771" t="str">
        <f>IFERROR(VLOOKUP(Table_NFI[[#This Row],[Camp Name]],CL,2,0),"")</f>
        <v/>
      </c>
      <c r="AP834" s="772" t="str">
        <f ca="1">IF(Table_NFI[[#This Row],[Pcode]]="","",IF(OFFSET(CampList[Opening Date],MATCH(Table_NFI[[#This Row],[Pcode]],CampList[CP_Pcode],0)-1,0,1,1)&gt;=NFI_Monitor_Date,1,0))</f>
        <v/>
      </c>
      <c r="AQ834" s="781" t="str">
        <f>IFERROR(VLOOKUP(Table_NFI[[#This Row],[Camp Name]],CL,3,0),"")</f>
        <v/>
      </c>
      <c r="AR834" s="439" t="str">
        <f ca="1">IF(Table_NFI[[#This Row],[Pcode]]="","",OFFSET(CampList[Priority],MATCH(Table_NFI[[#This Row],[Pcode]],CampList[CP_Pcode],0)-1,0,1,1))</f>
        <v/>
      </c>
      <c r="AS834" s="438" t="str">
        <f>IFERROR(Table_NFI[[#This Row],[Kitchen Set]]/VLOOKUP(Table_NFI[[#This Row],[Camp Name]],CL,4,0),"")</f>
        <v/>
      </c>
      <c r="AT834" s="769" t="s">
        <v>1099</v>
      </c>
      <c r="AU834" s="773"/>
    </row>
    <row r="835" spans="1:47" x14ac:dyDescent="0.25">
      <c r="A835" s="451">
        <f t="shared" si="12"/>
        <v>45.3</v>
      </c>
      <c r="B835" s="768">
        <v>41011</v>
      </c>
      <c r="C835" s="769" t="s">
        <v>454</v>
      </c>
      <c r="D835" s="770" t="s">
        <v>454</v>
      </c>
      <c r="E835" s="769" t="s">
        <v>380</v>
      </c>
      <c r="F835" s="435" t="s">
        <v>310</v>
      </c>
      <c r="G835" s="435" t="s">
        <v>355</v>
      </c>
      <c r="H835" s="436"/>
      <c r="I835" s="436"/>
      <c r="J835" s="436"/>
      <c r="K835" s="436">
        <v>123</v>
      </c>
      <c r="L835" s="437">
        <v>95</v>
      </c>
      <c r="M835" s="437">
        <v>123</v>
      </c>
      <c r="N835" s="437">
        <v>95</v>
      </c>
      <c r="O835" s="437">
        <v>95</v>
      </c>
      <c r="P835" s="437">
        <v>95</v>
      </c>
      <c r="Q835" s="437">
        <v>95</v>
      </c>
      <c r="R835" s="436"/>
      <c r="S835" s="436"/>
      <c r="T835" s="436"/>
      <c r="U835" s="436"/>
      <c r="V835" s="436"/>
      <c r="W835" s="436"/>
      <c r="X835" s="436"/>
      <c r="Y835" s="436">
        <f>IF(NFI_Expiration=1,IF($A835&lt;VLOOKUP(H$5,NFI,5,0),1,0)*Table_NFI[[#This Row],[Hygiene Kit]],Table_NFI[Hygiene Kit])</f>
        <v>0</v>
      </c>
      <c r="Z835" s="436">
        <f>IF(NFI_Expiration=1,IF($A835&lt;VLOOKUP(I$5,NFI,5,0),1,0)*Table_NFI[[#This Row],[NFI Core Kit]],Table_NFI[NFI Core Kit])</f>
        <v>0</v>
      </c>
      <c r="AA835" s="436">
        <f>IF(NFI_Expiration=1,IF($A835&lt;VLOOKUP(J$5,NFI,5,0),1,0)*Table_NFI[[#This Row],[Sanitary Kit]],Table_NFI[Sanitary Kit])</f>
        <v>0</v>
      </c>
      <c r="AB835" s="436">
        <f>IF(NFI_Expiration=1,IF($A835&lt;VLOOKUP(K$5,NFI,5,0),1,0)*Table_NFI[[#This Row],[Mosquito net]],Table_NFI[Mosquito net])</f>
        <v>0</v>
      </c>
      <c r="AC835" s="436">
        <f>IF(NFI_Expiration=1,IF($A835&lt;VLOOKUP(L$5,NFI,5,0),1,0)*Table_NFI[[#This Row],[Tarpaulin]],Table_NFI[[#This Row],[Tarpaulin]])</f>
        <v>0</v>
      </c>
      <c r="AD835" s="436">
        <f>IF(NFI_Expiration=1,IF($A835&lt;VLOOKUP(M$5,NFI,5,0),1,0)*Table_NFI[[#This Row],[Blanket]],Table_NFI[[#This Row],[Blanket]])</f>
        <v>0</v>
      </c>
      <c r="AE835" s="436">
        <f>IF(NFI_Expiration=1,IF($A835&lt;VLOOKUP(N$5,NFI,5,0),1,0)*Table_NFI[[#This Row],[Kitchen Set]],Table_NFI[Kitchen Set])</f>
        <v>0</v>
      </c>
      <c r="AF835" s="436">
        <f>IF(NFI_Expiration=1,IF($A835&lt;VLOOKUP(O$5,NFI,5,0),1,0)*Table_NFI[[#This Row],[Clothes Kit]],Table_NFI[Clothes Kit])</f>
        <v>0</v>
      </c>
      <c r="AG835" s="436">
        <f>IF(NFI_Expiration=1,IF($A835&lt;VLOOKUP(P$5,NFI,5,0),1,0)*Table_NFI[[#This Row],[Plastic Bucket]],Table_NFI[Plastic Bucket])</f>
        <v>0</v>
      </c>
      <c r="AH835" s="436">
        <f>IF(NFI_Expiration=1,IF($A835&lt;VLOOKUP(Q$5,NFI,5,0),1,0)*Table_NFI[[#This Row],[Plastic Mat]],Table_NFI[Plastic Mat])*IF(Table_NFI[[#This Row],[Distribution Date]]&gt;"2014-04-01",1,2.5)</f>
        <v>0</v>
      </c>
      <c r="AI835" s="436">
        <f>IF(NFI_Expiration=1,IF($A835&lt;VLOOKUP(R$5,NFI,5,0),1,0)*Table_NFI[[#This Row],[Winter Clothes Adult]],Table_NFI[Winter Clothes Adult])</f>
        <v>0</v>
      </c>
      <c r="AJ835" s="436">
        <f>IF(NFI_Expiration=1,IF($A835&lt;VLOOKUP(S$5,NFI,5,0),1,0)*Table_NFI[[#This Row],[Winter Clothes Children]],Table_NFI[Winter Clothes Children])</f>
        <v>0</v>
      </c>
      <c r="AK835" s="436">
        <f>IF(NFI_Expiration=1,IF($A835&lt;VLOOKUP(T$5,NFI,5,0),1,0)*Table_NFI[[#This Row],[Winter Items Other]],Table_NFI[Winter Items Other])</f>
        <v>0</v>
      </c>
      <c r="AL835" s="436">
        <f>IF(NFI_Expiration=1,IF($A835&lt;VLOOKUP(M$5,NFI,5,0),1,0)*Table_NFI[[#This Row],[Winter Blanket]],Table_NFI[[#This Row],[Winter Blanket]])</f>
        <v>0</v>
      </c>
      <c r="AM835" s="436">
        <f>IF(Table_NFI[[#This Row],[Winter Clothes Adult]]+Table_NFI[[#This Row],[Winter Clothes Children]]+Table_NFI[[#This Row],[Winter Items Other]]+Table_NFI[[#This Row],[Winter Blanket]]&gt;0,1,0)</f>
        <v>0</v>
      </c>
      <c r="AN835" s="439">
        <f>IF(NFI_Expiration=1,IF($A835&lt;VLOOKUP(V$5,NFI,5,0),1,0)*Table_NFI[[#This Row],[Jerry Can]],Table_NFI[Jerry Can])</f>
        <v>0</v>
      </c>
      <c r="AO835" s="771" t="str">
        <f>IFERROR(VLOOKUP(Table_NFI[[#This Row],[Camp Name]],CL,2,0),"")</f>
        <v>MMR001CMP160</v>
      </c>
      <c r="AP835" s="772">
        <f ca="1">IF(Table_NFI[[#This Row],[Pcode]]="","",IF(OFFSET(CampList[Opening Date],MATCH(Table_NFI[[#This Row],[Pcode]],CampList[CP_Pcode],0)-1,0,1,1)&gt;=NFI_Monitor_Date,1,0))</f>
        <v>0</v>
      </c>
      <c r="AQ835" s="781" t="str">
        <f>IFERROR(VLOOKUP(Table_NFI[[#This Row],[Camp Name]],CL,3,0),"")</f>
        <v>Open</v>
      </c>
      <c r="AR835" s="439" t="str">
        <f ca="1">IF(Table_NFI[[#This Row],[Pcode]]="","",OFFSET(CampList[Priority],MATCH(Table_NFI[[#This Row],[Pcode]],CampList[CP_Pcode],0)-1,0,1,1))</f>
        <v>P1</v>
      </c>
      <c r="AS835" s="438">
        <f>IFERROR(Table_NFI[[#This Row],[Kitchen Set]]/VLOOKUP(Table_NFI[[#This Row],[Camp Name]],CL,4,0),"")</f>
        <v>0.87962962962962965</v>
      </c>
      <c r="AT835" s="769" t="s">
        <v>1099</v>
      </c>
      <c r="AU835" s="773"/>
    </row>
    <row r="836" spans="1:47" x14ac:dyDescent="0.25">
      <c r="A836" s="451">
        <f t="shared" si="12"/>
        <v>45.366666666666667</v>
      </c>
      <c r="B836" s="768">
        <v>41009</v>
      </c>
      <c r="C836" s="769" t="s">
        <v>454</v>
      </c>
      <c r="D836" s="769" t="s">
        <v>461</v>
      </c>
      <c r="E836" s="769" t="s">
        <v>380</v>
      </c>
      <c r="F836" s="769" t="s">
        <v>302</v>
      </c>
      <c r="G836" s="435" t="s">
        <v>306</v>
      </c>
      <c r="H836" s="436"/>
      <c r="I836" s="436"/>
      <c r="J836" s="436"/>
      <c r="K836" s="436">
        <v>46</v>
      </c>
      <c r="L836" s="437">
        <v>27</v>
      </c>
      <c r="M836" s="437">
        <v>46</v>
      </c>
      <c r="N836" s="437">
        <v>27</v>
      </c>
      <c r="O836" s="437">
        <v>27</v>
      </c>
      <c r="P836" s="439">
        <v>27</v>
      </c>
      <c r="Q836" s="439">
        <v>27</v>
      </c>
      <c r="R836" s="436"/>
      <c r="S836" s="436"/>
      <c r="T836" s="436"/>
      <c r="U836" s="436"/>
      <c r="V836" s="436"/>
      <c r="W836" s="436"/>
      <c r="X836" s="436"/>
      <c r="Y836" s="436">
        <f>IF(NFI_Expiration=1,IF($A836&lt;VLOOKUP(H$5,NFI,5,0),1,0)*Table_NFI[[#This Row],[Hygiene Kit]],Table_NFI[Hygiene Kit])</f>
        <v>0</v>
      </c>
      <c r="Z836" s="436">
        <f>IF(NFI_Expiration=1,IF($A836&lt;VLOOKUP(I$5,NFI,5,0),1,0)*Table_NFI[[#This Row],[NFI Core Kit]],Table_NFI[NFI Core Kit])</f>
        <v>0</v>
      </c>
      <c r="AA836" s="436">
        <f>IF(NFI_Expiration=1,IF($A836&lt;VLOOKUP(J$5,NFI,5,0),1,0)*Table_NFI[[#This Row],[Sanitary Kit]],Table_NFI[Sanitary Kit])</f>
        <v>0</v>
      </c>
      <c r="AB836" s="436">
        <f>IF(NFI_Expiration=1,IF($A836&lt;VLOOKUP(K$5,NFI,5,0),1,0)*Table_NFI[[#This Row],[Mosquito net]],Table_NFI[Mosquito net])</f>
        <v>0</v>
      </c>
      <c r="AC836" s="436">
        <f>IF(NFI_Expiration=1,IF($A836&lt;VLOOKUP(L$5,NFI,5,0),1,0)*Table_NFI[[#This Row],[Tarpaulin]],Table_NFI[[#This Row],[Tarpaulin]])</f>
        <v>0</v>
      </c>
      <c r="AD836" s="436">
        <f>IF(NFI_Expiration=1,IF($A836&lt;VLOOKUP(M$5,NFI,5,0),1,0)*Table_NFI[[#This Row],[Blanket]],Table_NFI[[#This Row],[Blanket]])</f>
        <v>0</v>
      </c>
      <c r="AE836" s="436">
        <f>IF(NFI_Expiration=1,IF($A836&lt;VLOOKUP(N$5,NFI,5,0),1,0)*Table_NFI[[#This Row],[Kitchen Set]],Table_NFI[Kitchen Set])</f>
        <v>0</v>
      </c>
      <c r="AF836" s="436">
        <f>IF(NFI_Expiration=1,IF($A836&lt;VLOOKUP(O$5,NFI,5,0),1,0)*Table_NFI[[#This Row],[Clothes Kit]],Table_NFI[Clothes Kit])</f>
        <v>0</v>
      </c>
      <c r="AG836" s="436">
        <f>IF(NFI_Expiration=1,IF($A836&lt;VLOOKUP(P$5,NFI,5,0),1,0)*Table_NFI[[#This Row],[Plastic Bucket]],Table_NFI[Plastic Bucket])</f>
        <v>0</v>
      </c>
      <c r="AH836" s="436">
        <f>IF(NFI_Expiration=1,IF($A836&lt;VLOOKUP(Q$5,NFI,5,0),1,0)*Table_NFI[[#This Row],[Plastic Mat]],Table_NFI[Plastic Mat])*IF(Table_NFI[[#This Row],[Distribution Date]]&gt;"2014-04-01",1,2.5)</f>
        <v>0</v>
      </c>
      <c r="AI836" s="436">
        <f>IF(NFI_Expiration=1,IF($A836&lt;VLOOKUP(R$5,NFI,5,0),1,0)*Table_NFI[[#This Row],[Winter Clothes Adult]],Table_NFI[Winter Clothes Adult])</f>
        <v>0</v>
      </c>
      <c r="AJ836" s="436">
        <f>IF(NFI_Expiration=1,IF($A836&lt;VLOOKUP(S$5,NFI,5,0),1,0)*Table_NFI[[#This Row],[Winter Clothes Children]],Table_NFI[Winter Clothes Children])</f>
        <v>0</v>
      </c>
      <c r="AK836" s="436">
        <f>IF(NFI_Expiration=1,IF($A836&lt;VLOOKUP(T$5,NFI,5,0),1,0)*Table_NFI[[#This Row],[Winter Items Other]],Table_NFI[Winter Items Other])</f>
        <v>0</v>
      </c>
      <c r="AL836" s="436">
        <f>IF(NFI_Expiration=1,IF($A836&lt;VLOOKUP(M$5,NFI,5,0),1,0)*Table_NFI[[#This Row],[Winter Blanket]],Table_NFI[[#This Row],[Winter Blanket]])</f>
        <v>0</v>
      </c>
      <c r="AM836" s="436">
        <f>IF(Table_NFI[[#This Row],[Winter Clothes Adult]]+Table_NFI[[#This Row],[Winter Clothes Children]]+Table_NFI[[#This Row],[Winter Items Other]]+Table_NFI[[#This Row],[Winter Blanket]]&gt;0,1,0)</f>
        <v>0</v>
      </c>
      <c r="AN836" s="439">
        <f>IF(NFI_Expiration=1,IF($A836&lt;VLOOKUP(V$5,NFI,5,0),1,0)*Table_NFI[[#This Row],[Jerry Can]],Table_NFI[Jerry Can])</f>
        <v>0</v>
      </c>
      <c r="AO836" s="771" t="str">
        <f>IFERROR(VLOOKUP(Table_NFI[[#This Row],[Camp Name]],CL,2,0),"")</f>
        <v>MMR001CMP067</v>
      </c>
      <c r="AP836" s="772">
        <f ca="1">IF(Table_NFI[[#This Row],[Pcode]]="","",IF(OFFSET(CampList[Opening Date],MATCH(Table_NFI[[#This Row],[Pcode]],CampList[CP_Pcode],0)-1,0,1,1)&gt;=NFI_Monitor_Date,1,0))</f>
        <v>0</v>
      </c>
      <c r="AQ836" s="781" t="str">
        <f>IFERROR(VLOOKUP(Table_NFI[[#This Row],[Camp Name]],CL,3,0),"")</f>
        <v>Open</v>
      </c>
      <c r="AR836" s="439" t="str">
        <f ca="1">IF(Table_NFI[[#This Row],[Pcode]]="","",OFFSET(CampList[Priority],MATCH(Table_NFI[[#This Row],[Pcode]],CampList[CP_Pcode],0)-1,0,1,1))</f>
        <v>P4</v>
      </c>
      <c r="AS836" s="438">
        <f>IFERROR(Table_NFI[[#This Row],[Kitchen Set]]/VLOOKUP(Table_NFI[[#This Row],[Camp Name]],CL,4,0),"")</f>
        <v>0.3253012048192771</v>
      </c>
      <c r="AT836" s="769" t="s">
        <v>1099</v>
      </c>
      <c r="AU836" s="773"/>
    </row>
    <row r="837" spans="1:47" x14ac:dyDescent="0.25">
      <c r="A837" s="451">
        <f t="shared" si="12"/>
        <v>45.366666666666667</v>
      </c>
      <c r="B837" s="768">
        <v>41009</v>
      </c>
      <c r="C837" s="769" t="s">
        <v>454</v>
      </c>
      <c r="D837" s="769" t="s">
        <v>461</v>
      </c>
      <c r="E837" s="769" t="s">
        <v>380</v>
      </c>
      <c r="F837" s="435" t="s">
        <v>302</v>
      </c>
      <c r="G837" s="435" t="s">
        <v>308</v>
      </c>
      <c r="H837" s="436"/>
      <c r="I837" s="436"/>
      <c r="J837" s="436"/>
      <c r="K837" s="436">
        <v>43</v>
      </c>
      <c r="L837" s="437">
        <v>25</v>
      </c>
      <c r="M837" s="437">
        <v>43</v>
      </c>
      <c r="N837" s="437">
        <v>25</v>
      </c>
      <c r="O837" s="437">
        <v>25</v>
      </c>
      <c r="P837" s="439">
        <v>25</v>
      </c>
      <c r="Q837" s="439">
        <v>25</v>
      </c>
      <c r="R837" s="436"/>
      <c r="S837" s="436"/>
      <c r="T837" s="436"/>
      <c r="U837" s="436"/>
      <c r="V837" s="436"/>
      <c r="W837" s="436"/>
      <c r="X837" s="436"/>
      <c r="Y837" s="436">
        <f>IF(NFI_Expiration=1,IF($A837&lt;VLOOKUP(H$5,NFI,5,0),1,0)*Table_NFI[[#This Row],[Hygiene Kit]],Table_NFI[Hygiene Kit])</f>
        <v>0</v>
      </c>
      <c r="Z837" s="436">
        <f>IF(NFI_Expiration=1,IF($A837&lt;VLOOKUP(I$5,NFI,5,0),1,0)*Table_NFI[[#This Row],[NFI Core Kit]],Table_NFI[NFI Core Kit])</f>
        <v>0</v>
      </c>
      <c r="AA837" s="436">
        <f>IF(NFI_Expiration=1,IF($A837&lt;VLOOKUP(J$5,NFI,5,0),1,0)*Table_NFI[[#This Row],[Sanitary Kit]],Table_NFI[Sanitary Kit])</f>
        <v>0</v>
      </c>
      <c r="AB837" s="436">
        <f>IF(NFI_Expiration=1,IF($A837&lt;VLOOKUP(K$5,NFI,5,0),1,0)*Table_NFI[[#This Row],[Mosquito net]],Table_NFI[Mosquito net])</f>
        <v>0</v>
      </c>
      <c r="AC837" s="436">
        <f>IF(NFI_Expiration=1,IF($A837&lt;VLOOKUP(L$5,NFI,5,0),1,0)*Table_NFI[[#This Row],[Tarpaulin]],Table_NFI[[#This Row],[Tarpaulin]])</f>
        <v>0</v>
      </c>
      <c r="AD837" s="436">
        <f>IF(NFI_Expiration=1,IF($A837&lt;VLOOKUP(M$5,NFI,5,0),1,0)*Table_NFI[[#This Row],[Blanket]],Table_NFI[[#This Row],[Blanket]])</f>
        <v>0</v>
      </c>
      <c r="AE837" s="436">
        <f>IF(NFI_Expiration=1,IF($A837&lt;VLOOKUP(N$5,NFI,5,0),1,0)*Table_NFI[[#This Row],[Kitchen Set]],Table_NFI[Kitchen Set])</f>
        <v>0</v>
      </c>
      <c r="AF837" s="436">
        <f>IF(NFI_Expiration=1,IF($A837&lt;VLOOKUP(O$5,NFI,5,0),1,0)*Table_NFI[[#This Row],[Clothes Kit]],Table_NFI[Clothes Kit])</f>
        <v>0</v>
      </c>
      <c r="AG837" s="436">
        <f>IF(NFI_Expiration=1,IF($A837&lt;VLOOKUP(P$5,NFI,5,0),1,0)*Table_NFI[[#This Row],[Plastic Bucket]],Table_NFI[Plastic Bucket])</f>
        <v>0</v>
      </c>
      <c r="AH837" s="436">
        <f>IF(NFI_Expiration=1,IF($A837&lt;VLOOKUP(Q$5,NFI,5,0),1,0)*Table_NFI[[#This Row],[Plastic Mat]],Table_NFI[Plastic Mat])*IF(Table_NFI[[#This Row],[Distribution Date]]&gt;"2014-04-01",1,2.5)</f>
        <v>0</v>
      </c>
      <c r="AI837" s="436">
        <f>IF(NFI_Expiration=1,IF($A837&lt;VLOOKUP(R$5,NFI,5,0),1,0)*Table_NFI[[#This Row],[Winter Clothes Adult]],Table_NFI[Winter Clothes Adult])</f>
        <v>0</v>
      </c>
      <c r="AJ837" s="436">
        <f>IF(NFI_Expiration=1,IF($A837&lt;VLOOKUP(S$5,NFI,5,0),1,0)*Table_NFI[[#This Row],[Winter Clothes Children]],Table_NFI[Winter Clothes Children])</f>
        <v>0</v>
      </c>
      <c r="AK837" s="436">
        <f>IF(NFI_Expiration=1,IF($A837&lt;VLOOKUP(T$5,NFI,5,0),1,0)*Table_NFI[[#This Row],[Winter Items Other]],Table_NFI[Winter Items Other])</f>
        <v>0</v>
      </c>
      <c r="AL837" s="436">
        <f>IF(NFI_Expiration=1,IF($A837&lt;VLOOKUP(M$5,NFI,5,0),1,0)*Table_NFI[[#This Row],[Winter Blanket]],Table_NFI[[#This Row],[Winter Blanket]])</f>
        <v>0</v>
      </c>
      <c r="AM837" s="436">
        <f>IF(Table_NFI[[#This Row],[Winter Clothes Adult]]+Table_NFI[[#This Row],[Winter Clothes Children]]+Table_NFI[[#This Row],[Winter Items Other]]+Table_NFI[[#This Row],[Winter Blanket]]&gt;0,1,0)</f>
        <v>0</v>
      </c>
      <c r="AN837" s="439">
        <f>IF(NFI_Expiration=1,IF($A837&lt;VLOOKUP(V$5,NFI,5,0),1,0)*Table_NFI[[#This Row],[Jerry Can]],Table_NFI[Jerry Can])</f>
        <v>0</v>
      </c>
      <c r="AO837" s="771" t="str">
        <f>IFERROR(VLOOKUP(Table_NFI[[#This Row],[Camp Name]],CL,2,0),"")</f>
        <v>MMR001CMP068</v>
      </c>
      <c r="AP837" s="772">
        <f ca="1">IF(Table_NFI[[#This Row],[Pcode]]="","",IF(OFFSET(CampList[Opening Date],MATCH(Table_NFI[[#This Row],[Pcode]],CampList[CP_Pcode],0)-1,0,1,1)&gt;=NFI_Monitor_Date,1,0))</f>
        <v>0</v>
      </c>
      <c r="AQ837" s="781" t="str">
        <f>IFERROR(VLOOKUP(Table_NFI[[#This Row],[Camp Name]],CL,3,0),"")</f>
        <v>Open</v>
      </c>
      <c r="AR837" s="439" t="str">
        <f ca="1">IF(Table_NFI[[#This Row],[Pcode]]="","",OFFSET(CampList[Priority],MATCH(Table_NFI[[#This Row],[Pcode]],CampList[CP_Pcode],0)-1,0,1,1))</f>
        <v>P4</v>
      </c>
      <c r="AS837" s="438">
        <f>IFERROR(Table_NFI[[#This Row],[Kitchen Set]]/VLOOKUP(Table_NFI[[#This Row],[Camp Name]],CL,4,0),"")</f>
        <v>0.6097560975609756</v>
      </c>
      <c r="AT837" s="769" t="s">
        <v>1099</v>
      </c>
      <c r="AU837" s="773"/>
    </row>
    <row r="838" spans="1:47" s="774" customFormat="1" x14ac:dyDescent="0.25">
      <c r="A838" s="451">
        <f t="shared" ref="A838:A901" si="13">IF(ISBLANK(B838),"",(Report_Date-B838)/30)</f>
        <v>45.533333333333331</v>
      </c>
      <c r="B838" s="768">
        <v>41004</v>
      </c>
      <c r="C838" s="769" t="s">
        <v>454</v>
      </c>
      <c r="D838" s="770" t="s">
        <v>454</v>
      </c>
      <c r="E838" s="769" t="s">
        <v>380</v>
      </c>
      <c r="F838" s="435" t="s">
        <v>185</v>
      </c>
      <c r="G838" s="435" t="s">
        <v>211</v>
      </c>
      <c r="H838" s="436"/>
      <c r="I838" s="436"/>
      <c r="J838" s="436"/>
      <c r="K838" s="436">
        <v>0</v>
      </c>
      <c r="L838" s="437">
        <v>50</v>
      </c>
      <c r="M838" s="437">
        <v>0</v>
      </c>
      <c r="N838" s="437">
        <v>0</v>
      </c>
      <c r="O838" s="437">
        <v>0</v>
      </c>
      <c r="P838" s="437"/>
      <c r="Q838" s="437"/>
      <c r="R838" s="436"/>
      <c r="S838" s="436"/>
      <c r="T838" s="436"/>
      <c r="U838" s="436"/>
      <c r="V838" s="436"/>
      <c r="W838" s="436"/>
      <c r="X838" s="436"/>
      <c r="Y838" s="436">
        <f>IF(NFI_Expiration=1,IF($A838&lt;VLOOKUP(H$5,NFI,5,0),1,0)*Table_NFI[[#This Row],[Hygiene Kit]],Table_NFI[Hygiene Kit])</f>
        <v>0</v>
      </c>
      <c r="Z838" s="436">
        <f>IF(NFI_Expiration=1,IF($A838&lt;VLOOKUP(I$5,NFI,5,0),1,0)*Table_NFI[[#This Row],[NFI Core Kit]],Table_NFI[NFI Core Kit])</f>
        <v>0</v>
      </c>
      <c r="AA838" s="436">
        <f>IF(NFI_Expiration=1,IF($A838&lt;VLOOKUP(J$5,NFI,5,0),1,0)*Table_NFI[[#This Row],[Sanitary Kit]],Table_NFI[Sanitary Kit])</f>
        <v>0</v>
      </c>
      <c r="AB838" s="436">
        <f>IF(NFI_Expiration=1,IF($A838&lt;VLOOKUP(K$5,NFI,5,0),1,0)*Table_NFI[[#This Row],[Mosquito net]],Table_NFI[Mosquito net])</f>
        <v>0</v>
      </c>
      <c r="AC838" s="436">
        <f>IF(NFI_Expiration=1,IF($A838&lt;VLOOKUP(L$5,NFI,5,0),1,0)*Table_NFI[[#This Row],[Tarpaulin]],Table_NFI[[#This Row],[Tarpaulin]])</f>
        <v>0</v>
      </c>
      <c r="AD838" s="436">
        <f>IF(NFI_Expiration=1,IF($A838&lt;VLOOKUP(M$5,NFI,5,0),1,0)*Table_NFI[[#This Row],[Blanket]],Table_NFI[[#This Row],[Blanket]])</f>
        <v>0</v>
      </c>
      <c r="AE838" s="436">
        <f>IF(NFI_Expiration=1,IF($A838&lt;VLOOKUP(N$5,NFI,5,0),1,0)*Table_NFI[[#This Row],[Kitchen Set]],Table_NFI[Kitchen Set])</f>
        <v>0</v>
      </c>
      <c r="AF838" s="436">
        <f>IF(NFI_Expiration=1,IF($A838&lt;VLOOKUP(O$5,NFI,5,0),1,0)*Table_NFI[[#This Row],[Clothes Kit]],Table_NFI[Clothes Kit])</f>
        <v>0</v>
      </c>
      <c r="AG838" s="436">
        <f>IF(NFI_Expiration=1,IF($A838&lt;VLOOKUP(P$5,NFI,5,0),1,0)*Table_NFI[[#This Row],[Plastic Bucket]],Table_NFI[Plastic Bucket])</f>
        <v>0</v>
      </c>
      <c r="AH838" s="436">
        <f>IF(NFI_Expiration=1,IF($A838&lt;VLOOKUP(Q$5,NFI,5,0),1,0)*Table_NFI[[#This Row],[Plastic Mat]],Table_NFI[Plastic Mat])*IF(Table_NFI[[#This Row],[Distribution Date]]&gt;"2014-04-01",1,2.5)</f>
        <v>0</v>
      </c>
      <c r="AI838" s="436">
        <f>IF(NFI_Expiration=1,IF($A838&lt;VLOOKUP(R$5,NFI,5,0),1,0)*Table_NFI[[#This Row],[Winter Clothes Adult]],Table_NFI[Winter Clothes Adult])</f>
        <v>0</v>
      </c>
      <c r="AJ838" s="436">
        <f>IF(NFI_Expiration=1,IF($A838&lt;VLOOKUP(S$5,NFI,5,0),1,0)*Table_NFI[[#This Row],[Winter Clothes Children]],Table_NFI[Winter Clothes Children])</f>
        <v>0</v>
      </c>
      <c r="AK838" s="436">
        <f>IF(NFI_Expiration=1,IF($A838&lt;VLOOKUP(T$5,NFI,5,0),1,0)*Table_NFI[[#This Row],[Winter Items Other]],Table_NFI[Winter Items Other])</f>
        <v>0</v>
      </c>
      <c r="AL838" s="436">
        <f>IF(NFI_Expiration=1,IF($A838&lt;VLOOKUP(M$5,NFI,5,0),1,0)*Table_NFI[[#This Row],[Winter Blanket]],Table_NFI[[#This Row],[Winter Blanket]])</f>
        <v>0</v>
      </c>
      <c r="AM838" s="436">
        <f>IF(Table_NFI[[#This Row],[Winter Clothes Adult]]+Table_NFI[[#This Row],[Winter Clothes Children]]+Table_NFI[[#This Row],[Winter Items Other]]+Table_NFI[[#This Row],[Winter Blanket]]&gt;0,1,0)</f>
        <v>0</v>
      </c>
      <c r="AN838" s="439">
        <f>IF(NFI_Expiration=1,IF($A838&lt;VLOOKUP(V$5,NFI,5,0),1,0)*Table_NFI[[#This Row],[Jerry Can]],Table_NFI[Jerry Can])</f>
        <v>0</v>
      </c>
      <c r="AO838" s="771" t="str">
        <f>IFERROR(VLOOKUP(Table_NFI[[#This Row],[Camp Name]],CL,2,0),"")</f>
        <v>MMR001CMP057</v>
      </c>
      <c r="AP838" s="772">
        <f ca="1">IF(Table_NFI[[#This Row],[Pcode]]="","",IF(OFFSET(CampList[Opening Date],MATCH(Table_NFI[[#This Row],[Pcode]],CampList[CP_Pcode],0)-1,0,1,1)&gt;=NFI_Monitor_Date,1,0))</f>
        <v>0</v>
      </c>
      <c r="AQ838" s="781" t="str">
        <f>IFERROR(VLOOKUP(Table_NFI[[#This Row],[Camp Name]],CL,3,0),"")</f>
        <v>Closed</v>
      </c>
      <c r="AR838" s="439" t="str">
        <f ca="1">IF(Table_NFI[[#This Row],[Pcode]]="","",OFFSET(CampList[Priority],MATCH(Table_NFI[[#This Row],[Pcode]],CampList[CP_Pcode],0)-1,0,1,1))</f>
        <v>P4</v>
      </c>
      <c r="AS838" s="438" t="str">
        <f>IFERROR(Table_NFI[[#This Row],[Kitchen Set]]/VLOOKUP(Table_NFI[[#This Row],[Camp Name]],CL,4,0),"")</f>
        <v/>
      </c>
      <c r="AT838" s="769" t="s">
        <v>1099</v>
      </c>
      <c r="AU838" s="773"/>
    </row>
    <row r="839" spans="1:47" s="774" customFormat="1" x14ac:dyDescent="0.25">
      <c r="A839" s="451">
        <f t="shared" si="13"/>
        <v>45.56666666666667</v>
      </c>
      <c r="B839" s="768">
        <v>41003</v>
      </c>
      <c r="C839" s="769" t="s">
        <v>454</v>
      </c>
      <c r="D839" s="769" t="s">
        <v>454</v>
      </c>
      <c r="E839" s="769" t="s">
        <v>380</v>
      </c>
      <c r="F839" s="435" t="s">
        <v>151</v>
      </c>
      <c r="G839" s="435" t="s">
        <v>188</v>
      </c>
      <c r="H839" s="436"/>
      <c r="I839" s="436"/>
      <c r="J839" s="436"/>
      <c r="K839" s="436">
        <v>216</v>
      </c>
      <c r="L839" s="437">
        <v>108</v>
      </c>
      <c r="M839" s="437">
        <v>216</v>
      </c>
      <c r="N839" s="437">
        <v>108</v>
      </c>
      <c r="O839" s="437">
        <v>108</v>
      </c>
      <c r="P839" s="439">
        <v>108</v>
      </c>
      <c r="Q839" s="439">
        <v>108</v>
      </c>
      <c r="R839" s="436"/>
      <c r="S839" s="436"/>
      <c r="T839" s="436"/>
      <c r="U839" s="436"/>
      <c r="V839" s="436"/>
      <c r="W839" s="436"/>
      <c r="X839" s="436"/>
      <c r="Y839" s="436">
        <f>IF(NFI_Expiration=1,IF($A839&lt;VLOOKUP(H$5,NFI,5,0),1,0)*Table_NFI[[#This Row],[Hygiene Kit]],Table_NFI[Hygiene Kit])</f>
        <v>0</v>
      </c>
      <c r="Z839" s="436">
        <f>IF(NFI_Expiration=1,IF($A839&lt;VLOOKUP(I$5,NFI,5,0),1,0)*Table_NFI[[#This Row],[NFI Core Kit]],Table_NFI[NFI Core Kit])</f>
        <v>0</v>
      </c>
      <c r="AA839" s="436">
        <f>IF(NFI_Expiration=1,IF($A839&lt;VLOOKUP(J$5,NFI,5,0),1,0)*Table_NFI[[#This Row],[Sanitary Kit]],Table_NFI[Sanitary Kit])</f>
        <v>0</v>
      </c>
      <c r="AB839" s="436">
        <f>IF(NFI_Expiration=1,IF($A839&lt;VLOOKUP(K$5,NFI,5,0),1,0)*Table_NFI[[#This Row],[Mosquito net]],Table_NFI[Mosquito net])</f>
        <v>0</v>
      </c>
      <c r="AC839" s="436">
        <f>IF(NFI_Expiration=1,IF($A839&lt;VLOOKUP(L$5,NFI,5,0),1,0)*Table_NFI[[#This Row],[Tarpaulin]],Table_NFI[[#This Row],[Tarpaulin]])</f>
        <v>0</v>
      </c>
      <c r="AD839" s="436">
        <f>IF(NFI_Expiration=1,IF($A839&lt;VLOOKUP(M$5,NFI,5,0),1,0)*Table_NFI[[#This Row],[Blanket]],Table_NFI[[#This Row],[Blanket]])</f>
        <v>0</v>
      </c>
      <c r="AE839" s="436">
        <f>IF(NFI_Expiration=1,IF($A839&lt;VLOOKUP(N$5,NFI,5,0),1,0)*Table_NFI[[#This Row],[Kitchen Set]],Table_NFI[Kitchen Set])</f>
        <v>0</v>
      </c>
      <c r="AF839" s="436">
        <f>IF(NFI_Expiration=1,IF($A839&lt;VLOOKUP(O$5,NFI,5,0),1,0)*Table_NFI[[#This Row],[Clothes Kit]],Table_NFI[Clothes Kit])</f>
        <v>0</v>
      </c>
      <c r="AG839" s="436">
        <f>IF(NFI_Expiration=1,IF($A839&lt;VLOOKUP(P$5,NFI,5,0),1,0)*Table_NFI[[#This Row],[Plastic Bucket]],Table_NFI[Plastic Bucket])</f>
        <v>0</v>
      </c>
      <c r="AH839" s="436">
        <f>IF(NFI_Expiration=1,IF($A839&lt;VLOOKUP(Q$5,NFI,5,0),1,0)*Table_NFI[[#This Row],[Plastic Mat]],Table_NFI[Plastic Mat])*IF(Table_NFI[[#This Row],[Distribution Date]]&gt;"2014-04-01",1,2.5)</f>
        <v>0</v>
      </c>
      <c r="AI839" s="436">
        <f>IF(NFI_Expiration=1,IF($A839&lt;VLOOKUP(R$5,NFI,5,0),1,0)*Table_NFI[[#This Row],[Winter Clothes Adult]],Table_NFI[Winter Clothes Adult])</f>
        <v>0</v>
      </c>
      <c r="AJ839" s="436">
        <f>IF(NFI_Expiration=1,IF($A839&lt;VLOOKUP(S$5,NFI,5,0),1,0)*Table_NFI[[#This Row],[Winter Clothes Children]],Table_NFI[Winter Clothes Children])</f>
        <v>0</v>
      </c>
      <c r="AK839" s="436">
        <f>IF(NFI_Expiration=1,IF($A839&lt;VLOOKUP(T$5,NFI,5,0),1,0)*Table_NFI[[#This Row],[Winter Items Other]],Table_NFI[Winter Items Other])</f>
        <v>0</v>
      </c>
      <c r="AL839" s="436">
        <f>IF(NFI_Expiration=1,IF($A839&lt;VLOOKUP(M$5,NFI,5,0),1,0)*Table_NFI[[#This Row],[Winter Blanket]],Table_NFI[[#This Row],[Winter Blanket]])</f>
        <v>0</v>
      </c>
      <c r="AM839" s="436">
        <f>IF(Table_NFI[[#This Row],[Winter Clothes Adult]]+Table_NFI[[#This Row],[Winter Clothes Children]]+Table_NFI[[#This Row],[Winter Items Other]]+Table_NFI[[#This Row],[Winter Blanket]]&gt;0,1,0)</f>
        <v>0</v>
      </c>
      <c r="AN839" s="439">
        <f>IF(NFI_Expiration=1,IF($A839&lt;VLOOKUP(V$5,NFI,5,0),1,0)*Table_NFI[[#This Row],[Jerry Can]],Table_NFI[Jerry Can])</f>
        <v>0</v>
      </c>
      <c r="AO839" s="771" t="str">
        <f>IFERROR(VLOOKUP(Table_NFI[[#This Row],[Camp Name]],CL,2,0),"")</f>
        <v>MMR001CMP129</v>
      </c>
      <c r="AP839" s="772">
        <f ca="1">IF(Table_NFI[[#This Row],[Pcode]]="","",IF(OFFSET(CampList[Opening Date],MATCH(Table_NFI[[#This Row],[Pcode]],CampList[CP_Pcode],0)-1,0,1,1)&gt;=NFI_Monitor_Date,1,0))</f>
        <v>0</v>
      </c>
      <c r="AQ839" s="781" t="str">
        <f>IFERROR(VLOOKUP(Table_NFI[[#This Row],[Camp Name]],CL,3,0),"")</f>
        <v>Open</v>
      </c>
      <c r="AR839" s="439" t="str">
        <f ca="1">IF(Table_NFI[[#This Row],[Pcode]]="","",OFFSET(CampList[Priority],MATCH(Table_NFI[[#This Row],[Pcode]],CampList[CP_Pcode],0)-1,0,1,1))</f>
        <v>P2</v>
      </c>
      <c r="AS839" s="438">
        <f>IFERROR(Table_NFI[[#This Row],[Kitchen Set]]/VLOOKUP(Table_NFI[[#This Row],[Camp Name]],CL,4,0),"")</f>
        <v>0.44081632653061226</v>
      </c>
      <c r="AT839" s="769" t="s">
        <v>1099</v>
      </c>
      <c r="AU839" s="773"/>
    </row>
    <row r="840" spans="1:47" s="774" customFormat="1" x14ac:dyDescent="0.25">
      <c r="A840" s="451">
        <f t="shared" si="13"/>
        <v>45.6</v>
      </c>
      <c r="B840" s="768">
        <v>41002</v>
      </c>
      <c r="C840" s="769" t="s">
        <v>454</v>
      </c>
      <c r="D840" s="769" t="s">
        <v>454</v>
      </c>
      <c r="E840" s="769" t="s">
        <v>380</v>
      </c>
      <c r="F840" s="435" t="s">
        <v>151</v>
      </c>
      <c r="G840" s="435" t="s">
        <v>198</v>
      </c>
      <c r="H840" s="436"/>
      <c r="I840" s="436"/>
      <c r="J840" s="436"/>
      <c r="K840" s="436">
        <v>510</v>
      </c>
      <c r="L840" s="437">
        <v>0</v>
      </c>
      <c r="M840" s="437">
        <v>510</v>
      </c>
      <c r="N840" s="437">
        <v>255</v>
      </c>
      <c r="O840" s="437">
        <v>255</v>
      </c>
      <c r="P840" s="439">
        <v>255</v>
      </c>
      <c r="Q840" s="439">
        <v>255</v>
      </c>
      <c r="R840" s="436"/>
      <c r="S840" s="436"/>
      <c r="T840" s="436"/>
      <c r="U840" s="436"/>
      <c r="V840" s="436"/>
      <c r="W840" s="436"/>
      <c r="X840" s="436"/>
      <c r="Y840" s="436">
        <f>IF(NFI_Expiration=1,IF($A840&lt;VLOOKUP(H$5,NFI,5,0),1,0)*Table_NFI[[#This Row],[Hygiene Kit]],Table_NFI[Hygiene Kit])</f>
        <v>0</v>
      </c>
      <c r="Z840" s="436">
        <f>IF(NFI_Expiration=1,IF($A840&lt;VLOOKUP(I$5,NFI,5,0),1,0)*Table_NFI[[#This Row],[NFI Core Kit]],Table_NFI[NFI Core Kit])</f>
        <v>0</v>
      </c>
      <c r="AA840" s="436">
        <f>IF(NFI_Expiration=1,IF($A840&lt;VLOOKUP(J$5,NFI,5,0),1,0)*Table_NFI[[#This Row],[Sanitary Kit]],Table_NFI[Sanitary Kit])</f>
        <v>0</v>
      </c>
      <c r="AB840" s="436">
        <f>IF(NFI_Expiration=1,IF($A840&lt;VLOOKUP(K$5,NFI,5,0),1,0)*Table_NFI[[#This Row],[Mosquito net]],Table_NFI[Mosquito net])</f>
        <v>0</v>
      </c>
      <c r="AC840" s="436">
        <f>IF(NFI_Expiration=1,IF($A840&lt;VLOOKUP(L$5,NFI,5,0),1,0)*Table_NFI[[#This Row],[Tarpaulin]],Table_NFI[[#This Row],[Tarpaulin]])</f>
        <v>0</v>
      </c>
      <c r="AD840" s="436">
        <f>IF(NFI_Expiration=1,IF($A840&lt;VLOOKUP(M$5,NFI,5,0),1,0)*Table_NFI[[#This Row],[Blanket]],Table_NFI[[#This Row],[Blanket]])</f>
        <v>0</v>
      </c>
      <c r="AE840" s="436">
        <f>IF(NFI_Expiration=1,IF($A840&lt;VLOOKUP(N$5,NFI,5,0),1,0)*Table_NFI[[#This Row],[Kitchen Set]],Table_NFI[Kitchen Set])</f>
        <v>0</v>
      </c>
      <c r="AF840" s="436">
        <f>IF(NFI_Expiration=1,IF($A840&lt;VLOOKUP(O$5,NFI,5,0),1,0)*Table_NFI[[#This Row],[Clothes Kit]],Table_NFI[Clothes Kit])</f>
        <v>0</v>
      </c>
      <c r="AG840" s="436">
        <f>IF(NFI_Expiration=1,IF($A840&lt;VLOOKUP(P$5,NFI,5,0),1,0)*Table_NFI[[#This Row],[Plastic Bucket]],Table_NFI[Plastic Bucket])</f>
        <v>0</v>
      </c>
      <c r="AH840" s="436">
        <f>IF(NFI_Expiration=1,IF($A840&lt;VLOOKUP(Q$5,NFI,5,0),1,0)*Table_NFI[[#This Row],[Plastic Mat]],Table_NFI[Plastic Mat])*IF(Table_NFI[[#This Row],[Distribution Date]]&gt;"2014-04-01",1,2.5)</f>
        <v>0</v>
      </c>
      <c r="AI840" s="436">
        <f>IF(NFI_Expiration=1,IF($A840&lt;VLOOKUP(R$5,NFI,5,0),1,0)*Table_NFI[[#This Row],[Winter Clothes Adult]],Table_NFI[Winter Clothes Adult])</f>
        <v>0</v>
      </c>
      <c r="AJ840" s="436">
        <f>IF(NFI_Expiration=1,IF($A840&lt;VLOOKUP(S$5,NFI,5,0),1,0)*Table_NFI[[#This Row],[Winter Clothes Children]],Table_NFI[Winter Clothes Children])</f>
        <v>0</v>
      </c>
      <c r="AK840" s="436">
        <f>IF(NFI_Expiration=1,IF($A840&lt;VLOOKUP(T$5,NFI,5,0),1,0)*Table_NFI[[#This Row],[Winter Items Other]],Table_NFI[Winter Items Other])</f>
        <v>0</v>
      </c>
      <c r="AL840" s="436">
        <f>IF(NFI_Expiration=1,IF($A840&lt;VLOOKUP(M$5,NFI,5,0),1,0)*Table_NFI[[#This Row],[Winter Blanket]],Table_NFI[[#This Row],[Winter Blanket]])</f>
        <v>0</v>
      </c>
      <c r="AM840" s="436">
        <f>IF(Table_NFI[[#This Row],[Winter Clothes Adult]]+Table_NFI[[#This Row],[Winter Clothes Children]]+Table_NFI[[#This Row],[Winter Items Other]]+Table_NFI[[#This Row],[Winter Blanket]]&gt;0,1,0)</f>
        <v>0</v>
      </c>
      <c r="AN840" s="439">
        <f>IF(NFI_Expiration=1,IF($A840&lt;VLOOKUP(V$5,NFI,5,0),1,0)*Table_NFI[[#This Row],[Jerry Can]],Table_NFI[Jerry Can])</f>
        <v>0</v>
      </c>
      <c r="AO840" s="771" t="str">
        <f>IFERROR(VLOOKUP(Table_NFI[[#This Row],[Camp Name]],CL,2,0),"")</f>
        <v>MMR001CMP128</v>
      </c>
      <c r="AP840" s="772">
        <f ca="1">IF(Table_NFI[[#This Row],[Pcode]]="","",IF(OFFSET(CampList[Opening Date],MATCH(Table_NFI[[#This Row],[Pcode]],CampList[CP_Pcode],0)-1,0,1,1)&gt;=NFI_Monitor_Date,1,0))</f>
        <v>0</v>
      </c>
      <c r="AQ840" s="781" t="str">
        <f>IFERROR(VLOOKUP(Table_NFI[[#This Row],[Camp Name]],CL,3,0),"")</f>
        <v>Open</v>
      </c>
      <c r="AR840" s="439" t="str">
        <f ca="1">IF(Table_NFI[[#This Row],[Pcode]]="","",OFFSET(CampList[Priority],MATCH(Table_NFI[[#This Row],[Pcode]],CampList[CP_Pcode],0)-1,0,1,1))</f>
        <v>P2</v>
      </c>
      <c r="AS840" s="438">
        <f>IFERROR(Table_NFI[[#This Row],[Kitchen Set]]/VLOOKUP(Table_NFI[[#This Row],[Camp Name]],CL,4,0),"")</f>
        <v>0.46788990825688076</v>
      </c>
      <c r="AT840" s="769" t="s">
        <v>1099</v>
      </c>
      <c r="AU840" s="773"/>
    </row>
    <row r="841" spans="1:47" s="774" customFormat="1" x14ac:dyDescent="0.25">
      <c r="A841" s="451">
        <f t="shared" si="13"/>
        <v>45.766666666666666</v>
      </c>
      <c r="B841" s="768">
        <v>40997</v>
      </c>
      <c r="C841" s="769" t="s">
        <v>454</v>
      </c>
      <c r="D841" s="770" t="s">
        <v>454</v>
      </c>
      <c r="E841" s="769" t="s">
        <v>380</v>
      </c>
      <c r="F841" s="435" t="s">
        <v>151</v>
      </c>
      <c r="G841" s="435" t="s">
        <v>188</v>
      </c>
      <c r="H841" s="436"/>
      <c r="I841" s="436"/>
      <c r="J841" s="436"/>
      <c r="K841" s="436">
        <v>66</v>
      </c>
      <c r="L841" s="437">
        <v>66</v>
      </c>
      <c r="M841" s="437">
        <v>0</v>
      </c>
      <c r="N841" s="437">
        <v>0</v>
      </c>
      <c r="O841" s="437">
        <v>0</v>
      </c>
      <c r="P841" s="437"/>
      <c r="Q841" s="437"/>
      <c r="R841" s="436"/>
      <c r="S841" s="436"/>
      <c r="T841" s="436"/>
      <c r="U841" s="436"/>
      <c r="V841" s="436"/>
      <c r="W841" s="436"/>
      <c r="X841" s="436"/>
      <c r="Y841" s="436">
        <f>IF(NFI_Expiration=1,IF($A841&lt;VLOOKUP(H$5,NFI,5,0),1,0)*Table_NFI[[#This Row],[Hygiene Kit]],Table_NFI[Hygiene Kit])</f>
        <v>0</v>
      </c>
      <c r="Z841" s="436">
        <f>IF(NFI_Expiration=1,IF($A841&lt;VLOOKUP(I$5,NFI,5,0),1,0)*Table_NFI[[#This Row],[NFI Core Kit]],Table_NFI[NFI Core Kit])</f>
        <v>0</v>
      </c>
      <c r="AA841" s="436">
        <f>IF(NFI_Expiration=1,IF($A841&lt;VLOOKUP(J$5,NFI,5,0),1,0)*Table_NFI[[#This Row],[Sanitary Kit]],Table_NFI[Sanitary Kit])</f>
        <v>0</v>
      </c>
      <c r="AB841" s="436">
        <f>IF(NFI_Expiration=1,IF($A841&lt;VLOOKUP(K$5,NFI,5,0),1,0)*Table_NFI[[#This Row],[Mosquito net]],Table_NFI[Mosquito net])</f>
        <v>0</v>
      </c>
      <c r="AC841" s="436">
        <f>IF(NFI_Expiration=1,IF($A841&lt;VLOOKUP(L$5,NFI,5,0),1,0)*Table_NFI[[#This Row],[Tarpaulin]],Table_NFI[[#This Row],[Tarpaulin]])</f>
        <v>0</v>
      </c>
      <c r="AD841" s="436">
        <f>IF(NFI_Expiration=1,IF($A841&lt;VLOOKUP(M$5,NFI,5,0),1,0)*Table_NFI[[#This Row],[Blanket]],Table_NFI[[#This Row],[Blanket]])</f>
        <v>0</v>
      </c>
      <c r="AE841" s="436">
        <f>IF(NFI_Expiration=1,IF($A841&lt;VLOOKUP(N$5,NFI,5,0),1,0)*Table_NFI[[#This Row],[Kitchen Set]],Table_NFI[Kitchen Set])</f>
        <v>0</v>
      </c>
      <c r="AF841" s="436">
        <f>IF(NFI_Expiration=1,IF($A841&lt;VLOOKUP(O$5,NFI,5,0),1,0)*Table_NFI[[#This Row],[Clothes Kit]],Table_NFI[Clothes Kit])</f>
        <v>0</v>
      </c>
      <c r="AG841" s="436">
        <f>IF(NFI_Expiration=1,IF($A841&lt;VLOOKUP(P$5,NFI,5,0),1,0)*Table_NFI[[#This Row],[Plastic Bucket]],Table_NFI[Plastic Bucket])</f>
        <v>0</v>
      </c>
      <c r="AH841" s="436">
        <f>IF(NFI_Expiration=1,IF($A841&lt;VLOOKUP(Q$5,NFI,5,0),1,0)*Table_NFI[[#This Row],[Plastic Mat]],Table_NFI[Plastic Mat])*IF(Table_NFI[[#This Row],[Distribution Date]]&gt;"2014-04-01",1,2.5)</f>
        <v>0</v>
      </c>
      <c r="AI841" s="436">
        <f>IF(NFI_Expiration=1,IF($A841&lt;VLOOKUP(R$5,NFI,5,0),1,0)*Table_NFI[[#This Row],[Winter Clothes Adult]],Table_NFI[Winter Clothes Adult])</f>
        <v>0</v>
      </c>
      <c r="AJ841" s="436">
        <f>IF(NFI_Expiration=1,IF($A841&lt;VLOOKUP(S$5,NFI,5,0),1,0)*Table_NFI[[#This Row],[Winter Clothes Children]],Table_NFI[Winter Clothes Children])</f>
        <v>0</v>
      </c>
      <c r="AK841" s="436">
        <f>IF(NFI_Expiration=1,IF($A841&lt;VLOOKUP(T$5,NFI,5,0),1,0)*Table_NFI[[#This Row],[Winter Items Other]],Table_NFI[Winter Items Other])</f>
        <v>0</v>
      </c>
      <c r="AL841" s="436">
        <f>IF(NFI_Expiration=1,IF($A841&lt;VLOOKUP(M$5,NFI,5,0),1,0)*Table_NFI[[#This Row],[Winter Blanket]],Table_NFI[[#This Row],[Winter Blanket]])</f>
        <v>0</v>
      </c>
      <c r="AM841" s="436">
        <f>IF(Table_NFI[[#This Row],[Winter Clothes Adult]]+Table_NFI[[#This Row],[Winter Clothes Children]]+Table_NFI[[#This Row],[Winter Items Other]]+Table_NFI[[#This Row],[Winter Blanket]]&gt;0,1,0)</f>
        <v>0</v>
      </c>
      <c r="AN841" s="439">
        <f>IF(NFI_Expiration=1,IF($A841&lt;VLOOKUP(V$5,NFI,5,0),1,0)*Table_NFI[[#This Row],[Jerry Can]],Table_NFI[Jerry Can])</f>
        <v>0</v>
      </c>
      <c r="AO841" s="771" t="str">
        <f>IFERROR(VLOOKUP(Table_NFI[[#This Row],[Camp Name]],CL,2,0),"")</f>
        <v>MMR001CMP129</v>
      </c>
      <c r="AP841" s="772">
        <f ca="1">IF(Table_NFI[[#This Row],[Pcode]]="","",IF(OFFSET(CampList[Opening Date],MATCH(Table_NFI[[#This Row],[Pcode]],CampList[CP_Pcode],0)-1,0,1,1)&gt;=NFI_Monitor_Date,1,0))</f>
        <v>0</v>
      </c>
      <c r="AQ841" s="781" t="str">
        <f>IFERROR(VLOOKUP(Table_NFI[[#This Row],[Camp Name]],CL,3,0),"")</f>
        <v>Open</v>
      </c>
      <c r="AR841" s="439" t="str">
        <f ca="1">IF(Table_NFI[[#This Row],[Pcode]]="","",OFFSET(CampList[Priority],MATCH(Table_NFI[[#This Row],[Pcode]],CampList[CP_Pcode],0)-1,0,1,1))</f>
        <v>P2</v>
      </c>
      <c r="AS841" s="438">
        <f>IFERROR(Table_NFI[[#This Row],[Kitchen Set]]/VLOOKUP(Table_NFI[[#This Row],[Camp Name]],CL,4,0),"")</f>
        <v>0</v>
      </c>
      <c r="AT841" s="769" t="s">
        <v>1099</v>
      </c>
      <c r="AU841" s="773"/>
    </row>
    <row r="842" spans="1:47" s="774" customFormat="1" x14ac:dyDescent="0.25">
      <c r="A842" s="451">
        <f t="shared" si="13"/>
        <v>45.766666666666666</v>
      </c>
      <c r="B842" s="768">
        <v>40997</v>
      </c>
      <c r="C842" s="769" t="s">
        <v>454</v>
      </c>
      <c r="D842" s="770" t="s">
        <v>454</v>
      </c>
      <c r="E842" s="769" t="s">
        <v>380</v>
      </c>
      <c r="F842" s="435" t="s">
        <v>185</v>
      </c>
      <c r="G842" s="435" t="s">
        <v>219</v>
      </c>
      <c r="H842" s="436"/>
      <c r="I842" s="436"/>
      <c r="J842" s="436"/>
      <c r="K842" s="436">
        <v>0</v>
      </c>
      <c r="L842" s="437">
        <v>50</v>
      </c>
      <c r="M842" s="437">
        <v>0</v>
      </c>
      <c r="N842" s="437">
        <v>0</v>
      </c>
      <c r="O842" s="437">
        <v>0</v>
      </c>
      <c r="P842" s="437"/>
      <c r="Q842" s="437"/>
      <c r="R842" s="436"/>
      <c r="S842" s="436"/>
      <c r="T842" s="436"/>
      <c r="U842" s="436"/>
      <c r="V842" s="436"/>
      <c r="W842" s="436"/>
      <c r="X842" s="436"/>
      <c r="Y842" s="436">
        <f>IF(NFI_Expiration=1,IF($A842&lt;VLOOKUP(H$5,NFI,5,0),1,0)*Table_NFI[[#This Row],[Hygiene Kit]],Table_NFI[Hygiene Kit])</f>
        <v>0</v>
      </c>
      <c r="Z842" s="436">
        <f>IF(NFI_Expiration=1,IF($A842&lt;VLOOKUP(I$5,NFI,5,0),1,0)*Table_NFI[[#This Row],[NFI Core Kit]],Table_NFI[NFI Core Kit])</f>
        <v>0</v>
      </c>
      <c r="AA842" s="436">
        <f>IF(NFI_Expiration=1,IF($A842&lt;VLOOKUP(J$5,NFI,5,0),1,0)*Table_NFI[[#This Row],[Sanitary Kit]],Table_NFI[Sanitary Kit])</f>
        <v>0</v>
      </c>
      <c r="AB842" s="436">
        <f>IF(NFI_Expiration=1,IF($A842&lt;VLOOKUP(K$5,NFI,5,0),1,0)*Table_NFI[[#This Row],[Mosquito net]],Table_NFI[Mosquito net])</f>
        <v>0</v>
      </c>
      <c r="AC842" s="436">
        <f>IF(NFI_Expiration=1,IF($A842&lt;VLOOKUP(L$5,NFI,5,0),1,0)*Table_NFI[[#This Row],[Tarpaulin]],Table_NFI[[#This Row],[Tarpaulin]])</f>
        <v>0</v>
      </c>
      <c r="AD842" s="436">
        <f>IF(NFI_Expiration=1,IF($A842&lt;VLOOKUP(M$5,NFI,5,0),1,0)*Table_NFI[[#This Row],[Blanket]],Table_NFI[[#This Row],[Blanket]])</f>
        <v>0</v>
      </c>
      <c r="AE842" s="436">
        <f>IF(NFI_Expiration=1,IF($A842&lt;VLOOKUP(N$5,NFI,5,0),1,0)*Table_NFI[[#This Row],[Kitchen Set]],Table_NFI[Kitchen Set])</f>
        <v>0</v>
      </c>
      <c r="AF842" s="436">
        <f>IF(NFI_Expiration=1,IF($A842&lt;VLOOKUP(O$5,NFI,5,0),1,0)*Table_NFI[[#This Row],[Clothes Kit]],Table_NFI[Clothes Kit])</f>
        <v>0</v>
      </c>
      <c r="AG842" s="436">
        <f>IF(NFI_Expiration=1,IF($A842&lt;VLOOKUP(P$5,NFI,5,0),1,0)*Table_NFI[[#This Row],[Plastic Bucket]],Table_NFI[Plastic Bucket])</f>
        <v>0</v>
      </c>
      <c r="AH842" s="436">
        <f>IF(NFI_Expiration=1,IF($A842&lt;VLOOKUP(Q$5,NFI,5,0),1,0)*Table_NFI[[#This Row],[Plastic Mat]],Table_NFI[Plastic Mat])*IF(Table_NFI[[#This Row],[Distribution Date]]&gt;"2014-04-01",1,2.5)</f>
        <v>0</v>
      </c>
      <c r="AI842" s="436">
        <f>IF(NFI_Expiration=1,IF($A842&lt;VLOOKUP(R$5,NFI,5,0),1,0)*Table_NFI[[#This Row],[Winter Clothes Adult]],Table_NFI[Winter Clothes Adult])</f>
        <v>0</v>
      </c>
      <c r="AJ842" s="436">
        <f>IF(NFI_Expiration=1,IF($A842&lt;VLOOKUP(S$5,NFI,5,0),1,0)*Table_NFI[[#This Row],[Winter Clothes Children]],Table_NFI[Winter Clothes Children])</f>
        <v>0</v>
      </c>
      <c r="AK842" s="436">
        <f>IF(NFI_Expiration=1,IF($A842&lt;VLOOKUP(T$5,NFI,5,0),1,0)*Table_NFI[[#This Row],[Winter Items Other]],Table_NFI[Winter Items Other])</f>
        <v>0</v>
      </c>
      <c r="AL842" s="436">
        <f>IF(NFI_Expiration=1,IF($A842&lt;VLOOKUP(M$5,NFI,5,0),1,0)*Table_NFI[[#This Row],[Winter Blanket]],Table_NFI[[#This Row],[Winter Blanket]])</f>
        <v>0</v>
      </c>
      <c r="AM842" s="436">
        <f>IF(Table_NFI[[#This Row],[Winter Clothes Adult]]+Table_NFI[[#This Row],[Winter Clothes Children]]+Table_NFI[[#This Row],[Winter Items Other]]+Table_NFI[[#This Row],[Winter Blanket]]&gt;0,1,0)</f>
        <v>0</v>
      </c>
      <c r="AN842" s="439">
        <f>IF(NFI_Expiration=1,IF($A842&lt;VLOOKUP(V$5,NFI,5,0),1,0)*Table_NFI[[#This Row],[Jerry Can]],Table_NFI[Jerry Can])</f>
        <v>0</v>
      </c>
      <c r="AO842" s="771" t="str">
        <f>IFERROR(VLOOKUP(Table_NFI[[#This Row],[Camp Name]],CL,2,0),"")</f>
        <v>MMR001CMP126</v>
      </c>
      <c r="AP842" s="772">
        <f ca="1">IF(Table_NFI[[#This Row],[Pcode]]="","",IF(OFFSET(CampList[Opening Date],MATCH(Table_NFI[[#This Row],[Pcode]],CampList[CP_Pcode],0)-1,0,1,1)&gt;=NFI_Monitor_Date,1,0))</f>
        <v>0</v>
      </c>
      <c r="AQ842" s="781" t="str">
        <f>IFERROR(VLOOKUP(Table_NFI[[#This Row],[Camp Name]],CL,3,0),"")</f>
        <v>Open</v>
      </c>
      <c r="AR842" s="439" t="str">
        <f ca="1">IF(Table_NFI[[#This Row],[Pcode]]="","",OFFSET(CampList[Priority],MATCH(Table_NFI[[#This Row],[Pcode]],CampList[CP_Pcode],0)-1,0,1,1))</f>
        <v>P2</v>
      </c>
      <c r="AS842" s="438">
        <f>IFERROR(Table_NFI[[#This Row],[Kitchen Set]]/VLOOKUP(Table_NFI[[#This Row],[Camp Name]],CL,4,0),"")</f>
        <v>0</v>
      </c>
      <c r="AT842" s="769" t="s">
        <v>1099</v>
      </c>
      <c r="AU842" s="773"/>
    </row>
    <row r="843" spans="1:47" s="774" customFormat="1" x14ac:dyDescent="0.25">
      <c r="A843" s="451">
        <f t="shared" si="13"/>
        <v>45.766666666666666</v>
      </c>
      <c r="B843" s="768">
        <v>40997</v>
      </c>
      <c r="C843" s="769" t="s">
        <v>454</v>
      </c>
      <c r="D843" s="770" t="s">
        <v>454</v>
      </c>
      <c r="E843" s="769" t="s">
        <v>380</v>
      </c>
      <c r="F843" s="435" t="s">
        <v>185</v>
      </c>
      <c r="G843" s="435" t="s">
        <v>225</v>
      </c>
      <c r="H843" s="436"/>
      <c r="I843" s="436"/>
      <c r="J843" s="436"/>
      <c r="K843" s="436">
        <v>66</v>
      </c>
      <c r="L843" s="437">
        <v>66</v>
      </c>
      <c r="M843" s="437">
        <v>0</v>
      </c>
      <c r="N843" s="437">
        <v>0</v>
      </c>
      <c r="O843" s="437">
        <v>0</v>
      </c>
      <c r="P843" s="437"/>
      <c r="Q843" s="437"/>
      <c r="R843" s="436"/>
      <c r="S843" s="436"/>
      <c r="T843" s="436"/>
      <c r="U843" s="436"/>
      <c r="V843" s="436"/>
      <c r="W843" s="436"/>
      <c r="X843" s="436"/>
      <c r="Y843" s="436">
        <f>IF(NFI_Expiration=1,IF($A843&lt;VLOOKUP(H$5,NFI,5,0),1,0)*Table_NFI[[#This Row],[Hygiene Kit]],Table_NFI[Hygiene Kit])</f>
        <v>0</v>
      </c>
      <c r="Z843" s="436">
        <f>IF(NFI_Expiration=1,IF($A843&lt;VLOOKUP(I$5,NFI,5,0),1,0)*Table_NFI[[#This Row],[NFI Core Kit]],Table_NFI[NFI Core Kit])</f>
        <v>0</v>
      </c>
      <c r="AA843" s="436">
        <f>IF(NFI_Expiration=1,IF($A843&lt;VLOOKUP(J$5,NFI,5,0),1,0)*Table_NFI[[#This Row],[Sanitary Kit]],Table_NFI[Sanitary Kit])</f>
        <v>0</v>
      </c>
      <c r="AB843" s="436">
        <f>IF(NFI_Expiration=1,IF($A843&lt;VLOOKUP(K$5,NFI,5,0),1,0)*Table_NFI[[#This Row],[Mosquito net]],Table_NFI[Mosquito net])</f>
        <v>0</v>
      </c>
      <c r="AC843" s="436">
        <f>IF(NFI_Expiration=1,IF($A843&lt;VLOOKUP(L$5,NFI,5,0),1,0)*Table_NFI[[#This Row],[Tarpaulin]],Table_NFI[[#This Row],[Tarpaulin]])</f>
        <v>0</v>
      </c>
      <c r="AD843" s="436">
        <f>IF(NFI_Expiration=1,IF($A843&lt;VLOOKUP(M$5,NFI,5,0),1,0)*Table_NFI[[#This Row],[Blanket]],Table_NFI[[#This Row],[Blanket]])</f>
        <v>0</v>
      </c>
      <c r="AE843" s="436">
        <f>IF(NFI_Expiration=1,IF($A843&lt;VLOOKUP(N$5,NFI,5,0),1,0)*Table_NFI[[#This Row],[Kitchen Set]],Table_NFI[Kitchen Set])</f>
        <v>0</v>
      </c>
      <c r="AF843" s="436">
        <f>IF(NFI_Expiration=1,IF($A843&lt;VLOOKUP(O$5,NFI,5,0),1,0)*Table_NFI[[#This Row],[Clothes Kit]],Table_NFI[Clothes Kit])</f>
        <v>0</v>
      </c>
      <c r="AG843" s="436">
        <f>IF(NFI_Expiration=1,IF($A843&lt;VLOOKUP(P$5,NFI,5,0),1,0)*Table_NFI[[#This Row],[Plastic Bucket]],Table_NFI[Plastic Bucket])</f>
        <v>0</v>
      </c>
      <c r="AH843" s="436">
        <f>IF(NFI_Expiration=1,IF($A843&lt;VLOOKUP(Q$5,NFI,5,0),1,0)*Table_NFI[[#This Row],[Plastic Mat]],Table_NFI[Plastic Mat])*IF(Table_NFI[[#This Row],[Distribution Date]]&gt;"2014-04-01",1,2.5)</f>
        <v>0</v>
      </c>
      <c r="AI843" s="436">
        <f>IF(NFI_Expiration=1,IF($A843&lt;VLOOKUP(R$5,NFI,5,0),1,0)*Table_NFI[[#This Row],[Winter Clothes Adult]],Table_NFI[Winter Clothes Adult])</f>
        <v>0</v>
      </c>
      <c r="AJ843" s="436">
        <f>IF(NFI_Expiration=1,IF($A843&lt;VLOOKUP(S$5,NFI,5,0),1,0)*Table_NFI[[#This Row],[Winter Clothes Children]],Table_NFI[Winter Clothes Children])</f>
        <v>0</v>
      </c>
      <c r="AK843" s="436">
        <f>IF(NFI_Expiration=1,IF($A843&lt;VLOOKUP(T$5,NFI,5,0),1,0)*Table_NFI[[#This Row],[Winter Items Other]],Table_NFI[Winter Items Other])</f>
        <v>0</v>
      </c>
      <c r="AL843" s="436">
        <f>IF(NFI_Expiration=1,IF($A843&lt;VLOOKUP(M$5,NFI,5,0),1,0)*Table_NFI[[#This Row],[Winter Blanket]],Table_NFI[[#This Row],[Winter Blanket]])</f>
        <v>0</v>
      </c>
      <c r="AM843" s="436">
        <f>IF(Table_NFI[[#This Row],[Winter Clothes Adult]]+Table_NFI[[#This Row],[Winter Clothes Children]]+Table_NFI[[#This Row],[Winter Items Other]]+Table_NFI[[#This Row],[Winter Blanket]]&gt;0,1,0)</f>
        <v>0</v>
      </c>
      <c r="AN843" s="439">
        <f>IF(NFI_Expiration=1,IF($A843&lt;VLOOKUP(V$5,NFI,5,0),1,0)*Table_NFI[[#This Row],[Jerry Can]],Table_NFI[Jerry Can])</f>
        <v>0</v>
      </c>
      <c r="AO843" s="771" t="str">
        <f>IFERROR(VLOOKUP(Table_NFI[[#This Row],[Camp Name]],CL,2,0),"")</f>
        <v>MMR001CMP073</v>
      </c>
      <c r="AP843" s="772">
        <f ca="1">IF(Table_NFI[[#This Row],[Pcode]]="","",IF(OFFSET(CampList[Opening Date],MATCH(Table_NFI[[#This Row],[Pcode]],CampList[CP_Pcode],0)-1,0,1,1)&gt;=NFI_Monitor_Date,1,0))</f>
        <v>0</v>
      </c>
      <c r="AQ843" s="781" t="str">
        <f>IFERROR(VLOOKUP(Table_NFI[[#This Row],[Camp Name]],CL,3,0),"")</f>
        <v>Open</v>
      </c>
      <c r="AR843" s="439" t="str">
        <f ca="1">IF(Table_NFI[[#This Row],[Pcode]]="","",OFFSET(CampList[Priority],MATCH(Table_NFI[[#This Row],[Pcode]],CampList[CP_Pcode],0)-1,0,1,1))</f>
        <v>P3</v>
      </c>
      <c r="AS843" s="438">
        <f>IFERROR(Table_NFI[[#This Row],[Kitchen Set]]/VLOOKUP(Table_NFI[[#This Row],[Camp Name]],CL,4,0),"")</f>
        <v>0</v>
      </c>
      <c r="AT843" s="769" t="s">
        <v>1099</v>
      </c>
      <c r="AU843" s="773"/>
    </row>
    <row r="844" spans="1:47" s="774" customFormat="1" x14ac:dyDescent="0.25">
      <c r="A844" s="451">
        <f t="shared" si="13"/>
        <v>45.8</v>
      </c>
      <c r="B844" s="768">
        <v>40996</v>
      </c>
      <c r="C844" s="769" t="s">
        <v>454</v>
      </c>
      <c r="D844" s="770" t="s">
        <v>454</v>
      </c>
      <c r="E844" s="769" t="s">
        <v>380</v>
      </c>
      <c r="F844" s="435" t="s">
        <v>185</v>
      </c>
      <c r="G844" s="435" t="s">
        <v>920</v>
      </c>
      <c r="H844" s="436"/>
      <c r="I844" s="436"/>
      <c r="J844" s="436"/>
      <c r="K844" s="436">
        <v>217</v>
      </c>
      <c r="L844" s="437">
        <v>217</v>
      </c>
      <c r="M844" s="437">
        <v>0</v>
      </c>
      <c r="N844" s="437">
        <v>0</v>
      </c>
      <c r="O844" s="437">
        <v>0</v>
      </c>
      <c r="P844" s="437"/>
      <c r="Q844" s="437"/>
      <c r="R844" s="436"/>
      <c r="S844" s="436"/>
      <c r="T844" s="436"/>
      <c r="U844" s="436"/>
      <c r="V844" s="436"/>
      <c r="W844" s="436"/>
      <c r="X844" s="436"/>
      <c r="Y844" s="436">
        <f>IF(NFI_Expiration=1,IF($A844&lt;VLOOKUP(H$5,NFI,5,0),1,0)*Table_NFI[[#This Row],[Hygiene Kit]],Table_NFI[Hygiene Kit])</f>
        <v>0</v>
      </c>
      <c r="Z844" s="436">
        <f>IF(NFI_Expiration=1,IF($A844&lt;VLOOKUP(I$5,NFI,5,0),1,0)*Table_NFI[[#This Row],[NFI Core Kit]],Table_NFI[NFI Core Kit])</f>
        <v>0</v>
      </c>
      <c r="AA844" s="436">
        <f>IF(NFI_Expiration=1,IF($A844&lt;VLOOKUP(J$5,NFI,5,0),1,0)*Table_NFI[[#This Row],[Sanitary Kit]],Table_NFI[Sanitary Kit])</f>
        <v>0</v>
      </c>
      <c r="AB844" s="436">
        <f>IF(NFI_Expiration=1,IF($A844&lt;VLOOKUP(K$5,NFI,5,0),1,0)*Table_NFI[[#This Row],[Mosquito net]],Table_NFI[Mosquito net])</f>
        <v>0</v>
      </c>
      <c r="AC844" s="436">
        <f>IF(NFI_Expiration=1,IF($A844&lt;VLOOKUP(L$5,NFI,5,0),1,0)*Table_NFI[[#This Row],[Tarpaulin]],Table_NFI[[#This Row],[Tarpaulin]])</f>
        <v>0</v>
      </c>
      <c r="AD844" s="436">
        <f>IF(NFI_Expiration=1,IF($A844&lt;VLOOKUP(M$5,NFI,5,0),1,0)*Table_NFI[[#This Row],[Blanket]],Table_NFI[[#This Row],[Blanket]])</f>
        <v>0</v>
      </c>
      <c r="AE844" s="436">
        <f>IF(NFI_Expiration=1,IF($A844&lt;VLOOKUP(N$5,NFI,5,0),1,0)*Table_NFI[[#This Row],[Kitchen Set]],Table_NFI[Kitchen Set])</f>
        <v>0</v>
      </c>
      <c r="AF844" s="436">
        <f>IF(NFI_Expiration=1,IF($A844&lt;VLOOKUP(O$5,NFI,5,0),1,0)*Table_NFI[[#This Row],[Clothes Kit]],Table_NFI[Clothes Kit])</f>
        <v>0</v>
      </c>
      <c r="AG844" s="436">
        <f>IF(NFI_Expiration=1,IF($A844&lt;VLOOKUP(P$5,NFI,5,0),1,0)*Table_NFI[[#This Row],[Plastic Bucket]],Table_NFI[Plastic Bucket])</f>
        <v>0</v>
      </c>
      <c r="AH844" s="436">
        <f>IF(NFI_Expiration=1,IF($A844&lt;VLOOKUP(Q$5,NFI,5,0),1,0)*Table_NFI[[#This Row],[Plastic Mat]],Table_NFI[Plastic Mat])*IF(Table_NFI[[#This Row],[Distribution Date]]&gt;"2014-04-01",1,2.5)</f>
        <v>0</v>
      </c>
      <c r="AI844" s="436">
        <f>IF(NFI_Expiration=1,IF($A844&lt;VLOOKUP(R$5,NFI,5,0),1,0)*Table_NFI[[#This Row],[Winter Clothes Adult]],Table_NFI[Winter Clothes Adult])</f>
        <v>0</v>
      </c>
      <c r="AJ844" s="436">
        <f>IF(NFI_Expiration=1,IF($A844&lt;VLOOKUP(S$5,NFI,5,0),1,0)*Table_NFI[[#This Row],[Winter Clothes Children]],Table_NFI[Winter Clothes Children])</f>
        <v>0</v>
      </c>
      <c r="AK844" s="436">
        <f>IF(NFI_Expiration=1,IF($A844&lt;VLOOKUP(T$5,NFI,5,0),1,0)*Table_NFI[[#This Row],[Winter Items Other]],Table_NFI[Winter Items Other])</f>
        <v>0</v>
      </c>
      <c r="AL844" s="436">
        <f>IF(NFI_Expiration=1,IF($A844&lt;VLOOKUP(M$5,NFI,5,0),1,0)*Table_NFI[[#This Row],[Winter Blanket]],Table_NFI[[#This Row],[Winter Blanket]])</f>
        <v>0</v>
      </c>
      <c r="AM844" s="436">
        <f>IF(Table_NFI[[#This Row],[Winter Clothes Adult]]+Table_NFI[[#This Row],[Winter Clothes Children]]+Table_NFI[[#This Row],[Winter Items Other]]+Table_NFI[[#This Row],[Winter Blanket]]&gt;0,1,0)</f>
        <v>0</v>
      </c>
      <c r="AN844" s="439">
        <f>IF(NFI_Expiration=1,IF($A844&lt;VLOOKUP(V$5,NFI,5,0),1,0)*Table_NFI[[#This Row],[Jerry Can]],Table_NFI[Jerry Can])</f>
        <v>0</v>
      </c>
      <c r="AO844" s="771" t="str">
        <f>IFERROR(VLOOKUP(Table_NFI[[#This Row],[Camp Name]],CL,2,0),"")</f>
        <v/>
      </c>
      <c r="AP844" s="772" t="str">
        <f ca="1">IF(Table_NFI[[#This Row],[Pcode]]="","",IF(OFFSET(CampList[Opening Date],MATCH(Table_NFI[[#This Row],[Pcode]],CampList[CP_Pcode],0)-1,0,1,1)&gt;=NFI_Monitor_Date,1,0))</f>
        <v/>
      </c>
      <c r="AQ844" s="781" t="str">
        <f>IFERROR(VLOOKUP(Table_NFI[[#This Row],[Camp Name]],CL,3,0),"")</f>
        <v/>
      </c>
      <c r="AR844" s="439" t="str">
        <f ca="1">IF(Table_NFI[[#This Row],[Pcode]]="","",OFFSET(CampList[Priority],MATCH(Table_NFI[[#This Row],[Pcode]],CampList[CP_Pcode],0)-1,0,1,1))</f>
        <v/>
      </c>
      <c r="AS844" s="438" t="str">
        <f>IFERROR(Table_NFI[[#This Row],[Kitchen Set]]/VLOOKUP(Table_NFI[[#This Row],[Camp Name]],CL,4,0),"")</f>
        <v/>
      </c>
      <c r="AT844" s="769" t="s">
        <v>1099</v>
      </c>
      <c r="AU844" s="773"/>
    </row>
    <row r="845" spans="1:47" s="774" customFormat="1" x14ac:dyDescent="0.25">
      <c r="A845" s="451">
        <f t="shared" si="13"/>
        <v>45.833333333333336</v>
      </c>
      <c r="B845" s="768">
        <v>40995</v>
      </c>
      <c r="C845" s="769" t="s">
        <v>454</v>
      </c>
      <c r="D845" s="770" t="s">
        <v>454</v>
      </c>
      <c r="E845" s="769" t="s">
        <v>380</v>
      </c>
      <c r="F845" s="435" t="s">
        <v>185</v>
      </c>
      <c r="G845" s="435" t="s">
        <v>919</v>
      </c>
      <c r="H845" s="436"/>
      <c r="I845" s="436"/>
      <c r="J845" s="436"/>
      <c r="K845" s="436">
        <v>52</v>
      </c>
      <c r="L845" s="437">
        <v>52</v>
      </c>
      <c r="M845" s="437">
        <v>0</v>
      </c>
      <c r="N845" s="437">
        <v>0</v>
      </c>
      <c r="O845" s="437">
        <v>0</v>
      </c>
      <c r="P845" s="437"/>
      <c r="Q845" s="437"/>
      <c r="R845" s="436"/>
      <c r="S845" s="436"/>
      <c r="T845" s="436"/>
      <c r="U845" s="436"/>
      <c r="V845" s="436"/>
      <c r="W845" s="436"/>
      <c r="X845" s="436"/>
      <c r="Y845" s="436">
        <f>IF(NFI_Expiration=1,IF($A845&lt;VLOOKUP(H$5,NFI,5,0),1,0)*Table_NFI[[#This Row],[Hygiene Kit]],Table_NFI[Hygiene Kit])</f>
        <v>0</v>
      </c>
      <c r="Z845" s="436">
        <f>IF(NFI_Expiration=1,IF($A845&lt;VLOOKUP(I$5,NFI,5,0),1,0)*Table_NFI[[#This Row],[NFI Core Kit]],Table_NFI[NFI Core Kit])</f>
        <v>0</v>
      </c>
      <c r="AA845" s="436">
        <f>IF(NFI_Expiration=1,IF($A845&lt;VLOOKUP(J$5,NFI,5,0),1,0)*Table_NFI[[#This Row],[Sanitary Kit]],Table_NFI[Sanitary Kit])</f>
        <v>0</v>
      </c>
      <c r="AB845" s="436">
        <f>IF(NFI_Expiration=1,IF($A845&lt;VLOOKUP(K$5,NFI,5,0),1,0)*Table_NFI[[#This Row],[Mosquito net]],Table_NFI[Mosquito net])</f>
        <v>0</v>
      </c>
      <c r="AC845" s="436">
        <f>IF(NFI_Expiration=1,IF($A845&lt;VLOOKUP(L$5,NFI,5,0),1,0)*Table_NFI[[#This Row],[Tarpaulin]],Table_NFI[[#This Row],[Tarpaulin]])</f>
        <v>0</v>
      </c>
      <c r="AD845" s="436">
        <f>IF(NFI_Expiration=1,IF($A845&lt;VLOOKUP(M$5,NFI,5,0),1,0)*Table_NFI[[#This Row],[Blanket]],Table_NFI[[#This Row],[Blanket]])</f>
        <v>0</v>
      </c>
      <c r="AE845" s="436">
        <f>IF(NFI_Expiration=1,IF($A845&lt;VLOOKUP(N$5,NFI,5,0),1,0)*Table_NFI[[#This Row],[Kitchen Set]],Table_NFI[Kitchen Set])</f>
        <v>0</v>
      </c>
      <c r="AF845" s="436">
        <f>IF(NFI_Expiration=1,IF($A845&lt;VLOOKUP(O$5,NFI,5,0),1,0)*Table_NFI[[#This Row],[Clothes Kit]],Table_NFI[Clothes Kit])</f>
        <v>0</v>
      </c>
      <c r="AG845" s="436">
        <f>IF(NFI_Expiration=1,IF($A845&lt;VLOOKUP(P$5,NFI,5,0),1,0)*Table_NFI[[#This Row],[Plastic Bucket]],Table_NFI[Plastic Bucket])</f>
        <v>0</v>
      </c>
      <c r="AH845" s="436">
        <f>IF(NFI_Expiration=1,IF($A845&lt;VLOOKUP(Q$5,NFI,5,0),1,0)*Table_NFI[[#This Row],[Plastic Mat]],Table_NFI[Plastic Mat])*IF(Table_NFI[[#This Row],[Distribution Date]]&gt;"2014-04-01",1,2.5)</f>
        <v>0</v>
      </c>
      <c r="AI845" s="436">
        <f>IF(NFI_Expiration=1,IF($A845&lt;VLOOKUP(R$5,NFI,5,0),1,0)*Table_NFI[[#This Row],[Winter Clothes Adult]],Table_NFI[Winter Clothes Adult])</f>
        <v>0</v>
      </c>
      <c r="AJ845" s="436">
        <f>IF(NFI_Expiration=1,IF($A845&lt;VLOOKUP(S$5,NFI,5,0),1,0)*Table_NFI[[#This Row],[Winter Clothes Children]],Table_NFI[Winter Clothes Children])</f>
        <v>0</v>
      </c>
      <c r="AK845" s="436">
        <f>IF(NFI_Expiration=1,IF($A845&lt;VLOOKUP(T$5,NFI,5,0),1,0)*Table_NFI[[#This Row],[Winter Items Other]],Table_NFI[Winter Items Other])</f>
        <v>0</v>
      </c>
      <c r="AL845" s="436">
        <f>IF(NFI_Expiration=1,IF($A845&lt;VLOOKUP(M$5,NFI,5,0),1,0)*Table_NFI[[#This Row],[Winter Blanket]],Table_NFI[[#This Row],[Winter Blanket]])</f>
        <v>0</v>
      </c>
      <c r="AM845" s="436">
        <f>IF(Table_NFI[[#This Row],[Winter Clothes Adult]]+Table_NFI[[#This Row],[Winter Clothes Children]]+Table_NFI[[#This Row],[Winter Items Other]]+Table_NFI[[#This Row],[Winter Blanket]]&gt;0,1,0)</f>
        <v>0</v>
      </c>
      <c r="AN845" s="439">
        <f>IF(NFI_Expiration=1,IF($A845&lt;VLOOKUP(V$5,NFI,5,0),1,0)*Table_NFI[[#This Row],[Jerry Can]],Table_NFI[Jerry Can])</f>
        <v>0</v>
      </c>
      <c r="AO845" s="771" t="str">
        <f>IFERROR(VLOOKUP(Table_NFI[[#This Row],[Camp Name]],CL,2,0),"")</f>
        <v/>
      </c>
      <c r="AP845" s="772" t="str">
        <f ca="1">IF(Table_NFI[[#This Row],[Pcode]]="","",IF(OFFSET(CampList[Opening Date],MATCH(Table_NFI[[#This Row],[Pcode]],CampList[CP_Pcode],0)-1,0,1,1)&gt;=NFI_Monitor_Date,1,0))</f>
        <v/>
      </c>
      <c r="AQ845" s="781" t="str">
        <f>IFERROR(VLOOKUP(Table_NFI[[#This Row],[Camp Name]],CL,3,0),"")</f>
        <v/>
      </c>
      <c r="AR845" s="439" t="str">
        <f ca="1">IF(Table_NFI[[#This Row],[Pcode]]="","",OFFSET(CampList[Priority],MATCH(Table_NFI[[#This Row],[Pcode]],CampList[CP_Pcode],0)-1,0,1,1))</f>
        <v/>
      </c>
      <c r="AS845" s="438" t="str">
        <f>IFERROR(Table_NFI[[#This Row],[Kitchen Set]]/VLOOKUP(Table_NFI[[#This Row],[Camp Name]],CL,4,0),"")</f>
        <v/>
      </c>
      <c r="AT845" s="769" t="s">
        <v>1099</v>
      </c>
      <c r="AU845" s="773"/>
    </row>
    <row r="846" spans="1:47" x14ac:dyDescent="0.25">
      <c r="A846" s="451">
        <f t="shared" si="13"/>
        <v>45.833333333333336</v>
      </c>
      <c r="B846" s="768">
        <v>40995</v>
      </c>
      <c r="C846" s="769" t="s">
        <v>454</v>
      </c>
      <c r="D846" s="770" t="s">
        <v>454</v>
      </c>
      <c r="E846" s="769" t="s">
        <v>380</v>
      </c>
      <c r="F846" s="435" t="s">
        <v>5</v>
      </c>
      <c r="G846" s="435" t="s">
        <v>6</v>
      </c>
      <c r="H846" s="436"/>
      <c r="I846" s="436"/>
      <c r="J846" s="436"/>
      <c r="K846" s="436">
        <v>560</v>
      </c>
      <c r="L846" s="437">
        <v>280</v>
      </c>
      <c r="M846" s="437">
        <v>560</v>
      </c>
      <c r="N846" s="437">
        <v>280</v>
      </c>
      <c r="O846" s="437">
        <v>280</v>
      </c>
      <c r="P846" s="437">
        <v>280</v>
      </c>
      <c r="Q846" s="437">
        <v>280</v>
      </c>
      <c r="R846" s="436"/>
      <c r="S846" s="436"/>
      <c r="T846" s="436"/>
      <c r="U846" s="436"/>
      <c r="V846" s="436"/>
      <c r="W846" s="436"/>
      <c r="X846" s="436"/>
      <c r="Y846" s="436">
        <f>IF(NFI_Expiration=1,IF($A846&lt;VLOOKUP(H$5,NFI,5,0),1,0)*Table_NFI[[#This Row],[Hygiene Kit]],Table_NFI[Hygiene Kit])</f>
        <v>0</v>
      </c>
      <c r="Z846" s="436">
        <f>IF(NFI_Expiration=1,IF($A846&lt;VLOOKUP(I$5,NFI,5,0),1,0)*Table_NFI[[#This Row],[NFI Core Kit]],Table_NFI[NFI Core Kit])</f>
        <v>0</v>
      </c>
      <c r="AA846" s="436">
        <f>IF(NFI_Expiration=1,IF($A846&lt;VLOOKUP(J$5,NFI,5,0),1,0)*Table_NFI[[#This Row],[Sanitary Kit]],Table_NFI[Sanitary Kit])</f>
        <v>0</v>
      </c>
      <c r="AB846" s="436">
        <f>IF(NFI_Expiration=1,IF($A846&lt;VLOOKUP(K$5,NFI,5,0),1,0)*Table_NFI[[#This Row],[Mosquito net]],Table_NFI[Mosquito net])</f>
        <v>0</v>
      </c>
      <c r="AC846" s="436">
        <f>IF(NFI_Expiration=1,IF($A846&lt;VLOOKUP(L$5,NFI,5,0),1,0)*Table_NFI[[#This Row],[Tarpaulin]],Table_NFI[[#This Row],[Tarpaulin]])</f>
        <v>0</v>
      </c>
      <c r="AD846" s="436">
        <f>IF(NFI_Expiration=1,IF($A846&lt;VLOOKUP(M$5,NFI,5,0),1,0)*Table_NFI[[#This Row],[Blanket]],Table_NFI[[#This Row],[Blanket]])</f>
        <v>0</v>
      </c>
      <c r="AE846" s="436">
        <f>IF(NFI_Expiration=1,IF($A846&lt;VLOOKUP(N$5,NFI,5,0),1,0)*Table_NFI[[#This Row],[Kitchen Set]],Table_NFI[Kitchen Set])</f>
        <v>0</v>
      </c>
      <c r="AF846" s="436">
        <f>IF(NFI_Expiration=1,IF($A846&lt;VLOOKUP(O$5,NFI,5,0),1,0)*Table_NFI[[#This Row],[Clothes Kit]],Table_NFI[Clothes Kit])</f>
        <v>0</v>
      </c>
      <c r="AG846" s="436">
        <f>IF(NFI_Expiration=1,IF($A846&lt;VLOOKUP(P$5,NFI,5,0),1,0)*Table_NFI[[#This Row],[Plastic Bucket]],Table_NFI[Plastic Bucket])</f>
        <v>0</v>
      </c>
      <c r="AH846" s="436">
        <f>IF(NFI_Expiration=1,IF($A846&lt;VLOOKUP(Q$5,NFI,5,0),1,0)*Table_NFI[[#This Row],[Plastic Mat]],Table_NFI[Plastic Mat])*IF(Table_NFI[[#This Row],[Distribution Date]]&gt;"2014-04-01",1,2.5)</f>
        <v>0</v>
      </c>
      <c r="AI846" s="436">
        <f>IF(NFI_Expiration=1,IF($A846&lt;VLOOKUP(R$5,NFI,5,0),1,0)*Table_NFI[[#This Row],[Winter Clothes Adult]],Table_NFI[Winter Clothes Adult])</f>
        <v>0</v>
      </c>
      <c r="AJ846" s="436">
        <f>IF(NFI_Expiration=1,IF($A846&lt;VLOOKUP(S$5,NFI,5,0),1,0)*Table_NFI[[#This Row],[Winter Clothes Children]],Table_NFI[Winter Clothes Children])</f>
        <v>0</v>
      </c>
      <c r="AK846" s="436">
        <f>IF(NFI_Expiration=1,IF($A846&lt;VLOOKUP(T$5,NFI,5,0),1,0)*Table_NFI[[#This Row],[Winter Items Other]],Table_NFI[Winter Items Other])</f>
        <v>0</v>
      </c>
      <c r="AL846" s="436">
        <f>IF(NFI_Expiration=1,IF($A846&lt;VLOOKUP(M$5,NFI,5,0),1,0)*Table_NFI[[#This Row],[Winter Blanket]],Table_NFI[[#This Row],[Winter Blanket]])</f>
        <v>0</v>
      </c>
      <c r="AM846" s="436">
        <f>IF(Table_NFI[[#This Row],[Winter Clothes Adult]]+Table_NFI[[#This Row],[Winter Clothes Children]]+Table_NFI[[#This Row],[Winter Items Other]]+Table_NFI[[#This Row],[Winter Blanket]]&gt;0,1,0)</f>
        <v>0</v>
      </c>
      <c r="AN846" s="439">
        <f>IF(NFI_Expiration=1,IF($A846&lt;VLOOKUP(V$5,NFI,5,0),1,0)*Table_NFI[[#This Row],[Jerry Can]],Table_NFI[Jerry Can])</f>
        <v>0</v>
      </c>
      <c r="AO846" s="771" t="str">
        <f>IFERROR(VLOOKUP(Table_NFI[[#This Row],[Camp Name]],CL,2,0),"")</f>
        <v>MMR001CMP050</v>
      </c>
      <c r="AP846" s="772">
        <f ca="1">IF(Table_NFI[[#This Row],[Pcode]]="","",IF(OFFSET(CampList[Opening Date],MATCH(Table_NFI[[#This Row],[Pcode]],CampList[CP_Pcode],0)-1,0,1,1)&gt;=NFI_Monitor_Date,1,0))</f>
        <v>0</v>
      </c>
      <c r="AQ846" s="781" t="str">
        <f>IFERROR(VLOOKUP(Table_NFI[[#This Row],[Camp Name]],CL,3,0),"")</f>
        <v>Open</v>
      </c>
      <c r="AR846" s="439" t="str">
        <f ca="1">IF(Table_NFI[[#This Row],[Pcode]]="","",OFFSET(CampList[Priority],MATCH(Table_NFI[[#This Row],[Pcode]],CampList[CP_Pcode],0)-1,0,1,1))</f>
        <v>P4</v>
      </c>
      <c r="AS846" s="438">
        <f>IFERROR(Table_NFI[[#This Row],[Kitchen Set]]/VLOOKUP(Table_NFI[[#This Row],[Camp Name]],CL,4,0),"")</f>
        <v>1.0218978102189782</v>
      </c>
      <c r="AT846" s="769" t="s">
        <v>1099</v>
      </c>
      <c r="AU846" s="773"/>
    </row>
    <row r="847" spans="1:47" x14ac:dyDescent="0.25">
      <c r="A847" s="451">
        <f t="shared" si="13"/>
        <v>45.833333333333336</v>
      </c>
      <c r="B847" s="768">
        <v>40995</v>
      </c>
      <c r="C847" s="769" t="s">
        <v>454</v>
      </c>
      <c r="D847" s="770" t="s">
        <v>454</v>
      </c>
      <c r="E847" s="769" t="s">
        <v>380</v>
      </c>
      <c r="F847" s="435" t="s">
        <v>310</v>
      </c>
      <c r="G847" s="435" t="s">
        <v>334</v>
      </c>
      <c r="H847" s="436"/>
      <c r="I847" s="436"/>
      <c r="J847" s="436"/>
      <c r="K847" s="436">
        <v>460</v>
      </c>
      <c r="L847" s="437">
        <v>228</v>
      </c>
      <c r="M847" s="437">
        <v>460</v>
      </c>
      <c r="N847" s="437">
        <v>228</v>
      </c>
      <c r="O847" s="437">
        <v>228</v>
      </c>
      <c r="P847" s="437">
        <v>228</v>
      </c>
      <c r="Q847" s="437">
        <v>228</v>
      </c>
      <c r="R847" s="436"/>
      <c r="S847" s="436"/>
      <c r="T847" s="436"/>
      <c r="U847" s="436"/>
      <c r="V847" s="436"/>
      <c r="W847" s="436"/>
      <c r="X847" s="436"/>
      <c r="Y847" s="436">
        <f>IF(NFI_Expiration=1,IF($A847&lt;VLOOKUP(H$5,NFI,5,0),1,0)*Table_NFI[[#This Row],[Hygiene Kit]],Table_NFI[Hygiene Kit])</f>
        <v>0</v>
      </c>
      <c r="Z847" s="436">
        <f>IF(NFI_Expiration=1,IF($A847&lt;VLOOKUP(I$5,NFI,5,0),1,0)*Table_NFI[[#This Row],[NFI Core Kit]],Table_NFI[NFI Core Kit])</f>
        <v>0</v>
      </c>
      <c r="AA847" s="436">
        <f>IF(NFI_Expiration=1,IF($A847&lt;VLOOKUP(J$5,NFI,5,0),1,0)*Table_NFI[[#This Row],[Sanitary Kit]],Table_NFI[Sanitary Kit])</f>
        <v>0</v>
      </c>
      <c r="AB847" s="436">
        <f>IF(NFI_Expiration=1,IF($A847&lt;VLOOKUP(K$5,NFI,5,0),1,0)*Table_NFI[[#This Row],[Mosquito net]],Table_NFI[Mosquito net])</f>
        <v>0</v>
      </c>
      <c r="AC847" s="436">
        <f>IF(NFI_Expiration=1,IF($A847&lt;VLOOKUP(L$5,NFI,5,0),1,0)*Table_NFI[[#This Row],[Tarpaulin]],Table_NFI[[#This Row],[Tarpaulin]])</f>
        <v>0</v>
      </c>
      <c r="AD847" s="436">
        <f>IF(NFI_Expiration=1,IF($A847&lt;VLOOKUP(M$5,NFI,5,0),1,0)*Table_NFI[[#This Row],[Blanket]],Table_NFI[[#This Row],[Blanket]])</f>
        <v>0</v>
      </c>
      <c r="AE847" s="436">
        <f>IF(NFI_Expiration=1,IF($A847&lt;VLOOKUP(N$5,NFI,5,0),1,0)*Table_NFI[[#This Row],[Kitchen Set]],Table_NFI[Kitchen Set])</f>
        <v>0</v>
      </c>
      <c r="AF847" s="436">
        <f>IF(NFI_Expiration=1,IF($A847&lt;VLOOKUP(O$5,NFI,5,0),1,0)*Table_NFI[[#This Row],[Clothes Kit]],Table_NFI[Clothes Kit])</f>
        <v>0</v>
      </c>
      <c r="AG847" s="436">
        <f>IF(NFI_Expiration=1,IF($A847&lt;VLOOKUP(P$5,NFI,5,0),1,0)*Table_NFI[[#This Row],[Plastic Bucket]],Table_NFI[Plastic Bucket])</f>
        <v>0</v>
      </c>
      <c r="AH847" s="436">
        <f>IF(NFI_Expiration=1,IF($A847&lt;VLOOKUP(Q$5,NFI,5,0),1,0)*Table_NFI[[#This Row],[Plastic Mat]],Table_NFI[Plastic Mat])*IF(Table_NFI[[#This Row],[Distribution Date]]&gt;"2014-04-01",1,2.5)</f>
        <v>0</v>
      </c>
      <c r="AI847" s="436">
        <f>IF(NFI_Expiration=1,IF($A847&lt;VLOOKUP(R$5,NFI,5,0),1,0)*Table_NFI[[#This Row],[Winter Clothes Adult]],Table_NFI[Winter Clothes Adult])</f>
        <v>0</v>
      </c>
      <c r="AJ847" s="436">
        <f>IF(NFI_Expiration=1,IF($A847&lt;VLOOKUP(S$5,NFI,5,0),1,0)*Table_NFI[[#This Row],[Winter Clothes Children]],Table_NFI[Winter Clothes Children])</f>
        <v>0</v>
      </c>
      <c r="AK847" s="436">
        <f>IF(NFI_Expiration=1,IF($A847&lt;VLOOKUP(T$5,NFI,5,0),1,0)*Table_NFI[[#This Row],[Winter Items Other]],Table_NFI[Winter Items Other])</f>
        <v>0</v>
      </c>
      <c r="AL847" s="436">
        <f>IF(NFI_Expiration=1,IF($A847&lt;VLOOKUP(M$5,NFI,5,0),1,0)*Table_NFI[[#This Row],[Winter Blanket]],Table_NFI[[#This Row],[Winter Blanket]])</f>
        <v>0</v>
      </c>
      <c r="AM847" s="436">
        <f>IF(Table_NFI[[#This Row],[Winter Clothes Adult]]+Table_NFI[[#This Row],[Winter Clothes Children]]+Table_NFI[[#This Row],[Winter Items Other]]+Table_NFI[[#This Row],[Winter Blanket]]&gt;0,1,0)</f>
        <v>0</v>
      </c>
      <c r="AN847" s="439">
        <f>IF(NFI_Expiration=1,IF($A847&lt;VLOOKUP(V$5,NFI,5,0),1,0)*Table_NFI[[#This Row],[Jerry Can]],Table_NFI[Jerry Can])</f>
        <v>0</v>
      </c>
      <c r="AO847" s="771" t="str">
        <f>IFERROR(VLOOKUP(Table_NFI[[#This Row],[Camp Name]],CL,2,0),"")</f>
        <v>MMR001CMP113</v>
      </c>
      <c r="AP847" s="772">
        <f ca="1">IF(Table_NFI[[#This Row],[Pcode]]="","",IF(OFFSET(CampList[Opening Date],MATCH(Table_NFI[[#This Row],[Pcode]],CampList[CP_Pcode],0)-1,0,1,1)&gt;=NFI_Monitor_Date,1,0))</f>
        <v>0</v>
      </c>
      <c r="AQ847" s="781" t="str">
        <f>IFERROR(VLOOKUP(Table_NFI[[#This Row],[Camp Name]],CL,3,0),"")</f>
        <v>Open</v>
      </c>
      <c r="AR847" s="439" t="str">
        <f ca="1">IF(Table_NFI[[#This Row],[Pcode]]="","",OFFSET(CampList[Priority],MATCH(Table_NFI[[#This Row],[Pcode]],CampList[CP_Pcode],0)-1,0,1,1))</f>
        <v>P1</v>
      </c>
      <c r="AS847" s="438">
        <f>IFERROR(Table_NFI[[#This Row],[Kitchen Set]]/VLOOKUP(Table_NFI[[#This Row],[Camp Name]],CL,4,0),"")</f>
        <v>1.4709677419354839</v>
      </c>
      <c r="AT847" s="769" t="s">
        <v>1099</v>
      </c>
      <c r="AU847" s="773"/>
    </row>
    <row r="848" spans="1:47" s="774" customFormat="1" ht="14.45" customHeight="1" x14ac:dyDescent="0.25">
      <c r="A848" s="451">
        <f t="shared" si="13"/>
        <v>45.833333333333336</v>
      </c>
      <c r="B848" s="768">
        <v>40995</v>
      </c>
      <c r="C848" s="769" t="s">
        <v>454</v>
      </c>
      <c r="D848" s="769" t="s">
        <v>454</v>
      </c>
      <c r="E848" s="769" t="s">
        <v>380</v>
      </c>
      <c r="F848" s="435" t="s">
        <v>310</v>
      </c>
      <c r="G848" s="435" t="s">
        <v>355</v>
      </c>
      <c r="H848" s="436"/>
      <c r="I848" s="436"/>
      <c r="J848" s="436"/>
      <c r="K848" s="436">
        <v>0</v>
      </c>
      <c r="L848" s="437">
        <v>40</v>
      </c>
      <c r="M848" s="437">
        <v>0</v>
      </c>
      <c r="N848" s="437">
        <v>0</v>
      </c>
      <c r="O848" s="437">
        <v>0</v>
      </c>
      <c r="P848" s="439"/>
      <c r="Q848" s="439"/>
      <c r="R848" s="436"/>
      <c r="S848" s="436"/>
      <c r="T848" s="436"/>
      <c r="U848" s="436"/>
      <c r="V848" s="436"/>
      <c r="W848" s="436"/>
      <c r="X848" s="436"/>
      <c r="Y848" s="436">
        <f>IF(NFI_Expiration=1,IF($A848&lt;VLOOKUP(H$5,NFI,5,0),1,0)*Table_NFI[[#This Row],[Hygiene Kit]],Table_NFI[Hygiene Kit])</f>
        <v>0</v>
      </c>
      <c r="Z848" s="436">
        <f>IF(NFI_Expiration=1,IF($A848&lt;VLOOKUP(I$5,NFI,5,0),1,0)*Table_NFI[[#This Row],[NFI Core Kit]],Table_NFI[NFI Core Kit])</f>
        <v>0</v>
      </c>
      <c r="AA848" s="436">
        <f>IF(NFI_Expiration=1,IF($A848&lt;VLOOKUP(J$5,NFI,5,0),1,0)*Table_NFI[[#This Row],[Sanitary Kit]],Table_NFI[Sanitary Kit])</f>
        <v>0</v>
      </c>
      <c r="AB848" s="436">
        <f>IF(NFI_Expiration=1,IF($A848&lt;VLOOKUP(K$5,NFI,5,0),1,0)*Table_NFI[[#This Row],[Mosquito net]],Table_NFI[Mosquito net])</f>
        <v>0</v>
      </c>
      <c r="AC848" s="436">
        <f>IF(NFI_Expiration=1,IF($A848&lt;VLOOKUP(L$5,NFI,5,0),1,0)*Table_NFI[[#This Row],[Tarpaulin]],Table_NFI[[#This Row],[Tarpaulin]])</f>
        <v>0</v>
      </c>
      <c r="AD848" s="436">
        <f>IF(NFI_Expiration=1,IF($A848&lt;VLOOKUP(M$5,NFI,5,0),1,0)*Table_NFI[[#This Row],[Blanket]],Table_NFI[[#This Row],[Blanket]])</f>
        <v>0</v>
      </c>
      <c r="AE848" s="436">
        <f>IF(NFI_Expiration=1,IF($A848&lt;VLOOKUP(N$5,NFI,5,0),1,0)*Table_NFI[[#This Row],[Kitchen Set]],Table_NFI[Kitchen Set])</f>
        <v>0</v>
      </c>
      <c r="AF848" s="436">
        <f>IF(NFI_Expiration=1,IF($A848&lt;VLOOKUP(O$5,NFI,5,0),1,0)*Table_NFI[[#This Row],[Clothes Kit]],Table_NFI[Clothes Kit])</f>
        <v>0</v>
      </c>
      <c r="AG848" s="436">
        <f>IF(NFI_Expiration=1,IF($A848&lt;VLOOKUP(P$5,NFI,5,0),1,0)*Table_NFI[[#This Row],[Plastic Bucket]],Table_NFI[Plastic Bucket])</f>
        <v>0</v>
      </c>
      <c r="AH848" s="436">
        <f>IF(NFI_Expiration=1,IF($A848&lt;VLOOKUP(Q$5,NFI,5,0),1,0)*Table_NFI[[#This Row],[Plastic Mat]],Table_NFI[Plastic Mat])*IF(Table_NFI[[#This Row],[Distribution Date]]&gt;"2014-04-01",1,2.5)</f>
        <v>0</v>
      </c>
      <c r="AI848" s="436">
        <f>IF(NFI_Expiration=1,IF($A848&lt;VLOOKUP(R$5,NFI,5,0),1,0)*Table_NFI[[#This Row],[Winter Clothes Adult]],Table_NFI[Winter Clothes Adult])</f>
        <v>0</v>
      </c>
      <c r="AJ848" s="436">
        <f>IF(NFI_Expiration=1,IF($A848&lt;VLOOKUP(S$5,NFI,5,0),1,0)*Table_NFI[[#This Row],[Winter Clothes Children]],Table_NFI[Winter Clothes Children])</f>
        <v>0</v>
      </c>
      <c r="AK848" s="436">
        <f>IF(NFI_Expiration=1,IF($A848&lt;VLOOKUP(T$5,NFI,5,0),1,0)*Table_NFI[[#This Row],[Winter Items Other]],Table_NFI[Winter Items Other])</f>
        <v>0</v>
      </c>
      <c r="AL848" s="436">
        <f>IF(NFI_Expiration=1,IF($A848&lt;VLOOKUP(M$5,NFI,5,0),1,0)*Table_NFI[[#This Row],[Winter Blanket]],Table_NFI[[#This Row],[Winter Blanket]])</f>
        <v>0</v>
      </c>
      <c r="AM848" s="436">
        <f>IF(Table_NFI[[#This Row],[Winter Clothes Adult]]+Table_NFI[[#This Row],[Winter Clothes Children]]+Table_NFI[[#This Row],[Winter Items Other]]+Table_NFI[[#This Row],[Winter Blanket]]&gt;0,1,0)</f>
        <v>0</v>
      </c>
      <c r="AN848" s="439">
        <f>IF(NFI_Expiration=1,IF($A848&lt;VLOOKUP(V$5,NFI,5,0),1,0)*Table_NFI[[#This Row],[Jerry Can]],Table_NFI[Jerry Can])</f>
        <v>0</v>
      </c>
      <c r="AO848" s="771" t="str">
        <f>IFERROR(VLOOKUP(Table_NFI[[#This Row],[Camp Name]],CL,2,0),"")</f>
        <v>MMR001CMP160</v>
      </c>
      <c r="AP848" s="772">
        <f ca="1">IF(Table_NFI[[#This Row],[Pcode]]="","",IF(OFFSET(CampList[Opening Date],MATCH(Table_NFI[[#This Row],[Pcode]],CampList[CP_Pcode],0)-1,0,1,1)&gt;=NFI_Monitor_Date,1,0))</f>
        <v>0</v>
      </c>
      <c r="AQ848" s="781" t="str">
        <f>IFERROR(VLOOKUP(Table_NFI[[#This Row],[Camp Name]],CL,3,0),"")</f>
        <v>Open</v>
      </c>
      <c r="AR848" s="439" t="str">
        <f ca="1">IF(Table_NFI[[#This Row],[Pcode]]="","",OFFSET(CampList[Priority],MATCH(Table_NFI[[#This Row],[Pcode]],CampList[CP_Pcode],0)-1,0,1,1))</f>
        <v>P1</v>
      </c>
      <c r="AS848" s="438">
        <f>IFERROR(Table_NFI[[#This Row],[Kitchen Set]]/VLOOKUP(Table_NFI[[#This Row],[Camp Name]],CL,4,0),"")</f>
        <v>0</v>
      </c>
      <c r="AT848" s="769" t="s">
        <v>1099</v>
      </c>
      <c r="AU848" s="773"/>
    </row>
    <row r="849" spans="1:47" s="774" customFormat="1" ht="14.45" customHeight="1" x14ac:dyDescent="0.25">
      <c r="A849" s="451">
        <f t="shared" si="13"/>
        <v>45.833333333333336</v>
      </c>
      <c r="B849" s="768">
        <v>40995</v>
      </c>
      <c r="C849" s="769" t="s">
        <v>454</v>
      </c>
      <c r="D849" s="770" t="s">
        <v>454</v>
      </c>
      <c r="E849" s="769" t="s">
        <v>380</v>
      </c>
      <c r="F849" s="435" t="s">
        <v>5</v>
      </c>
      <c r="G849" s="435" t="s">
        <v>22</v>
      </c>
      <c r="H849" s="436"/>
      <c r="I849" s="436"/>
      <c r="J849" s="436"/>
      <c r="K849" s="436">
        <v>1000</v>
      </c>
      <c r="L849" s="437">
        <v>500</v>
      </c>
      <c r="M849" s="437">
        <v>1000</v>
      </c>
      <c r="N849" s="437">
        <v>500</v>
      </c>
      <c r="O849" s="437">
        <v>500</v>
      </c>
      <c r="P849" s="437">
        <v>500</v>
      </c>
      <c r="Q849" s="437">
        <v>500</v>
      </c>
      <c r="R849" s="436"/>
      <c r="S849" s="436"/>
      <c r="T849" s="436"/>
      <c r="U849" s="436"/>
      <c r="V849" s="436"/>
      <c r="W849" s="436"/>
      <c r="X849" s="436"/>
      <c r="Y849" s="436">
        <f>IF(NFI_Expiration=1,IF($A849&lt;VLOOKUP(H$5,NFI,5,0),1,0)*Table_NFI[[#This Row],[Hygiene Kit]],Table_NFI[Hygiene Kit])</f>
        <v>0</v>
      </c>
      <c r="Z849" s="436">
        <f>IF(NFI_Expiration=1,IF($A849&lt;VLOOKUP(I$5,NFI,5,0),1,0)*Table_NFI[[#This Row],[NFI Core Kit]],Table_NFI[NFI Core Kit])</f>
        <v>0</v>
      </c>
      <c r="AA849" s="436">
        <f>IF(NFI_Expiration=1,IF($A849&lt;VLOOKUP(J$5,NFI,5,0),1,0)*Table_NFI[[#This Row],[Sanitary Kit]],Table_NFI[Sanitary Kit])</f>
        <v>0</v>
      </c>
      <c r="AB849" s="436">
        <f>IF(NFI_Expiration=1,IF($A849&lt;VLOOKUP(K$5,NFI,5,0),1,0)*Table_NFI[[#This Row],[Mosquito net]],Table_NFI[Mosquito net])</f>
        <v>0</v>
      </c>
      <c r="AC849" s="436">
        <f>IF(NFI_Expiration=1,IF($A849&lt;VLOOKUP(L$5,NFI,5,0),1,0)*Table_NFI[[#This Row],[Tarpaulin]],Table_NFI[[#This Row],[Tarpaulin]])</f>
        <v>0</v>
      </c>
      <c r="AD849" s="436">
        <f>IF(NFI_Expiration=1,IF($A849&lt;VLOOKUP(M$5,NFI,5,0),1,0)*Table_NFI[[#This Row],[Blanket]],Table_NFI[[#This Row],[Blanket]])</f>
        <v>0</v>
      </c>
      <c r="AE849" s="436">
        <f>IF(NFI_Expiration=1,IF($A849&lt;VLOOKUP(N$5,NFI,5,0),1,0)*Table_NFI[[#This Row],[Kitchen Set]],Table_NFI[Kitchen Set])</f>
        <v>0</v>
      </c>
      <c r="AF849" s="436">
        <f>IF(NFI_Expiration=1,IF($A849&lt;VLOOKUP(O$5,NFI,5,0),1,0)*Table_NFI[[#This Row],[Clothes Kit]],Table_NFI[Clothes Kit])</f>
        <v>0</v>
      </c>
      <c r="AG849" s="436">
        <f>IF(NFI_Expiration=1,IF($A849&lt;VLOOKUP(P$5,NFI,5,0),1,0)*Table_NFI[[#This Row],[Plastic Bucket]],Table_NFI[Plastic Bucket])</f>
        <v>0</v>
      </c>
      <c r="AH849" s="436">
        <f>IF(NFI_Expiration=1,IF($A849&lt;VLOOKUP(Q$5,NFI,5,0),1,0)*Table_NFI[[#This Row],[Plastic Mat]],Table_NFI[Plastic Mat])*IF(Table_NFI[[#This Row],[Distribution Date]]&gt;"2014-04-01",1,2.5)</f>
        <v>0</v>
      </c>
      <c r="AI849" s="436">
        <f>IF(NFI_Expiration=1,IF($A849&lt;VLOOKUP(R$5,NFI,5,0),1,0)*Table_NFI[[#This Row],[Winter Clothes Adult]],Table_NFI[Winter Clothes Adult])</f>
        <v>0</v>
      </c>
      <c r="AJ849" s="436">
        <f>IF(NFI_Expiration=1,IF($A849&lt;VLOOKUP(S$5,NFI,5,0),1,0)*Table_NFI[[#This Row],[Winter Clothes Children]],Table_NFI[Winter Clothes Children])</f>
        <v>0</v>
      </c>
      <c r="AK849" s="436">
        <f>IF(NFI_Expiration=1,IF($A849&lt;VLOOKUP(T$5,NFI,5,0),1,0)*Table_NFI[[#This Row],[Winter Items Other]],Table_NFI[Winter Items Other])</f>
        <v>0</v>
      </c>
      <c r="AL849" s="436">
        <f>IF(NFI_Expiration=1,IF($A849&lt;VLOOKUP(M$5,NFI,5,0),1,0)*Table_NFI[[#This Row],[Winter Blanket]],Table_NFI[[#This Row],[Winter Blanket]])</f>
        <v>0</v>
      </c>
      <c r="AM849" s="436">
        <f>IF(Table_NFI[[#This Row],[Winter Clothes Adult]]+Table_NFI[[#This Row],[Winter Clothes Children]]+Table_NFI[[#This Row],[Winter Items Other]]+Table_NFI[[#This Row],[Winter Blanket]]&gt;0,1,0)</f>
        <v>0</v>
      </c>
      <c r="AN849" s="439">
        <f>IF(NFI_Expiration=1,IF($A849&lt;VLOOKUP(V$5,NFI,5,0),1,0)*Table_NFI[[#This Row],[Jerry Can]],Table_NFI[Jerry Can])</f>
        <v>0</v>
      </c>
      <c r="AO849" s="771" t="str">
        <f>IFERROR(VLOOKUP(Table_NFI[[#This Row],[Camp Name]],CL,2,0),"")</f>
        <v>MMR001CMP047</v>
      </c>
      <c r="AP849" s="772">
        <f ca="1">IF(Table_NFI[[#This Row],[Pcode]]="","",IF(OFFSET(CampList[Opening Date],MATCH(Table_NFI[[#This Row],[Pcode]],CampList[CP_Pcode],0)-1,0,1,1)&gt;=NFI_Monitor_Date,1,0))</f>
        <v>0</v>
      </c>
      <c r="AQ849" s="781" t="str">
        <f>IFERROR(VLOOKUP(Table_NFI[[#This Row],[Camp Name]],CL,3,0),"")</f>
        <v>Open</v>
      </c>
      <c r="AR849" s="439" t="str">
        <f ca="1">IF(Table_NFI[[#This Row],[Pcode]]="","",OFFSET(CampList[Priority],MATCH(Table_NFI[[#This Row],[Pcode]],CampList[CP_Pcode],0)-1,0,1,1))</f>
        <v>P4</v>
      </c>
      <c r="AS849" s="438">
        <f>IFERROR(Table_NFI[[#This Row],[Kitchen Set]]/VLOOKUP(Table_NFI[[#This Row],[Camp Name]],CL,4,0),"")</f>
        <v>0.76687116564417179</v>
      </c>
      <c r="AT849" s="769" t="s">
        <v>1099</v>
      </c>
      <c r="AU849" s="773"/>
    </row>
    <row r="850" spans="1:47" s="136" customFormat="1" ht="14.45" customHeight="1" x14ac:dyDescent="0.25">
      <c r="A850" s="451">
        <f t="shared" si="13"/>
        <v>45.866666666666667</v>
      </c>
      <c r="B850" s="768">
        <v>40994</v>
      </c>
      <c r="C850" s="769" t="s">
        <v>454</v>
      </c>
      <c r="D850" s="769" t="s">
        <v>454</v>
      </c>
      <c r="E850" s="769" t="s">
        <v>380</v>
      </c>
      <c r="F850" s="435" t="s">
        <v>310</v>
      </c>
      <c r="G850" s="435" t="s">
        <v>334</v>
      </c>
      <c r="H850" s="436"/>
      <c r="I850" s="436"/>
      <c r="J850" s="436"/>
      <c r="K850" s="436">
        <v>460</v>
      </c>
      <c r="L850" s="437">
        <v>250</v>
      </c>
      <c r="M850" s="437">
        <v>460</v>
      </c>
      <c r="N850" s="437">
        <v>230</v>
      </c>
      <c r="O850" s="437">
        <v>0</v>
      </c>
      <c r="P850" s="439"/>
      <c r="Q850" s="439"/>
      <c r="R850" s="436"/>
      <c r="S850" s="436"/>
      <c r="T850" s="436"/>
      <c r="U850" s="436"/>
      <c r="V850" s="436"/>
      <c r="W850" s="436"/>
      <c r="X850" s="436"/>
      <c r="Y850" s="436">
        <f>IF(NFI_Expiration=1,IF($A850&lt;VLOOKUP(H$5,NFI,5,0),1,0)*Table_NFI[[#This Row],[Hygiene Kit]],Table_NFI[Hygiene Kit])</f>
        <v>0</v>
      </c>
      <c r="Z850" s="436">
        <f>IF(NFI_Expiration=1,IF($A850&lt;VLOOKUP(I$5,NFI,5,0),1,0)*Table_NFI[[#This Row],[NFI Core Kit]],Table_NFI[NFI Core Kit])</f>
        <v>0</v>
      </c>
      <c r="AA850" s="436">
        <f>IF(NFI_Expiration=1,IF($A850&lt;VLOOKUP(J$5,NFI,5,0),1,0)*Table_NFI[[#This Row],[Sanitary Kit]],Table_NFI[Sanitary Kit])</f>
        <v>0</v>
      </c>
      <c r="AB850" s="436">
        <f>IF(NFI_Expiration=1,IF($A850&lt;VLOOKUP(K$5,NFI,5,0),1,0)*Table_NFI[[#This Row],[Mosquito net]],Table_NFI[Mosquito net])</f>
        <v>0</v>
      </c>
      <c r="AC850" s="436">
        <f>IF(NFI_Expiration=1,IF($A850&lt;VLOOKUP(L$5,NFI,5,0),1,0)*Table_NFI[[#This Row],[Tarpaulin]],Table_NFI[[#This Row],[Tarpaulin]])</f>
        <v>0</v>
      </c>
      <c r="AD850" s="436">
        <f>IF(NFI_Expiration=1,IF($A850&lt;VLOOKUP(M$5,NFI,5,0),1,0)*Table_NFI[[#This Row],[Blanket]],Table_NFI[[#This Row],[Blanket]])</f>
        <v>0</v>
      </c>
      <c r="AE850" s="436">
        <f>IF(NFI_Expiration=1,IF($A850&lt;VLOOKUP(N$5,NFI,5,0),1,0)*Table_NFI[[#This Row],[Kitchen Set]],Table_NFI[Kitchen Set])</f>
        <v>0</v>
      </c>
      <c r="AF850" s="436">
        <f>IF(NFI_Expiration=1,IF($A850&lt;VLOOKUP(O$5,NFI,5,0),1,0)*Table_NFI[[#This Row],[Clothes Kit]],Table_NFI[Clothes Kit])</f>
        <v>0</v>
      </c>
      <c r="AG850" s="436">
        <f>IF(NFI_Expiration=1,IF($A850&lt;VLOOKUP(P$5,NFI,5,0),1,0)*Table_NFI[[#This Row],[Plastic Bucket]],Table_NFI[Plastic Bucket])</f>
        <v>0</v>
      </c>
      <c r="AH850" s="436">
        <f>IF(NFI_Expiration=1,IF($A850&lt;VLOOKUP(Q$5,NFI,5,0),1,0)*Table_NFI[[#This Row],[Plastic Mat]],Table_NFI[Plastic Mat])*IF(Table_NFI[[#This Row],[Distribution Date]]&gt;"2014-04-01",1,2.5)</f>
        <v>0</v>
      </c>
      <c r="AI850" s="436">
        <f>IF(NFI_Expiration=1,IF($A850&lt;VLOOKUP(R$5,NFI,5,0),1,0)*Table_NFI[[#This Row],[Winter Clothes Adult]],Table_NFI[Winter Clothes Adult])</f>
        <v>0</v>
      </c>
      <c r="AJ850" s="436">
        <f>IF(NFI_Expiration=1,IF($A850&lt;VLOOKUP(S$5,NFI,5,0),1,0)*Table_NFI[[#This Row],[Winter Clothes Children]],Table_NFI[Winter Clothes Children])</f>
        <v>0</v>
      </c>
      <c r="AK850" s="436">
        <f>IF(NFI_Expiration=1,IF($A850&lt;VLOOKUP(T$5,NFI,5,0),1,0)*Table_NFI[[#This Row],[Winter Items Other]],Table_NFI[Winter Items Other])</f>
        <v>0</v>
      </c>
      <c r="AL850" s="436">
        <f>IF(NFI_Expiration=1,IF($A850&lt;VLOOKUP(M$5,NFI,5,0),1,0)*Table_NFI[[#This Row],[Winter Blanket]],Table_NFI[[#This Row],[Winter Blanket]])</f>
        <v>0</v>
      </c>
      <c r="AM850" s="436">
        <f>IF(Table_NFI[[#This Row],[Winter Clothes Adult]]+Table_NFI[[#This Row],[Winter Clothes Children]]+Table_NFI[[#This Row],[Winter Items Other]]+Table_NFI[[#This Row],[Winter Blanket]]&gt;0,1,0)</f>
        <v>0</v>
      </c>
      <c r="AN850" s="439">
        <f>IF(NFI_Expiration=1,IF($A850&lt;VLOOKUP(V$5,NFI,5,0),1,0)*Table_NFI[[#This Row],[Jerry Can]],Table_NFI[Jerry Can])</f>
        <v>0</v>
      </c>
      <c r="AO850" s="771" t="str">
        <f>IFERROR(VLOOKUP(Table_NFI[[#This Row],[Camp Name]],CL,2,0),"")</f>
        <v>MMR001CMP113</v>
      </c>
      <c r="AP850" s="772">
        <f ca="1">IF(Table_NFI[[#This Row],[Pcode]]="","",IF(OFFSET(CampList[Opening Date],MATCH(Table_NFI[[#This Row],[Pcode]],CampList[CP_Pcode],0)-1,0,1,1)&gt;=NFI_Monitor_Date,1,0))</f>
        <v>0</v>
      </c>
      <c r="AQ850" s="781" t="str">
        <f>IFERROR(VLOOKUP(Table_NFI[[#This Row],[Camp Name]],CL,3,0),"")</f>
        <v>Open</v>
      </c>
      <c r="AR850" s="439" t="str">
        <f ca="1">IF(Table_NFI[[#This Row],[Pcode]]="","",OFFSET(CampList[Priority],MATCH(Table_NFI[[#This Row],[Pcode]],CampList[CP_Pcode],0)-1,0,1,1))</f>
        <v>P1</v>
      </c>
      <c r="AS850" s="438">
        <f>IFERROR(Table_NFI[[#This Row],[Kitchen Set]]/VLOOKUP(Table_NFI[[#This Row],[Camp Name]],CL,4,0),"")</f>
        <v>1.4838709677419355</v>
      </c>
      <c r="AT850" s="769" t="s">
        <v>1099</v>
      </c>
      <c r="AU850" s="773"/>
    </row>
    <row r="851" spans="1:47" s="136" customFormat="1" ht="14.45" customHeight="1" x14ac:dyDescent="0.25">
      <c r="A851" s="451">
        <f t="shared" si="13"/>
        <v>45.866666666666667</v>
      </c>
      <c r="B851" s="768">
        <v>40994</v>
      </c>
      <c r="C851" s="769" t="s">
        <v>454</v>
      </c>
      <c r="D851" s="770" t="s">
        <v>454</v>
      </c>
      <c r="E851" s="769" t="s">
        <v>380</v>
      </c>
      <c r="F851" s="435" t="s">
        <v>185</v>
      </c>
      <c r="G851" s="435" t="s">
        <v>211</v>
      </c>
      <c r="H851" s="436"/>
      <c r="I851" s="436"/>
      <c r="J851" s="436"/>
      <c r="K851" s="436">
        <v>49</v>
      </c>
      <c r="L851" s="437">
        <v>49</v>
      </c>
      <c r="M851" s="437">
        <v>0</v>
      </c>
      <c r="N851" s="437">
        <v>0</v>
      </c>
      <c r="O851" s="437">
        <v>49</v>
      </c>
      <c r="P851" s="437">
        <v>49</v>
      </c>
      <c r="Q851" s="437">
        <v>49</v>
      </c>
      <c r="R851" s="436"/>
      <c r="S851" s="436"/>
      <c r="T851" s="436"/>
      <c r="U851" s="436"/>
      <c r="V851" s="436"/>
      <c r="W851" s="436"/>
      <c r="X851" s="436"/>
      <c r="Y851" s="436">
        <f>IF(NFI_Expiration=1,IF($A851&lt;VLOOKUP(H$5,NFI,5,0),1,0)*Table_NFI[[#This Row],[Hygiene Kit]],Table_NFI[Hygiene Kit])</f>
        <v>0</v>
      </c>
      <c r="Z851" s="436">
        <f>IF(NFI_Expiration=1,IF($A851&lt;VLOOKUP(I$5,NFI,5,0),1,0)*Table_NFI[[#This Row],[NFI Core Kit]],Table_NFI[NFI Core Kit])</f>
        <v>0</v>
      </c>
      <c r="AA851" s="436">
        <f>IF(NFI_Expiration=1,IF($A851&lt;VLOOKUP(J$5,NFI,5,0),1,0)*Table_NFI[[#This Row],[Sanitary Kit]],Table_NFI[Sanitary Kit])</f>
        <v>0</v>
      </c>
      <c r="AB851" s="436">
        <f>IF(NFI_Expiration=1,IF($A851&lt;VLOOKUP(K$5,NFI,5,0),1,0)*Table_NFI[[#This Row],[Mosquito net]],Table_NFI[Mosquito net])</f>
        <v>0</v>
      </c>
      <c r="AC851" s="436">
        <f>IF(NFI_Expiration=1,IF($A851&lt;VLOOKUP(L$5,NFI,5,0),1,0)*Table_NFI[[#This Row],[Tarpaulin]],Table_NFI[[#This Row],[Tarpaulin]])</f>
        <v>0</v>
      </c>
      <c r="AD851" s="436">
        <f>IF(NFI_Expiration=1,IF($A851&lt;VLOOKUP(M$5,NFI,5,0),1,0)*Table_NFI[[#This Row],[Blanket]],Table_NFI[[#This Row],[Blanket]])</f>
        <v>0</v>
      </c>
      <c r="AE851" s="436">
        <f>IF(NFI_Expiration=1,IF($A851&lt;VLOOKUP(N$5,NFI,5,0),1,0)*Table_NFI[[#This Row],[Kitchen Set]],Table_NFI[Kitchen Set])</f>
        <v>0</v>
      </c>
      <c r="AF851" s="436">
        <f>IF(NFI_Expiration=1,IF($A851&lt;VLOOKUP(O$5,NFI,5,0),1,0)*Table_NFI[[#This Row],[Clothes Kit]],Table_NFI[Clothes Kit])</f>
        <v>0</v>
      </c>
      <c r="AG851" s="436">
        <f>IF(NFI_Expiration=1,IF($A851&lt;VLOOKUP(P$5,NFI,5,0),1,0)*Table_NFI[[#This Row],[Plastic Bucket]],Table_NFI[Plastic Bucket])</f>
        <v>0</v>
      </c>
      <c r="AH851" s="436">
        <f>IF(NFI_Expiration=1,IF($A851&lt;VLOOKUP(Q$5,NFI,5,0),1,0)*Table_NFI[[#This Row],[Plastic Mat]],Table_NFI[Plastic Mat])*IF(Table_NFI[[#This Row],[Distribution Date]]&gt;"2014-04-01",1,2.5)</f>
        <v>0</v>
      </c>
      <c r="AI851" s="436">
        <f>IF(NFI_Expiration=1,IF($A851&lt;VLOOKUP(R$5,NFI,5,0),1,0)*Table_NFI[[#This Row],[Winter Clothes Adult]],Table_NFI[Winter Clothes Adult])</f>
        <v>0</v>
      </c>
      <c r="AJ851" s="436">
        <f>IF(NFI_Expiration=1,IF($A851&lt;VLOOKUP(S$5,NFI,5,0),1,0)*Table_NFI[[#This Row],[Winter Clothes Children]],Table_NFI[Winter Clothes Children])</f>
        <v>0</v>
      </c>
      <c r="AK851" s="436">
        <f>IF(NFI_Expiration=1,IF($A851&lt;VLOOKUP(T$5,NFI,5,0),1,0)*Table_NFI[[#This Row],[Winter Items Other]],Table_NFI[Winter Items Other])</f>
        <v>0</v>
      </c>
      <c r="AL851" s="436">
        <f>IF(NFI_Expiration=1,IF($A851&lt;VLOOKUP(M$5,NFI,5,0),1,0)*Table_NFI[[#This Row],[Winter Blanket]],Table_NFI[[#This Row],[Winter Blanket]])</f>
        <v>0</v>
      </c>
      <c r="AM851" s="436">
        <f>IF(Table_NFI[[#This Row],[Winter Clothes Adult]]+Table_NFI[[#This Row],[Winter Clothes Children]]+Table_NFI[[#This Row],[Winter Items Other]]+Table_NFI[[#This Row],[Winter Blanket]]&gt;0,1,0)</f>
        <v>0</v>
      </c>
      <c r="AN851" s="439">
        <f>IF(NFI_Expiration=1,IF($A851&lt;VLOOKUP(V$5,NFI,5,0),1,0)*Table_NFI[[#This Row],[Jerry Can]],Table_NFI[Jerry Can])</f>
        <v>0</v>
      </c>
      <c r="AO851" s="771" t="str">
        <f>IFERROR(VLOOKUP(Table_NFI[[#This Row],[Camp Name]],CL,2,0),"")</f>
        <v>MMR001CMP057</v>
      </c>
      <c r="AP851" s="772">
        <f ca="1">IF(Table_NFI[[#This Row],[Pcode]]="","",IF(OFFSET(CampList[Opening Date],MATCH(Table_NFI[[#This Row],[Pcode]],CampList[CP_Pcode],0)-1,0,1,1)&gt;=NFI_Monitor_Date,1,0))</f>
        <v>0</v>
      </c>
      <c r="AQ851" s="781" t="str">
        <f>IFERROR(VLOOKUP(Table_NFI[[#This Row],[Camp Name]],CL,3,0),"")</f>
        <v>Closed</v>
      </c>
      <c r="AR851" s="439" t="str">
        <f ca="1">IF(Table_NFI[[#This Row],[Pcode]]="","",OFFSET(CampList[Priority],MATCH(Table_NFI[[#This Row],[Pcode]],CampList[CP_Pcode],0)-1,0,1,1))</f>
        <v>P4</v>
      </c>
      <c r="AS851" s="438" t="str">
        <f>IFERROR(Table_NFI[[#This Row],[Kitchen Set]]/VLOOKUP(Table_NFI[[#This Row],[Camp Name]],CL,4,0),"")</f>
        <v/>
      </c>
      <c r="AT851" s="769" t="s">
        <v>1099</v>
      </c>
      <c r="AU851" s="773"/>
    </row>
    <row r="852" spans="1:47" s="136" customFormat="1" ht="14.45" customHeight="1" x14ac:dyDescent="0.25">
      <c r="A852" s="451">
        <f t="shared" si="13"/>
        <v>46.5</v>
      </c>
      <c r="B852" s="768">
        <v>40975</v>
      </c>
      <c r="C852" s="769" t="s">
        <v>454</v>
      </c>
      <c r="D852" s="770" t="s">
        <v>454</v>
      </c>
      <c r="E852" s="769" t="s">
        <v>380</v>
      </c>
      <c r="F852" s="435" t="s">
        <v>310</v>
      </c>
      <c r="G852" s="435" t="s">
        <v>318</v>
      </c>
      <c r="H852" s="436"/>
      <c r="I852" s="436"/>
      <c r="J852" s="436"/>
      <c r="K852" s="436">
        <v>12</v>
      </c>
      <c r="L852" s="437">
        <v>8</v>
      </c>
      <c r="M852" s="437">
        <v>12</v>
      </c>
      <c r="N852" s="437">
        <v>8</v>
      </c>
      <c r="O852" s="437">
        <v>8</v>
      </c>
      <c r="P852" s="437">
        <v>8</v>
      </c>
      <c r="Q852" s="437">
        <v>8</v>
      </c>
      <c r="R852" s="436"/>
      <c r="S852" s="436"/>
      <c r="T852" s="436"/>
      <c r="U852" s="436"/>
      <c r="V852" s="436"/>
      <c r="W852" s="436"/>
      <c r="X852" s="436"/>
      <c r="Y852" s="436">
        <f>IF(NFI_Expiration=1,IF($A852&lt;VLOOKUP(H$5,NFI,5,0),1,0)*Table_NFI[[#This Row],[Hygiene Kit]],Table_NFI[Hygiene Kit])</f>
        <v>0</v>
      </c>
      <c r="Z852" s="436">
        <f>IF(NFI_Expiration=1,IF($A852&lt;VLOOKUP(I$5,NFI,5,0),1,0)*Table_NFI[[#This Row],[NFI Core Kit]],Table_NFI[NFI Core Kit])</f>
        <v>0</v>
      </c>
      <c r="AA852" s="436">
        <f>IF(NFI_Expiration=1,IF($A852&lt;VLOOKUP(J$5,NFI,5,0),1,0)*Table_NFI[[#This Row],[Sanitary Kit]],Table_NFI[Sanitary Kit])</f>
        <v>0</v>
      </c>
      <c r="AB852" s="436">
        <f>IF(NFI_Expiration=1,IF($A852&lt;VLOOKUP(K$5,NFI,5,0),1,0)*Table_NFI[[#This Row],[Mosquito net]],Table_NFI[Mosquito net])</f>
        <v>0</v>
      </c>
      <c r="AC852" s="436">
        <f>IF(NFI_Expiration=1,IF($A852&lt;VLOOKUP(L$5,NFI,5,0),1,0)*Table_NFI[[#This Row],[Tarpaulin]],Table_NFI[[#This Row],[Tarpaulin]])</f>
        <v>0</v>
      </c>
      <c r="AD852" s="436">
        <f>IF(NFI_Expiration=1,IF($A852&lt;VLOOKUP(M$5,NFI,5,0),1,0)*Table_NFI[[#This Row],[Blanket]],Table_NFI[[#This Row],[Blanket]])</f>
        <v>0</v>
      </c>
      <c r="AE852" s="436">
        <f>IF(NFI_Expiration=1,IF($A852&lt;VLOOKUP(N$5,NFI,5,0),1,0)*Table_NFI[[#This Row],[Kitchen Set]],Table_NFI[Kitchen Set])</f>
        <v>0</v>
      </c>
      <c r="AF852" s="436">
        <f>IF(NFI_Expiration=1,IF($A852&lt;VLOOKUP(O$5,NFI,5,0),1,0)*Table_NFI[[#This Row],[Clothes Kit]],Table_NFI[Clothes Kit])</f>
        <v>0</v>
      </c>
      <c r="AG852" s="436">
        <f>IF(NFI_Expiration=1,IF($A852&lt;VLOOKUP(P$5,NFI,5,0),1,0)*Table_NFI[[#This Row],[Plastic Bucket]],Table_NFI[Plastic Bucket])</f>
        <v>0</v>
      </c>
      <c r="AH852" s="436">
        <f>IF(NFI_Expiration=1,IF($A852&lt;VLOOKUP(Q$5,NFI,5,0),1,0)*Table_NFI[[#This Row],[Plastic Mat]],Table_NFI[Plastic Mat])*IF(Table_NFI[[#This Row],[Distribution Date]]&gt;"2014-04-01",1,2.5)</f>
        <v>0</v>
      </c>
      <c r="AI852" s="436">
        <f>IF(NFI_Expiration=1,IF($A852&lt;VLOOKUP(R$5,NFI,5,0),1,0)*Table_NFI[[#This Row],[Winter Clothes Adult]],Table_NFI[Winter Clothes Adult])</f>
        <v>0</v>
      </c>
      <c r="AJ852" s="436">
        <f>IF(NFI_Expiration=1,IF($A852&lt;VLOOKUP(S$5,NFI,5,0),1,0)*Table_NFI[[#This Row],[Winter Clothes Children]],Table_NFI[Winter Clothes Children])</f>
        <v>0</v>
      </c>
      <c r="AK852" s="436">
        <f>IF(NFI_Expiration=1,IF($A852&lt;VLOOKUP(T$5,NFI,5,0),1,0)*Table_NFI[[#This Row],[Winter Items Other]],Table_NFI[Winter Items Other])</f>
        <v>0</v>
      </c>
      <c r="AL852" s="436">
        <f>IF(NFI_Expiration=1,IF($A852&lt;VLOOKUP(M$5,NFI,5,0),1,0)*Table_NFI[[#This Row],[Winter Blanket]],Table_NFI[[#This Row],[Winter Blanket]])</f>
        <v>0</v>
      </c>
      <c r="AM852" s="436">
        <f>IF(Table_NFI[[#This Row],[Winter Clothes Adult]]+Table_NFI[[#This Row],[Winter Clothes Children]]+Table_NFI[[#This Row],[Winter Items Other]]+Table_NFI[[#This Row],[Winter Blanket]]&gt;0,1,0)</f>
        <v>0</v>
      </c>
      <c r="AN852" s="439">
        <f>IF(NFI_Expiration=1,IF($A852&lt;VLOOKUP(V$5,NFI,5,0),1,0)*Table_NFI[[#This Row],[Jerry Can]],Table_NFI[Jerry Can])</f>
        <v>0</v>
      </c>
      <c r="AO852" s="771" t="str">
        <f>IFERROR(VLOOKUP(Table_NFI[[#This Row],[Camp Name]],CL,2,0),"")</f>
        <v>MMR001CMP032</v>
      </c>
      <c r="AP852" s="772">
        <f ca="1">IF(Table_NFI[[#This Row],[Pcode]]="","",IF(OFFSET(CampList[Opening Date],MATCH(Table_NFI[[#This Row],[Pcode]],CampList[CP_Pcode],0)-1,0,1,1)&gt;=NFI_Monitor_Date,1,0))</f>
        <v>0</v>
      </c>
      <c r="AQ852" s="781" t="str">
        <f>IFERROR(VLOOKUP(Table_NFI[[#This Row],[Camp Name]],CL,3,0),"")</f>
        <v>Open</v>
      </c>
      <c r="AR852" s="439" t="str">
        <f ca="1">IF(Table_NFI[[#This Row],[Pcode]]="","",OFFSET(CampList[Priority],MATCH(Table_NFI[[#This Row],[Pcode]],CampList[CP_Pcode],0)-1,0,1,1))</f>
        <v>P4</v>
      </c>
      <c r="AS852" s="438">
        <f>IFERROR(Table_NFI[[#This Row],[Kitchen Set]]/VLOOKUP(Table_NFI[[#This Row],[Camp Name]],CL,4,0),"")</f>
        <v>8.5106382978723402E-2</v>
      </c>
      <c r="AT852" s="769" t="s">
        <v>1099</v>
      </c>
      <c r="AU852" s="773"/>
    </row>
    <row r="853" spans="1:47" s="136" customFormat="1" ht="14.45" customHeight="1" x14ac:dyDescent="0.25">
      <c r="A853" s="451">
        <f t="shared" si="13"/>
        <v>46.5</v>
      </c>
      <c r="B853" s="768">
        <v>40975</v>
      </c>
      <c r="C853" s="769" t="s">
        <v>454</v>
      </c>
      <c r="D853" s="769" t="s">
        <v>454</v>
      </c>
      <c r="E853" s="769" t="s">
        <v>380</v>
      </c>
      <c r="F853" s="769" t="s">
        <v>310</v>
      </c>
      <c r="G853" s="435" t="s">
        <v>349</v>
      </c>
      <c r="H853" s="436"/>
      <c r="I853" s="436"/>
      <c r="J853" s="436"/>
      <c r="K853" s="436">
        <v>38</v>
      </c>
      <c r="L853" s="437">
        <v>18</v>
      </c>
      <c r="M853" s="437">
        <v>38</v>
      </c>
      <c r="N853" s="437">
        <v>17</v>
      </c>
      <c r="O853" s="437">
        <v>18</v>
      </c>
      <c r="P853" s="439">
        <v>18</v>
      </c>
      <c r="Q853" s="439">
        <v>18</v>
      </c>
      <c r="R853" s="436"/>
      <c r="S853" s="436"/>
      <c r="T853" s="436"/>
      <c r="U853" s="436"/>
      <c r="V853" s="436"/>
      <c r="W853" s="436"/>
      <c r="X853" s="436"/>
      <c r="Y853" s="436">
        <f>IF(NFI_Expiration=1,IF($A853&lt;VLOOKUP(H$5,NFI,5,0),1,0)*Table_NFI[[#This Row],[Hygiene Kit]],Table_NFI[Hygiene Kit])</f>
        <v>0</v>
      </c>
      <c r="Z853" s="436">
        <f>IF(NFI_Expiration=1,IF($A853&lt;VLOOKUP(I$5,NFI,5,0),1,0)*Table_NFI[[#This Row],[NFI Core Kit]],Table_NFI[NFI Core Kit])</f>
        <v>0</v>
      </c>
      <c r="AA853" s="436">
        <f>IF(NFI_Expiration=1,IF($A853&lt;VLOOKUP(J$5,NFI,5,0),1,0)*Table_NFI[[#This Row],[Sanitary Kit]],Table_NFI[Sanitary Kit])</f>
        <v>0</v>
      </c>
      <c r="AB853" s="436">
        <f>IF(NFI_Expiration=1,IF($A853&lt;VLOOKUP(K$5,NFI,5,0),1,0)*Table_NFI[[#This Row],[Mosquito net]],Table_NFI[Mosquito net])</f>
        <v>0</v>
      </c>
      <c r="AC853" s="436">
        <f>IF(NFI_Expiration=1,IF($A853&lt;VLOOKUP(L$5,NFI,5,0),1,0)*Table_NFI[[#This Row],[Tarpaulin]],Table_NFI[[#This Row],[Tarpaulin]])</f>
        <v>0</v>
      </c>
      <c r="AD853" s="436">
        <f>IF(NFI_Expiration=1,IF($A853&lt;VLOOKUP(M$5,NFI,5,0),1,0)*Table_NFI[[#This Row],[Blanket]],Table_NFI[[#This Row],[Blanket]])</f>
        <v>0</v>
      </c>
      <c r="AE853" s="436">
        <f>IF(NFI_Expiration=1,IF($A853&lt;VLOOKUP(N$5,NFI,5,0),1,0)*Table_NFI[[#This Row],[Kitchen Set]],Table_NFI[Kitchen Set])</f>
        <v>0</v>
      </c>
      <c r="AF853" s="436">
        <f>IF(NFI_Expiration=1,IF($A853&lt;VLOOKUP(O$5,NFI,5,0),1,0)*Table_NFI[[#This Row],[Clothes Kit]],Table_NFI[Clothes Kit])</f>
        <v>0</v>
      </c>
      <c r="AG853" s="436">
        <f>IF(NFI_Expiration=1,IF($A853&lt;VLOOKUP(P$5,NFI,5,0),1,0)*Table_NFI[[#This Row],[Plastic Bucket]],Table_NFI[Plastic Bucket])</f>
        <v>0</v>
      </c>
      <c r="AH853" s="436">
        <f>IF(NFI_Expiration=1,IF($A853&lt;VLOOKUP(Q$5,NFI,5,0),1,0)*Table_NFI[[#This Row],[Plastic Mat]],Table_NFI[Plastic Mat])*IF(Table_NFI[[#This Row],[Distribution Date]]&gt;"2014-04-01",1,2.5)</f>
        <v>0</v>
      </c>
      <c r="AI853" s="436">
        <f>IF(NFI_Expiration=1,IF($A853&lt;VLOOKUP(R$5,NFI,5,0),1,0)*Table_NFI[[#This Row],[Winter Clothes Adult]],Table_NFI[Winter Clothes Adult])</f>
        <v>0</v>
      </c>
      <c r="AJ853" s="436">
        <f>IF(NFI_Expiration=1,IF($A853&lt;VLOOKUP(S$5,NFI,5,0),1,0)*Table_NFI[[#This Row],[Winter Clothes Children]],Table_NFI[Winter Clothes Children])</f>
        <v>0</v>
      </c>
      <c r="AK853" s="436">
        <f>IF(NFI_Expiration=1,IF($A853&lt;VLOOKUP(T$5,NFI,5,0),1,0)*Table_NFI[[#This Row],[Winter Items Other]],Table_NFI[Winter Items Other])</f>
        <v>0</v>
      </c>
      <c r="AL853" s="436">
        <f>IF(NFI_Expiration=1,IF($A853&lt;VLOOKUP(M$5,NFI,5,0),1,0)*Table_NFI[[#This Row],[Winter Blanket]],Table_NFI[[#This Row],[Winter Blanket]])</f>
        <v>0</v>
      </c>
      <c r="AM853" s="436">
        <f>IF(Table_NFI[[#This Row],[Winter Clothes Adult]]+Table_NFI[[#This Row],[Winter Clothes Children]]+Table_NFI[[#This Row],[Winter Items Other]]+Table_NFI[[#This Row],[Winter Blanket]]&gt;0,1,0)</f>
        <v>0</v>
      </c>
      <c r="AN853" s="439">
        <f>IF(NFI_Expiration=1,IF($A853&lt;VLOOKUP(V$5,NFI,5,0),1,0)*Table_NFI[[#This Row],[Jerry Can]],Table_NFI[Jerry Can])</f>
        <v>0</v>
      </c>
      <c r="AO853" s="771" t="str">
        <f>IFERROR(VLOOKUP(Table_NFI[[#This Row],[Camp Name]],CL,2,0),"")</f>
        <v>MMR001CMP037</v>
      </c>
      <c r="AP853" s="772">
        <f ca="1">IF(Table_NFI[[#This Row],[Pcode]]="","",IF(OFFSET(CampList[Opening Date],MATCH(Table_NFI[[#This Row],[Pcode]],CampList[CP_Pcode],0)-1,0,1,1)&gt;=NFI_Monitor_Date,1,0))</f>
        <v>0</v>
      </c>
      <c r="AQ853" s="781" t="str">
        <f>IFERROR(VLOOKUP(Table_NFI[[#This Row],[Camp Name]],CL,3,0),"")</f>
        <v>Open</v>
      </c>
      <c r="AR853" s="439" t="str">
        <f ca="1">IF(Table_NFI[[#This Row],[Pcode]]="","",OFFSET(CampList[Priority],MATCH(Table_NFI[[#This Row],[Pcode]],CampList[CP_Pcode],0)-1,0,1,1))</f>
        <v>P4</v>
      </c>
      <c r="AS853" s="438">
        <f>IFERROR(Table_NFI[[#This Row],[Kitchen Set]]/VLOOKUP(Table_NFI[[#This Row],[Camp Name]],CL,4,0),"")</f>
        <v>0.38636363636363635</v>
      </c>
      <c r="AT853" s="769" t="s">
        <v>1099</v>
      </c>
      <c r="AU853" s="773"/>
    </row>
    <row r="854" spans="1:47" s="136" customFormat="1" ht="14.45" customHeight="1" x14ac:dyDescent="0.25">
      <c r="A854" s="451">
        <f t="shared" si="13"/>
        <v>46.8</v>
      </c>
      <c r="B854" s="768">
        <v>40966</v>
      </c>
      <c r="C854" s="769" t="s">
        <v>454</v>
      </c>
      <c r="D854" s="770" t="s">
        <v>909</v>
      </c>
      <c r="E854" s="769" t="s">
        <v>380</v>
      </c>
      <c r="F854" s="435" t="s">
        <v>237</v>
      </c>
      <c r="G854" s="435" t="s">
        <v>283</v>
      </c>
      <c r="H854" s="436"/>
      <c r="I854" s="436"/>
      <c r="J854" s="436"/>
      <c r="K854" s="436">
        <v>34</v>
      </c>
      <c r="L854" s="437">
        <v>0</v>
      </c>
      <c r="M854" s="437">
        <v>34</v>
      </c>
      <c r="N854" s="437">
        <v>0</v>
      </c>
      <c r="O854" s="437">
        <v>34</v>
      </c>
      <c r="P854" s="437">
        <v>34</v>
      </c>
      <c r="Q854" s="437">
        <v>34</v>
      </c>
      <c r="R854" s="436"/>
      <c r="S854" s="436"/>
      <c r="T854" s="436"/>
      <c r="U854" s="436"/>
      <c r="V854" s="436"/>
      <c r="W854" s="436"/>
      <c r="X854" s="436"/>
      <c r="Y854" s="436">
        <f>IF(NFI_Expiration=1,IF($A854&lt;VLOOKUP(H$5,NFI,5,0),1,0)*Table_NFI[[#This Row],[Hygiene Kit]],Table_NFI[Hygiene Kit])</f>
        <v>0</v>
      </c>
      <c r="Z854" s="436">
        <f>IF(NFI_Expiration=1,IF($A854&lt;VLOOKUP(I$5,NFI,5,0),1,0)*Table_NFI[[#This Row],[NFI Core Kit]],Table_NFI[NFI Core Kit])</f>
        <v>0</v>
      </c>
      <c r="AA854" s="436">
        <f>IF(NFI_Expiration=1,IF($A854&lt;VLOOKUP(J$5,NFI,5,0),1,0)*Table_NFI[[#This Row],[Sanitary Kit]],Table_NFI[Sanitary Kit])</f>
        <v>0</v>
      </c>
      <c r="AB854" s="436">
        <f>IF(NFI_Expiration=1,IF($A854&lt;VLOOKUP(K$5,NFI,5,0),1,0)*Table_NFI[[#This Row],[Mosquito net]],Table_NFI[Mosquito net])</f>
        <v>0</v>
      </c>
      <c r="AC854" s="436">
        <f>IF(NFI_Expiration=1,IF($A854&lt;VLOOKUP(L$5,NFI,5,0),1,0)*Table_NFI[[#This Row],[Tarpaulin]],Table_NFI[[#This Row],[Tarpaulin]])</f>
        <v>0</v>
      </c>
      <c r="AD854" s="436">
        <f>IF(NFI_Expiration=1,IF($A854&lt;VLOOKUP(M$5,NFI,5,0),1,0)*Table_NFI[[#This Row],[Blanket]],Table_NFI[[#This Row],[Blanket]])</f>
        <v>0</v>
      </c>
      <c r="AE854" s="436">
        <f>IF(NFI_Expiration=1,IF($A854&lt;VLOOKUP(N$5,NFI,5,0),1,0)*Table_NFI[[#This Row],[Kitchen Set]],Table_NFI[Kitchen Set])</f>
        <v>0</v>
      </c>
      <c r="AF854" s="436">
        <f>IF(NFI_Expiration=1,IF($A854&lt;VLOOKUP(O$5,NFI,5,0),1,0)*Table_NFI[[#This Row],[Clothes Kit]],Table_NFI[Clothes Kit])</f>
        <v>0</v>
      </c>
      <c r="AG854" s="436">
        <f>IF(NFI_Expiration=1,IF($A854&lt;VLOOKUP(P$5,NFI,5,0),1,0)*Table_NFI[[#This Row],[Plastic Bucket]],Table_NFI[Plastic Bucket])</f>
        <v>0</v>
      </c>
      <c r="AH854" s="436">
        <f>IF(NFI_Expiration=1,IF($A854&lt;VLOOKUP(Q$5,NFI,5,0),1,0)*Table_NFI[[#This Row],[Plastic Mat]],Table_NFI[Plastic Mat])*IF(Table_NFI[[#This Row],[Distribution Date]]&gt;"2014-04-01",1,2.5)</f>
        <v>0</v>
      </c>
      <c r="AI854" s="436">
        <f>IF(NFI_Expiration=1,IF($A854&lt;VLOOKUP(R$5,NFI,5,0),1,0)*Table_NFI[[#This Row],[Winter Clothes Adult]],Table_NFI[Winter Clothes Adult])</f>
        <v>0</v>
      </c>
      <c r="AJ854" s="436">
        <f>IF(NFI_Expiration=1,IF($A854&lt;VLOOKUP(S$5,NFI,5,0),1,0)*Table_NFI[[#This Row],[Winter Clothes Children]],Table_NFI[Winter Clothes Children])</f>
        <v>0</v>
      </c>
      <c r="AK854" s="436">
        <f>IF(NFI_Expiration=1,IF($A854&lt;VLOOKUP(T$5,NFI,5,0),1,0)*Table_NFI[[#This Row],[Winter Items Other]],Table_NFI[Winter Items Other])</f>
        <v>0</v>
      </c>
      <c r="AL854" s="436">
        <f>IF(NFI_Expiration=1,IF($A854&lt;VLOOKUP(M$5,NFI,5,0),1,0)*Table_NFI[[#This Row],[Winter Blanket]],Table_NFI[[#This Row],[Winter Blanket]])</f>
        <v>0</v>
      </c>
      <c r="AM854" s="436">
        <f>IF(Table_NFI[[#This Row],[Winter Clothes Adult]]+Table_NFI[[#This Row],[Winter Clothes Children]]+Table_NFI[[#This Row],[Winter Items Other]]+Table_NFI[[#This Row],[Winter Blanket]]&gt;0,1,0)</f>
        <v>0</v>
      </c>
      <c r="AN854" s="439">
        <f>IF(NFI_Expiration=1,IF($A854&lt;VLOOKUP(V$5,NFI,5,0),1,0)*Table_NFI[[#This Row],[Jerry Can]],Table_NFI[Jerry Can])</f>
        <v>0</v>
      </c>
      <c r="AO854" s="771" t="str">
        <f>IFERROR(VLOOKUP(Table_NFI[[#This Row],[Camp Name]],CL,2,0),"")</f>
        <v>MMR001CMP022</v>
      </c>
      <c r="AP854" s="772">
        <f ca="1">IF(Table_NFI[[#This Row],[Pcode]]="","",IF(OFFSET(CampList[Opening Date],MATCH(Table_NFI[[#This Row],[Pcode]],CampList[CP_Pcode],0)-1,0,1,1)&gt;=NFI_Monitor_Date,1,0))</f>
        <v>0</v>
      </c>
      <c r="AQ854" s="781" t="str">
        <f>IFERROR(VLOOKUP(Table_NFI[[#This Row],[Camp Name]],CL,3,0),"")</f>
        <v>Open</v>
      </c>
      <c r="AR854" s="439" t="str">
        <f ca="1">IF(Table_NFI[[#This Row],[Pcode]]="","",OFFSET(CampList[Priority],MATCH(Table_NFI[[#This Row],[Pcode]],CampList[CP_Pcode],0)-1,0,1,1))</f>
        <v>P4</v>
      </c>
      <c r="AS854" s="438">
        <f>IFERROR(Table_NFI[[#This Row],[Kitchen Set]]/VLOOKUP(Table_NFI[[#This Row],[Camp Name]],CL,4,0),"")</f>
        <v>0</v>
      </c>
      <c r="AT854" s="769" t="s">
        <v>1099</v>
      </c>
      <c r="AU854" s="773"/>
    </row>
    <row r="855" spans="1:47" s="136" customFormat="1" ht="14.45" customHeight="1" x14ac:dyDescent="0.25">
      <c r="A855" s="451">
        <f t="shared" si="13"/>
        <v>46.833333333333336</v>
      </c>
      <c r="B855" s="768">
        <v>40965</v>
      </c>
      <c r="C855" s="769" t="s">
        <v>454</v>
      </c>
      <c r="D855" s="769" t="s">
        <v>454</v>
      </c>
      <c r="E855" s="769" t="s">
        <v>380</v>
      </c>
      <c r="F855" s="769" t="s">
        <v>237</v>
      </c>
      <c r="G855" s="435" t="s">
        <v>923</v>
      </c>
      <c r="H855" s="436"/>
      <c r="I855" s="436"/>
      <c r="J855" s="436"/>
      <c r="K855" s="436">
        <v>25</v>
      </c>
      <c r="L855" s="437">
        <v>18</v>
      </c>
      <c r="M855" s="437">
        <v>25</v>
      </c>
      <c r="N855" s="437">
        <v>18</v>
      </c>
      <c r="O855" s="437">
        <v>18</v>
      </c>
      <c r="P855" s="437">
        <v>18</v>
      </c>
      <c r="Q855" s="437">
        <v>18</v>
      </c>
      <c r="R855" s="695"/>
      <c r="S855" s="695"/>
      <c r="T855" s="695"/>
      <c r="U855" s="695"/>
      <c r="V855" s="436"/>
      <c r="W855" s="436"/>
      <c r="X855" s="436"/>
      <c r="Y855" s="436">
        <f>IF(NFI_Expiration=1,IF($A855&lt;VLOOKUP(H$5,NFI,5,0),1,0)*Table_NFI[[#This Row],[Hygiene Kit]],Table_NFI[Hygiene Kit])</f>
        <v>0</v>
      </c>
      <c r="Z855" s="436">
        <f>IF(NFI_Expiration=1,IF($A855&lt;VLOOKUP(I$5,NFI,5,0),1,0)*Table_NFI[[#This Row],[NFI Core Kit]],Table_NFI[NFI Core Kit])</f>
        <v>0</v>
      </c>
      <c r="AA855" s="436">
        <f>IF(NFI_Expiration=1,IF($A855&lt;VLOOKUP(J$5,NFI,5,0),1,0)*Table_NFI[[#This Row],[Sanitary Kit]],Table_NFI[Sanitary Kit])</f>
        <v>0</v>
      </c>
      <c r="AB855" s="436">
        <f>IF(NFI_Expiration=1,IF($A855&lt;VLOOKUP(K$5,NFI,5,0),1,0)*Table_NFI[[#This Row],[Mosquito net]],Table_NFI[Mosquito net])</f>
        <v>0</v>
      </c>
      <c r="AC855" s="436">
        <f>IF(NFI_Expiration=1,IF($A855&lt;VLOOKUP(L$5,NFI,5,0),1,0)*Table_NFI[[#This Row],[Tarpaulin]],Table_NFI[[#This Row],[Tarpaulin]])</f>
        <v>0</v>
      </c>
      <c r="AD855" s="436">
        <f>IF(NFI_Expiration=1,IF($A855&lt;VLOOKUP(M$5,NFI,5,0),1,0)*Table_NFI[[#This Row],[Blanket]],Table_NFI[[#This Row],[Blanket]])</f>
        <v>0</v>
      </c>
      <c r="AE855" s="436">
        <f>IF(NFI_Expiration=1,IF($A855&lt;VLOOKUP(N$5,NFI,5,0),1,0)*Table_NFI[[#This Row],[Kitchen Set]],Table_NFI[Kitchen Set])</f>
        <v>0</v>
      </c>
      <c r="AF855" s="436">
        <f>IF(NFI_Expiration=1,IF($A855&lt;VLOOKUP(O$5,NFI,5,0),1,0)*Table_NFI[[#This Row],[Clothes Kit]],Table_NFI[Clothes Kit])</f>
        <v>0</v>
      </c>
      <c r="AG855" s="436">
        <f>IF(NFI_Expiration=1,IF($A855&lt;VLOOKUP(P$5,NFI,5,0),1,0)*Table_NFI[[#This Row],[Plastic Bucket]],Table_NFI[Plastic Bucket])</f>
        <v>0</v>
      </c>
      <c r="AH855" s="436">
        <f>IF(NFI_Expiration=1,IF($A855&lt;VLOOKUP(Q$5,NFI,5,0),1,0)*Table_NFI[[#This Row],[Plastic Mat]],Table_NFI[Plastic Mat])*IF(Table_NFI[[#This Row],[Distribution Date]]&gt;"2014-04-01",1,2.5)</f>
        <v>0</v>
      </c>
      <c r="AI855" s="436">
        <f>IF(NFI_Expiration=1,IF($A855&lt;VLOOKUP(R$5,NFI,5,0),1,0)*Table_NFI[[#This Row],[Winter Clothes Adult]],Table_NFI[Winter Clothes Adult])</f>
        <v>0</v>
      </c>
      <c r="AJ855" s="436">
        <f>IF(NFI_Expiration=1,IF($A855&lt;VLOOKUP(S$5,NFI,5,0),1,0)*Table_NFI[[#This Row],[Winter Clothes Children]],Table_NFI[Winter Clothes Children])</f>
        <v>0</v>
      </c>
      <c r="AK855" s="436">
        <f>IF(NFI_Expiration=1,IF($A855&lt;VLOOKUP(T$5,NFI,5,0),1,0)*Table_NFI[[#This Row],[Winter Items Other]],Table_NFI[Winter Items Other])</f>
        <v>0</v>
      </c>
      <c r="AL855" s="436">
        <f>IF(NFI_Expiration=1,IF($A855&lt;VLOOKUP(M$5,NFI,5,0),1,0)*Table_NFI[[#This Row],[Winter Blanket]],Table_NFI[[#This Row],[Winter Blanket]])</f>
        <v>0</v>
      </c>
      <c r="AM855" s="436">
        <f>IF(Table_NFI[[#This Row],[Winter Clothes Adult]]+Table_NFI[[#This Row],[Winter Clothes Children]]+Table_NFI[[#This Row],[Winter Items Other]]+Table_NFI[[#This Row],[Winter Blanket]]&gt;0,1,0)</f>
        <v>0</v>
      </c>
      <c r="AN855" s="439">
        <f>IF(NFI_Expiration=1,IF($A855&lt;VLOOKUP(V$5,NFI,5,0),1,0)*Table_NFI[[#This Row],[Jerry Can]],Table_NFI[Jerry Can])</f>
        <v>0</v>
      </c>
      <c r="AO855" s="771" t="str">
        <f>IFERROR(VLOOKUP(Table_NFI[[#This Row],[Camp Name]],CL,2,0),"")</f>
        <v/>
      </c>
      <c r="AP855" s="772" t="str">
        <f ca="1">IF(Table_NFI[[#This Row],[Pcode]]="","",IF(OFFSET(CampList[Opening Date],MATCH(Table_NFI[[#This Row],[Pcode]],CampList[CP_Pcode],0)-1,0,1,1)&gt;=NFI_Monitor_Date,1,0))</f>
        <v/>
      </c>
      <c r="AQ855" s="781" t="str">
        <f>IFERROR(VLOOKUP(Table_NFI[[#This Row],[Camp Name]],CL,3,0),"")</f>
        <v/>
      </c>
      <c r="AR855" s="439" t="str">
        <f ca="1">IF(Table_NFI[[#This Row],[Pcode]]="","",OFFSET(CampList[Priority],MATCH(Table_NFI[[#This Row],[Pcode]],CampList[CP_Pcode],0)-1,0,1,1))</f>
        <v/>
      </c>
      <c r="AS855" s="438" t="str">
        <f>IFERROR(Table_NFI[[#This Row],[Kitchen Set]]/VLOOKUP(Table_NFI[[#This Row],[Camp Name]],CL,4,0),"")</f>
        <v/>
      </c>
      <c r="AT855" s="769" t="s">
        <v>1099</v>
      </c>
      <c r="AU855" s="773" t="s">
        <v>1175</v>
      </c>
    </row>
    <row r="856" spans="1:47" s="136" customFormat="1" ht="14.45" customHeight="1" x14ac:dyDescent="0.25">
      <c r="A856" s="451">
        <f t="shared" si="13"/>
        <v>46.833333333333336</v>
      </c>
      <c r="B856" s="768">
        <v>40965</v>
      </c>
      <c r="C856" s="769" t="s">
        <v>454</v>
      </c>
      <c r="D856" s="769" t="s">
        <v>909</v>
      </c>
      <c r="E856" s="769" t="s">
        <v>380</v>
      </c>
      <c r="F856" s="435" t="s">
        <v>237</v>
      </c>
      <c r="G856" s="435" t="s">
        <v>924</v>
      </c>
      <c r="H856" s="436"/>
      <c r="I856" s="436"/>
      <c r="J856" s="436"/>
      <c r="K856" s="436">
        <v>25</v>
      </c>
      <c r="L856" s="437">
        <v>0</v>
      </c>
      <c r="M856" s="437">
        <v>25</v>
      </c>
      <c r="N856" s="437">
        <v>0</v>
      </c>
      <c r="O856" s="437">
        <v>10</v>
      </c>
      <c r="P856" s="439">
        <v>10</v>
      </c>
      <c r="Q856" s="439">
        <v>10</v>
      </c>
      <c r="R856" s="695"/>
      <c r="S856" s="695"/>
      <c r="T856" s="695"/>
      <c r="U856" s="695"/>
      <c r="V856" s="436"/>
      <c r="W856" s="436"/>
      <c r="X856" s="436"/>
      <c r="Y856" s="436">
        <f>IF(NFI_Expiration=1,IF($A856&lt;VLOOKUP(H$5,NFI,5,0),1,0)*Table_NFI[[#This Row],[Hygiene Kit]],Table_NFI[Hygiene Kit])</f>
        <v>0</v>
      </c>
      <c r="Z856" s="436">
        <f>IF(NFI_Expiration=1,IF($A856&lt;VLOOKUP(I$5,NFI,5,0),1,0)*Table_NFI[[#This Row],[NFI Core Kit]],Table_NFI[NFI Core Kit])</f>
        <v>0</v>
      </c>
      <c r="AA856" s="436">
        <f>IF(NFI_Expiration=1,IF($A856&lt;VLOOKUP(J$5,NFI,5,0),1,0)*Table_NFI[[#This Row],[Sanitary Kit]],Table_NFI[Sanitary Kit])</f>
        <v>0</v>
      </c>
      <c r="AB856" s="436">
        <f>IF(NFI_Expiration=1,IF($A856&lt;VLOOKUP(K$5,NFI,5,0),1,0)*Table_NFI[[#This Row],[Mosquito net]],Table_NFI[Mosquito net])</f>
        <v>0</v>
      </c>
      <c r="AC856" s="436">
        <f>IF(NFI_Expiration=1,IF($A856&lt;VLOOKUP(L$5,NFI,5,0),1,0)*Table_NFI[[#This Row],[Tarpaulin]],Table_NFI[[#This Row],[Tarpaulin]])</f>
        <v>0</v>
      </c>
      <c r="AD856" s="436">
        <f>IF(NFI_Expiration=1,IF($A856&lt;VLOOKUP(M$5,NFI,5,0),1,0)*Table_NFI[[#This Row],[Blanket]],Table_NFI[[#This Row],[Blanket]])</f>
        <v>0</v>
      </c>
      <c r="AE856" s="436">
        <f>IF(NFI_Expiration=1,IF($A856&lt;VLOOKUP(N$5,NFI,5,0),1,0)*Table_NFI[[#This Row],[Kitchen Set]],Table_NFI[Kitchen Set])</f>
        <v>0</v>
      </c>
      <c r="AF856" s="436">
        <f>IF(NFI_Expiration=1,IF($A856&lt;VLOOKUP(O$5,NFI,5,0),1,0)*Table_NFI[[#This Row],[Clothes Kit]],Table_NFI[Clothes Kit])</f>
        <v>0</v>
      </c>
      <c r="AG856" s="436">
        <f>IF(NFI_Expiration=1,IF($A856&lt;VLOOKUP(P$5,NFI,5,0),1,0)*Table_NFI[[#This Row],[Plastic Bucket]],Table_NFI[Plastic Bucket])</f>
        <v>0</v>
      </c>
      <c r="AH856" s="436">
        <f>IF(NFI_Expiration=1,IF($A856&lt;VLOOKUP(Q$5,NFI,5,0),1,0)*Table_NFI[[#This Row],[Plastic Mat]],Table_NFI[Plastic Mat])*IF(Table_NFI[[#This Row],[Distribution Date]]&gt;"2014-04-01",1,2.5)</f>
        <v>0</v>
      </c>
      <c r="AI856" s="436">
        <f>IF(NFI_Expiration=1,IF($A856&lt;VLOOKUP(R$5,NFI,5,0),1,0)*Table_NFI[[#This Row],[Winter Clothes Adult]],Table_NFI[Winter Clothes Adult])</f>
        <v>0</v>
      </c>
      <c r="AJ856" s="436">
        <f>IF(NFI_Expiration=1,IF($A856&lt;VLOOKUP(S$5,NFI,5,0),1,0)*Table_NFI[[#This Row],[Winter Clothes Children]],Table_NFI[Winter Clothes Children])</f>
        <v>0</v>
      </c>
      <c r="AK856" s="436">
        <f>IF(NFI_Expiration=1,IF($A856&lt;VLOOKUP(T$5,NFI,5,0),1,0)*Table_NFI[[#This Row],[Winter Items Other]],Table_NFI[Winter Items Other])</f>
        <v>0</v>
      </c>
      <c r="AL856" s="436">
        <f>IF(NFI_Expiration=1,IF($A856&lt;VLOOKUP(M$5,NFI,5,0),1,0)*Table_NFI[[#This Row],[Winter Blanket]],Table_NFI[[#This Row],[Winter Blanket]])</f>
        <v>0</v>
      </c>
      <c r="AM856" s="436">
        <f>IF(Table_NFI[[#This Row],[Winter Clothes Adult]]+Table_NFI[[#This Row],[Winter Clothes Children]]+Table_NFI[[#This Row],[Winter Items Other]]+Table_NFI[[#This Row],[Winter Blanket]]&gt;0,1,0)</f>
        <v>0</v>
      </c>
      <c r="AN856" s="439">
        <f>IF(NFI_Expiration=1,IF($A856&lt;VLOOKUP(V$5,NFI,5,0),1,0)*Table_NFI[[#This Row],[Jerry Can]],Table_NFI[Jerry Can])</f>
        <v>0</v>
      </c>
      <c r="AO856" s="771" t="str">
        <f>IFERROR(VLOOKUP(Table_NFI[[#This Row],[Camp Name]],CL,2,0),"")</f>
        <v/>
      </c>
      <c r="AP856" s="772" t="str">
        <f ca="1">IF(Table_NFI[[#This Row],[Pcode]]="","",IF(OFFSET(CampList[Opening Date],MATCH(Table_NFI[[#This Row],[Pcode]],CampList[CP_Pcode],0)-1,0,1,1)&gt;=NFI_Monitor_Date,1,0))</f>
        <v/>
      </c>
      <c r="AQ856" s="781" t="str">
        <f>IFERROR(VLOOKUP(Table_NFI[[#This Row],[Camp Name]],CL,3,0),"")</f>
        <v/>
      </c>
      <c r="AR856" s="439" t="str">
        <f ca="1">IF(Table_NFI[[#This Row],[Pcode]]="","",OFFSET(CampList[Priority],MATCH(Table_NFI[[#This Row],[Pcode]],CampList[CP_Pcode],0)-1,0,1,1))</f>
        <v/>
      </c>
      <c r="AS856" s="438" t="str">
        <f>IFERROR(Table_NFI[[#This Row],[Kitchen Set]]/VLOOKUP(Table_NFI[[#This Row],[Camp Name]],CL,4,0),"")</f>
        <v/>
      </c>
      <c r="AT856" s="769" t="s">
        <v>1099</v>
      </c>
      <c r="AU856" s="773"/>
    </row>
    <row r="857" spans="1:47" s="136" customFormat="1" ht="14.45" customHeight="1" x14ac:dyDescent="0.25">
      <c r="A857" s="451">
        <f t="shared" si="13"/>
        <v>47.466666666666669</v>
      </c>
      <c r="B857" s="768">
        <v>40946</v>
      </c>
      <c r="C857" s="769" t="s">
        <v>454</v>
      </c>
      <c r="D857" s="770" t="s">
        <v>909</v>
      </c>
      <c r="E857" s="769" t="s">
        <v>380</v>
      </c>
      <c r="F857" s="435" t="s">
        <v>237</v>
      </c>
      <c r="G857" s="435" t="s">
        <v>263</v>
      </c>
      <c r="H857" s="436"/>
      <c r="I857" s="436"/>
      <c r="J857" s="436"/>
      <c r="K857" s="436">
        <v>38</v>
      </c>
      <c r="L857" s="437">
        <v>18</v>
      </c>
      <c r="M857" s="437">
        <v>38</v>
      </c>
      <c r="N857" s="437">
        <v>18</v>
      </c>
      <c r="O857" s="437">
        <v>18</v>
      </c>
      <c r="P857" s="437">
        <v>18</v>
      </c>
      <c r="Q857" s="437">
        <v>18</v>
      </c>
      <c r="R857" s="695"/>
      <c r="S857" s="695"/>
      <c r="T857" s="695"/>
      <c r="U857" s="695"/>
      <c r="V857" s="436"/>
      <c r="W857" s="436"/>
      <c r="X857" s="436"/>
      <c r="Y857" s="436">
        <f>IF(NFI_Expiration=1,IF($A857&lt;VLOOKUP(H$5,NFI,5,0),1,0)*Table_NFI[[#This Row],[Hygiene Kit]],Table_NFI[Hygiene Kit])</f>
        <v>0</v>
      </c>
      <c r="Z857" s="436">
        <f>IF(NFI_Expiration=1,IF($A857&lt;VLOOKUP(I$5,NFI,5,0),1,0)*Table_NFI[[#This Row],[NFI Core Kit]],Table_NFI[NFI Core Kit])</f>
        <v>0</v>
      </c>
      <c r="AA857" s="436">
        <f>IF(NFI_Expiration=1,IF($A857&lt;VLOOKUP(J$5,NFI,5,0),1,0)*Table_NFI[[#This Row],[Sanitary Kit]],Table_NFI[Sanitary Kit])</f>
        <v>0</v>
      </c>
      <c r="AB857" s="436">
        <f>IF(NFI_Expiration=1,IF($A857&lt;VLOOKUP(K$5,NFI,5,0),1,0)*Table_NFI[[#This Row],[Mosquito net]],Table_NFI[Mosquito net])</f>
        <v>0</v>
      </c>
      <c r="AC857" s="436">
        <f>IF(NFI_Expiration=1,IF($A857&lt;VLOOKUP(L$5,NFI,5,0),1,0)*Table_NFI[[#This Row],[Tarpaulin]],Table_NFI[[#This Row],[Tarpaulin]])</f>
        <v>0</v>
      </c>
      <c r="AD857" s="436">
        <f>IF(NFI_Expiration=1,IF($A857&lt;VLOOKUP(M$5,NFI,5,0),1,0)*Table_NFI[[#This Row],[Blanket]],Table_NFI[[#This Row],[Blanket]])</f>
        <v>0</v>
      </c>
      <c r="AE857" s="436">
        <f>IF(NFI_Expiration=1,IF($A857&lt;VLOOKUP(N$5,NFI,5,0),1,0)*Table_NFI[[#This Row],[Kitchen Set]],Table_NFI[Kitchen Set])</f>
        <v>0</v>
      </c>
      <c r="AF857" s="436">
        <f>IF(NFI_Expiration=1,IF($A857&lt;VLOOKUP(O$5,NFI,5,0),1,0)*Table_NFI[[#This Row],[Clothes Kit]],Table_NFI[Clothes Kit])</f>
        <v>0</v>
      </c>
      <c r="AG857" s="436">
        <f>IF(NFI_Expiration=1,IF($A857&lt;VLOOKUP(P$5,NFI,5,0),1,0)*Table_NFI[[#This Row],[Plastic Bucket]],Table_NFI[Plastic Bucket])</f>
        <v>0</v>
      </c>
      <c r="AH857" s="436">
        <f>IF(NFI_Expiration=1,IF($A857&lt;VLOOKUP(Q$5,NFI,5,0),1,0)*Table_NFI[[#This Row],[Plastic Mat]],Table_NFI[Plastic Mat])*IF(Table_NFI[[#This Row],[Distribution Date]]&gt;"2014-04-01",1,2.5)</f>
        <v>0</v>
      </c>
      <c r="AI857" s="436">
        <f>IF(NFI_Expiration=1,IF($A857&lt;VLOOKUP(R$5,NFI,5,0),1,0)*Table_NFI[[#This Row],[Winter Clothes Adult]],Table_NFI[Winter Clothes Adult])</f>
        <v>0</v>
      </c>
      <c r="AJ857" s="436">
        <f>IF(NFI_Expiration=1,IF($A857&lt;VLOOKUP(S$5,NFI,5,0),1,0)*Table_NFI[[#This Row],[Winter Clothes Children]],Table_NFI[Winter Clothes Children])</f>
        <v>0</v>
      </c>
      <c r="AK857" s="436">
        <f>IF(NFI_Expiration=1,IF($A857&lt;VLOOKUP(T$5,NFI,5,0),1,0)*Table_NFI[[#This Row],[Winter Items Other]],Table_NFI[Winter Items Other])</f>
        <v>0</v>
      </c>
      <c r="AL857" s="436">
        <f>IF(NFI_Expiration=1,IF($A857&lt;VLOOKUP(M$5,NFI,5,0),1,0)*Table_NFI[[#This Row],[Winter Blanket]],Table_NFI[[#This Row],[Winter Blanket]])</f>
        <v>0</v>
      </c>
      <c r="AM857" s="436">
        <f>IF(Table_NFI[[#This Row],[Winter Clothes Adult]]+Table_NFI[[#This Row],[Winter Clothes Children]]+Table_NFI[[#This Row],[Winter Items Other]]+Table_NFI[[#This Row],[Winter Blanket]]&gt;0,1,0)</f>
        <v>0</v>
      </c>
      <c r="AN857" s="439">
        <f>IF(NFI_Expiration=1,IF($A857&lt;VLOOKUP(V$5,NFI,5,0),1,0)*Table_NFI[[#This Row],[Jerry Can]],Table_NFI[Jerry Can])</f>
        <v>0</v>
      </c>
      <c r="AO857" s="771" t="str">
        <f>IFERROR(VLOOKUP(Table_NFI[[#This Row],[Camp Name]],CL,2,0),"")</f>
        <v>MMR001CMP020</v>
      </c>
      <c r="AP857" s="772">
        <f ca="1">IF(Table_NFI[[#This Row],[Pcode]]="","",IF(OFFSET(CampList[Opening Date],MATCH(Table_NFI[[#This Row],[Pcode]],CampList[CP_Pcode],0)-1,0,1,1)&gt;=NFI_Monitor_Date,1,0))</f>
        <v>0</v>
      </c>
      <c r="AQ857" s="781" t="str">
        <f>IFERROR(VLOOKUP(Table_NFI[[#This Row],[Camp Name]],CL,3,0),"")</f>
        <v>Open</v>
      </c>
      <c r="AR857" s="439" t="str">
        <f ca="1">IF(Table_NFI[[#This Row],[Pcode]]="","",OFFSET(CampList[Priority],MATCH(Table_NFI[[#This Row],[Pcode]],CampList[CP_Pcode],0)-1,0,1,1))</f>
        <v>P4</v>
      </c>
      <c r="AS857" s="438">
        <f>IFERROR(Table_NFI[[#This Row],[Kitchen Set]]/VLOOKUP(Table_NFI[[#This Row],[Camp Name]],CL,4,0),"")</f>
        <v>0.81818181818181823</v>
      </c>
      <c r="AT857" s="769" t="s">
        <v>1099</v>
      </c>
      <c r="AU857" s="773"/>
    </row>
    <row r="858" spans="1:47" s="136" customFormat="1" ht="14.45" customHeight="1" x14ac:dyDescent="0.25">
      <c r="A858" s="451">
        <f t="shared" si="13"/>
        <v>47.5</v>
      </c>
      <c r="B858" s="768">
        <v>40945</v>
      </c>
      <c r="C858" s="769" t="s">
        <v>454</v>
      </c>
      <c r="D858" s="770" t="s">
        <v>454</v>
      </c>
      <c r="E858" s="769" t="s">
        <v>380</v>
      </c>
      <c r="F858" s="435" t="s">
        <v>310</v>
      </c>
      <c r="G858" s="435" t="s">
        <v>351</v>
      </c>
      <c r="H858" s="436"/>
      <c r="I858" s="436"/>
      <c r="J858" s="436"/>
      <c r="K858" s="436">
        <v>0</v>
      </c>
      <c r="L858" s="437">
        <v>0</v>
      </c>
      <c r="M858" s="437">
        <v>0</v>
      </c>
      <c r="N858" s="437">
        <v>0</v>
      </c>
      <c r="O858" s="437">
        <v>13</v>
      </c>
      <c r="P858" s="437">
        <v>13</v>
      </c>
      <c r="Q858" s="437">
        <v>13</v>
      </c>
      <c r="R858" s="695"/>
      <c r="S858" s="695"/>
      <c r="T858" s="695"/>
      <c r="U858" s="695"/>
      <c r="V858" s="436"/>
      <c r="W858" s="436"/>
      <c r="X858" s="436"/>
      <c r="Y858" s="436">
        <f>IF(NFI_Expiration=1,IF($A858&lt;VLOOKUP(H$5,NFI,5,0),1,0)*Table_NFI[[#This Row],[Hygiene Kit]],Table_NFI[Hygiene Kit])</f>
        <v>0</v>
      </c>
      <c r="Z858" s="436">
        <f>IF(NFI_Expiration=1,IF($A858&lt;VLOOKUP(I$5,NFI,5,0),1,0)*Table_NFI[[#This Row],[NFI Core Kit]],Table_NFI[NFI Core Kit])</f>
        <v>0</v>
      </c>
      <c r="AA858" s="436">
        <f>IF(NFI_Expiration=1,IF($A858&lt;VLOOKUP(J$5,NFI,5,0),1,0)*Table_NFI[[#This Row],[Sanitary Kit]],Table_NFI[Sanitary Kit])</f>
        <v>0</v>
      </c>
      <c r="AB858" s="436">
        <f>IF(NFI_Expiration=1,IF($A858&lt;VLOOKUP(K$5,NFI,5,0),1,0)*Table_NFI[[#This Row],[Mosquito net]],Table_NFI[Mosquito net])</f>
        <v>0</v>
      </c>
      <c r="AC858" s="436">
        <f>IF(NFI_Expiration=1,IF($A858&lt;VLOOKUP(L$5,NFI,5,0),1,0)*Table_NFI[[#This Row],[Tarpaulin]],Table_NFI[[#This Row],[Tarpaulin]])</f>
        <v>0</v>
      </c>
      <c r="AD858" s="436">
        <f>IF(NFI_Expiration=1,IF($A858&lt;VLOOKUP(M$5,NFI,5,0),1,0)*Table_NFI[[#This Row],[Blanket]],Table_NFI[[#This Row],[Blanket]])</f>
        <v>0</v>
      </c>
      <c r="AE858" s="436">
        <f>IF(NFI_Expiration=1,IF($A858&lt;VLOOKUP(N$5,NFI,5,0),1,0)*Table_NFI[[#This Row],[Kitchen Set]],Table_NFI[Kitchen Set])</f>
        <v>0</v>
      </c>
      <c r="AF858" s="436">
        <f>IF(NFI_Expiration=1,IF($A858&lt;VLOOKUP(O$5,NFI,5,0),1,0)*Table_NFI[[#This Row],[Clothes Kit]],Table_NFI[Clothes Kit])</f>
        <v>0</v>
      </c>
      <c r="AG858" s="436">
        <f>IF(NFI_Expiration=1,IF($A858&lt;VLOOKUP(P$5,NFI,5,0),1,0)*Table_NFI[[#This Row],[Plastic Bucket]],Table_NFI[Plastic Bucket])</f>
        <v>0</v>
      </c>
      <c r="AH858" s="436">
        <f>IF(NFI_Expiration=1,IF($A858&lt;VLOOKUP(Q$5,NFI,5,0),1,0)*Table_NFI[[#This Row],[Plastic Mat]],Table_NFI[Plastic Mat])*IF(Table_NFI[[#This Row],[Distribution Date]]&gt;"2014-04-01",1,2.5)</f>
        <v>0</v>
      </c>
      <c r="AI858" s="436">
        <f>IF(NFI_Expiration=1,IF($A858&lt;VLOOKUP(R$5,NFI,5,0),1,0)*Table_NFI[[#This Row],[Winter Clothes Adult]],Table_NFI[Winter Clothes Adult])</f>
        <v>0</v>
      </c>
      <c r="AJ858" s="436">
        <f>IF(NFI_Expiration=1,IF($A858&lt;VLOOKUP(S$5,NFI,5,0),1,0)*Table_NFI[[#This Row],[Winter Clothes Children]],Table_NFI[Winter Clothes Children])</f>
        <v>0</v>
      </c>
      <c r="AK858" s="436">
        <f>IF(NFI_Expiration=1,IF($A858&lt;VLOOKUP(T$5,NFI,5,0),1,0)*Table_NFI[[#This Row],[Winter Items Other]],Table_NFI[Winter Items Other])</f>
        <v>0</v>
      </c>
      <c r="AL858" s="436">
        <f>IF(NFI_Expiration=1,IF($A858&lt;VLOOKUP(M$5,NFI,5,0),1,0)*Table_NFI[[#This Row],[Winter Blanket]],Table_NFI[[#This Row],[Winter Blanket]])</f>
        <v>0</v>
      </c>
      <c r="AM858" s="436">
        <f>IF(Table_NFI[[#This Row],[Winter Clothes Adult]]+Table_NFI[[#This Row],[Winter Clothes Children]]+Table_NFI[[#This Row],[Winter Items Other]]+Table_NFI[[#This Row],[Winter Blanket]]&gt;0,1,0)</f>
        <v>0</v>
      </c>
      <c r="AN858" s="439">
        <f>IF(NFI_Expiration=1,IF($A858&lt;VLOOKUP(V$5,NFI,5,0),1,0)*Table_NFI[[#This Row],[Jerry Can]],Table_NFI[Jerry Can])</f>
        <v>0</v>
      </c>
      <c r="AO858" s="771" t="str">
        <f>IFERROR(VLOOKUP(Table_NFI[[#This Row],[Camp Name]],CL,2,0),"")</f>
        <v>MMR001CMP026</v>
      </c>
      <c r="AP858" s="772">
        <f ca="1">IF(Table_NFI[[#This Row],[Pcode]]="","",IF(OFFSET(CampList[Opening Date],MATCH(Table_NFI[[#This Row],[Pcode]],CampList[CP_Pcode],0)-1,0,1,1)&gt;=NFI_Monitor_Date,1,0))</f>
        <v>0</v>
      </c>
      <c r="AQ858" s="781" t="str">
        <f>IFERROR(VLOOKUP(Table_NFI[[#This Row],[Camp Name]],CL,3,0),"")</f>
        <v>Open</v>
      </c>
      <c r="AR858" s="439" t="str">
        <f ca="1">IF(Table_NFI[[#This Row],[Pcode]]="","",OFFSET(CampList[Priority],MATCH(Table_NFI[[#This Row],[Pcode]],CampList[CP_Pcode],0)-1,0,1,1))</f>
        <v>P4</v>
      </c>
      <c r="AS858" s="438">
        <f>IFERROR(Table_NFI[[#This Row],[Kitchen Set]]/VLOOKUP(Table_NFI[[#This Row],[Camp Name]],CL,4,0),"")</f>
        <v>0</v>
      </c>
      <c r="AT858" s="769" t="s">
        <v>1099</v>
      </c>
      <c r="AU858" s="773"/>
    </row>
    <row r="859" spans="1:47" s="136" customFormat="1" ht="14.45" customHeight="1" x14ac:dyDescent="0.25">
      <c r="A859" s="451">
        <f t="shared" si="13"/>
        <v>47.7</v>
      </c>
      <c r="B859" s="768">
        <v>40939</v>
      </c>
      <c r="C859" s="769" t="s">
        <v>454</v>
      </c>
      <c r="D859" s="769" t="s">
        <v>454</v>
      </c>
      <c r="E859" s="769" t="s">
        <v>380</v>
      </c>
      <c r="F859" s="769" t="s">
        <v>310</v>
      </c>
      <c r="G859" s="435" t="s">
        <v>351</v>
      </c>
      <c r="H859" s="436"/>
      <c r="I859" s="436"/>
      <c r="J859" s="436"/>
      <c r="K859" s="436">
        <v>0</v>
      </c>
      <c r="L859" s="437">
        <v>0</v>
      </c>
      <c r="M859" s="437">
        <v>0</v>
      </c>
      <c r="N859" s="437">
        <v>0</v>
      </c>
      <c r="O859" s="437">
        <v>61</v>
      </c>
      <c r="P859" s="439">
        <v>61</v>
      </c>
      <c r="Q859" s="439">
        <v>61</v>
      </c>
      <c r="R859" s="695"/>
      <c r="S859" s="695"/>
      <c r="T859" s="695"/>
      <c r="U859" s="695"/>
      <c r="V859" s="436"/>
      <c r="W859" s="436"/>
      <c r="X859" s="436"/>
      <c r="Y859" s="436">
        <f>IF(NFI_Expiration=1,IF($A859&lt;VLOOKUP(H$5,NFI,5,0),1,0)*Table_NFI[[#This Row],[Hygiene Kit]],Table_NFI[Hygiene Kit])</f>
        <v>0</v>
      </c>
      <c r="Z859" s="436">
        <f>IF(NFI_Expiration=1,IF($A859&lt;VLOOKUP(I$5,NFI,5,0),1,0)*Table_NFI[[#This Row],[NFI Core Kit]],Table_NFI[NFI Core Kit])</f>
        <v>0</v>
      </c>
      <c r="AA859" s="436">
        <f>IF(NFI_Expiration=1,IF($A859&lt;VLOOKUP(J$5,NFI,5,0),1,0)*Table_NFI[[#This Row],[Sanitary Kit]],Table_NFI[Sanitary Kit])</f>
        <v>0</v>
      </c>
      <c r="AB859" s="436">
        <f>IF(NFI_Expiration=1,IF($A859&lt;VLOOKUP(K$5,NFI,5,0),1,0)*Table_NFI[[#This Row],[Mosquito net]],Table_NFI[Mosquito net])</f>
        <v>0</v>
      </c>
      <c r="AC859" s="436">
        <f>IF(NFI_Expiration=1,IF($A859&lt;VLOOKUP(L$5,NFI,5,0),1,0)*Table_NFI[[#This Row],[Tarpaulin]],Table_NFI[[#This Row],[Tarpaulin]])</f>
        <v>0</v>
      </c>
      <c r="AD859" s="436">
        <f>IF(NFI_Expiration=1,IF($A859&lt;VLOOKUP(M$5,NFI,5,0),1,0)*Table_NFI[[#This Row],[Blanket]],Table_NFI[[#This Row],[Blanket]])</f>
        <v>0</v>
      </c>
      <c r="AE859" s="436">
        <f>IF(NFI_Expiration=1,IF($A859&lt;VLOOKUP(N$5,NFI,5,0),1,0)*Table_NFI[[#This Row],[Kitchen Set]],Table_NFI[Kitchen Set])</f>
        <v>0</v>
      </c>
      <c r="AF859" s="436">
        <f>IF(NFI_Expiration=1,IF($A859&lt;VLOOKUP(O$5,NFI,5,0),1,0)*Table_NFI[[#This Row],[Clothes Kit]],Table_NFI[Clothes Kit])</f>
        <v>0</v>
      </c>
      <c r="AG859" s="436">
        <f>IF(NFI_Expiration=1,IF($A859&lt;VLOOKUP(P$5,NFI,5,0),1,0)*Table_NFI[[#This Row],[Plastic Bucket]],Table_NFI[Plastic Bucket])</f>
        <v>0</v>
      </c>
      <c r="AH859" s="436">
        <f>IF(NFI_Expiration=1,IF($A859&lt;VLOOKUP(Q$5,NFI,5,0),1,0)*Table_NFI[[#This Row],[Plastic Mat]],Table_NFI[Plastic Mat])*IF(Table_NFI[[#This Row],[Distribution Date]]&gt;"2014-04-01",1,2.5)</f>
        <v>0</v>
      </c>
      <c r="AI859" s="436">
        <f>IF(NFI_Expiration=1,IF($A859&lt;VLOOKUP(R$5,NFI,5,0),1,0)*Table_NFI[[#This Row],[Winter Clothes Adult]],Table_NFI[Winter Clothes Adult])</f>
        <v>0</v>
      </c>
      <c r="AJ859" s="436">
        <f>IF(NFI_Expiration=1,IF($A859&lt;VLOOKUP(S$5,NFI,5,0),1,0)*Table_NFI[[#This Row],[Winter Clothes Children]],Table_NFI[Winter Clothes Children])</f>
        <v>0</v>
      </c>
      <c r="AK859" s="436">
        <f>IF(NFI_Expiration=1,IF($A859&lt;VLOOKUP(T$5,NFI,5,0),1,0)*Table_NFI[[#This Row],[Winter Items Other]],Table_NFI[Winter Items Other])</f>
        <v>0</v>
      </c>
      <c r="AL859" s="436">
        <f>IF(NFI_Expiration=1,IF($A859&lt;VLOOKUP(M$5,NFI,5,0),1,0)*Table_NFI[[#This Row],[Winter Blanket]],Table_NFI[[#This Row],[Winter Blanket]])</f>
        <v>0</v>
      </c>
      <c r="AM859" s="436">
        <f>IF(Table_NFI[[#This Row],[Winter Clothes Adult]]+Table_NFI[[#This Row],[Winter Clothes Children]]+Table_NFI[[#This Row],[Winter Items Other]]+Table_NFI[[#This Row],[Winter Blanket]]&gt;0,1,0)</f>
        <v>0</v>
      </c>
      <c r="AN859" s="439">
        <f>IF(NFI_Expiration=1,IF($A859&lt;VLOOKUP(V$5,NFI,5,0),1,0)*Table_NFI[[#This Row],[Jerry Can]],Table_NFI[Jerry Can])</f>
        <v>0</v>
      </c>
      <c r="AO859" s="771" t="str">
        <f>IFERROR(VLOOKUP(Table_NFI[[#This Row],[Camp Name]],CL,2,0),"")</f>
        <v>MMR001CMP026</v>
      </c>
      <c r="AP859" s="772">
        <f ca="1">IF(Table_NFI[[#This Row],[Pcode]]="","",IF(OFFSET(CampList[Opening Date],MATCH(Table_NFI[[#This Row],[Pcode]],CampList[CP_Pcode],0)-1,0,1,1)&gt;=NFI_Monitor_Date,1,0))</f>
        <v>0</v>
      </c>
      <c r="AQ859" s="781" t="str">
        <f>IFERROR(VLOOKUP(Table_NFI[[#This Row],[Camp Name]],CL,3,0),"")</f>
        <v>Open</v>
      </c>
      <c r="AR859" s="439" t="str">
        <f ca="1">IF(Table_NFI[[#This Row],[Pcode]]="","",OFFSET(CampList[Priority],MATCH(Table_NFI[[#This Row],[Pcode]],CampList[CP_Pcode],0)-1,0,1,1))</f>
        <v>P4</v>
      </c>
      <c r="AS859" s="438">
        <f>IFERROR(Table_NFI[[#This Row],[Kitchen Set]]/VLOOKUP(Table_NFI[[#This Row],[Camp Name]],CL,4,0),"")</f>
        <v>0</v>
      </c>
      <c r="AT859" s="769" t="s">
        <v>1099</v>
      </c>
      <c r="AU859" s="773"/>
    </row>
    <row r="860" spans="1:47" s="136" customFormat="1" ht="14.45" customHeight="1" x14ac:dyDescent="0.25">
      <c r="A860" s="451">
        <f t="shared" si="13"/>
        <v>48.1</v>
      </c>
      <c r="B860" s="768">
        <v>40927</v>
      </c>
      <c r="C860" s="769" t="s">
        <v>454</v>
      </c>
      <c r="D860" s="769" t="s">
        <v>462</v>
      </c>
      <c r="E860" s="769" t="s">
        <v>380</v>
      </c>
      <c r="F860" s="435" t="s">
        <v>237</v>
      </c>
      <c r="G860" s="435" t="s">
        <v>253</v>
      </c>
      <c r="H860" s="436"/>
      <c r="I860" s="436"/>
      <c r="J860" s="436"/>
      <c r="K860" s="436">
        <v>0</v>
      </c>
      <c r="L860" s="437">
        <v>0</v>
      </c>
      <c r="M860" s="437">
        <v>0</v>
      </c>
      <c r="N860" s="437">
        <v>0</v>
      </c>
      <c r="O860" s="437">
        <v>118</v>
      </c>
      <c r="P860" s="439">
        <v>118</v>
      </c>
      <c r="Q860" s="439">
        <v>118</v>
      </c>
      <c r="R860" s="436"/>
      <c r="S860" s="436"/>
      <c r="T860" s="436"/>
      <c r="U860" s="436"/>
      <c r="V860" s="436"/>
      <c r="W860" s="436"/>
      <c r="X860" s="436"/>
      <c r="Y860" s="436">
        <f>IF(NFI_Expiration=1,IF($A860&lt;VLOOKUP(H$5,NFI,5,0),1,0)*Table_NFI[[#This Row],[Hygiene Kit]],Table_NFI[Hygiene Kit])</f>
        <v>0</v>
      </c>
      <c r="Z860" s="436">
        <f>IF(NFI_Expiration=1,IF($A860&lt;VLOOKUP(I$5,NFI,5,0),1,0)*Table_NFI[[#This Row],[NFI Core Kit]],Table_NFI[NFI Core Kit])</f>
        <v>0</v>
      </c>
      <c r="AA860" s="436">
        <f>IF(NFI_Expiration=1,IF($A860&lt;VLOOKUP(J$5,NFI,5,0),1,0)*Table_NFI[[#This Row],[Sanitary Kit]],Table_NFI[Sanitary Kit])</f>
        <v>0</v>
      </c>
      <c r="AB860" s="436">
        <f>IF(NFI_Expiration=1,IF($A860&lt;VLOOKUP(K$5,NFI,5,0),1,0)*Table_NFI[[#This Row],[Mosquito net]],Table_NFI[Mosquito net])</f>
        <v>0</v>
      </c>
      <c r="AC860" s="436">
        <f>IF(NFI_Expiration=1,IF($A860&lt;VLOOKUP(L$5,NFI,5,0),1,0)*Table_NFI[[#This Row],[Tarpaulin]],Table_NFI[[#This Row],[Tarpaulin]])</f>
        <v>0</v>
      </c>
      <c r="AD860" s="436">
        <f>IF(NFI_Expiration=1,IF($A860&lt;VLOOKUP(M$5,NFI,5,0),1,0)*Table_NFI[[#This Row],[Blanket]],Table_NFI[[#This Row],[Blanket]])</f>
        <v>0</v>
      </c>
      <c r="AE860" s="436">
        <f>IF(NFI_Expiration=1,IF($A860&lt;VLOOKUP(N$5,NFI,5,0),1,0)*Table_NFI[[#This Row],[Kitchen Set]],Table_NFI[Kitchen Set])</f>
        <v>0</v>
      </c>
      <c r="AF860" s="436">
        <f>IF(NFI_Expiration=1,IF($A860&lt;VLOOKUP(O$5,NFI,5,0),1,0)*Table_NFI[[#This Row],[Clothes Kit]],Table_NFI[Clothes Kit])</f>
        <v>0</v>
      </c>
      <c r="AG860" s="436">
        <f>IF(NFI_Expiration=1,IF($A860&lt;VLOOKUP(P$5,NFI,5,0),1,0)*Table_NFI[[#This Row],[Plastic Bucket]],Table_NFI[Plastic Bucket])</f>
        <v>0</v>
      </c>
      <c r="AH860" s="436">
        <f>IF(NFI_Expiration=1,IF($A860&lt;VLOOKUP(Q$5,NFI,5,0),1,0)*Table_NFI[[#This Row],[Plastic Mat]],Table_NFI[Plastic Mat])*IF(Table_NFI[[#This Row],[Distribution Date]]&gt;"2014-04-01",1,2.5)</f>
        <v>0</v>
      </c>
      <c r="AI860" s="436">
        <f>IF(NFI_Expiration=1,IF($A860&lt;VLOOKUP(R$5,NFI,5,0),1,0)*Table_NFI[[#This Row],[Winter Clothes Adult]],Table_NFI[Winter Clothes Adult])</f>
        <v>0</v>
      </c>
      <c r="AJ860" s="436">
        <f>IF(NFI_Expiration=1,IF($A860&lt;VLOOKUP(S$5,NFI,5,0),1,0)*Table_NFI[[#This Row],[Winter Clothes Children]],Table_NFI[Winter Clothes Children])</f>
        <v>0</v>
      </c>
      <c r="AK860" s="436">
        <f>IF(NFI_Expiration=1,IF($A860&lt;VLOOKUP(T$5,NFI,5,0),1,0)*Table_NFI[[#This Row],[Winter Items Other]],Table_NFI[Winter Items Other])</f>
        <v>0</v>
      </c>
      <c r="AL860" s="436">
        <f>IF(NFI_Expiration=1,IF($A860&lt;VLOOKUP(M$5,NFI,5,0),1,0)*Table_NFI[[#This Row],[Winter Blanket]],Table_NFI[[#This Row],[Winter Blanket]])</f>
        <v>0</v>
      </c>
      <c r="AM860" s="436">
        <f>IF(Table_NFI[[#This Row],[Winter Clothes Adult]]+Table_NFI[[#This Row],[Winter Clothes Children]]+Table_NFI[[#This Row],[Winter Items Other]]+Table_NFI[[#This Row],[Winter Blanket]]&gt;0,1,0)</f>
        <v>0</v>
      </c>
      <c r="AN860" s="439">
        <f>IF(NFI_Expiration=1,IF($A860&lt;VLOOKUP(V$5,NFI,5,0),1,0)*Table_NFI[[#This Row],[Jerry Can]],Table_NFI[Jerry Can])</f>
        <v>0</v>
      </c>
      <c r="AO860" s="771" t="str">
        <f>IFERROR(VLOOKUP(Table_NFI[[#This Row],[Camp Name]],CL,2,0),"")</f>
        <v>MMR001CMP018</v>
      </c>
      <c r="AP860" s="772">
        <f ca="1">IF(Table_NFI[[#This Row],[Pcode]]="","",IF(OFFSET(CampList[Opening Date],MATCH(Table_NFI[[#This Row],[Pcode]],CampList[CP_Pcode],0)-1,0,1,1)&gt;=NFI_Monitor_Date,1,0))</f>
        <v>0</v>
      </c>
      <c r="AQ860" s="781" t="str">
        <f>IFERROR(VLOOKUP(Table_NFI[[#This Row],[Camp Name]],CL,3,0),"")</f>
        <v>Open</v>
      </c>
      <c r="AR860" s="439" t="str">
        <f ca="1">IF(Table_NFI[[#This Row],[Pcode]]="","",OFFSET(CampList[Priority],MATCH(Table_NFI[[#This Row],[Pcode]],CampList[CP_Pcode],0)-1,0,1,1))</f>
        <v>P4</v>
      </c>
      <c r="AS860" s="438">
        <f>IFERROR(Table_NFI[[#This Row],[Kitchen Set]]/VLOOKUP(Table_NFI[[#This Row],[Camp Name]],CL,4,0),"")</f>
        <v>0</v>
      </c>
      <c r="AT860" s="769" t="s">
        <v>1099</v>
      </c>
      <c r="AU860" s="773"/>
    </row>
    <row r="861" spans="1:47" s="136" customFormat="1" ht="14.45" customHeight="1" x14ac:dyDescent="0.25">
      <c r="A861" s="451">
        <f t="shared" si="13"/>
        <v>48.3</v>
      </c>
      <c r="B861" s="768">
        <v>40921</v>
      </c>
      <c r="C861" s="769" t="s">
        <v>454</v>
      </c>
      <c r="D861" s="770" t="s">
        <v>462</v>
      </c>
      <c r="E861" s="769" t="s">
        <v>380</v>
      </c>
      <c r="F861" s="435"/>
      <c r="G861" s="435" t="s">
        <v>915</v>
      </c>
      <c r="H861" s="436"/>
      <c r="I861" s="436"/>
      <c r="J861" s="436"/>
      <c r="K861" s="436">
        <v>76</v>
      </c>
      <c r="L861" s="437">
        <v>38</v>
      </c>
      <c r="M861" s="437">
        <v>38</v>
      </c>
      <c r="N861" s="437">
        <v>0</v>
      </c>
      <c r="O861" s="437">
        <v>38</v>
      </c>
      <c r="P861" s="437">
        <v>38</v>
      </c>
      <c r="Q861" s="437">
        <v>38</v>
      </c>
      <c r="R861" s="695"/>
      <c r="S861" s="695"/>
      <c r="T861" s="695"/>
      <c r="U861" s="695"/>
      <c r="V861" s="436"/>
      <c r="W861" s="436"/>
      <c r="X861" s="436"/>
      <c r="Y861" s="436">
        <f>IF(NFI_Expiration=1,IF($A861&lt;VLOOKUP(H$5,NFI,5,0),1,0)*Table_NFI[[#This Row],[Hygiene Kit]],Table_NFI[Hygiene Kit])</f>
        <v>0</v>
      </c>
      <c r="Z861" s="436">
        <f>IF(NFI_Expiration=1,IF($A861&lt;VLOOKUP(I$5,NFI,5,0),1,0)*Table_NFI[[#This Row],[NFI Core Kit]],Table_NFI[NFI Core Kit])</f>
        <v>0</v>
      </c>
      <c r="AA861" s="436">
        <f>IF(NFI_Expiration=1,IF($A861&lt;VLOOKUP(J$5,NFI,5,0),1,0)*Table_NFI[[#This Row],[Sanitary Kit]],Table_NFI[Sanitary Kit])</f>
        <v>0</v>
      </c>
      <c r="AB861" s="436">
        <f>IF(NFI_Expiration=1,IF($A861&lt;VLOOKUP(K$5,NFI,5,0),1,0)*Table_NFI[[#This Row],[Mosquito net]],Table_NFI[Mosquito net])</f>
        <v>0</v>
      </c>
      <c r="AC861" s="436">
        <f>IF(NFI_Expiration=1,IF($A861&lt;VLOOKUP(L$5,NFI,5,0),1,0)*Table_NFI[[#This Row],[Tarpaulin]],Table_NFI[[#This Row],[Tarpaulin]])</f>
        <v>0</v>
      </c>
      <c r="AD861" s="436">
        <f>IF(NFI_Expiration=1,IF($A861&lt;VLOOKUP(M$5,NFI,5,0),1,0)*Table_NFI[[#This Row],[Blanket]],Table_NFI[[#This Row],[Blanket]])</f>
        <v>0</v>
      </c>
      <c r="AE861" s="436">
        <f>IF(NFI_Expiration=1,IF($A861&lt;VLOOKUP(N$5,NFI,5,0),1,0)*Table_NFI[[#This Row],[Kitchen Set]],Table_NFI[Kitchen Set])</f>
        <v>0</v>
      </c>
      <c r="AF861" s="436">
        <f>IF(NFI_Expiration=1,IF($A861&lt;VLOOKUP(O$5,NFI,5,0),1,0)*Table_NFI[[#This Row],[Clothes Kit]],Table_NFI[Clothes Kit])</f>
        <v>0</v>
      </c>
      <c r="AG861" s="436">
        <f>IF(NFI_Expiration=1,IF($A861&lt;VLOOKUP(P$5,NFI,5,0),1,0)*Table_NFI[[#This Row],[Plastic Bucket]],Table_NFI[Plastic Bucket])</f>
        <v>0</v>
      </c>
      <c r="AH861" s="436">
        <f>IF(NFI_Expiration=1,IF($A861&lt;VLOOKUP(Q$5,NFI,5,0),1,0)*Table_NFI[[#This Row],[Plastic Mat]],Table_NFI[Plastic Mat])*IF(Table_NFI[[#This Row],[Distribution Date]]&gt;"2014-04-01",1,2.5)</f>
        <v>0</v>
      </c>
      <c r="AI861" s="436">
        <f>IF(NFI_Expiration=1,IF($A861&lt;VLOOKUP(R$5,NFI,5,0),1,0)*Table_NFI[[#This Row],[Winter Clothes Adult]],Table_NFI[Winter Clothes Adult])</f>
        <v>0</v>
      </c>
      <c r="AJ861" s="436">
        <f>IF(NFI_Expiration=1,IF($A861&lt;VLOOKUP(S$5,NFI,5,0),1,0)*Table_NFI[[#This Row],[Winter Clothes Children]],Table_NFI[Winter Clothes Children])</f>
        <v>0</v>
      </c>
      <c r="AK861" s="436">
        <f>IF(NFI_Expiration=1,IF($A861&lt;VLOOKUP(T$5,NFI,5,0),1,0)*Table_NFI[[#This Row],[Winter Items Other]],Table_NFI[Winter Items Other])</f>
        <v>0</v>
      </c>
      <c r="AL861" s="436">
        <f>IF(NFI_Expiration=1,IF($A861&lt;VLOOKUP(M$5,NFI,5,0),1,0)*Table_NFI[[#This Row],[Winter Blanket]],Table_NFI[[#This Row],[Winter Blanket]])</f>
        <v>0</v>
      </c>
      <c r="AM861" s="436">
        <f>IF(Table_NFI[[#This Row],[Winter Clothes Adult]]+Table_NFI[[#This Row],[Winter Clothes Children]]+Table_NFI[[#This Row],[Winter Items Other]]+Table_NFI[[#This Row],[Winter Blanket]]&gt;0,1,0)</f>
        <v>0</v>
      </c>
      <c r="AN861" s="439">
        <f>IF(NFI_Expiration=1,IF($A861&lt;VLOOKUP(V$5,NFI,5,0),1,0)*Table_NFI[[#This Row],[Jerry Can]],Table_NFI[Jerry Can])</f>
        <v>0</v>
      </c>
      <c r="AO861" s="771" t="str">
        <f>IFERROR(VLOOKUP(Table_NFI[[#This Row],[Camp Name]],CL,2,0),"")</f>
        <v/>
      </c>
      <c r="AP861" s="772" t="str">
        <f ca="1">IF(Table_NFI[[#This Row],[Pcode]]="","",IF(OFFSET(CampList[Opening Date],MATCH(Table_NFI[[#This Row],[Pcode]],CampList[CP_Pcode],0)-1,0,1,1)&gt;=NFI_Monitor_Date,1,0))</f>
        <v/>
      </c>
      <c r="AQ861" s="781" t="str">
        <f>IFERROR(VLOOKUP(Table_NFI[[#This Row],[Camp Name]],CL,3,0),"")</f>
        <v/>
      </c>
      <c r="AR861" s="439" t="str">
        <f ca="1">IF(Table_NFI[[#This Row],[Pcode]]="","",OFFSET(CampList[Priority],MATCH(Table_NFI[[#This Row],[Pcode]],CampList[CP_Pcode],0)-1,0,1,1))</f>
        <v/>
      </c>
      <c r="AS861" s="438" t="str">
        <f>IFERROR(Table_NFI[[#This Row],[Kitchen Set]]/VLOOKUP(Table_NFI[[#This Row],[Camp Name]],CL,4,0),"")</f>
        <v/>
      </c>
      <c r="AT861" s="769" t="s">
        <v>1099</v>
      </c>
      <c r="AU861" s="773"/>
    </row>
    <row r="862" spans="1:47" s="774" customFormat="1" ht="14.45" customHeight="1" x14ac:dyDescent="0.25">
      <c r="A862" s="451">
        <f t="shared" si="13"/>
        <v>48.3</v>
      </c>
      <c r="B862" s="768">
        <v>40921</v>
      </c>
      <c r="C862" s="769" t="s">
        <v>454</v>
      </c>
      <c r="D862" s="770" t="s">
        <v>462</v>
      </c>
      <c r="E862" s="769" t="s">
        <v>380</v>
      </c>
      <c r="F862" s="435"/>
      <c r="G862" s="435" t="s">
        <v>917</v>
      </c>
      <c r="H862" s="436"/>
      <c r="I862" s="436"/>
      <c r="J862" s="436"/>
      <c r="K862" s="436">
        <v>18</v>
      </c>
      <c r="L862" s="437">
        <v>9</v>
      </c>
      <c r="M862" s="437">
        <v>9</v>
      </c>
      <c r="N862" s="437">
        <v>0</v>
      </c>
      <c r="O862" s="437">
        <v>9</v>
      </c>
      <c r="P862" s="437">
        <v>9</v>
      </c>
      <c r="Q862" s="437">
        <v>9</v>
      </c>
      <c r="R862" s="436"/>
      <c r="S862" s="436"/>
      <c r="T862" s="436"/>
      <c r="U862" s="436"/>
      <c r="V862" s="436"/>
      <c r="W862" s="436"/>
      <c r="X862" s="436"/>
      <c r="Y862" s="436">
        <f>IF(NFI_Expiration=1,IF($A862&lt;VLOOKUP(H$5,NFI,5,0),1,0)*Table_NFI[[#This Row],[Hygiene Kit]],Table_NFI[Hygiene Kit])</f>
        <v>0</v>
      </c>
      <c r="Z862" s="436">
        <f>IF(NFI_Expiration=1,IF($A862&lt;VLOOKUP(I$5,NFI,5,0),1,0)*Table_NFI[[#This Row],[NFI Core Kit]],Table_NFI[NFI Core Kit])</f>
        <v>0</v>
      </c>
      <c r="AA862" s="436">
        <f>IF(NFI_Expiration=1,IF($A862&lt;VLOOKUP(J$5,NFI,5,0),1,0)*Table_NFI[[#This Row],[Sanitary Kit]],Table_NFI[Sanitary Kit])</f>
        <v>0</v>
      </c>
      <c r="AB862" s="436">
        <f>IF(NFI_Expiration=1,IF($A862&lt;VLOOKUP(K$5,NFI,5,0),1,0)*Table_NFI[[#This Row],[Mosquito net]],Table_NFI[Mosquito net])</f>
        <v>0</v>
      </c>
      <c r="AC862" s="436">
        <f>IF(NFI_Expiration=1,IF($A862&lt;VLOOKUP(L$5,NFI,5,0),1,0)*Table_NFI[[#This Row],[Tarpaulin]],Table_NFI[[#This Row],[Tarpaulin]])</f>
        <v>0</v>
      </c>
      <c r="AD862" s="436">
        <f>IF(NFI_Expiration=1,IF($A862&lt;VLOOKUP(M$5,NFI,5,0),1,0)*Table_NFI[[#This Row],[Blanket]],Table_NFI[[#This Row],[Blanket]])</f>
        <v>0</v>
      </c>
      <c r="AE862" s="436">
        <f>IF(NFI_Expiration=1,IF($A862&lt;VLOOKUP(N$5,NFI,5,0),1,0)*Table_NFI[[#This Row],[Kitchen Set]],Table_NFI[Kitchen Set])</f>
        <v>0</v>
      </c>
      <c r="AF862" s="436">
        <f>IF(NFI_Expiration=1,IF($A862&lt;VLOOKUP(O$5,NFI,5,0),1,0)*Table_NFI[[#This Row],[Clothes Kit]],Table_NFI[Clothes Kit])</f>
        <v>0</v>
      </c>
      <c r="AG862" s="436">
        <f>IF(NFI_Expiration=1,IF($A862&lt;VLOOKUP(P$5,NFI,5,0),1,0)*Table_NFI[[#This Row],[Plastic Bucket]],Table_NFI[Plastic Bucket])</f>
        <v>0</v>
      </c>
      <c r="AH862" s="436">
        <f>IF(NFI_Expiration=1,IF($A862&lt;VLOOKUP(Q$5,NFI,5,0),1,0)*Table_NFI[[#This Row],[Plastic Mat]],Table_NFI[Plastic Mat])*IF(Table_NFI[[#This Row],[Distribution Date]]&gt;"2014-04-01",1,2.5)</f>
        <v>0</v>
      </c>
      <c r="AI862" s="436">
        <f>IF(NFI_Expiration=1,IF($A862&lt;VLOOKUP(R$5,NFI,5,0),1,0)*Table_NFI[[#This Row],[Winter Clothes Adult]],Table_NFI[Winter Clothes Adult])</f>
        <v>0</v>
      </c>
      <c r="AJ862" s="436">
        <f>IF(NFI_Expiration=1,IF($A862&lt;VLOOKUP(S$5,NFI,5,0),1,0)*Table_NFI[[#This Row],[Winter Clothes Children]],Table_NFI[Winter Clothes Children])</f>
        <v>0</v>
      </c>
      <c r="AK862" s="436">
        <f>IF(NFI_Expiration=1,IF($A862&lt;VLOOKUP(T$5,NFI,5,0),1,0)*Table_NFI[[#This Row],[Winter Items Other]],Table_NFI[Winter Items Other])</f>
        <v>0</v>
      </c>
      <c r="AL862" s="436">
        <f>IF(NFI_Expiration=1,IF($A862&lt;VLOOKUP(M$5,NFI,5,0),1,0)*Table_NFI[[#This Row],[Winter Blanket]],Table_NFI[[#This Row],[Winter Blanket]])</f>
        <v>0</v>
      </c>
      <c r="AM862" s="436">
        <f>IF(Table_NFI[[#This Row],[Winter Clothes Adult]]+Table_NFI[[#This Row],[Winter Clothes Children]]+Table_NFI[[#This Row],[Winter Items Other]]+Table_NFI[[#This Row],[Winter Blanket]]&gt;0,1,0)</f>
        <v>0</v>
      </c>
      <c r="AN862" s="439">
        <f>IF(NFI_Expiration=1,IF($A862&lt;VLOOKUP(V$5,NFI,5,0),1,0)*Table_NFI[[#This Row],[Jerry Can]],Table_NFI[Jerry Can])</f>
        <v>0</v>
      </c>
      <c r="AO862" s="771" t="str">
        <f>IFERROR(VLOOKUP(Table_NFI[[#This Row],[Camp Name]],CL,2,0),"")</f>
        <v/>
      </c>
      <c r="AP862" s="772" t="str">
        <f ca="1">IF(Table_NFI[[#This Row],[Pcode]]="","",IF(OFFSET(CampList[Opening Date],MATCH(Table_NFI[[#This Row],[Pcode]],CampList[CP_Pcode],0)-1,0,1,1)&gt;=NFI_Monitor_Date,1,0))</f>
        <v/>
      </c>
      <c r="AQ862" s="781" t="str">
        <f>IFERROR(VLOOKUP(Table_NFI[[#This Row],[Camp Name]],CL,3,0),"")</f>
        <v/>
      </c>
      <c r="AR862" s="439" t="str">
        <f ca="1">IF(Table_NFI[[#This Row],[Pcode]]="","",OFFSET(CampList[Priority],MATCH(Table_NFI[[#This Row],[Pcode]],CampList[CP_Pcode],0)-1,0,1,1))</f>
        <v/>
      </c>
      <c r="AS862" s="438" t="str">
        <f>IFERROR(Table_NFI[[#This Row],[Kitchen Set]]/VLOOKUP(Table_NFI[[#This Row],[Camp Name]],CL,4,0),"")</f>
        <v/>
      </c>
      <c r="AT862" s="769" t="s">
        <v>1099</v>
      </c>
      <c r="AU862" s="773" t="s">
        <v>1175</v>
      </c>
    </row>
    <row r="863" spans="1:47" s="774" customFormat="1" ht="14.45" customHeight="1" x14ac:dyDescent="0.25">
      <c r="A863" s="451">
        <f t="shared" si="13"/>
        <v>48.3</v>
      </c>
      <c r="B863" s="768">
        <v>40921</v>
      </c>
      <c r="C863" s="769" t="s">
        <v>454</v>
      </c>
      <c r="D863" s="770" t="s">
        <v>462</v>
      </c>
      <c r="E863" s="769" t="s">
        <v>380</v>
      </c>
      <c r="F863" s="435"/>
      <c r="G863" s="435" t="s">
        <v>918</v>
      </c>
      <c r="H863" s="436"/>
      <c r="I863" s="436"/>
      <c r="J863" s="436"/>
      <c r="K863" s="436">
        <v>10</v>
      </c>
      <c r="L863" s="437">
        <v>5</v>
      </c>
      <c r="M863" s="437">
        <v>5</v>
      </c>
      <c r="N863" s="437">
        <v>0</v>
      </c>
      <c r="O863" s="437">
        <v>5</v>
      </c>
      <c r="P863" s="437">
        <v>5</v>
      </c>
      <c r="Q863" s="437">
        <v>5</v>
      </c>
      <c r="R863" s="436"/>
      <c r="S863" s="436"/>
      <c r="T863" s="436"/>
      <c r="U863" s="436"/>
      <c r="V863" s="436"/>
      <c r="W863" s="436"/>
      <c r="X863" s="436"/>
      <c r="Y863" s="436">
        <f>IF(NFI_Expiration=1,IF($A863&lt;VLOOKUP(H$5,NFI,5,0),1,0)*Table_NFI[[#This Row],[Hygiene Kit]],Table_NFI[Hygiene Kit])</f>
        <v>0</v>
      </c>
      <c r="Z863" s="436">
        <f>IF(NFI_Expiration=1,IF($A863&lt;VLOOKUP(I$5,NFI,5,0),1,0)*Table_NFI[[#This Row],[NFI Core Kit]],Table_NFI[NFI Core Kit])</f>
        <v>0</v>
      </c>
      <c r="AA863" s="436">
        <f>IF(NFI_Expiration=1,IF($A863&lt;VLOOKUP(J$5,NFI,5,0),1,0)*Table_NFI[[#This Row],[Sanitary Kit]],Table_NFI[Sanitary Kit])</f>
        <v>0</v>
      </c>
      <c r="AB863" s="436">
        <f>IF(NFI_Expiration=1,IF($A863&lt;VLOOKUP(K$5,NFI,5,0),1,0)*Table_NFI[[#This Row],[Mosquito net]],Table_NFI[Mosquito net])</f>
        <v>0</v>
      </c>
      <c r="AC863" s="436">
        <f>IF(NFI_Expiration=1,IF($A863&lt;VLOOKUP(L$5,NFI,5,0),1,0)*Table_NFI[[#This Row],[Tarpaulin]],Table_NFI[[#This Row],[Tarpaulin]])</f>
        <v>0</v>
      </c>
      <c r="AD863" s="436">
        <f>IF(NFI_Expiration=1,IF($A863&lt;VLOOKUP(M$5,NFI,5,0),1,0)*Table_NFI[[#This Row],[Blanket]],Table_NFI[[#This Row],[Blanket]])</f>
        <v>0</v>
      </c>
      <c r="AE863" s="436">
        <f>IF(NFI_Expiration=1,IF($A863&lt;VLOOKUP(N$5,NFI,5,0),1,0)*Table_NFI[[#This Row],[Kitchen Set]],Table_NFI[Kitchen Set])</f>
        <v>0</v>
      </c>
      <c r="AF863" s="436">
        <f>IF(NFI_Expiration=1,IF($A863&lt;VLOOKUP(O$5,NFI,5,0),1,0)*Table_NFI[[#This Row],[Clothes Kit]],Table_NFI[Clothes Kit])</f>
        <v>0</v>
      </c>
      <c r="AG863" s="436">
        <f>IF(NFI_Expiration=1,IF($A863&lt;VLOOKUP(P$5,NFI,5,0),1,0)*Table_NFI[[#This Row],[Plastic Bucket]],Table_NFI[Plastic Bucket])</f>
        <v>0</v>
      </c>
      <c r="AH863" s="436">
        <f>IF(NFI_Expiration=1,IF($A863&lt;VLOOKUP(Q$5,NFI,5,0),1,0)*Table_NFI[[#This Row],[Plastic Mat]],Table_NFI[Plastic Mat])*IF(Table_NFI[[#This Row],[Distribution Date]]&gt;"2014-04-01",1,2.5)</f>
        <v>0</v>
      </c>
      <c r="AI863" s="436">
        <f>IF(NFI_Expiration=1,IF($A863&lt;VLOOKUP(R$5,NFI,5,0),1,0)*Table_NFI[[#This Row],[Winter Clothes Adult]],Table_NFI[Winter Clothes Adult])</f>
        <v>0</v>
      </c>
      <c r="AJ863" s="436">
        <f>IF(NFI_Expiration=1,IF($A863&lt;VLOOKUP(S$5,NFI,5,0),1,0)*Table_NFI[[#This Row],[Winter Clothes Children]],Table_NFI[Winter Clothes Children])</f>
        <v>0</v>
      </c>
      <c r="AK863" s="436">
        <f>IF(NFI_Expiration=1,IF($A863&lt;VLOOKUP(T$5,NFI,5,0),1,0)*Table_NFI[[#This Row],[Winter Items Other]],Table_NFI[Winter Items Other])</f>
        <v>0</v>
      </c>
      <c r="AL863" s="436">
        <f>IF(NFI_Expiration=1,IF($A863&lt;VLOOKUP(M$5,NFI,5,0),1,0)*Table_NFI[[#This Row],[Winter Blanket]],Table_NFI[[#This Row],[Winter Blanket]])</f>
        <v>0</v>
      </c>
      <c r="AM863" s="436">
        <f>IF(Table_NFI[[#This Row],[Winter Clothes Adult]]+Table_NFI[[#This Row],[Winter Clothes Children]]+Table_NFI[[#This Row],[Winter Items Other]]+Table_NFI[[#This Row],[Winter Blanket]]&gt;0,1,0)</f>
        <v>0</v>
      </c>
      <c r="AN863" s="439">
        <f>IF(NFI_Expiration=1,IF($A863&lt;VLOOKUP(V$5,NFI,5,0),1,0)*Table_NFI[[#This Row],[Jerry Can]],Table_NFI[Jerry Can])</f>
        <v>0</v>
      </c>
      <c r="AO863" s="771" t="str">
        <f>IFERROR(VLOOKUP(Table_NFI[[#This Row],[Camp Name]],CL,2,0),"")</f>
        <v/>
      </c>
      <c r="AP863" s="772" t="str">
        <f ca="1">IF(Table_NFI[[#This Row],[Pcode]]="","",IF(OFFSET(CampList[Opening Date],MATCH(Table_NFI[[#This Row],[Pcode]],CampList[CP_Pcode],0)-1,0,1,1)&gt;=NFI_Monitor_Date,1,0))</f>
        <v/>
      </c>
      <c r="AQ863" s="781" t="str">
        <f>IFERROR(VLOOKUP(Table_NFI[[#This Row],[Camp Name]],CL,3,0),"")</f>
        <v/>
      </c>
      <c r="AR863" s="439" t="str">
        <f ca="1">IF(Table_NFI[[#This Row],[Pcode]]="","",OFFSET(CampList[Priority],MATCH(Table_NFI[[#This Row],[Pcode]],CampList[CP_Pcode],0)-1,0,1,1))</f>
        <v/>
      </c>
      <c r="AS863" s="438" t="str">
        <f>IFERROR(Table_NFI[[#This Row],[Kitchen Set]]/VLOOKUP(Table_NFI[[#This Row],[Camp Name]],CL,4,0),"")</f>
        <v/>
      </c>
      <c r="AT863" s="769" t="s">
        <v>1099</v>
      </c>
      <c r="AU863" s="773" t="s">
        <v>1176</v>
      </c>
    </row>
    <row r="864" spans="1:47" s="774" customFormat="1" ht="14.45" customHeight="1" x14ac:dyDescent="0.25">
      <c r="A864" s="451">
        <f t="shared" si="13"/>
        <v>48.3</v>
      </c>
      <c r="B864" s="768">
        <v>40921</v>
      </c>
      <c r="C864" s="769" t="s">
        <v>454</v>
      </c>
      <c r="D864" s="770" t="s">
        <v>462</v>
      </c>
      <c r="E864" s="769" t="s">
        <v>380</v>
      </c>
      <c r="F864" s="435"/>
      <c r="G864" s="435" t="s">
        <v>922</v>
      </c>
      <c r="H864" s="436"/>
      <c r="I864" s="436"/>
      <c r="J864" s="436"/>
      <c r="K864" s="436">
        <v>126</v>
      </c>
      <c r="L864" s="437">
        <v>63</v>
      </c>
      <c r="M864" s="437">
        <v>63</v>
      </c>
      <c r="N864" s="437">
        <v>0</v>
      </c>
      <c r="O864" s="437">
        <v>63</v>
      </c>
      <c r="P864" s="437">
        <v>63</v>
      </c>
      <c r="Q864" s="437">
        <v>63</v>
      </c>
      <c r="R864" s="436"/>
      <c r="S864" s="436"/>
      <c r="T864" s="436"/>
      <c r="U864" s="436"/>
      <c r="V864" s="436"/>
      <c r="W864" s="436"/>
      <c r="X864" s="436"/>
      <c r="Y864" s="436">
        <f>IF(NFI_Expiration=1,IF($A864&lt;VLOOKUP(H$5,NFI,5,0),1,0)*Table_NFI[[#This Row],[Hygiene Kit]],Table_NFI[Hygiene Kit])</f>
        <v>0</v>
      </c>
      <c r="Z864" s="436">
        <f>IF(NFI_Expiration=1,IF($A864&lt;VLOOKUP(I$5,NFI,5,0),1,0)*Table_NFI[[#This Row],[NFI Core Kit]],Table_NFI[NFI Core Kit])</f>
        <v>0</v>
      </c>
      <c r="AA864" s="436">
        <f>IF(NFI_Expiration=1,IF($A864&lt;VLOOKUP(J$5,NFI,5,0),1,0)*Table_NFI[[#This Row],[Sanitary Kit]],Table_NFI[Sanitary Kit])</f>
        <v>0</v>
      </c>
      <c r="AB864" s="436">
        <f>IF(NFI_Expiration=1,IF($A864&lt;VLOOKUP(K$5,NFI,5,0),1,0)*Table_NFI[[#This Row],[Mosquito net]],Table_NFI[Mosquito net])</f>
        <v>0</v>
      </c>
      <c r="AC864" s="436">
        <f>IF(NFI_Expiration=1,IF($A864&lt;VLOOKUP(L$5,NFI,5,0),1,0)*Table_NFI[[#This Row],[Tarpaulin]],Table_NFI[[#This Row],[Tarpaulin]])</f>
        <v>0</v>
      </c>
      <c r="AD864" s="436">
        <f>IF(NFI_Expiration=1,IF($A864&lt;VLOOKUP(M$5,NFI,5,0),1,0)*Table_NFI[[#This Row],[Blanket]],Table_NFI[[#This Row],[Blanket]])</f>
        <v>0</v>
      </c>
      <c r="AE864" s="436">
        <f>IF(NFI_Expiration=1,IF($A864&lt;VLOOKUP(N$5,NFI,5,0),1,0)*Table_NFI[[#This Row],[Kitchen Set]],Table_NFI[Kitchen Set])</f>
        <v>0</v>
      </c>
      <c r="AF864" s="436">
        <f>IF(NFI_Expiration=1,IF($A864&lt;VLOOKUP(O$5,NFI,5,0),1,0)*Table_NFI[[#This Row],[Clothes Kit]],Table_NFI[Clothes Kit])</f>
        <v>0</v>
      </c>
      <c r="AG864" s="436">
        <f>IF(NFI_Expiration=1,IF($A864&lt;VLOOKUP(P$5,NFI,5,0),1,0)*Table_NFI[[#This Row],[Plastic Bucket]],Table_NFI[Plastic Bucket])</f>
        <v>0</v>
      </c>
      <c r="AH864" s="436">
        <f>IF(NFI_Expiration=1,IF($A864&lt;VLOOKUP(Q$5,NFI,5,0),1,0)*Table_NFI[[#This Row],[Plastic Mat]],Table_NFI[Plastic Mat])*IF(Table_NFI[[#This Row],[Distribution Date]]&gt;"2014-04-01",1,2.5)</f>
        <v>0</v>
      </c>
      <c r="AI864" s="436">
        <f>IF(NFI_Expiration=1,IF($A864&lt;VLOOKUP(R$5,NFI,5,0),1,0)*Table_NFI[[#This Row],[Winter Clothes Adult]],Table_NFI[Winter Clothes Adult])</f>
        <v>0</v>
      </c>
      <c r="AJ864" s="436">
        <f>IF(NFI_Expiration=1,IF($A864&lt;VLOOKUP(S$5,NFI,5,0),1,0)*Table_NFI[[#This Row],[Winter Clothes Children]],Table_NFI[Winter Clothes Children])</f>
        <v>0</v>
      </c>
      <c r="AK864" s="436">
        <f>IF(NFI_Expiration=1,IF($A864&lt;VLOOKUP(T$5,NFI,5,0),1,0)*Table_NFI[[#This Row],[Winter Items Other]],Table_NFI[Winter Items Other])</f>
        <v>0</v>
      </c>
      <c r="AL864" s="436">
        <f>IF(NFI_Expiration=1,IF($A864&lt;VLOOKUP(M$5,NFI,5,0),1,0)*Table_NFI[[#This Row],[Winter Blanket]],Table_NFI[[#This Row],[Winter Blanket]])</f>
        <v>0</v>
      </c>
      <c r="AM864" s="436">
        <f>IF(Table_NFI[[#This Row],[Winter Clothes Adult]]+Table_NFI[[#This Row],[Winter Clothes Children]]+Table_NFI[[#This Row],[Winter Items Other]]+Table_NFI[[#This Row],[Winter Blanket]]&gt;0,1,0)</f>
        <v>0</v>
      </c>
      <c r="AN864" s="439">
        <f>IF(NFI_Expiration=1,IF($A864&lt;VLOOKUP(V$5,NFI,5,0),1,0)*Table_NFI[[#This Row],[Jerry Can]],Table_NFI[Jerry Can])</f>
        <v>0</v>
      </c>
      <c r="AO864" s="771" t="str">
        <f>IFERROR(VLOOKUP(Table_NFI[[#This Row],[Camp Name]],CL,2,0),"")</f>
        <v/>
      </c>
      <c r="AP864" s="772" t="str">
        <f ca="1">IF(Table_NFI[[#This Row],[Pcode]]="","",IF(OFFSET(CampList[Opening Date],MATCH(Table_NFI[[#This Row],[Pcode]],CampList[CP_Pcode],0)-1,0,1,1)&gt;=NFI_Monitor_Date,1,0))</f>
        <v/>
      </c>
      <c r="AQ864" s="781" t="str">
        <f>IFERROR(VLOOKUP(Table_NFI[[#This Row],[Camp Name]],CL,3,0),"")</f>
        <v/>
      </c>
      <c r="AR864" s="439" t="str">
        <f ca="1">IF(Table_NFI[[#This Row],[Pcode]]="","",OFFSET(CampList[Priority],MATCH(Table_NFI[[#This Row],[Pcode]],CampList[CP_Pcode],0)-1,0,1,1))</f>
        <v/>
      </c>
      <c r="AS864" s="438" t="str">
        <f>IFERROR(Table_NFI[[#This Row],[Kitchen Set]]/VLOOKUP(Table_NFI[[#This Row],[Camp Name]],CL,4,0),"")</f>
        <v/>
      </c>
      <c r="AT864" s="769" t="s">
        <v>1099</v>
      </c>
      <c r="AU864" s="773" t="s">
        <v>1174</v>
      </c>
    </row>
    <row r="865" spans="1:47" s="136" customFormat="1" ht="14.45" customHeight="1" x14ac:dyDescent="0.25">
      <c r="A865" s="451">
        <f t="shared" si="13"/>
        <v>48.3</v>
      </c>
      <c r="B865" s="768">
        <v>40921</v>
      </c>
      <c r="C865" s="769" t="s">
        <v>454</v>
      </c>
      <c r="D865" s="770" t="s">
        <v>462</v>
      </c>
      <c r="E865" s="769" t="s">
        <v>380</v>
      </c>
      <c r="F865" s="435" t="s">
        <v>529</v>
      </c>
      <c r="G865" s="435" t="s">
        <v>62</v>
      </c>
      <c r="H865" s="436"/>
      <c r="I865" s="436"/>
      <c r="J865" s="436"/>
      <c r="K865" s="436">
        <v>52</v>
      </c>
      <c r="L865" s="437">
        <v>26</v>
      </c>
      <c r="M865" s="437">
        <v>36</v>
      </c>
      <c r="N865" s="437">
        <v>0</v>
      </c>
      <c r="O865" s="437">
        <v>26</v>
      </c>
      <c r="P865" s="437">
        <v>26</v>
      </c>
      <c r="Q865" s="437">
        <v>26</v>
      </c>
      <c r="R865" s="436"/>
      <c r="S865" s="436"/>
      <c r="T865" s="436"/>
      <c r="U865" s="436"/>
      <c r="V865" s="436"/>
      <c r="W865" s="436"/>
      <c r="X865" s="436"/>
      <c r="Y865" s="436">
        <f>IF(NFI_Expiration=1,IF($A865&lt;VLOOKUP(H$5,NFI,5,0),1,0)*Table_NFI[[#This Row],[Hygiene Kit]],Table_NFI[Hygiene Kit])</f>
        <v>0</v>
      </c>
      <c r="Z865" s="436">
        <f>IF(NFI_Expiration=1,IF($A865&lt;VLOOKUP(I$5,NFI,5,0),1,0)*Table_NFI[[#This Row],[NFI Core Kit]],Table_NFI[NFI Core Kit])</f>
        <v>0</v>
      </c>
      <c r="AA865" s="436">
        <f>IF(NFI_Expiration=1,IF($A865&lt;VLOOKUP(J$5,NFI,5,0),1,0)*Table_NFI[[#This Row],[Sanitary Kit]],Table_NFI[Sanitary Kit])</f>
        <v>0</v>
      </c>
      <c r="AB865" s="436">
        <f>IF(NFI_Expiration=1,IF($A865&lt;VLOOKUP(K$5,NFI,5,0),1,0)*Table_NFI[[#This Row],[Mosquito net]],Table_NFI[Mosquito net])</f>
        <v>0</v>
      </c>
      <c r="AC865" s="436">
        <f>IF(NFI_Expiration=1,IF($A865&lt;VLOOKUP(L$5,NFI,5,0),1,0)*Table_NFI[[#This Row],[Tarpaulin]],Table_NFI[[#This Row],[Tarpaulin]])</f>
        <v>0</v>
      </c>
      <c r="AD865" s="436">
        <f>IF(NFI_Expiration=1,IF($A865&lt;VLOOKUP(M$5,NFI,5,0),1,0)*Table_NFI[[#This Row],[Blanket]],Table_NFI[[#This Row],[Blanket]])</f>
        <v>0</v>
      </c>
      <c r="AE865" s="436">
        <f>IF(NFI_Expiration=1,IF($A865&lt;VLOOKUP(N$5,NFI,5,0),1,0)*Table_NFI[[#This Row],[Kitchen Set]],Table_NFI[Kitchen Set])</f>
        <v>0</v>
      </c>
      <c r="AF865" s="436">
        <f>IF(NFI_Expiration=1,IF($A865&lt;VLOOKUP(O$5,NFI,5,0),1,0)*Table_NFI[[#This Row],[Clothes Kit]],Table_NFI[Clothes Kit])</f>
        <v>0</v>
      </c>
      <c r="AG865" s="436">
        <f>IF(NFI_Expiration=1,IF($A865&lt;VLOOKUP(P$5,NFI,5,0),1,0)*Table_NFI[[#This Row],[Plastic Bucket]],Table_NFI[Plastic Bucket])</f>
        <v>0</v>
      </c>
      <c r="AH865" s="436">
        <f>IF(NFI_Expiration=1,IF($A865&lt;VLOOKUP(Q$5,NFI,5,0),1,0)*Table_NFI[[#This Row],[Plastic Mat]],Table_NFI[Plastic Mat])*IF(Table_NFI[[#This Row],[Distribution Date]]&gt;"2014-04-01",1,2.5)</f>
        <v>0</v>
      </c>
      <c r="AI865" s="436">
        <f>IF(NFI_Expiration=1,IF($A865&lt;VLOOKUP(R$5,NFI,5,0),1,0)*Table_NFI[[#This Row],[Winter Clothes Adult]],Table_NFI[Winter Clothes Adult])</f>
        <v>0</v>
      </c>
      <c r="AJ865" s="436">
        <f>IF(NFI_Expiration=1,IF($A865&lt;VLOOKUP(S$5,NFI,5,0),1,0)*Table_NFI[[#This Row],[Winter Clothes Children]],Table_NFI[Winter Clothes Children])</f>
        <v>0</v>
      </c>
      <c r="AK865" s="436">
        <f>IF(NFI_Expiration=1,IF($A865&lt;VLOOKUP(T$5,NFI,5,0),1,0)*Table_NFI[[#This Row],[Winter Items Other]],Table_NFI[Winter Items Other])</f>
        <v>0</v>
      </c>
      <c r="AL865" s="436">
        <f>IF(NFI_Expiration=1,IF($A865&lt;VLOOKUP(M$5,NFI,5,0),1,0)*Table_NFI[[#This Row],[Winter Blanket]],Table_NFI[[#This Row],[Winter Blanket]])</f>
        <v>0</v>
      </c>
      <c r="AM865" s="436">
        <f>IF(Table_NFI[[#This Row],[Winter Clothes Adult]]+Table_NFI[[#This Row],[Winter Clothes Children]]+Table_NFI[[#This Row],[Winter Items Other]]+Table_NFI[[#This Row],[Winter Blanket]]&gt;0,1,0)</f>
        <v>0</v>
      </c>
      <c r="AN865" s="439">
        <f>IF(NFI_Expiration=1,IF($A865&lt;VLOOKUP(V$5,NFI,5,0),1,0)*Table_NFI[[#This Row],[Jerry Can]],Table_NFI[Jerry Can])</f>
        <v>0</v>
      </c>
      <c r="AO865" s="771" t="str">
        <f>IFERROR(VLOOKUP(Table_NFI[[#This Row],[Camp Name]],CL,2,0),"")</f>
        <v>MMR001CMP179</v>
      </c>
      <c r="AP865" s="772">
        <f ca="1">IF(Table_NFI[[#This Row],[Pcode]]="","",IF(OFFSET(CampList[Opening Date],MATCH(Table_NFI[[#This Row],[Pcode]],CampList[CP_Pcode],0)-1,0,1,1)&gt;=NFI_Monitor_Date,1,0))</f>
        <v>0</v>
      </c>
      <c r="AQ865" s="781" t="str">
        <f>IFERROR(VLOOKUP(Table_NFI[[#This Row],[Camp Name]],CL,3,0),"")</f>
        <v>Open</v>
      </c>
      <c r="AR865" s="439" t="str">
        <f ca="1">IF(Table_NFI[[#This Row],[Pcode]]="","",OFFSET(CampList[Priority],MATCH(Table_NFI[[#This Row],[Pcode]],CampList[CP_Pcode],0)-1,0,1,1))</f>
        <v>P4</v>
      </c>
      <c r="AS865" s="438">
        <f>IFERROR(Table_NFI[[#This Row],[Kitchen Set]]/VLOOKUP(Table_NFI[[#This Row],[Camp Name]],CL,4,0),"")</f>
        <v>0</v>
      </c>
      <c r="AT865" s="769" t="s">
        <v>1099</v>
      </c>
      <c r="AU865" s="773"/>
    </row>
    <row r="866" spans="1:47" s="136" customFormat="1" ht="14.45" customHeight="1" x14ac:dyDescent="0.25">
      <c r="A866" s="451">
        <f t="shared" si="13"/>
        <v>48.3</v>
      </c>
      <c r="B866" s="768">
        <v>40921</v>
      </c>
      <c r="C866" s="769" t="s">
        <v>454</v>
      </c>
      <c r="D866" s="769" t="s">
        <v>462</v>
      </c>
      <c r="E866" s="769" t="s">
        <v>380</v>
      </c>
      <c r="F866" s="435" t="s">
        <v>529</v>
      </c>
      <c r="G866" s="435" t="s">
        <v>62</v>
      </c>
      <c r="H866" s="436"/>
      <c r="I866" s="436"/>
      <c r="J866" s="436"/>
      <c r="K866" s="436">
        <v>120</v>
      </c>
      <c r="L866" s="437">
        <v>60</v>
      </c>
      <c r="M866" s="437">
        <v>60</v>
      </c>
      <c r="N866" s="437">
        <v>0</v>
      </c>
      <c r="O866" s="437">
        <v>60</v>
      </c>
      <c r="P866" s="439">
        <v>60</v>
      </c>
      <c r="Q866" s="439">
        <v>60</v>
      </c>
      <c r="R866" s="436"/>
      <c r="S866" s="436"/>
      <c r="T866" s="436"/>
      <c r="U866" s="436"/>
      <c r="V866" s="436"/>
      <c r="W866" s="436"/>
      <c r="X866" s="436"/>
      <c r="Y866" s="436">
        <f>IF(NFI_Expiration=1,IF($A866&lt;VLOOKUP(H$5,NFI,5,0),1,0)*Table_NFI[[#This Row],[Hygiene Kit]],Table_NFI[Hygiene Kit])</f>
        <v>0</v>
      </c>
      <c r="Z866" s="436">
        <f>IF(NFI_Expiration=1,IF($A866&lt;VLOOKUP(I$5,NFI,5,0),1,0)*Table_NFI[[#This Row],[NFI Core Kit]],Table_NFI[NFI Core Kit])</f>
        <v>0</v>
      </c>
      <c r="AA866" s="436">
        <f>IF(NFI_Expiration=1,IF($A866&lt;VLOOKUP(J$5,NFI,5,0),1,0)*Table_NFI[[#This Row],[Sanitary Kit]],Table_NFI[Sanitary Kit])</f>
        <v>0</v>
      </c>
      <c r="AB866" s="436">
        <f>IF(NFI_Expiration=1,IF($A866&lt;VLOOKUP(K$5,NFI,5,0),1,0)*Table_NFI[[#This Row],[Mosquito net]],Table_NFI[Mosquito net])</f>
        <v>0</v>
      </c>
      <c r="AC866" s="436">
        <f>IF(NFI_Expiration=1,IF($A866&lt;VLOOKUP(L$5,NFI,5,0),1,0)*Table_NFI[[#This Row],[Tarpaulin]],Table_NFI[[#This Row],[Tarpaulin]])</f>
        <v>0</v>
      </c>
      <c r="AD866" s="436">
        <f>IF(NFI_Expiration=1,IF($A866&lt;VLOOKUP(M$5,NFI,5,0),1,0)*Table_NFI[[#This Row],[Blanket]],Table_NFI[[#This Row],[Blanket]])</f>
        <v>0</v>
      </c>
      <c r="AE866" s="436">
        <f>IF(NFI_Expiration=1,IF($A866&lt;VLOOKUP(N$5,NFI,5,0),1,0)*Table_NFI[[#This Row],[Kitchen Set]],Table_NFI[Kitchen Set])</f>
        <v>0</v>
      </c>
      <c r="AF866" s="436">
        <f>IF(NFI_Expiration=1,IF($A866&lt;VLOOKUP(O$5,NFI,5,0),1,0)*Table_NFI[[#This Row],[Clothes Kit]],Table_NFI[Clothes Kit])</f>
        <v>0</v>
      </c>
      <c r="AG866" s="436">
        <f>IF(NFI_Expiration=1,IF($A866&lt;VLOOKUP(P$5,NFI,5,0),1,0)*Table_NFI[[#This Row],[Plastic Bucket]],Table_NFI[Plastic Bucket])</f>
        <v>0</v>
      </c>
      <c r="AH866" s="436">
        <f>IF(NFI_Expiration=1,IF($A866&lt;VLOOKUP(Q$5,NFI,5,0),1,0)*Table_NFI[[#This Row],[Plastic Mat]],Table_NFI[Plastic Mat])*IF(Table_NFI[[#This Row],[Distribution Date]]&gt;"2014-04-01",1,2.5)</f>
        <v>0</v>
      </c>
      <c r="AI866" s="436">
        <f>IF(NFI_Expiration=1,IF($A866&lt;VLOOKUP(R$5,NFI,5,0),1,0)*Table_NFI[[#This Row],[Winter Clothes Adult]],Table_NFI[Winter Clothes Adult])</f>
        <v>0</v>
      </c>
      <c r="AJ866" s="436">
        <f>IF(NFI_Expiration=1,IF($A866&lt;VLOOKUP(S$5,NFI,5,0),1,0)*Table_NFI[[#This Row],[Winter Clothes Children]],Table_NFI[Winter Clothes Children])</f>
        <v>0</v>
      </c>
      <c r="AK866" s="436">
        <f>IF(NFI_Expiration=1,IF($A866&lt;VLOOKUP(T$5,NFI,5,0),1,0)*Table_NFI[[#This Row],[Winter Items Other]],Table_NFI[Winter Items Other])</f>
        <v>0</v>
      </c>
      <c r="AL866" s="436">
        <f>IF(NFI_Expiration=1,IF($A866&lt;VLOOKUP(M$5,NFI,5,0),1,0)*Table_NFI[[#This Row],[Winter Blanket]],Table_NFI[[#This Row],[Winter Blanket]])</f>
        <v>0</v>
      </c>
      <c r="AM866" s="436">
        <f>IF(Table_NFI[[#This Row],[Winter Clothes Adult]]+Table_NFI[[#This Row],[Winter Clothes Children]]+Table_NFI[[#This Row],[Winter Items Other]]+Table_NFI[[#This Row],[Winter Blanket]]&gt;0,1,0)</f>
        <v>0</v>
      </c>
      <c r="AN866" s="439">
        <f>IF(NFI_Expiration=1,IF($A866&lt;VLOOKUP(V$5,NFI,5,0),1,0)*Table_NFI[[#This Row],[Jerry Can]],Table_NFI[Jerry Can])</f>
        <v>0</v>
      </c>
      <c r="AO866" s="771" t="str">
        <f>IFERROR(VLOOKUP(Table_NFI[[#This Row],[Camp Name]],CL,2,0),"")</f>
        <v>MMR001CMP179</v>
      </c>
      <c r="AP866" s="772">
        <f ca="1">IF(Table_NFI[[#This Row],[Pcode]]="","",IF(OFFSET(CampList[Opening Date],MATCH(Table_NFI[[#This Row],[Pcode]],CampList[CP_Pcode],0)-1,0,1,1)&gt;=NFI_Monitor_Date,1,0))</f>
        <v>0</v>
      </c>
      <c r="AQ866" s="781" t="str">
        <f>IFERROR(VLOOKUP(Table_NFI[[#This Row],[Camp Name]],CL,3,0),"")</f>
        <v>Open</v>
      </c>
      <c r="AR866" s="439" t="str">
        <f ca="1">IF(Table_NFI[[#This Row],[Pcode]]="","",OFFSET(CampList[Priority],MATCH(Table_NFI[[#This Row],[Pcode]],CampList[CP_Pcode],0)-1,0,1,1))</f>
        <v>P4</v>
      </c>
      <c r="AS866" s="438">
        <f>IFERROR(Table_NFI[[#This Row],[Kitchen Set]]/VLOOKUP(Table_NFI[[#This Row],[Camp Name]],CL,4,0),"")</f>
        <v>0</v>
      </c>
      <c r="AT866" s="769" t="s">
        <v>1099</v>
      </c>
      <c r="AU866" s="773"/>
    </row>
    <row r="867" spans="1:47" s="774" customFormat="1" ht="14.45" customHeight="1" x14ac:dyDescent="0.25">
      <c r="A867" s="451">
        <f t="shared" si="13"/>
        <v>48.3</v>
      </c>
      <c r="B867" s="768">
        <v>40921</v>
      </c>
      <c r="C867" s="769" t="s">
        <v>454</v>
      </c>
      <c r="D867" s="770" t="s">
        <v>462</v>
      </c>
      <c r="E867" s="769" t="s">
        <v>380</v>
      </c>
      <c r="F867" s="435" t="s">
        <v>529</v>
      </c>
      <c r="G867" s="435" t="s">
        <v>62</v>
      </c>
      <c r="H867" s="436"/>
      <c r="I867" s="436"/>
      <c r="J867" s="436"/>
      <c r="K867" s="436">
        <v>148</v>
      </c>
      <c r="L867" s="437">
        <v>74</v>
      </c>
      <c r="M867" s="437">
        <v>74</v>
      </c>
      <c r="N867" s="437">
        <v>0</v>
      </c>
      <c r="O867" s="437">
        <v>74</v>
      </c>
      <c r="P867" s="437">
        <v>74</v>
      </c>
      <c r="Q867" s="437">
        <v>74</v>
      </c>
      <c r="R867" s="436"/>
      <c r="S867" s="436"/>
      <c r="T867" s="436"/>
      <c r="U867" s="436"/>
      <c r="V867" s="436"/>
      <c r="W867" s="436"/>
      <c r="X867" s="436"/>
      <c r="Y867" s="436">
        <f>IF(NFI_Expiration=1,IF($A867&lt;VLOOKUP(H$5,NFI,5,0),1,0)*Table_NFI[[#This Row],[Hygiene Kit]],Table_NFI[Hygiene Kit])</f>
        <v>0</v>
      </c>
      <c r="Z867" s="436">
        <f>IF(NFI_Expiration=1,IF($A867&lt;VLOOKUP(I$5,NFI,5,0),1,0)*Table_NFI[[#This Row],[NFI Core Kit]],Table_NFI[NFI Core Kit])</f>
        <v>0</v>
      </c>
      <c r="AA867" s="436">
        <f>IF(NFI_Expiration=1,IF($A867&lt;VLOOKUP(J$5,NFI,5,0),1,0)*Table_NFI[[#This Row],[Sanitary Kit]],Table_NFI[Sanitary Kit])</f>
        <v>0</v>
      </c>
      <c r="AB867" s="436">
        <f>IF(NFI_Expiration=1,IF($A867&lt;VLOOKUP(K$5,NFI,5,0),1,0)*Table_NFI[[#This Row],[Mosquito net]],Table_NFI[Mosquito net])</f>
        <v>0</v>
      </c>
      <c r="AC867" s="436">
        <f>IF(NFI_Expiration=1,IF($A867&lt;VLOOKUP(L$5,NFI,5,0),1,0)*Table_NFI[[#This Row],[Tarpaulin]],Table_NFI[[#This Row],[Tarpaulin]])</f>
        <v>0</v>
      </c>
      <c r="AD867" s="436">
        <f>IF(NFI_Expiration=1,IF($A867&lt;VLOOKUP(M$5,NFI,5,0),1,0)*Table_NFI[[#This Row],[Blanket]],Table_NFI[[#This Row],[Blanket]])</f>
        <v>0</v>
      </c>
      <c r="AE867" s="436">
        <f>IF(NFI_Expiration=1,IF($A867&lt;VLOOKUP(N$5,NFI,5,0),1,0)*Table_NFI[[#This Row],[Kitchen Set]],Table_NFI[Kitchen Set])</f>
        <v>0</v>
      </c>
      <c r="AF867" s="436">
        <f>IF(NFI_Expiration=1,IF($A867&lt;VLOOKUP(O$5,NFI,5,0),1,0)*Table_NFI[[#This Row],[Clothes Kit]],Table_NFI[Clothes Kit])</f>
        <v>0</v>
      </c>
      <c r="AG867" s="436">
        <f>IF(NFI_Expiration=1,IF($A867&lt;VLOOKUP(P$5,NFI,5,0),1,0)*Table_NFI[[#This Row],[Plastic Bucket]],Table_NFI[Plastic Bucket])</f>
        <v>0</v>
      </c>
      <c r="AH867" s="436">
        <f>IF(NFI_Expiration=1,IF($A867&lt;VLOOKUP(Q$5,NFI,5,0),1,0)*Table_NFI[[#This Row],[Plastic Mat]],Table_NFI[Plastic Mat])*IF(Table_NFI[[#This Row],[Distribution Date]]&gt;"2014-04-01",1,2.5)</f>
        <v>0</v>
      </c>
      <c r="AI867" s="436">
        <f>IF(NFI_Expiration=1,IF($A867&lt;VLOOKUP(R$5,NFI,5,0),1,0)*Table_NFI[[#This Row],[Winter Clothes Adult]],Table_NFI[Winter Clothes Adult])</f>
        <v>0</v>
      </c>
      <c r="AJ867" s="436">
        <f>IF(NFI_Expiration=1,IF($A867&lt;VLOOKUP(S$5,NFI,5,0),1,0)*Table_NFI[[#This Row],[Winter Clothes Children]],Table_NFI[Winter Clothes Children])</f>
        <v>0</v>
      </c>
      <c r="AK867" s="436">
        <f>IF(NFI_Expiration=1,IF($A867&lt;VLOOKUP(T$5,NFI,5,0),1,0)*Table_NFI[[#This Row],[Winter Items Other]],Table_NFI[Winter Items Other])</f>
        <v>0</v>
      </c>
      <c r="AL867" s="436">
        <f>IF(NFI_Expiration=1,IF($A867&lt;VLOOKUP(M$5,NFI,5,0),1,0)*Table_NFI[[#This Row],[Winter Blanket]],Table_NFI[[#This Row],[Winter Blanket]])</f>
        <v>0</v>
      </c>
      <c r="AM867" s="436">
        <f>IF(Table_NFI[[#This Row],[Winter Clothes Adult]]+Table_NFI[[#This Row],[Winter Clothes Children]]+Table_NFI[[#This Row],[Winter Items Other]]+Table_NFI[[#This Row],[Winter Blanket]]&gt;0,1,0)</f>
        <v>0</v>
      </c>
      <c r="AN867" s="439">
        <f>IF(NFI_Expiration=1,IF($A867&lt;VLOOKUP(V$5,NFI,5,0),1,0)*Table_NFI[[#This Row],[Jerry Can]],Table_NFI[Jerry Can])</f>
        <v>0</v>
      </c>
      <c r="AO867" s="771" t="str">
        <f>IFERROR(VLOOKUP(Table_NFI[[#This Row],[Camp Name]],CL,2,0),"")</f>
        <v>MMR001CMP179</v>
      </c>
      <c r="AP867" s="772">
        <f ca="1">IF(Table_NFI[[#This Row],[Pcode]]="","",IF(OFFSET(CampList[Opening Date],MATCH(Table_NFI[[#This Row],[Pcode]],CampList[CP_Pcode],0)-1,0,1,1)&gt;=NFI_Monitor_Date,1,0))</f>
        <v>0</v>
      </c>
      <c r="AQ867" s="781" t="str">
        <f>IFERROR(VLOOKUP(Table_NFI[[#This Row],[Camp Name]],CL,3,0),"")</f>
        <v>Open</v>
      </c>
      <c r="AR867" s="439" t="str">
        <f ca="1">IF(Table_NFI[[#This Row],[Pcode]]="","",OFFSET(CampList[Priority],MATCH(Table_NFI[[#This Row],[Pcode]],CampList[CP_Pcode],0)-1,0,1,1))</f>
        <v>P4</v>
      </c>
      <c r="AS867" s="438">
        <f>IFERROR(Table_NFI[[#This Row],[Kitchen Set]]/VLOOKUP(Table_NFI[[#This Row],[Camp Name]],CL,4,0),"")</f>
        <v>0</v>
      </c>
      <c r="AT867" s="769" t="s">
        <v>1099</v>
      </c>
      <c r="AU867" s="773"/>
    </row>
    <row r="868" spans="1:47" s="774" customFormat="1" ht="14.45" customHeight="1" x14ac:dyDescent="0.25">
      <c r="A868" s="451">
        <f t="shared" si="13"/>
        <v>48.3</v>
      </c>
      <c r="B868" s="768">
        <v>40921</v>
      </c>
      <c r="C868" s="769" t="s">
        <v>454</v>
      </c>
      <c r="D868" s="770" t="s">
        <v>462</v>
      </c>
      <c r="E868" s="769" t="s">
        <v>380</v>
      </c>
      <c r="F868" s="435" t="s">
        <v>529</v>
      </c>
      <c r="G868" s="435" t="s">
        <v>52</v>
      </c>
      <c r="H868" s="436"/>
      <c r="I868" s="436"/>
      <c r="J868" s="436"/>
      <c r="K868" s="436">
        <v>70</v>
      </c>
      <c r="L868" s="437">
        <v>35</v>
      </c>
      <c r="M868" s="437">
        <v>35</v>
      </c>
      <c r="N868" s="437">
        <v>0</v>
      </c>
      <c r="O868" s="437">
        <v>35</v>
      </c>
      <c r="P868" s="437">
        <v>35</v>
      </c>
      <c r="Q868" s="437">
        <v>35</v>
      </c>
      <c r="R868" s="436"/>
      <c r="S868" s="436"/>
      <c r="T868" s="436"/>
      <c r="U868" s="436"/>
      <c r="V868" s="436"/>
      <c r="W868" s="436"/>
      <c r="X868" s="436"/>
      <c r="Y868" s="436">
        <f>IF(NFI_Expiration=1,IF($A868&lt;VLOOKUP(H$5,NFI,5,0),1,0)*Table_NFI[[#This Row],[Hygiene Kit]],Table_NFI[Hygiene Kit])</f>
        <v>0</v>
      </c>
      <c r="Z868" s="436">
        <f>IF(NFI_Expiration=1,IF($A868&lt;VLOOKUP(I$5,NFI,5,0),1,0)*Table_NFI[[#This Row],[NFI Core Kit]],Table_NFI[NFI Core Kit])</f>
        <v>0</v>
      </c>
      <c r="AA868" s="436">
        <f>IF(NFI_Expiration=1,IF($A868&lt;VLOOKUP(J$5,NFI,5,0),1,0)*Table_NFI[[#This Row],[Sanitary Kit]],Table_NFI[Sanitary Kit])</f>
        <v>0</v>
      </c>
      <c r="AB868" s="436">
        <f>IF(NFI_Expiration=1,IF($A868&lt;VLOOKUP(K$5,NFI,5,0),1,0)*Table_NFI[[#This Row],[Mosquito net]],Table_NFI[Mosquito net])</f>
        <v>0</v>
      </c>
      <c r="AC868" s="436">
        <f>IF(NFI_Expiration=1,IF($A868&lt;VLOOKUP(L$5,NFI,5,0),1,0)*Table_NFI[[#This Row],[Tarpaulin]],Table_NFI[[#This Row],[Tarpaulin]])</f>
        <v>0</v>
      </c>
      <c r="AD868" s="436">
        <f>IF(NFI_Expiration=1,IF($A868&lt;VLOOKUP(M$5,NFI,5,0),1,0)*Table_NFI[[#This Row],[Blanket]],Table_NFI[[#This Row],[Blanket]])</f>
        <v>0</v>
      </c>
      <c r="AE868" s="436">
        <f>IF(NFI_Expiration=1,IF($A868&lt;VLOOKUP(N$5,NFI,5,0),1,0)*Table_NFI[[#This Row],[Kitchen Set]],Table_NFI[Kitchen Set])</f>
        <v>0</v>
      </c>
      <c r="AF868" s="436">
        <f>IF(NFI_Expiration=1,IF($A868&lt;VLOOKUP(O$5,NFI,5,0),1,0)*Table_NFI[[#This Row],[Clothes Kit]],Table_NFI[Clothes Kit])</f>
        <v>0</v>
      </c>
      <c r="AG868" s="436">
        <f>IF(NFI_Expiration=1,IF($A868&lt;VLOOKUP(P$5,NFI,5,0),1,0)*Table_NFI[[#This Row],[Plastic Bucket]],Table_NFI[Plastic Bucket])</f>
        <v>0</v>
      </c>
      <c r="AH868" s="436">
        <f>IF(NFI_Expiration=1,IF($A868&lt;VLOOKUP(Q$5,NFI,5,0),1,0)*Table_NFI[[#This Row],[Plastic Mat]],Table_NFI[Plastic Mat])*IF(Table_NFI[[#This Row],[Distribution Date]]&gt;"2014-04-01",1,2.5)</f>
        <v>0</v>
      </c>
      <c r="AI868" s="436">
        <f>IF(NFI_Expiration=1,IF($A868&lt;VLOOKUP(R$5,NFI,5,0),1,0)*Table_NFI[[#This Row],[Winter Clothes Adult]],Table_NFI[Winter Clothes Adult])</f>
        <v>0</v>
      </c>
      <c r="AJ868" s="436">
        <f>IF(NFI_Expiration=1,IF($A868&lt;VLOOKUP(S$5,NFI,5,0),1,0)*Table_NFI[[#This Row],[Winter Clothes Children]],Table_NFI[Winter Clothes Children])</f>
        <v>0</v>
      </c>
      <c r="AK868" s="436">
        <f>IF(NFI_Expiration=1,IF($A868&lt;VLOOKUP(T$5,NFI,5,0),1,0)*Table_NFI[[#This Row],[Winter Items Other]],Table_NFI[Winter Items Other])</f>
        <v>0</v>
      </c>
      <c r="AL868" s="436">
        <f>IF(NFI_Expiration=1,IF($A868&lt;VLOOKUP(M$5,NFI,5,0),1,0)*Table_NFI[[#This Row],[Winter Blanket]],Table_NFI[[#This Row],[Winter Blanket]])</f>
        <v>0</v>
      </c>
      <c r="AM868" s="436">
        <f>IF(Table_NFI[[#This Row],[Winter Clothes Adult]]+Table_NFI[[#This Row],[Winter Clothes Children]]+Table_NFI[[#This Row],[Winter Items Other]]+Table_NFI[[#This Row],[Winter Blanket]]&gt;0,1,0)</f>
        <v>0</v>
      </c>
      <c r="AN868" s="439">
        <f>IF(NFI_Expiration=1,IF($A868&lt;VLOOKUP(V$5,NFI,5,0),1,0)*Table_NFI[[#This Row],[Jerry Can]],Table_NFI[Jerry Can])</f>
        <v>0</v>
      </c>
      <c r="AO868" s="771" t="str">
        <f>IFERROR(VLOOKUP(Table_NFI[[#This Row],[Camp Name]],CL,2,0),"")</f>
        <v>MMR001CMP169</v>
      </c>
      <c r="AP868" s="772">
        <f ca="1">IF(Table_NFI[[#This Row],[Pcode]]="","",IF(OFFSET(CampList[Opening Date],MATCH(Table_NFI[[#This Row],[Pcode]],CampList[CP_Pcode],0)-1,0,1,1)&gt;=NFI_Monitor_Date,1,0))</f>
        <v>0</v>
      </c>
      <c r="AQ868" s="781" t="str">
        <f>IFERROR(VLOOKUP(Table_NFI[[#This Row],[Camp Name]],CL,3,0),"")</f>
        <v>Open</v>
      </c>
      <c r="AR868" s="439" t="str">
        <f ca="1">IF(Table_NFI[[#This Row],[Pcode]]="","",OFFSET(CampList[Priority],MATCH(Table_NFI[[#This Row],[Pcode]],CampList[CP_Pcode],0)-1,0,1,1))</f>
        <v>P4</v>
      </c>
      <c r="AS868" s="438">
        <f>IFERROR(Table_NFI[[#This Row],[Kitchen Set]]/VLOOKUP(Table_NFI[[#This Row],[Camp Name]],CL,4,0),"")</f>
        <v>0</v>
      </c>
      <c r="AT868" s="769" t="s">
        <v>1099</v>
      </c>
      <c r="AU868" s="773"/>
    </row>
    <row r="869" spans="1:47" s="774" customFormat="1" ht="14.45" customHeight="1" x14ac:dyDescent="0.25">
      <c r="A869" s="451">
        <f t="shared" si="13"/>
        <v>48.3</v>
      </c>
      <c r="B869" s="768">
        <v>40921</v>
      </c>
      <c r="C869" s="769" t="s">
        <v>454</v>
      </c>
      <c r="D869" s="770" t="s">
        <v>462</v>
      </c>
      <c r="E869" s="769" t="s">
        <v>380</v>
      </c>
      <c r="F869" s="435" t="s">
        <v>529</v>
      </c>
      <c r="G869" s="435" t="s">
        <v>88</v>
      </c>
      <c r="H869" s="436"/>
      <c r="I869" s="436"/>
      <c r="J869" s="436"/>
      <c r="K869" s="436">
        <v>10</v>
      </c>
      <c r="L869" s="437">
        <v>5</v>
      </c>
      <c r="M869" s="437">
        <v>5</v>
      </c>
      <c r="N869" s="437">
        <v>0</v>
      </c>
      <c r="O869" s="437">
        <v>5</v>
      </c>
      <c r="P869" s="437">
        <v>5</v>
      </c>
      <c r="Q869" s="437">
        <v>5</v>
      </c>
      <c r="R869" s="436"/>
      <c r="S869" s="436"/>
      <c r="T869" s="436"/>
      <c r="U869" s="436"/>
      <c r="V869" s="436"/>
      <c r="W869" s="436"/>
      <c r="X869" s="436"/>
      <c r="Y869" s="436">
        <f>IF(NFI_Expiration=1,IF($A869&lt;VLOOKUP(H$5,NFI,5,0),1,0)*Table_NFI[[#This Row],[Hygiene Kit]],Table_NFI[Hygiene Kit])</f>
        <v>0</v>
      </c>
      <c r="Z869" s="436">
        <f>IF(NFI_Expiration=1,IF($A869&lt;VLOOKUP(I$5,NFI,5,0),1,0)*Table_NFI[[#This Row],[NFI Core Kit]],Table_NFI[NFI Core Kit])</f>
        <v>0</v>
      </c>
      <c r="AA869" s="436">
        <f>IF(NFI_Expiration=1,IF($A869&lt;VLOOKUP(J$5,NFI,5,0),1,0)*Table_NFI[[#This Row],[Sanitary Kit]],Table_NFI[Sanitary Kit])</f>
        <v>0</v>
      </c>
      <c r="AB869" s="436">
        <f>IF(NFI_Expiration=1,IF($A869&lt;VLOOKUP(K$5,NFI,5,0),1,0)*Table_NFI[[#This Row],[Mosquito net]],Table_NFI[Mosquito net])</f>
        <v>0</v>
      </c>
      <c r="AC869" s="436">
        <f>IF(NFI_Expiration=1,IF($A869&lt;VLOOKUP(L$5,NFI,5,0),1,0)*Table_NFI[[#This Row],[Tarpaulin]],Table_NFI[[#This Row],[Tarpaulin]])</f>
        <v>0</v>
      </c>
      <c r="AD869" s="436">
        <f>IF(NFI_Expiration=1,IF($A869&lt;VLOOKUP(M$5,NFI,5,0),1,0)*Table_NFI[[#This Row],[Blanket]],Table_NFI[[#This Row],[Blanket]])</f>
        <v>0</v>
      </c>
      <c r="AE869" s="436">
        <f>IF(NFI_Expiration=1,IF($A869&lt;VLOOKUP(N$5,NFI,5,0),1,0)*Table_NFI[[#This Row],[Kitchen Set]],Table_NFI[Kitchen Set])</f>
        <v>0</v>
      </c>
      <c r="AF869" s="436">
        <f>IF(NFI_Expiration=1,IF($A869&lt;VLOOKUP(O$5,NFI,5,0),1,0)*Table_NFI[[#This Row],[Clothes Kit]],Table_NFI[Clothes Kit])</f>
        <v>0</v>
      </c>
      <c r="AG869" s="436">
        <f>IF(NFI_Expiration=1,IF($A869&lt;VLOOKUP(P$5,NFI,5,0),1,0)*Table_NFI[[#This Row],[Plastic Bucket]],Table_NFI[Plastic Bucket])</f>
        <v>0</v>
      </c>
      <c r="AH869" s="436">
        <f>IF(NFI_Expiration=1,IF($A869&lt;VLOOKUP(Q$5,NFI,5,0),1,0)*Table_NFI[[#This Row],[Plastic Mat]],Table_NFI[Plastic Mat])*IF(Table_NFI[[#This Row],[Distribution Date]]&gt;"2014-04-01",1,2.5)</f>
        <v>0</v>
      </c>
      <c r="AI869" s="436">
        <f>IF(NFI_Expiration=1,IF($A869&lt;VLOOKUP(R$5,NFI,5,0),1,0)*Table_NFI[[#This Row],[Winter Clothes Adult]],Table_NFI[Winter Clothes Adult])</f>
        <v>0</v>
      </c>
      <c r="AJ869" s="436">
        <f>IF(NFI_Expiration=1,IF($A869&lt;VLOOKUP(S$5,NFI,5,0),1,0)*Table_NFI[[#This Row],[Winter Clothes Children]],Table_NFI[Winter Clothes Children])</f>
        <v>0</v>
      </c>
      <c r="AK869" s="436">
        <f>IF(NFI_Expiration=1,IF($A869&lt;VLOOKUP(T$5,NFI,5,0),1,0)*Table_NFI[[#This Row],[Winter Items Other]],Table_NFI[Winter Items Other])</f>
        <v>0</v>
      </c>
      <c r="AL869" s="436">
        <f>IF(NFI_Expiration=1,IF($A869&lt;VLOOKUP(M$5,NFI,5,0),1,0)*Table_NFI[[#This Row],[Winter Blanket]],Table_NFI[[#This Row],[Winter Blanket]])</f>
        <v>0</v>
      </c>
      <c r="AM869" s="436">
        <f>IF(Table_NFI[[#This Row],[Winter Clothes Adult]]+Table_NFI[[#This Row],[Winter Clothes Children]]+Table_NFI[[#This Row],[Winter Items Other]]+Table_NFI[[#This Row],[Winter Blanket]]&gt;0,1,0)</f>
        <v>0</v>
      </c>
      <c r="AN869" s="439">
        <f>IF(NFI_Expiration=1,IF($A869&lt;VLOOKUP(V$5,NFI,5,0),1,0)*Table_NFI[[#This Row],[Jerry Can]],Table_NFI[Jerry Can])</f>
        <v>0</v>
      </c>
      <c r="AO869" s="771" t="str">
        <f>IFERROR(VLOOKUP(Table_NFI[[#This Row],[Camp Name]],CL,2,0),"")</f>
        <v>MMR001CMP148</v>
      </c>
      <c r="AP869" s="772">
        <f ca="1">IF(Table_NFI[[#This Row],[Pcode]]="","",IF(OFFSET(CampList[Opening Date],MATCH(Table_NFI[[#This Row],[Pcode]],CampList[CP_Pcode],0)-1,0,1,1)&gt;=NFI_Monitor_Date,1,0))</f>
        <v>0</v>
      </c>
      <c r="AQ869" s="781" t="str">
        <f>IFERROR(VLOOKUP(Table_NFI[[#This Row],[Camp Name]],CL,3,0),"")</f>
        <v>Open</v>
      </c>
      <c r="AR869" s="439" t="str">
        <f ca="1">IF(Table_NFI[[#This Row],[Pcode]]="","",OFFSET(CampList[Priority],MATCH(Table_NFI[[#This Row],[Pcode]],CampList[CP_Pcode],0)-1,0,1,1))</f>
        <v>P4</v>
      </c>
      <c r="AS869" s="438">
        <f>IFERROR(Table_NFI[[#This Row],[Kitchen Set]]/VLOOKUP(Table_NFI[[#This Row],[Camp Name]],CL,4,0),"")</f>
        <v>0</v>
      </c>
      <c r="AT869" s="769" t="s">
        <v>1099</v>
      </c>
      <c r="AU869" s="773"/>
    </row>
    <row r="870" spans="1:47" s="774" customFormat="1" ht="14.45" customHeight="1" x14ac:dyDescent="0.25">
      <c r="A870" s="451">
        <f t="shared" si="13"/>
        <v>48.3</v>
      </c>
      <c r="B870" s="768">
        <v>40921</v>
      </c>
      <c r="C870" s="769" t="s">
        <v>454</v>
      </c>
      <c r="D870" s="770" t="s">
        <v>454</v>
      </c>
      <c r="E870" s="769" t="s">
        <v>380</v>
      </c>
      <c r="F870" s="435" t="s">
        <v>310</v>
      </c>
      <c r="G870" s="435" t="s">
        <v>326</v>
      </c>
      <c r="H870" s="436"/>
      <c r="I870" s="436"/>
      <c r="J870" s="436"/>
      <c r="K870" s="436">
        <v>35</v>
      </c>
      <c r="L870" s="437">
        <v>17</v>
      </c>
      <c r="M870" s="437">
        <v>35</v>
      </c>
      <c r="N870" s="437">
        <v>17</v>
      </c>
      <c r="O870" s="437">
        <v>17</v>
      </c>
      <c r="P870" s="437">
        <v>17</v>
      </c>
      <c r="Q870" s="437">
        <v>17</v>
      </c>
      <c r="R870" s="436"/>
      <c r="S870" s="436"/>
      <c r="T870" s="436"/>
      <c r="U870" s="436"/>
      <c r="V870" s="436"/>
      <c r="W870" s="436"/>
      <c r="X870" s="436"/>
      <c r="Y870" s="436">
        <f>IF(NFI_Expiration=1,IF($A870&lt;VLOOKUP(H$5,NFI,5,0),1,0)*Table_NFI[[#This Row],[Hygiene Kit]],Table_NFI[Hygiene Kit])</f>
        <v>0</v>
      </c>
      <c r="Z870" s="436">
        <f>IF(NFI_Expiration=1,IF($A870&lt;VLOOKUP(I$5,NFI,5,0),1,0)*Table_NFI[[#This Row],[NFI Core Kit]],Table_NFI[NFI Core Kit])</f>
        <v>0</v>
      </c>
      <c r="AA870" s="436">
        <f>IF(NFI_Expiration=1,IF($A870&lt;VLOOKUP(J$5,NFI,5,0),1,0)*Table_NFI[[#This Row],[Sanitary Kit]],Table_NFI[Sanitary Kit])</f>
        <v>0</v>
      </c>
      <c r="AB870" s="436">
        <f>IF(NFI_Expiration=1,IF($A870&lt;VLOOKUP(K$5,NFI,5,0),1,0)*Table_NFI[[#This Row],[Mosquito net]],Table_NFI[Mosquito net])</f>
        <v>0</v>
      </c>
      <c r="AC870" s="436">
        <f>IF(NFI_Expiration=1,IF($A870&lt;VLOOKUP(L$5,NFI,5,0),1,0)*Table_NFI[[#This Row],[Tarpaulin]],Table_NFI[[#This Row],[Tarpaulin]])</f>
        <v>0</v>
      </c>
      <c r="AD870" s="436">
        <f>IF(NFI_Expiration=1,IF($A870&lt;VLOOKUP(M$5,NFI,5,0),1,0)*Table_NFI[[#This Row],[Blanket]],Table_NFI[[#This Row],[Blanket]])</f>
        <v>0</v>
      </c>
      <c r="AE870" s="436">
        <f>IF(NFI_Expiration=1,IF($A870&lt;VLOOKUP(N$5,NFI,5,0),1,0)*Table_NFI[[#This Row],[Kitchen Set]],Table_NFI[Kitchen Set])</f>
        <v>0</v>
      </c>
      <c r="AF870" s="436">
        <f>IF(NFI_Expiration=1,IF($A870&lt;VLOOKUP(O$5,NFI,5,0),1,0)*Table_NFI[[#This Row],[Clothes Kit]],Table_NFI[Clothes Kit])</f>
        <v>0</v>
      </c>
      <c r="AG870" s="436">
        <f>IF(NFI_Expiration=1,IF($A870&lt;VLOOKUP(P$5,NFI,5,0),1,0)*Table_NFI[[#This Row],[Plastic Bucket]],Table_NFI[Plastic Bucket])</f>
        <v>0</v>
      </c>
      <c r="AH870" s="436">
        <f>IF(NFI_Expiration=1,IF($A870&lt;VLOOKUP(Q$5,NFI,5,0),1,0)*Table_NFI[[#This Row],[Plastic Mat]],Table_NFI[Plastic Mat])*IF(Table_NFI[[#This Row],[Distribution Date]]&gt;"2014-04-01",1,2.5)</f>
        <v>0</v>
      </c>
      <c r="AI870" s="436">
        <f>IF(NFI_Expiration=1,IF($A870&lt;VLOOKUP(R$5,NFI,5,0),1,0)*Table_NFI[[#This Row],[Winter Clothes Adult]],Table_NFI[Winter Clothes Adult])</f>
        <v>0</v>
      </c>
      <c r="AJ870" s="436">
        <f>IF(NFI_Expiration=1,IF($A870&lt;VLOOKUP(S$5,NFI,5,0),1,0)*Table_NFI[[#This Row],[Winter Clothes Children]],Table_NFI[Winter Clothes Children])</f>
        <v>0</v>
      </c>
      <c r="AK870" s="436">
        <f>IF(NFI_Expiration=1,IF($A870&lt;VLOOKUP(T$5,NFI,5,0),1,0)*Table_NFI[[#This Row],[Winter Items Other]],Table_NFI[Winter Items Other])</f>
        <v>0</v>
      </c>
      <c r="AL870" s="436">
        <f>IF(NFI_Expiration=1,IF($A870&lt;VLOOKUP(M$5,NFI,5,0),1,0)*Table_NFI[[#This Row],[Winter Blanket]],Table_NFI[[#This Row],[Winter Blanket]])</f>
        <v>0</v>
      </c>
      <c r="AM870" s="436">
        <f>IF(Table_NFI[[#This Row],[Winter Clothes Adult]]+Table_NFI[[#This Row],[Winter Clothes Children]]+Table_NFI[[#This Row],[Winter Items Other]]+Table_NFI[[#This Row],[Winter Blanket]]&gt;0,1,0)</f>
        <v>0</v>
      </c>
      <c r="AN870" s="439">
        <f>IF(NFI_Expiration=1,IF($A870&lt;VLOOKUP(V$5,NFI,5,0),1,0)*Table_NFI[[#This Row],[Jerry Can]],Table_NFI[Jerry Can])</f>
        <v>0</v>
      </c>
      <c r="AO870" s="771" t="str">
        <f>IFERROR(VLOOKUP(Table_NFI[[#This Row],[Camp Name]],CL,2,0),"")</f>
        <v>MMR001CMP039</v>
      </c>
      <c r="AP870" s="772">
        <f ca="1">IF(Table_NFI[[#This Row],[Pcode]]="","",IF(OFFSET(CampList[Opening Date],MATCH(Table_NFI[[#This Row],[Pcode]],CampList[CP_Pcode],0)-1,0,1,1)&gt;=NFI_Monitor_Date,1,0))</f>
        <v>0</v>
      </c>
      <c r="AQ870" s="781" t="str">
        <f>IFERROR(VLOOKUP(Table_NFI[[#This Row],[Camp Name]],CL,3,0),"")</f>
        <v>Open</v>
      </c>
      <c r="AR870" s="439" t="str">
        <f ca="1">IF(Table_NFI[[#This Row],[Pcode]]="","",OFFSET(CampList[Priority],MATCH(Table_NFI[[#This Row],[Pcode]],CampList[CP_Pcode],0)-1,0,1,1))</f>
        <v>P4</v>
      </c>
      <c r="AS870" s="438">
        <f>IFERROR(Table_NFI[[#This Row],[Kitchen Set]]/VLOOKUP(Table_NFI[[#This Row],[Camp Name]],CL,4,0),"")</f>
        <v>0.35416666666666669</v>
      </c>
      <c r="AT870" s="769" t="s">
        <v>1099</v>
      </c>
      <c r="AU870" s="773"/>
    </row>
    <row r="871" spans="1:47" s="774" customFormat="1" ht="15" customHeight="1" x14ac:dyDescent="0.25">
      <c r="A871" s="451">
        <f t="shared" si="13"/>
        <v>48.3</v>
      </c>
      <c r="B871" s="768">
        <v>40921</v>
      </c>
      <c r="C871" s="769" t="s">
        <v>454</v>
      </c>
      <c r="D871" s="770" t="s">
        <v>462</v>
      </c>
      <c r="E871" s="769" t="s">
        <v>380</v>
      </c>
      <c r="F871" s="435" t="s">
        <v>529</v>
      </c>
      <c r="G871" s="440" t="s">
        <v>136</v>
      </c>
      <c r="H871" s="436"/>
      <c r="I871" s="436"/>
      <c r="J871" s="436"/>
      <c r="K871" s="436">
        <v>224</v>
      </c>
      <c r="L871" s="437">
        <v>112</v>
      </c>
      <c r="M871" s="437">
        <v>112</v>
      </c>
      <c r="N871" s="437">
        <v>0</v>
      </c>
      <c r="O871" s="437">
        <v>112</v>
      </c>
      <c r="P871" s="437">
        <v>112</v>
      </c>
      <c r="Q871" s="437">
        <v>112</v>
      </c>
      <c r="R871" s="436"/>
      <c r="S871" s="436"/>
      <c r="T871" s="436"/>
      <c r="U871" s="436"/>
      <c r="V871" s="436"/>
      <c r="W871" s="436"/>
      <c r="X871" s="436"/>
      <c r="Y871" s="436">
        <f>IF(NFI_Expiration=1,IF($A871&lt;VLOOKUP(H$5,NFI,5,0),1,0)*Table_NFI[[#This Row],[Hygiene Kit]],Table_NFI[Hygiene Kit])</f>
        <v>0</v>
      </c>
      <c r="Z871" s="436">
        <f>IF(NFI_Expiration=1,IF($A871&lt;VLOOKUP(I$5,NFI,5,0),1,0)*Table_NFI[[#This Row],[NFI Core Kit]],Table_NFI[NFI Core Kit])</f>
        <v>0</v>
      </c>
      <c r="AA871" s="436">
        <f>IF(NFI_Expiration=1,IF($A871&lt;VLOOKUP(J$5,NFI,5,0),1,0)*Table_NFI[[#This Row],[Sanitary Kit]],Table_NFI[Sanitary Kit])</f>
        <v>0</v>
      </c>
      <c r="AB871" s="436">
        <f>IF(NFI_Expiration=1,IF($A871&lt;VLOOKUP(K$5,NFI,5,0),1,0)*Table_NFI[[#This Row],[Mosquito net]],Table_NFI[Mosquito net])</f>
        <v>0</v>
      </c>
      <c r="AC871" s="436">
        <f>IF(NFI_Expiration=1,IF($A871&lt;VLOOKUP(L$5,NFI,5,0),1,0)*Table_NFI[[#This Row],[Tarpaulin]],Table_NFI[[#This Row],[Tarpaulin]])</f>
        <v>0</v>
      </c>
      <c r="AD871" s="436">
        <f>IF(NFI_Expiration=1,IF($A871&lt;VLOOKUP(M$5,NFI,5,0),1,0)*Table_NFI[[#This Row],[Blanket]],Table_NFI[[#This Row],[Blanket]])</f>
        <v>0</v>
      </c>
      <c r="AE871" s="436">
        <f>IF(NFI_Expiration=1,IF($A871&lt;VLOOKUP(N$5,NFI,5,0),1,0)*Table_NFI[[#This Row],[Kitchen Set]],Table_NFI[Kitchen Set])</f>
        <v>0</v>
      </c>
      <c r="AF871" s="436">
        <f>IF(NFI_Expiration=1,IF($A871&lt;VLOOKUP(O$5,NFI,5,0),1,0)*Table_NFI[[#This Row],[Clothes Kit]],Table_NFI[Clothes Kit])</f>
        <v>0</v>
      </c>
      <c r="AG871" s="436">
        <f>IF(NFI_Expiration=1,IF($A871&lt;VLOOKUP(P$5,NFI,5,0),1,0)*Table_NFI[[#This Row],[Plastic Bucket]],Table_NFI[Plastic Bucket])</f>
        <v>0</v>
      </c>
      <c r="AH871" s="436">
        <f>IF(NFI_Expiration=1,IF($A871&lt;VLOOKUP(Q$5,NFI,5,0),1,0)*Table_NFI[[#This Row],[Plastic Mat]],Table_NFI[Plastic Mat])*IF(Table_NFI[[#This Row],[Distribution Date]]&gt;"2014-04-01",1,2.5)</f>
        <v>0</v>
      </c>
      <c r="AI871" s="436">
        <f>IF(NFI_Expiration=1,IF($A871&lt;VLOOKUP(R$5,NFI,5,0),1,0)*Table_NFI[[#This Row],[Winter Clothes Adult]],Table_NFI[Winter Clothes Adult])</f>
        <v>0</v>
      </c>
      <c r="AJ871" s="436">
        <f>IF(NFI_Expiration=1,IF($A871&lt;VLOOKUP(S$5,NFI,5,0),1,0)*Table_NFI[[#This Row],[Winter Clothes Children]],Table_NFI[Winter Clothes Children])</f>
        <v>0</v>
      </c>
      <c r="AK871" s="436">
        <f>IF(NFI_Expiration=1,IF($A871&lt;VLOOKUP(T$5,NFI,5,0),1,0)*Table_NFI[[#This Row],[Winter Items Other]],Table_NFI[Winter Items Other])</f>
        <v>0</v>
      </c>
      <c r="AL871" s="436">
        <f>IF(NFI_Expiration=1,IF($A871&lt;VLOOKUP(M$5,NFI,5,0),1,0)*Table_NFI[[#This Row],[Winter Blanket]],Table_NFI[[#This Row],[Winter Blanket]])</f>
        <v>0</v>
      </c>
      <c r="AM871" s="436">
        <f>IF(Table_NFI[[#This Row],[Winter Clothes Adult]]+Table_NFI[[#This Row],[Winter Clothes Children]]+Table_NFI[[#This Row],[Winter Items Other]]+Table_NFI[[#This Row],[Winter Blanket]]&gt;0,1,0)</f>
        <v>0</v>
      </c>
      <c r="AN871" s="439">
        <f>IF(NFI_Expiration=1,IF($A871&lt;VLOOKUP(V$5,NFI,5,0),1,0)*Table_NFI[[#This Row],[Jerry Can]],Table_NFI[Jerry Can])</f>
        <v>0</v>
      </c>
      <c r="AO871" s="771" t="str">
        <f>IFERROR(VLOOKUP(Table_NFI[[#This Row],[Camp Name]],CL,2,0),"")</f>
        <v>MMR001CMP106</v>
      </c>
      <c r="AP871" s="772">
        <f ca="1">IF(Table_NFI[[#This Row],[Pcode]]="","",IF(OFFSET(CampList[Opening Date],MATCH(Table_NFI[[#This Row],[Pcode]],CampList[CP_Pcode],0)-1,0,1,1)&gt;=NFI_Monitor_Date,1,0))</f>
        <v>0</v>
      </c>
      <c r="AQ871" s="781" t="str">
        <f>IFERROR(VLOOKUP(Table_NFI[[#This Row],[Camp Name]],CL,3,0),"")</f>
        <v>Closed</v>
      </c>
      <c r="AR871" s="439" t="str">
        <f ca="1">IF(Table_NFI[[#This Row],[Pcode]]="","",OFFSET(CampList[Priority],MATCH(Table_NFI[[#This Row],[Pcode]],CampList[CP_Pcode],0)-1,0,1,1))</f>
        <v/>
      </c>
      <c r="AS871" s="438" t="str">
        <f>IFERROR(Table_NFI[[#This Row],[Kitchen Set]]/VLOOKUP(Table_NFI[[#This Row],[Camp Name]],CL,4,0),"")</f>
        <v/>
      </c>
      <c r="AT871" s="769" t="s">
        <v>1099</v>
      </c>
      <c r="AU871" s="773"/>
    </row>
    <row r="872" spans="1:47" s="774" customFormat="1" x14ac:dyDescent="0.25">
      <c r="A872" s="451">
        <f t="shared" si="13"/>
        <v>48.3</v>
      </c>
      <c r="B872" s="768">
        <v>40921</v>
      </c>
      <c r="C872" s="769" t="s">
        <v>454</v>
      </c>
      <c r="D872" s="770" t="s">
        <v>462</v>
      </c>
      <c r="E872" s="769" t="s">
        <v>380</v>
      </c>
      <c r="F872" s="435" t="s">
        <v>529</v>
      </c>
      <c r="G872" s="435" t="s">
        <v>84</v>
      </c>
      <c r="H872" s="436"/>
      <c r="I872" s="436"/>
      <c r="J872" s="436"/>
      <c r="K872" s="436">
        <v>34</v>
      </c>
      <c r="L872" s="437">
        <v>17</v>
      </c>
      <c r="M872" s="437">
        <v>17</v>
      </c>
      <c r="N872" s="437">
        <v>0</v>
      </c>
      <c r="O872" s="437">
        <v>17</v>
      </c>
      <c r="P872" s="437">
        <v>17</v>
      </c>
      <c r="Q872" s="437">
        <v>17</v>
      </c>
      <c r="R872" s="436"/>
      <c r="S872" s="436"/>
      <c r="T872" s="436"/>
      <c r="U872" s="436"/>
      <c r="V872" s="436"/>
      <c r="W872" s="436"/>
      <c r="X872" s="436"/>
      <c r="Y872" s="436">
        <f>IF(NFI_Expiration=1,IF($A872&lt;VLOOKUP(H$5,NFI,5,0),1,0)*Table_NFI[[#This Row],[Hygiene Kit]],Table_NFI[Hygiene Kit])</f>
        <v>0</v>
      </c>
      <c r="Z872" s="436">
        <f>IF(NFI_Expiration=1,IF($A872&lt;VLOOKUP(I$5,NFI,5,0),1,0)*Table_NFI[[#This Row],[NFI Core Kit]],Table_NFI[NFI Core Kit])</f>
        <v>0</v>
      </c>
      <c r="AA872" s="436">
        <f>IF(NFI_Expiration=1,IF($A872&lt;VLOOKUP(J$5,NFI,5,0),1,0)*Table_NFI[[#This Row],[Sanitary Kit]],Table_NFI[Sanitary Kit])</f>
        <v>0</v>
      </c>
      <c r="AB872" s="436">
        <f>IF(NFI_Expiration=1,IF($A872&lt;VLOOKUP(K$5,NFI,5,0),1,0)*Table_NFI[[#This Row],[Mosquito net]],Table_NFI[Mosquito net])</f>
        <v>0</v>
      </c>
      <c r="AC872" s="436">
        <f>IF(NFI_Expiration=1,IF($A872&lt;VLOOKUP(L$5,NFI,5,0),1,0)*Table_NFI[[#This Row],[Tarpaulin]],Table_NFI[[#This Row],[Tarpaulin]])</f>
        <v>0</v>
      </c>
      <c r="AD872" s="436">
        <f>IF(NFI_Expiration=1,IF($A872&lt;VLOOKUP(M$5,NFI,5,0),1,0)*Table_NFI[[#This Row],[Blanket]],Table_NFI[[#This Row],[Blanket]])</f>
        <v>0</v>
      </c>
      <c r="AE872" s="436">
        <f>IF(NFI_Expiration=1,IF($A872&lt;VLOOKUP(N$5,NFI,5,0),1,0)*Table_NFI[[#This Row],[Kitchen Set]],Table_NFI[Kitchen Set])</f>
        <v>0</v>
      </c>
      <c r="AF872" s="436">
        <f>IF(NFI_Expiration=1,IF($A872&lt;VLOOKUP(O$5,NFI,5,0),1,0)*Table_NFI[[#This Row],[Clothes Kit]],Table_NFI[Clothes Kit])</f>
        <v>0</v>
      </c>
      <c r="AG872" s="436">
        <f>IF(NFI_Expiration=1,IF($A872&lt;VLOOKUP(P$5,NFI,5,0),1,0)*Table_NFI[[#This Row],[Plastic Bucket]],Table_NFI[Plastic Bucket])</f>
        <v>0</v>
      </c>
      <c r="AH872" s="436">
        <f>IF(NFI_Expiration=1,IF($A872&lt;VLOOKUP(Q$5,NFI,5,0),1,0)*Table_NFI[[#This Row],[Plastic Mat]],Table_NFI[Plastic Mat])*IF(Table_NFI[[#This Row],[Distribution Date]]&gt;"2014-04-01",1,2.5)</f>
        <v>0</v>
      </c>
      <c r="AI872" s="436">
        <f>IF(NFI_Expiration=1,IF($A872&lt;VLOOKUP(R$5,NFI,5,0),1,0)*Table_NFI[[#This Row],[Winter Clothes Adult]],Table_NFI[Winter Clothes Adult])</f>
        <v>0</v>
      </c>
      <c r="AJ872" s="436">
        <f>IF(NFI_Expiration=1,IF($A872&lt;VLOOKUP(S$5,NFI,5,0),1,0)*Table_NFI[[#This Row],[Winter Clothes Children]],Table_NFI[Winter Clothes Children])</f>
        <v>0</v>
      </c>
      <c r="AK872" s="436">
        <f>IF(NFI_Expiration=1,IF($A872&lt;VLOOKUP(T$5,NFI,5,0),1,0)*Table_NFI[[#This Row],[Winter Items Other]],Table_NFI[Winter Items Other])</f>
        <v>0</v>
      </c>
      <c r="AL872" s="436">
        <f>IF(NFI_Expiration=1,IF($A872&lt;VLOOKUP(M$5,NFI,5,0),1,0)*Table_NFI[[#This Row],[Winter Blanket]],Table_NFI[[#This Row],[Winter Blanket]])</f>
        <v>0</v>
      </c>
      <c r="AM872" s="436">
        <f>IF(Table_NFI[[#This Row],[Winter Clothes Adult]]+Table_NFI[[#This Row],[Winter Clothes Children]]+Table_NFI[[#This Row],[Winter Items Other]]+Table_NFI[[#This Row],[Winter Blanket]]&gt;0,1,0)</f>
        <v>0</v>
      </c>
      <c r="AN872" s="439">
        <f>IF(NFI_Expiration=1,IF($A872&lt;VLOOKUP(V$5,NFI,5,0),1,0)*Table_NFI[[#This Row],[Jerry Can]],Table_NFI[Jerry Can])</f>
        <v>0</v>
      </c>
      <c r="AO872" s="771" t="str">
        <f>IFERROR(VLOOKUP(Table_NFI[[#This Row],[Camp Name]],CL,2,0),"")</f>
        <v>MMR001CMP085</v>
      </c>
      <c r="AP872" s="772">
        <f ca="1">IF(Table_NFI[[#This Row],[Pcode]]="","",IF(OFFSET(CampList[Opening Date],MATCH(Table_NFI[[#This Row],[Pcode]],CampList[CP_Pcode],0)-1,0,1,1)&gt;=NFI_Monitor_Date,1,0))</f>
        <v>0</v>
      </c>
      <c r="AQ872" s="781" t="str">
        <f>IFERROR(VLOOKUP(Table_NFI[[#This Row],[Camp Name]],CL,3,0),"")</f>
        <v>Closed</v>
      </c>
      <c r="AR872" s="439" t="str">
        <f ca="1">IF(Table_NFI[[#This Row],[Pcode]]="","",OFFSET(CampList[Priority],MATCH(Table_NFI[[#This Row],[Pcode]],CampList[CP_Pcode],0)-1,0,1,1))</f>
        <v/>
      </c>
      <c r="AS872" s="438" t="str">
        <f>IFERROR(Table_NFI[[#This Row],[Kitchen Set]]/VLOOKUP(Table_NFI[[#This Row],[Camp Name]],CL,4,0),"")</f>
        <v/>
      </c>
      <c r="AT872" s="769" t="s">
        <v>1099</v>
      </c>
      <c r="AU872" s="773"/>
    </row>
    <row r="873" spans="1:47" s="774" customFormat="1" x14ac:dyDescent="0.25">
      <c r="A873" s="451">
        <f t="shared" si="13"/>
        <v>48.3</v>
      </c>
      <c r="B873" s="768">
        <v>40921</v>
      </c>
      <c r="C873" s="769" t="s">
        <v>454</v>
      </c>
      <c r="D873" s="770" t="s">
        <v>462</v>
      </c>
      <c r="E873" s="769" t="s">
        <v>380</v>
      </c>
      <c r="F873" s="435" t="s">
        <v>529</v>
      </c>
      <c r="G873" s="435" t="s">
        <v>110</v>
      </c>
      <c r="H873" s="436"/>
      <c r="I873" s="436"/>
      <c r="J873" s="436"/>
      <c r="K873" s="436">
        <v>112</v>
      </c>
      <c r="L873" s="437">
        <v>56</v>
      </c>
      <c r="M873" s="437">
        <v>56</v>
      </c>
      <c r="N873" s="437">
        <v>0</v>
      </c>
      <c r="O873" s="437">
        <v>56</v>
      </c>
      <c r="P873" s="437">
        <v>56</v>
      </c>
      <c r="Q873" s="437">
        <v>56</v>
      </c>
      <c r="R873" s="436"/>
      <c r="S873" s="436"/>
      <c r="T873" s="436"/>
      <c r="U873" s="436"/>
      <c r="V873" s="436"/>
      <c r="W873" s="436"/>
      <c r="X873" s="436"/>
      <c r="Y873" s="436">
        <f>IF(NFI_Expiration=1,IF($A873&lt;VLOOKUP(H$5,NFI,5,0),1,0)*Table_NFI[[#This Row],[Hygiene Kit]],Table_NFI[Hygiene Kit])</f>
        <v>0</v>
      </c>
      <c r="Z873" s="436">
        <f>IF(NFI_Expiration=1,IF($A873&lt;VLOOKUP(I$5,NFI,5,0),1,0)*Table_NFI[[#This Row],[NFI Core Kit]],Table_NFI[NFI Core Kit])</f>
        <v>0</v>
      </c>
      <c r="AA873" s="436">
        <f>IF(NFI_Expiration=1,IF($A873&lt;VLOOKUP(J$5,NFI,5,0),1,0)*Table_NFI[[#This Row],[Sanitary Kit]],Table_NFI[Sanitary Kit])</f>
        <v>0</v>
      </c>
      <c r="AB873" s="436">
        <f>IF(NFI_Expiration=1,IF($A873&lt;VLOOKUP(K$5,NFI,5,0),1,0)*Table_NFI[[#This Row],[Mosquito net]],Table_NFI[Mosquito net])</f>
        <v>0</v>
      </c>
      <c r="AC873" s="436">
        <f>IF(NFI_Expiration=1,IF($A873&lt;VLOOKUP(L$5,NFI,5,0),1,0)*Table_NFI[[#This Row],[Tarpaulin]],Table_NFI[[#This Row],[Tarpaulin]])</f>
        <v>0</v>
      </c>
      <c r="AD873" s="436">
        <f>IF(NFI_Expiration=1,IF($A873&lt;VLOOKUP(M$5,NFI,5,0),1,0)*Table_NFI[[#This Row],[Blanket]],Table_NFI[[#This Row],[Blanket]])</f>
        <v>0</v>
      </c>
      <c r="AE873" s="436">
        <f>IF(NFI_Expiration=1,IF($A873&lt;VLOOKUP(N$5,NFI,5,0),1,0)*Table_NFI[[#This Row],[Kitchen Set]],Table_NFI[Kitchen Set])</f>
        <v>0</v>
      </c>
      <c r="AF873" s="436">
        <f>IF(NFI_Expiration=1,IF($A873&lt;VLOOKUP(O$5,NFI,5,0),1,0)*Table_NFI[[#This Row],[Clothes Kit]],Table_NFI[Clothes Kit])</f>
        <v>0</v>
      </c>
      <c r="AG873" s="436">
        <f>IF(NFI_Expiration=1,IF($A873&lt;VLOOKUP(P$5,NFI,5,0),1,0)*Table_NFI[[#This Row],[Plastic Bucket]],Table_NFI[Plastic Bucket])</f>
        <v>0</v>
      </c>
      <c r="AH873" s="436">
        <f>IF(NFI_Expiration=1,IF($A873&lt;VLOOKUP(Q$5,NFI,5,0),1,0)*Table_NFI[[#This Row],[Plastic Mat]],Table_NFI[Plastic Mat])*IF(Table_NFI[[#This Row],[Distribution Date]]&gt;"2014-04-01",1,2.5)</f>
        <v>0</v>
      </c>
      <c r="AI873" s="436">
        <f>IF(NFI_Expiration=1,IF($A873&lt;VLOOKUP(R$5,NFI,5,0),1,0)*Table_NFI[[#This Row],[Winter Clothes Adult]],Table_NFI[Winter Clothes Adult])</f>
        <v>0</v>
      </c>
      <c r="AJ873" s="436">
        <f>IF(NFI_Expiration=1,IF($A873&lt;VLOOKUP(S$5,NFI,5,0),1,0)*Table_NFI[[#This Row],[Winter Clothes Children]],Table_NFI[Winter Clothes Children])</f>
        <v>0</v>
      </c>
      <c r="AK873" s="436">
        <f>IF(NFI_Expiration=1,IF($A873&lt;VLOOKUP(T$5,NFI,5,0),1,0)*Table_NFI[[#This Row],[Winter Items Other]],Table_NFI[Winter Items Other])</f>
        <v>0</v>
      </c>
      <c r="AL873" s="436">
        <f>IF(NFI_Expiration=1,IF($A873&lt;VLOOKUP(M$5,NFI,5,0),1,0)*Table_NFI[[#This Row],[Winter Blanket]],Table_NFI[[#This Row],[Winter Blanket]])</f>
        <v>0</v>
      </c>
      <c r="AM873" s="436">
        <f>IF(Table_NFI[[#This Row],[Winter Clothes Adult]]+Table_NFI[[#This Row],[Winter Clothes Children]]+Table_NFI[[#This Row],[Winter Items Other]]+Table_NFI[[#This Row],[Winter Blanket]]&gt;0,1,0)</f>
        <v>0</v>
      </c>
      <c r="AN873" s="439">
        <f>IF(NFI_Expiration=1,IF($A873&lt;VLOOKUP(V$5,NFI,5,0),1,0)*Table_NFI[[#This Row],[Jerry Can]],Table_NFI[Jerry Can])</f>
        <v>0</v>
      </c>
      <c r="AO873" s="771" t="str">
        <f>IFERROR(VLOOKUP(Table_NFI[[#This Row],[Camp Name]],CL,2,0),"")</f>
        <v>MMR001CMP082</v>
      </c>
      <c r="AP873" s="772">
        <f ca="1">IF(Table_NFI[[#This Row],[Pcode]]="","",IF(OFFSET(CampList[Opening Date],MATCH(Table_NFI[[#This Row],[Pcode]],CampList[CP_Pcode],0)-1,0,1,1)&gt;=NFI_Monitor_Date,1,0))</f>
        <v>0</v>
      </c>
      <c r="AQ873" s="781" t="str">
        <f>IFERROR(VLOOKUP(Table_NFI[[#This Row],[Camp Name]],CL,3,0),"")</f>
        <v>Closed</v>
      </c>
      <c r="AR873" s="439" t="str">
        <f ca="1">IF(Table_NFI[[#This Row],[Pcode]]="","",OFFSET(CampList[Priority],MATCH(Table_NFI[[#This Row],[Pcode]],CampList[CP_Pcode],0)-1,0,1,1))</f>
        <v/>
      </c>
      <c r="AS873" s="438" t="str">
        <f>IFERROR(Table_NFI[[#This Row],[Kitchen Set]]/VLOOKUP(Table_NFI[[#This Row],[Camp Name]],CL,4,0),"")</f>
        <v/>
      </c>
      <c r="AT873" s="769" t="s">
        <v>1099</v>
      </c>
      <c r="AU873" s="773"/>
    </row>
    <row r="874" spans="1:47" s="774" customFormat="1" x14ac:dyDescent="0.25">
      <c r="A874" s="451">
        <f t="shared" si="13"/>
        <v>48.366666666666667</v>
      </c>
      <c r="B874" s="768">
        <v>40919</v>
      </c>
      <c r="C874" s="769" t="s">
        <v>454</v>
      </c>
      <c r="D874" s="770" t="s">
        <v>462</v>
      </c>
      <c r="E874" s="769" t="s">
        <v>380</v>
      </c>
      <c r="F874" s="435" t="s">
        <v>310</v>
      </c>
      <c r="G874" s="435" t="s">
        <v>347</v>
      </c>
      <c r="H874" s="436"/>
      <c r="I874" s="436"/>
      <c r="J874" s="436"/>
      <c r="K874" s="436">
        <v>536</v>
      </c>
      <c r="L874" s="437">
        <v>268</v>
      </c>
      <c r="M874" s="437">
        <v>536</v>
      </c>
      <c r="N874" s="437">
        <v>268</v>
      </c>
      <c r="O874" s="437">
        <v>268</v>
      </c>
      <c r="P874" s="437">
        <v>268</v>
      </c>
      <c r="Q874" s="437">
        <v>268</v>
      </c>
      <c r="R874" s="436"/>
      <c r="S874" s="436"/>
      <c r="T874" s="436"/>
      <c r="U874" s="436"/>
      <c r="V874" s="436"/>
      <c r="W874" s="436"/>
      <c r="X874" s="436"/>
      <c r="Y874" s="436">
        <f>IF(NFI_Expiration=1,IF($A874&lt;VLOOKUP(H$5,NFI,5,0),1,0)*Table_NFI[[#This Row],[Hygiene Kit]],Table_NFI[Hygiene Kit])</f>
        <v>0</v>
      </c>
      <c r="Z874" s="436">
        <f>IF(NFI_Expiration=1,IF($A874&lt;VLOOKUP(I$5,NFI,5,0),1,0)*Table_NFI[[#This Row],[NFI Core Kit]],Table_NFI[NFI Core Kit])</f>
        <v>0</v>
      </c>
      <c r="AA874" s="436">
        <f>IF(NFI_Expiration=1,IF($A874&lt;VLOOKUP(J$5,NFI,5,0),1,0)*Table_NFI[[#This Row],[Sanitary Kit]],Table_NFI[Sanitary Kit])</f>
        <v>0</v>
      </c>
      <c r="AB874" s="436">
        <f>IF(NFI_Expiration=1,IF($A874&lt;VLOOKUP(K$5,NFI,5,0),1,0)*Table_NFI[[#This Row],[Mosquito net]],Table_NFI[Mosquito net])</f>
        <v>0</v>
      </c>
      <c r="AC874" s="436">
        <f>IF(NFI_Expiration=1,IF($A874&lt;VLOOKUP(L$5,NFI,5,0),1,0)*Table_NFI[[#This Row],[Tarpaulin]],Table_NFI[[#This Row],[Tarpaulin]])</f>
        <v>0</v>
      </c>
      <c r="AD874" s="436">
        <f>IF(NFI_Expiration=1,IF($A874&lt;VLOOKUP(M$5,NFI,5,0),1,0)*Table_NFI[[#This Row],[Blanket]],Table_NFI[[#This Row],[Blanket]])</f>
        <v>0</v>
      </c>
      <c r="AE874" s="436">
        <f>IF(NFI_Expiration=1,IF($A874&lt;VLOOKUP(N$5,NFI,5,0),1,0)*Table_NFI[[#This Row],[Kitchen Set]],Table_NFI[Kitchen Set])</f>
        <v>0</v>
      </c>
      <c r="AF874" s="436">
        <f>IF(NFI_Expiration=1,IF($A874&lt;VLOOKUP(O$5,NFI,5,0),1,0)*Table_NFI[[#This Row],[Clothes Kit]],Table_NFI[Clothes Kit])</f>
        <v>0</v>
      </c>
      <c r="AG874" s="436">
        <f>IF(NFI_Expiration=1,IF($A874&lt;VLOOKUP(P$5,NFI,5,0),1,0)*Table_NFI[[#This Row],[Plastic Bucket]],Table_NFI[Plastic Bucket])</f>
        <v>0</v>
      </c>
      <c r="AH874" s="436">
        <f>IF(NFI_Expiration=1,IF($A874&lt;VLOOKUP(Q$5,NFI,5,0),1,0)*Table_NFI[[#This Row],[Plastic Mat]],Table_NFI[Plastic Mat])*IF(Table_NFI[[#This Row],[Distribution Date]]&gt;"2014-04-01",1,2.5)</f>
        <v>0</v>
      </c>
      <c r="AI874" s="436">
        <f>IF(NFI_Expiration=1,IF($A874&lt;VLOOKUP(R$5,NFI,5,0),1,0)*Table_NFI[[#This Row],[Winter Clothes Adult]],Table_NFI[Winter Clothes Adult])</f>
        <v>0</v>
      </c>
      <c r="AJ874" s="436">
        <f>IF(NFI_Expiration=1,IF($A874&lt;VLOOKUP(S$5,NFI,5,0),1,0)*Table_NFI[[#This Row],[Winter Clothes Children]],Table_NFI[Winter Clothes Children])</f>
        <v>0</v>
      </c>
      <c r="AK874" s="436">
        <f>IF(NFI_Expiration=1,IF($A874&lt;VLOOKUP(T$5,NFI,5,0),1,0)*Table_NFI[[#This Row],[Winter Items Other]],Table_NFI[Winter Items Other])</f>
        <v>0</v>
      </c>
      <c r="AL874" s="436">
        <f>IF(NFI_Expiration=1,IF($A874&lt;VLOOKUP(M$5,NFI,5,0),1,0)*Table_NFI[[#This Row],[Winter Blanket]],Table_NFI[[#This Row],[Winter Blanket]])</f>
        <v>0</v>
      </c>
      <c r="AM874" s="436">
        <f>IF(Table_NFI[[#This Row],[Winter Clothes Adult]]+Table_NFI[[#This Row],[Winter Clothes Children]]+Table_NFI[[#This Row],[Winter Items Other]]+Table_NFI[[#This Row],[Winter Blanket]]&gt;0,1,0)</f>
        <v>0</v>
      </c>
      <c r="AN874" s="439">
        <f>IF(NFI_Expiration=1,IF($A874&lt;VLOOKUP(V$5,NFI,5,0),1,0)*Table_NFI[[#This Row],[Jerry Can]],Table_NFI[Jerry Can])</f>
        <v>0</v>
      </c>
      <c r="AO874" s="771" t="str">
        <f>IFERROR(VLOOKUP(Table_NFI[[#This Row],[Camp Name]],CL,2,0),"")</f>
        <v>MMR001CMP041</v>
      </c>
      <c r="AP874" s="772">
        <f ca="1">IF(Table_NFI[[#This Row],[Pcode]]="","",IF(OFFSET(CampList[Opening Date],MATCH(Table_NFI[[#This Row],[Pcode]],CampList[CP_Pcode],0)-1,0,1,1)&gt;=NFI_Monitor_Date,1,0))</f>
        <v>0</v>
      </c>
      <c r="AQ874" s="781" t="str">
        <f>IFERROR(VLOOKUP(Table_NFI[[#This Row],[Camp Name]],CL,3,0),"")</f>
        <v>Open</v>
      </c>
      <c r="AR874" s="439" t="str">
        <f ca="1">IF(Table_NFI[[#This Row],[Pcode]]="","",OFFSET(CampList[Priority],MATCH(Table_NFI[[#This Row],[Pcode]],CampList[CP_Pcode],0)-1,0,1,1))</f>
        <v>P1</v>
      </c>
      <c r="AS874" s="438">
        <f>IFERROR(Table_NFI[[#This Row],[Kitchen Set]]/VLOOKUP(Table_NFI[[#This Row],[Camp Name]],CL,4,0),"")</f>
        <v>1.46448087431694</v>
      </c>
      <c r="AT874" s="769" t="s">
        <v>1099</v>
      </c>
      <c r="AU874" s="773"/>
    </row>
    <row r="875" spans="1:47" s="774" customFormat="1" ht="14.45" customHeight="1" x14ac:dyDescent="0.25">
      <c r="A875" s="451">
        <f t="shared" si="13"/>
        <v>48.5</v>
      </c>
      <c r="B875" s="768">
        <v>40915</v>
      </c>
      <c r="C875" s="769" t="s">
        <v>454</v>
      </c>
      <c r="D875" s="769" t="s">
        <v>508</v>
      </c>
      <c r="E875" s="769" t="s">
        <v>380</v>
      </c>
      <c r="F875" s="435" t="s">
        <v>237</v>
      </c>
      <c r="G875" s="435" t="s">
        <v>253</v>
      </c>
      <c r="H875" s="436"/>
      <c r="I875" s="436"/>
      <c r="J875" s="436"/>
      <c r="K875" s="436">
        <v>32</v>
      </c>
      <c r="L875" s="437">
        <v>16</v>
      </c>
      <c r="M875" s="437">
        <v>32</v>
      </c>
      <c r="N875" s="437">
        <v>16</v>
      </c>
      <c r="O875" s="437">
        <v>16</v>
      </c>
      <c r="P875" s="439">
        <v>16</v>
      </c>
      <c r="Q875" s="439">
        <v>16</v>
      </c>
      <c r="R875" s="436"/>
      <c r="S875" s="436"/>
      <c r="T875" s="436"/>
      <c r="U875" s="436"/>
      <c r="V875" s="436"/>
      <c r="W875" s="436"/>
      <c r="X875" s="436"/>
      <c r="Y875" s="436">
        <f>IF(NFI_Expiration=1,IF($A875&lt;VLOOKUP(H$5,NFI,5,0),1,0)*Table_NFI[[#This Row],[Hygiene Kit]],Table_NFI[Hygiene Kit])</f>
        <v>0</v>
      </c>
      <c r="Z875" s="436">
        <f>IF(NFI_Expiration=1,IF($A875&lt;VLOOKUP(I$5,NFI,5,0),1,0)*Table_NFI[[#This Row],[NFI Core Kit]],Table_NFI[NFI Core Kit])</f>
        <v>0</v>
      </c>
      <c r="AA875" s="436">
        <f>IF(NFI_Expiration=1,IF($A875&lt;VLOOKUP(J$5,NFI,5,0),1,0)*Table_NFI[[#This Row],[Sanitary Kit]],Table_NFI[Sanitary Kit])</f>
        <v>0</v>
      </c>
      <c r="AB875" s="436">
        <f>IF(NFI_Expiration=1,IF($A875&lt;VLOOKUP(K$5,NFI,5,0),1,0)*Table_NFI[[#This Row],[Mosquito net]],Table_NFI[Mosquito net])</f>
        <v>0</v>
      </c>
      <c r="AC875" s="436">
        <f>IF(NFI_Expiration=1,IF($A875&lt;VLOOKUP(L$5,NFI,5,0),1,0)*Table_NFI[[#This Row],[Tarpaulin]],Table_NFI[[#This Row],[Tarpaulin]])</f>
        <v>0</v>
      </c>
      <c r="AD875" s="436">
        <f>IF(NFI_Expiration=1,IF($A875&lt;VLOOKUP(M$5,NFI,5,0),1,0)*Table_NFI[[#This Row],[Blanket]],Table_NFI[[#This Row],[Blanket]])</f>
        <v>0</v>
      </c>
      <c r="AE875" s="436">
        <f>IF(NFI_Expiration=1,IF($A875&lt;VLOOKUP(N$5,NFI,5,0),1,0)*Table_NFI[[#This Row],[Kitchen Set]],Table_NFI[Kitchen Set])</f>
        <v>0</v>
      </c>
      <c r="AF875" s="436">
        <f>IF(NFI_Expiration=1,IF($A875&lt;VLOOKUP(O$5,NFI,5,0),1,0)*Table_NFI[[#This Row],[Clothes Kit]],Table_NFI[Clothes Kit])</f>
        <v>0</v>
      </c>
      <c r="AG875" s="436">
        <f>IF(NFI_Expiration=1,IF($A875&lt;VLOOKUP(P$5,NFI,5,0),1,0)*Table_NFI[[#This Row],[Plastic Bucket]],Table_NFI[Plastic Bucket])</f>
        <v>0</v>
      </c>
      <c r="AH875" s="436">
        <f>IF(NFI_Expiration=1,IF($A875&lt;VLOOKUP(Q$5,NFI,5,0),1,0)*Table_NFI[[#This Row],[Plastic Mat]],Table_NFI[Plastic Mat])*IF(Table_NFI[[#This Row],[Distribution Date]]&gt;"2014-04-01",1,2.5)</f>
        <v>0</v>
      </c>
      <c r="AI875" s="436">
        <f>IF(NFI_Expiration=1,IF($A875&lt;VLOOKUP(R$5,NFI,5,0),1,0)*Table_NFI[[#This Row],[Winter Clothes Adult]],Table_NFI[Winter Clothes Adult])</f>
        <v>0</v>
      </c>
      <c r="AJ875" s="436">
        <f>IF(NFI_Expiration=1,IF($A875&lt;VLOOKUP(S$5,NFI,5,0),1,0)*Table_NFI[[#This Row],[Winter Clothes Children]],Table_NFI[Winter Clothes Children])</f>
        <v>0</v>
      </c>
      <c r="AK875" s="436">
        <f>IF(NFI_Expiration=1,IF($A875&lt;VLOOKUP(T$5,NFI,5,0),1,0)*Table_NFI[[#This Row],[Winter Items Other]],Table_NFI[Winter Items Other])</f>
        <v>0</v>
      </c>
      <c r="AL875" s="436">
        <f>IF(NFI_Expiration=1,IF($A875&lt;VLOOKUP(M$5,NFI,5,0),1,0)*Table_NFI[[#This Row],[Winter Blanket]],Table_NFI[[#This Row],[Winter Blanket]])</f>
        <v>0</v>
      </c>
      <c r="AM875" s="436">
        <f>IF(Table_NFI[[#This Row],[Winter Clothes Adult]]+Table_NFI[[#This Row],[Winter Clothes Children]]+Table_NFI[[#This Row],[Winter Items Other]]+Table_NFI[[#This Row],[Winter Blanket]]&gt;0,1,0)</f>
        <v>0</v>
      </c>
      <c r="AN875" s="439">
        <f>IF(NFI_Expiration=1,IF($A875&lt;VLOOKUP(V$5,NFI,5,0),1,0)*Table_NFI[[#This Row],[Jerry Can]],Table_NFI[Jerry Can])</f>
        <v>0</v>
      </c>
      <c r="AO875" s="771" t="str">
        <f>IFERROR(VLOOKUP(Table_NFI[[#This Row],[Camp Name]],CL,2,0),"")</f>
        <v>MMR001CMP018</v>
      </c>
      <c r="AP875" s="772">
        <f ca="1">IF(Table_NFI[[#This Row],[Pcode]]="","",IF(OFFSET(CampList[Opening Date],MATCH(Table_NFI[[#This Row],[Pcode]],CampList[CP_Pcode],0)-1,0,1,1)&gt;=NFI_Monitor_Date,1,0))</f>
        <v>0</v>
      </c>
      <c r="AQ875" s="781" t="str">
        <f>IFERROR(VLOOKUP(Table_NFI[[#This Row],[Camp Name]],CL,3,0),"")</f>
        <v>Open</v>
      </c>
      <c r="AR875" s="439" t="str">
        <f ca="1">IF(Table_NFI[[#This Row],[Pcode]]="","",OFFSET(CampList[Priority],MATCH(Table_NFI[[#This Row],[Pcode]],CampList[CP_Pcode],0)-1,0,1,1))</f>
        <v>P4</v>
      </c>
      <c r="AS875" s="438">
        <f>IFERROR(Table_NFI[[#This Row],[Kitchen Set]]/VLOOKUP(Table_NFI[[#This Row],[Camp Name]],CL,4,0),"")</f>
        <v>7.8817733990147784E-2</v>
      </c>
      <c r="AT875" s="769" t="s">
        <v>1099</v>
      </c>
      <c r="AU875" s="773"/>
    </row>
    <row r="876" spans="1:47" s="774" customFormat="1" x14ac:dyDescent="0.25">
      <c r="A876" s="451">
        <f t="shared" si="13"/>
        <v>48.5</v>
      </c>
      <c r="B876" s="768">
        <v>40915</v>
      </c>
      <c r="C876" s="769" t="s">
        <v>454</v>
      </c>
      <c r="D876" s="769" t="s">
        <v>508</v>
      </c>
      <c r="E876" s="769" t="s">
        <v>380</v>
      </c>
      <c r="F876" s="769" t="s">
        <v>310</v>
      </c>
      <c r="G876" s="435" t="s">
        <v>330</v>
      </c>
      <c r="H876" s="436"/>
      <c r="I876" s="436"/>
      <c r="J876" s="436"/>
      <c r="K876" s="436">
        <v>50</v>
      </c>
      <c r="L876" s="437">
        <v>25</v>
      </c>
      <c r="M876" s="437">
        <v>50</v>
      </c>
      <c r="N876" s="437">
        <v>25</v>
      </c>
      <c r="O876" s="437">
        <v>27</v>
      </c>
      <c r="P876" s="439">
        <v>27</v>
      </c>
      <c r="Q876" s="439">
        <v>27</v>
      </c>
      <c r="R876" s="436"/>
      <c r="S876" s="436"/>
      <c r="T876" s="436"/>
      <c r="U876" s="436"/>
      <c r="V876" s="436"/>
      <c r="W876" s="436"/>
      <c r="X876" s="436"/>
      <c r="Y876" s="436">
        <f>IF(NFI_Expiration=1,IF($A876&lt;VLOOKUP(H$5,NFI,5,0),1,0)*Table_NFI[[#This Row],[Hygiene Kit]],Table_NFI[Hygiene Kit])</f>
        <v>0</v>
      </c>
      <c r="Z876" s="436">
        <f>IF(NFI_Expiration=1,IF($A876&lt;VLOOKUP(I$5,NFI,5,0),1,0)*Table_NFI[[#This Row],[NFI Core Kit]],Table_NFI[NFI Core Kit])</f>
        <v>0</v>
      </c>
      <c r="AA876" s="436">
        <f>IF(NFI_Expiration=1,IF($A876&lt;VLOOKUP(J$5,NFI,5,0),1,0)*Table_NFI[[#This Row],[Sanitary Kit]],Table_NFI[Sanitary Kit])</f>
        <v>0</v>
      </c>
      <c r="AB876" s="436">
        <f>IF(NFI_Expiration=1,IF($A876&lt;VLOOKUP(K$5,NFI,5,0),1,0)*Table_NFI[[#This Row],[Mosquito net]],Table_NFI[Mosquito net])</f>
        <v>0</v>
      </c>
      <c r="AC876" s="436">
        <f>IF(NFI_Expiration=1,IF($A876&lt;VLOOKUP(L$5,NFI,5,0),1,0)*Table_NFI[[#This Row],[Tarpaulin]],Table_NFI[[#This Row],[Tarpaulin]])</f>
        <v>0</v>
      </c>
      <c r="AD876" s="436">
        <f>IF(NFI_Expiration=1,IF($A876&lt;VLOOKUP(M$5,NFI,5,0),1,0)*Table_NFI[[#This Row],[Blanket]],Table_NFI[[#This Row],[Blanket]])</f>
        <v>0</v>
      </c>
      <c r="AE876" s="436">
        <f>IF(NFI_Expiration=1,IF($A876&lt;VLOOKUP(N$5,NFI,5,0),1,0)*Table_NFI[[#This Row],[Kitchen Set]],Table_NFI[Kitchen Set])</f>
        <v>0</v>
      </c>
      <c r="AF876" s="436">
        <f>IF(NFI_Expiration=1,IF($A876&lt;VLOOKUP(O$5,NFI,5,0),1,0)*Table_NFI[[#This Row],[Clothes Kit]],Table_NFI[Clothes Kit])</f>
        <v>0</v>
      </c>
      <c r="AG876" s="436">
        <f>IF(NFI_Expiration=1,IF($A876&lt;VLOOKUP(P$5,NFI,5,0),1,0)*Table_NFI[[#This Row],[Plastic Bucket]],Table_NFI[Plastic Bucket])</f>
        <v>0</v>
      </c>
      <c r="AH876" s="436">
        <f>IF(NFI_Expiration=1,IF($A876&lt;VLOOKUP(Q$5,NFI,5,0),1,0)*Table_NFI[[#This Row],[Plastic Mat]],Table_NFI[Plastic Mat])*IF(Table_NFI[[#This Row],[Distribution Date]]&gt;"2014-04-01",1,2.5)</f>
        <v>0</v>
      </c>
      <c r="AI876" s="436">
        <f>IF(NFI_Expiration=1,IF($A876&lt;VLOOKUP(R$5,NFI,5,0),1,0)*Table_NFI[[#This Row],[Winter Clothes Adult]],Table_NFI[Winter Clothes Adult])</f>
        <v>0</v>
      </c>
      <c r="AJ876" s="436">
        <f>IF(NFI_Expiration=1,IF($A876&lt;VLOOKUP(S$5,NFI,5,0),1,0)*Table_NFI[[#This Row],[Winter Clothes Children]],Table_NFI[Winter Clothes Children])</f>
        <v>0</v>
      </c>
      <c r="AK876" s="436">
        <f>IF(NFI_Expiration=1,IF($A876&lt;VLOOKUP(T$5,NFI,5,0),1,0)*Table_NFI[[#This Row],[Winter Items Other]],Table_NFI[Winter Items Other])</f>
        <v>0</v>
      </c>
      <c r="AL876" s="436">
        <f>IF(NFI_Expiration=1,IF($A876&lt;VLOOKUP(M$5,NFI,5,0),1,0)*Table_NFI[[#This Row],[Winter Blanket]],Table_NFI[[#This Row],[Winter Blanket]])</f>
        <v>0</v>
      </c>
      <c r="AM876" s="436">
        <f>IF(Table_NFI[[#This Row],[Winter Clothes Adult]]+Table_NFI[[#This Row],[Winter Clothes Children]]+Table_NFI[[#This Row],[Winter Items Other]]+Table_NFI[[#This Row],[Winter Blanket]]&gt;0,1,0)</f>
        <v>0</v>
      </c>
      <c r="AN876" s="439">
        <f>IF(NFI_Expiration=1,IF($A876&lt;VLOOKUP(V$5,NFI,5,0),1,0)*Table_NFI[[#This Row],[Jerry Can]],Table_NFI[Jerry Can])</f>
        <v>0</v>
      </c>
      <c r="AO876" s="771" t="str">
        <f>IFERROR(VLOOKUP(Table_NFI[[#This Row],[Camp Name]],CL,2,0),"")</f>
        <v>MMR001CMP029</v>
      </c>
      <c r="AP876" s="772">
        <f ca="1">IF(Table_NFI[[#This Row],[Pcode]]="","",IF(OFFSET(CampList[Opening Date],MATCH(Table_NFI[[#This Row],[Pcode]],CampList[CP_Pcode],0)-1,0,1,1)&gt;=NFI_Monitor_Date,1,0))</f>
        <v>0</v>
      </c>
      <c r="AQ876" s="781" t="str">
        <f>IFERROR(VLOOKUP(Table_NFI[[#This Row],[Camp Name]],CL,3,0),"")</f>
        <v>Open</v>
      </c>
      <c r="AR876" s="439" t="str">
        <f ca="1">IF(Table_NFI[[#This Row],[Pcode]]="","",OFFSET(CampList[Priority],MATCH(Table_NFI[[#This Row],[Pcode]],CampList[CP_Pcode],0)-1,0,1,1))</f>
        <v>P4</v>
      </c>
      <c r="AS876" s="438">
        <f>IFERROR(Table_NFI[[#This Row],[Kitchen Set]]/VLOOKUP(Table_NFI[[#This Row],[Camp Name]],CL,4,0),"")</f>
        <v>0.11013215859030837</v>
      </c>
      <c r="AT876" s="769" t="s">
        <v>1099</v>
      </c>
      <c r="AU876" s="773"/>
    </row>
    <row r="877" spans="1:47" s="136" customFormat="1" x14ac:dyDescent="0.25">
      <c r="A877" s="451">
        <f t="shared" si="13"/>
        <v>48.533333333333331</v>
      </c>
      <c r="B877" s="768">
        <v>40914</v>
      </c>
      <c r="C877" s="769" t="s">
        <v>454</v>
      </c>
      <c r="D877" s="770" t="s">
        <v>508</v>
      </c>
      <c r="E877" s="769" t="s">
        <v>380</v>
      </c>
      <c r="F877" s="435" t="s">
        <v>237</v>
      </c>
      <c r="G877" s="435" t="s">
        <v>255</v>
      </c>
      <c r="H877" s="436"/>
      <c r="I877" s="436"/>
      <c r="J877" s="436"/>
      <c r="K877" s="436">
        <v>0</v>
      </c>
      <c r="L877" s="437">
        <v>0</v>
      </c>
      <c r="M877" s="437">
        <v>0</v>
      </c>
      <c r="N877" s="437">
        <v>0</v>
      </c>
      <c r="O877" s="437">
        <v>9</v>
      </c>
      <c r="P877" s="437">
        <v>9</v>
      </c>
      <c r="Q877" s="437">
        <v>9</v>
      </c>
      <c r="R877" s="436"/>
      <c r="S877" s="436"/>
      <c r="T877" s="436"/>
      <c r="U877" s="436"/>
      <c r="V877" s="436"/>
      <c r="W877" s="436"/>
      <c r="X877" s="436"/>
      <c r="Y877" s="436">
        <f>IF(NFI_Expiration=1,IF($A877&lt;VLOOKUP(H$5,NFI,5,0),1,0)*Table_NFI[[#This Row],[Hygiene Kit]],Table_NFI[Hygiene Kit])</f>
        <v>0</v>
      </c>
      <c r="Z877" s="436">
        <f>IF(NFI_Expiration=1,IF($A877&lt;VLOOKUP(I$5,NFI,5,0),1,0)*Table_NFI[[#This Row],[NFI Core Kit]],Table_NFI[NFI Core Kit])</f>
        <v>0</v>
      </c>
      <c r="AA877" s="436">
        <f>IF(NFI_Expiration=1,IF($A877&lt;VLOOKUP(J$5,NFI,5,0),1,0)*Table_NFI[[#This Row],[Sanitary Kit]],Table_NFI[Sanitary Kit])</f>
        <v>0</v>
      </c>
      <c r="AB877" s="436">
        <f>IF(NFI_Expiration=1,IF($A877&lt;VLOOKUP(K$5,NFI,5,0),1,0)*Table_NFI[[#This Row],[Mosquito net]],Table_NFI[Mosquito net])</f>
        <v>0</v>
      </c>
      <c r="AC877" s="436">
        <f>IF(NFI_Expiration=1,IF($A877&lt;VLOOKUP(L$5,NFI,5,0),1,0)*Table_NFI[[#This Row],[Tarpaulin]],Table_NFI[[#This Row],[Tarpaulin]])</f>
        <v>0</v>
      </c>
      <c r="AD877" s="436">
        <f>IF(NFI_Expiration=1,IF($A877&lt;VLOOKUP(M$5,NFI,5,0),1,0)*Table_NFI[[#This Row],[Blanket]],Table_NFI[[#This Row],[Blanket]])</f>
        <v>0</v>
      </c>
      <c r="AE877" s="436">
        <f>IF(NFI_Expiration=1,IF($A877&lt;VLOOKUP(N$5,NFI,5,0),1,0)*Table_NFI[[#This Row],[Kitchen Set]],Table_NFI[Kitchen Set])</f>
        <v>0</v>
      </c>
      <c r="AF877" s="436">
        <f>IF(NFI_Expiration=1,IF($A877&lt;VLOOKUP(O$5,NFI,5,0),1,0)*Table_NFI[[#This Row],[Clothes Kit]],Table_NFI[Clothes Kit])</f>
        <v>0</v>
      </c>
      <c r="AG877" s="436">
        <f>IF(NFI_Expiration=1,IF($A877&lt;VLOOKUP(P$5,NFI,5,0),1,0)*Table_NFI[[#This Row],[Plastic Bucket]],Table_NFI[Plastic Bucket])</f>
        <v>0</v>
      </c>
      <c r="AH877" s="436">
        <f>IF(NFI_Expiration=1,IF($A877&lt;VLOOKUP(Q$5,NFI,5,0),1,0)*Table_NFI[[#This Row],[Plastic Mat]],Table_NFI[Plastic Mat])*IF(Table_NFI[[#This Row],[Distribution Date]]&gt;"2014-04-01",1,2.5)</f>
        <v>0</v>
      </c>
      <c r="AI877" s="436">
        <f>IF(NFI_Expiration=1,IF($A877&lt;VLOOKUP(R$5,NFI,5,0),1,0)*Table_NFI[[#This Row],[Winter Clothes Adult]],Table_NFI[Winter Clothes Adult])</f>
        <v>0</v>
      </c>
      <c r="AJ877" s="436">
        <f>IF(NFI_Expiration=1,IF($A877&lt;VLOOKUP(S$5,NFI,5,0),1,0)*Table_NFI[[#This Row],[Winter Clothes Children]],Table_NFI[Winter Clothes Children])</f>
        <v>0</v>
      </c>
      <c r="AK877" s="436">
        <f>IF(NFI_Expiration=1,IF($A877&lt;VLOOKUP(T$5,NFI,5,0),1,0)*Table_NFI[[#This Row],[Winter Items Other]],Table_NFI[Winter Items Other])</f>
        <v>0</v>
      </c>
      <c r="AL877" s="436">
        <f>IF(NFI_Expiration=1,IF($A877&lt;VLOOKUP(M$5,NFI,5,0),1,0)*Table_NFI[[#This Row],[Winter Blanket]],Table_NFI[[#This Row],[Winter Blanket]])</f>
        <v>0</v>
      </c>
      <c r="AM877" s="436">
        <f>IF(Table_NFI[[#This Row],[Winter Clothes Adult]]+Table_NFI[[#This Row],[Winter Clothes Children]]+Table_NFI[[#This Row],[Winter Items Other]]+Table_NFI[[#This Row],[Winter Blanket]]&gt;0,1,0)</f>
        <v>0</v>
      </c>
      <c r="AN877" s="439">
        <f>IF(NFI_Expiration=1,IF($A877&lt;VLOOKUP(V$5,NFI,5,0),1,0)*Table_NFI[[#This Row],[Jerry Can]],Table_NFI[Jerry Can])</f>
        <v>0</v>
      </c>
      <c r="AO877" s="771" t="str">
        <f>IFERROR(VLOOKUP(Table_NFI[[#This Row],[Camp Name]],CL,2,0),"")</f>
        <v>MMR001CMP019</v>
      </c>
      <c r="AP877" s="772">
        <f ca="1">IF(Table_NFI[[#This Row],[Pcode]]="","",IF(OFFSET(CampList[Opening Date],MATCH(Table_NFI[[#This Row],[Pcode]],CampList[CP_Pcode],0)-1,0,1,1)&gt;=NFI_Monitor_Date,1,0))</f>
        <v>0</v>
      </c>
      <c r="AQ877" s="781" t="str">
        <f>IFERROR(VLOOKUP(Table_NFI[[#This Row],[Camp Name]],CL,3,0),"")</f>
        <v>Open</v>
      </c>
      <c r="AR877" s="439" t="str">
        <f ca="1">IF(Table_NFI[[#This Row],[Pcode]]="","",OFFSET(CampList[Priority],MATCH(Table_NFI[[#This Row],[Pcode]],CampList[CP_Pcode],0)-1,0,1,1))</f>
        <v>P4</v>
      </c>
      <c r="AS877" s="438">
        <f>IFERROR(Table_NFI[[#This Row],[Kitchen Set]]/VLOOKUP(Table_NFI[[#This Row],[Camp Name]],CL,4,0),"")</f>
        <v>0</v>
      </c>
      <c r="AT877" s="769" t="s">
        <v>1099</v>
      </c>
      <c r="AU877" s="773"/>
    </row>
    <row r="878" spans="1:47" s="774" customFormat="1" ht="14.45" customHeight="1" x14ac:dyDescent="0.25">
      <c r="A878" s="451">
        <f t="shared" si="13"/>
        <v>48.533333333333331</v>
      </c>
      <c r="B878" s="768">
        <v>40914</v>
      </c>
      <c r="C878" s="769" t="s">
        <v>454</v>
      </c>
      <c r="D878" s="770" t="s">
        <v>454</v>
      </c>
      <c r="E878" s="769" t="s">
        <v>380</v>
      </c>
      <c r="F878" s="435" t="s">
        <v>310</v>
      </c>
      <c r="G878" s="435" t="s">
        <v>349</v>
      </c>
      <c r="H878" s="436"/>
      <c r="I878" s="436"/>
      <c r="J878" s="436"/>
      <c r="K878" s="436">
        <v>29</v>
      </c>
      <c r="L878" s="437">
        <v>0</v>
      </c>
      <c r="M878" s="437">
        <v>29</v>
      </c>
      <c r="N878" s="437">
        <v>15</v>
      </c>
      <c r="O878" s="437">
        <v>15</v>
      </c>
      <c r="P878" s="437">
        <v>15</v>
      </c>
      <c r="Q878" s="437">
        <v>15</v>
      </c>
      <c r="R878" s="436"/>
      <c r="S878" s="436"/>
      <c r="T878" s="436"/>
      <c r="U878" s="436"/>
      <c r="V878" s="436"/>
      <c r="W878" s="436"/>
      <c r="X878" s="436"/>
      <c r="Y878" s="436">
        <f>IF(NFI_Expiration=1,IF($A878&lt;VLOOKUP(H$5,NFI,5,0),1,0)*Table_NFI[[#This Row],[Hygiene Kit]],Table_NFI[Hygiene Kit])</f>
        <v>0</v>
      </c>
      <c r="Z878" s="436">
        <f>IF(NFI_Expiration=1,IF($A878&lt;VLOOKUP(I$5,NFI,5,0),1,0)*Table_NFI[[#This Row],[NFI Core Kit]],Table_NFI[NFI Core Kit])</f>
        <v>0</v>
      </c>
      <c r="AA878" s="436">
        <f>IF(NFI_Expiration=1,IF($A878&lt;VLOOKUP(J$5,NFI,5,0),1,0)*Table_NFI[[#This Row],[Sanitary Kit]],Table_NFI[Sanitary Kit])</f>
        <v>0</v>
      </c>
      <c r="AB878" s="436">
        <f>IF(NFI_Expiration=1,IF($A878&lt;VLOOKUP(K$5,NFI,5,0),1,0)*Table_NFI[[#This Row],[Mosquito net]],Table_NFI[Mosquito net])</f>
        <v>0</v>
      </c>
      <c r="AC878" s="436">
        <f>IF(NFI_Expiration=1,IF($A878&lt;VLOOKUP(L$5,NFI,5,0),1,0)*Table_NFI[[#This Row],[Tarpaulin]],Table_NFI[[#This Row],[Tarpaulin]])</f>
        <v>0</v>
      </c>
      <c r="AD878" s="436">
        <f>IF(NFI_Expiration=1,IF($A878&lt;VLOOKUP(M$5,NFI,5,0),1,0)*Table_NFI[[#This Row],[Blanket]],Table_NFI[[#This Row],[Blanket]])</f>
        <v>0</v>
      </c>
      <c r="AE878" s="436">
        <f>IF(NFI_Expiration=1,IF($A878&lt;VLOOKUP(N$5,NFI,5,0),1,0)*Table_NFI[[#This Row],[Kitchen Set]],Table_NFI[Kitchen Set])</f>
        <v>0</v>
      </c>
      <c r="AF878" s="436">
        <f>IF(NFI_Expiration=1,IF($A878&lt;VLOOKUP(O$5,NFI,5,0),1,0)*Table_NFI[[#This Row],[Clothes Kit]],Table_NFI[Clothes Kit])</f>
        <v>0</v>
      </c>
      <c r="AG878" s="436">
        <f>IF(NFI_Expiration=1,IF($A878&lt;VLOOKUP(P$5,NFI,5,0),1,0)*Table_NFI[[#This Row],[Plastic Bucket]],Table_NFI[Plastic Bucket])</f>
        <v>0</v>
      </c>
      <c r="AH878" s="436">
        <f>IF(NFI_Expiration=1,IF($A878&lt;VLOOKUP(Q$5,NFI,5,0),1,0)*Table_NFI[[#This Row],[Plastic Mat]],Table_NFI[Plastic Mat])*IF(Table_NFI[[#This Row],[Distribution Date]]&gt;"2014-04-01",1,2.5)</f>
        <v>0</v>
      </c>
      <c r="AI878" s="436">
        <f>IF(NFI_Expiration=1,IF($A878&lt;VLOOKUP(R$5,NFI,5,0),1,0)*Table_NFI[[#This Row],[Winter Clothes Adult]],Table_NFI[Winter Clothes Adult])</f>
        <v>0</v>
      </c>
      <c r="AJ878" s="436">
        <f>IF(NFI_Expiration=1,IF($A878&lt;VLOOKUP(S$5,NFI,5,0),1,0)*Table_NFI[[#This Row],[Winter Clothes Children]],Table_NFI[Winter Clothes Children])</f>
        <v>0</v>
      </c>
      <c r="AK878" s="436">
        <f>IF(NFI_Expiration=1,IF($A878&lt;VLOOKUP(T$5,NFI,5,0),1,0)*Table_NFI[[#This Row],[Winter Items Other]],Table_NFI[Winter Items Other])</f>
        <v>0</v>
      </c>
      <c r="AL878" s="436">
        <f>IF(NFI_Expiration=1,IF($A878&lt;VLOOKUP(M$5,NFI,5,0),1,0)*Table_NFI[[#This Row],[Winter Blanket]],Table_NFI[[#This Row],[Winter Blanket]])</f>
        <v>0</v>
      </c>
      <c r="AM878" s="436">
        <f>IF(Table_NFI[[#This Row],[Winter Clothes Adult]]+Table_NFI[[#This Row],[Winter Clothes Children]]+Table_NFI[[#This Row],[Winter Items Other]]+Table_NFI[[#This Row],[Winter Blanket]]&gt;0,1,0)</f>
        <v>0</v>
      </c>
      <c r="AN878" s="439">
        <f>IF(NFI_Expiration=1,IF($A878&lt;VLOOKUP(V$5,NFI,5,0),1,0)*Table_NFI[[#This Row],[Jerry Can]],Table_NFI[Jerry Can])</f>
        <v>0</v>
      </c>
      <c r="AO878" s="771" t="str">
        <f>IFERROR(VLOOKUP(Table_NFI[[#This Row],[Camp Name]],CL,2,0),"")</f>
        <v>MMR001CMP037</v>
      </c>
      <c r="AP878" s="772">
        <f ca="1">IF(Table_NFI[[#This Row],[Pcode]]="","",IF(OFFSET(CampList[Opening Date],MATCH(Table_NFI[[#This Row],[Pcode]],CampList[CP_Pcode],0)-1,0,1,1)&gt;=NFI_Monitor_Date,1,0))</f>
        <v>0</v>
      </c>
      <c r="AQ878" s="781" t="str">
        <f>IFERROR(VLOOKUP(Table_NFI[[#This Row],[Camp Name]],CL,3,0),"")</f>
        <v>Open</v>
      </c>
      <c r="AR878" s="439" t="str">
        <f ca="1">IF(Table_NFI[[#This Row],[Pcode]]="","",OFFSET(CampList[Priority],MATCH(Table_NFI[[#This Row],[Pcode]],CampList[CP_Pcode],0)-1,0,1,1))</f>
        <v>P4</v>
      </c>
      <c r="AS878" s="438">
        <f>IFERROR(Table_NFI[[#This Row],[Kitchen Set]]/VLOOKUP(Table_NFI[[#This Row],[Camp Name]],CL,4,0),"")</f>
        <v>0.34090909090909088</v>
      </c>
      <c r="AT878" s="769" t="s">
        <v>1099</v>
      </c>
      <c r="AU878" s="773"/>
    </row>
    <row r="879" spans="1:47" s="774" customFormat="1" ht="14.45" customHeight="1" x14ac:dyDescent="0.25">
      <c r="A879" s="451">
        <f t="shared" si="13"/>
        <v>48.533333333333331</v>
      </c>
      <c r="B879" s="768">
        <v>40914</v>
      </c>
      <c r="C879" s="769" t="s">
        <v>454</v>
      </c>
      <c r="D879" s="770" t="s">
        <v>454</v>
      </c>
      <c r="E879" s="769" t="s">
        <v>380</v>
      </c>
      <c r="F879" s="435" t="s">
        <v>310</v>
      </c>
      <c r="G879" s="435" t="s">
        <v>349</v>
      </c>
      <c r="H879" s="436"/>
      <c r="I879" s="436"/>
      <c r="J879" s="436"/>
      <c r="K879" s="436">
        <v>59</v>
      </c>
      <c r="L879" s="437">
        <v>30</v>
      </c>
      <c r="M879" s="437">
        <v>59</v>
      </c>
      <c r="N879" s="437">
        <v>30</v>
      </c>
      <c r="O879" s="437">
        <v>30</v>
      </c>
      <c r="P879" s="437">
        <v>30</v>
      </c>
      <c r="Q879" s="437">
        <v>30</v>
      </c>
      <c r="R879" s="436"/>
      <c r="S879" s="436"/>
      <c r="T879" s="436"/>
      <c r="U879" s="436"/>
      <c r="V879" s="436"/>
      <c r="W879" s="436"/>
      <c r="X879" s="436"/>
      <c r="Y879" s="436">
        <f>IF(NFI_Expiration=1,IF($A879&lt;VLOOKUP(H$5,NFI,5,0),1,0)*Table_NFI[[#This Row],[Hygiene Kit]],Table_NFI[Hygiene Kit])</f>
        <v>0</v>
      </c>
      <c r="Z879" s="436">
        <f>IF(NFI_Expiration=1,IF($A879&lt;VLOOKUP(I$5,NFI,5,0),1,0)*Table_NFI[[#This Row],[NFI Core Kit]],Table_NFI[NFI Core Kit])</f>
        <v>0</v>
      </c>
      <c r="AA879" s="436">
        <f>IF(NFI_Expiration=1,IF($A879&lt;VLOOKUP(J$5,NFI,5,0),1,0)*Table_NFI[[#This Row],[Sanitary Kit]],Table_NFI[Sanitary Kit])</f>
        <v>0</v>
      </c>
      <c r="AB879" s="436">
        <f>IF(NFI_Expiration=1,IF($A879&lt;VLOOKUP(K$5,NFI,5,0),1,0)*Table_NFI[[#This Row],[Mosquito net]],Table_NFI[Mosquito net])</f>
        <v>0</v>
      </c>
      <c r="AC879" s="436">
        <f>IF(NFI_Expiration=1,IF($A879&lt;VLOOKUP(L$5,NFI,5,0),1,0)*Table_NFI[[#This Row],[Tarpaulin]],Table_NFI[[#This Row],[Tarpaulin]])</f>
        <v>0</v>
      </c>
      <c r="AD879" s="436">
        <f>IF(NFI_Expiration=1,IF($A879&lt;VLOOKUP(M$5,NFI,5,0),1,0)*Table_NFI[[#This Row],[Blanket]],Table_NFI[[#This Row],[Blanket]])</f>
        <v>0</v>
      </c>
      <c r="AE879" s="436">
        <f>IF(NFI_Expiration=1,IF($A879&lt;VLOOKUP(N$5,NFI,5,0),1,0)*Table_NFI[[#This Row],[Kitchen Set]],Table_NFI[Kitchen Set])</f>
        <v>0</v>
      </c>
      <c r="AF879" s="436">
        <f>IF(NFI_Expiration=1,IF($A879&lt;VLOOKUP(O$5,NFI,5,0),1,0)*Table_NFI[[#This Row],[Clothes Kit]],Table_NFI[Clothes Kit])</f>
        <v>0</v>
      </c>
      <c r="AG879" s="436">
        <f>IF(NFI_Expiration=1,IF($A879&lt;VLOOKUP(P$5,NFI,5,0),1,0)*Table_NFI[[#This Row],[Plastic Bucket]],Table_NFI[Plastic Bucket])</f>
        <v>0</v>
      </c>
      <c r="AH879" s="436">
        <f>IF(NFI_Expiration=1,IF($A879&lt;VLOOKUP(Q$5,NFI,5,0),1,0)*Table_NFI[[#This Row],[Plastic Mat]],Table_NFI[Plastic Mat])*IF(Table_NFI[[#This Row],[Distribution Date]]&gt;"2014-04-01",1,2.5)</f>
        <v>0</v>
      </c>
      <c r="AI879" s="436">
        <f>IF(NFI_Expiration=1,IF($A879&lt;VLOOKUP(R$5,NFI,5,0),1,0)*Table_NFI[[#This Row],[Winter Clothes Adult]],Table_NFI[Winter Clothes Adult])</f>
        <v>0</v>
      </c>
      <c r="AJ879" s="436">
        <f>IF(NFI_Expiration=1,IF($A879&lt;VLOOKUP(S$5,NFI,5,0),1,0)*Table_NFI[[#This Row],[Winter Clothes Children]],Table_NFI[Winter Clothes Children])</f>
        <v>0</v>
      </c>
      <c r="AK879" s="436">
        <f>IF(NFI_Expiration=1,IF($A879&lt;VLOOKUP(T$5,NFI,5,0),1,0)*Table_NFI[[#This Row],[Winter Items Other]],Table_NFI[Winter Items Other])</f>
        <v>0</v>
      </c>
      <c r="AL879" s="436">
        <f>IF(NFI_Expiration=1,IF($A879&lt;VLOOKUP(M$5,NFI,5,0),1,0)*Table_NFI[[#This Row],[Winter Blanket]],Table_NFI[[#This Row],[Winter Blanket]])</f>
        <v>0</v>
      </c>
      <c r="AM879" s="436">
        <f>IF(Table_NFI[[#This Row],[Winter Clothes Adult]]+Table_NFI[[#This Row],[Winter Clothes Children]]+Table_NFI[[#This Row],[Winter Items Other]]+Table_NFI[[#This Row],[Winter Blanket]]&gt;0,1,0)</f>
        <v>0</v>
      </c>
      <c r="AN879" s="439">
        <f>IF(NFI_Expiration=1,IF($A879&lt;VLOOKUP(V$5,NFI,5,0),1,0)*Table_NFI[[#This Row],[Jerry Can]],Table_NFI[Jerry Can])</f>
        <v>0</v>
      </c>
      <c r="AO879" s="771" t="str">
        <f>IFERROR(VLOOKUP(Table_NFI[[#This Row],[Camp Name]],CL,2,0),"")</f>
        <v>MMR001CMP037</v>
      </c>
      <c r="AP879" s="772">
        <f ca="1">IF(Table_NFI[[#This Row],[Pcode]]="","",IF(OFFSET(CampList[Opening Date],MATCH(Table_NFI[[#This Row],[Pcode]],CampList[CP_Pcode],0)-1,0,1,1)&gt;=NFI_Monitor_Date,1,0))</f>
        <v>0</v>
      </c>
      <c r="AQ879" s="781" t="str">
        <f>IFERROR(VLOOKUP(Table_NFI[[#This Row],[Camp Name]],CL,3,0),"")</f>
        <v>Open</v>
      </c>
      <c r="AR879" s="439" t="str">
        <f ca="1">IF(Table_NFI[[#This Row],[Pcode]]="","",OFFSET(CampList[Priority],MATCH(Table_NFI[[#This Row],[Pcode]],CampList[CP_Pcode],0)-1,0,1,1))</f>
        <v>P4</v>
      </c>
      <c r="AS879" s="438">
        <f>IFERROR(Table_NFI[[#This Row],[Kitchen Set]]/VLOOKUP(Table_NFI[[#This Row],[Camp Name]],CL,4,0),"")</f>
        <v>0.68181818181818177</v>
      </c>
      <c r="AT879" s="769" t="s">
        <v>1099</v>
      </c>
      <c r="AU879" s="773"/>
    </row>
    <row r="880" spans="1:47" s="774" customFormat="1" ht="14.45" customHeight="1" x14ac:dyDescent="0.25">
      <c r="A880" s="451">
        <f t="shared" si="13"/>
        <v>48.533333333333331</v>
      </c>
      <c r="B880" s="768">
        <v>40914</v>
      </c>
      <c r="C880" s="769" t="s">
        <v>454</v>
      </c>
      <c r="D880" s="770" t="s">
        <v>454</v>
      </c>
      <c r="E880" s="769" t="s">
        <v>380</v>
      </c>
      <c r="F880" s="435" t="s">
        <v>310</v>
      </c>
      <c r="G880" s="435" t="s">
        <v>316</v>
      </c>
      <c r="H880" s="436"/>
      <c r="I880" s="436"/>
      <c r="J880" s="436"/>
      <c r="K880" s="436">
        <v>29</v>
      </c>
      <c r="L880" s="437">
        <v>14</v>
      </c>
      <c r="M880" s="437">
        <v>29</v>
      </c>
      <c r="N880" s="437">
        <v>14</v>
      </c>
      <c r="O880" s="437">
        <v>14</v>
      </c>
      <c r="P880" s="437">
        <v>14</v>
      </c>
      <c r="Q880" s="437">
        <v>14</v>
      </c>
      <c r="R880" s="436"/>
      <c r="S880" s="436"/>
      <c r="T880" s="436"/>
      <c r="U880" s="436"/>
      <c r="V880" s="436"/>
      <c r="W880" s="436"/>
      <c r="X880" s="436"/>
      <c r="Y880" s="436">
        <f>IF(NFI_Expiration=1,IF($A880&lt;VLOOKUP(H$5,NFI,5,0),1,0)*Table_NFI[[#This Row],[Hygiene Kit]],Table_NFI[Hygiene Kit])</f>
        <v>0</v>
      </c>
      <c r="Z880" s="436">
        <f>IF(NFI_Expiration=1,IF($A880&lt;VLOOKUP(I$5,NFI,5,0),1,0)*Table_NFI[[#This Row],[NFI Core Kit]],Table_NFI[NFI Core Kit])</f>
        <v>0</v>
      </c>
      <c r="AA880" s="436">
        <f>IF(NFI_Expiration=1,IF($A880&lt;VLOOKUP(J$5,NFI,5,0),1,0)*Table_NFI[[#This Row],[Sanitary Kit]],Table_NFI[Sanitary Kit])</f>
        <v>0</v>
      </c>
      <c r="AB880" s="436">
        <f>IF(NFI_Expiration=1,IF($A880&lt;VLOOKUP(K$5,NFI,5,0),1,0)*Table_NFI[[#This Row],[Mosquito net]],Table_NFI[Mosquito net])</f>
        <v>0</v>
      </c>
      <c r="AC880" s="436">
        <f>IF(NFI_Expiration=1,IF($A880&lt;VLOOKUP(L$5,NFI,5,0),1,0)*Table_NFI[[#This Row],[Tarpaulin]],Table_NFI[[#This Row],[Tarpaulin]])</f>
        <v>0</v>
      </c>
      <c r="AD880" s="436">
        <f>IF(NFI_Expiration=1,IF($A880&lt;VLOOKUP(M$5,NFI,5,0),1,0)*Table_NFI[[#This Row],[Blanket]],Table_NFI[[#This Row],[Blanket]])</f>
        <v>0</v>
      </c>
      <c r="AE880" s="436">
        <f>IF(NFI_Expiration=1,IF($A880&lt;VLOOKUP(N$5,NFI,5,0),1,0)*Table_NFI[[#This Row],[Kitchen Set]],Table_NFI[Kitchen Set])</f>
        <v>0</v>
      </c>
      <c r="AF880" s="436">
        <f>IF(NFI_Expiration=1,IF($A880&lt;VLOOKUP(O$5,NFI,5,0),1,0)*Table_NFI[[#This Row],[Clothes Kit]],Table_NFI[Clothes Kit])</f>
        <v>0</v>
      </c>
      <c r="AG880" s="436">
        <f>IF(NFI_Expiration=1,IF($A880&lt;VLOOKUP(P$5,NFI,5,0),1,0)*Table_NFI[[#This Row],[Plastic Bucket]],Table_NFI[Plastic Bucket])</f>
        <v>0</v>
      </c>
      <c r="AH880" s="436">
        <f>IF(NFI_Expiration=1,IF($A880&lt;VLOOKUP(Q$5,NFI,5,0),1,0)*Table_NFI[[#This Row],[Plastic Mat]],Table_NFI[Plastic Mat])*IF(Table_NFI[[#This Row],[Distribution Date]]&gt;"2014-04-01",1,2.5)</f>
        <v>0</v>
      </c>
      <c r="AI880" s="436">
        <f>IF(NFI_Expiration=1,IF($A880&lt;VLOOKUP(R$5,NFI,5,0),1,0)*Table_NFI[[#This Row],[Winter Clothes Adult]],Table_NFI[Winter Clothes Adult])</f>
        <v>0</v>
      </c>
      <c r="AJ880" s="436">
        <f>IF(NFI_Expiration=1,IF($A880&lt;VLOOKUP(S$5,NFI,5,0),1,0)*Table_NFI[[#This Row],[Winter Clothes Children]],Table_NFI[Winter Clothes Children])</f>
        <v>0</v>
      </c>
      <c r="AK880" s="436">
        <f>IF(NFI_Expiration=1,IF($A880&lt;VLOOKUP(T$5,NFI,5,0),1,0)*Table_NFI[[#This Row],[Winter Items Other]],Table_NFI[Winter Items Other])</f>
        <v>0</v>
      </c>
      <c r="AL880" s="436">
        <f>IF(NFI_Expiration=1,IF($A880&lt;VLOOKUP(M$5,NFI,5,0),1,0)*Table_NFI[[#This Row],[Winter Blanket]],Table_NFI[[#This Row],[Winter Blanket]])</f>
        <v>0</v>
      </c>
      <c r="AM880" s="436">
        <f>IF(Table_NFI[[#This Row],[Winter Clothes Adult]]+Table_NFI[[#This Row],[Winter Clothes Children]]+Table_NFI[[#This Row],[Winter Items Other]]+Table_NFI[[#This Row],[Winter Blanket]]&gt;0,1,0)</f>
        <v>0</v>
      </c>
      <c r="AN880" s="439">
        <f>IF(NFI_Expiration=1,IF($A880&lt;VLOOKUP(V$5,NFI,5,0),1,0)*Table_NFI[[#This Row],[Jerry Can]],Table_NFI[Jerry Can])</f>
        <v>0</v>
      </c>
      <c r="AO880" s="771" t="str">
        <f>IFERROR(VLOOKUP(Table_NFI[[#This Row],[Camp Name]],CL,2,0),"")</f>
        <v>MMR001CMP038</v>
      </c>
      <c r="AP880" s="772">
        <f ca="1">IF(Table_NFI[[#This Row],[Pcode]]="","",IF(OFFSET(CampList[Opening Date],MATCH(Table_NFI[[#This Row],[Pcode]],CampList[CP_Pcode],0)-1,0,1,1)&gt;=NFI_Monitor_Date,1,0))</f>
        <v>0</v>
      </c>
      <c r="AQ880" s="781" t="str">
        <f>IFERROR(VLOOKUP(Table_NFI[[#This Row],[Camp Name]],CL,3,0),"")</f>
        <v>Open</v>
      </c>
      <c r="AR880" s="439" t="str">
        <f ca="1">IF(Table_NFI[[#This Row],[Pcode]]="","",OFFSET(CampList[Priority],MATCH(Table_NFI[[#This Row],[Pcode]],CampList[CP_Pcode],0)-1,0,1,1))</f>
        <v>P4</v>
      </c>
      <c r="AS880" s="438">
        <f>IFERROR(Table_NFI[[#This Row],[Kitchen Set]]/VLOOKUP(Table_NFI[[#This Row],[Camp Name]],CL,4,0),"")</f>
        <v>0.15555555555555556</v>
      </c>
      <c r="AT880" s="769" t="s">
        <v>1099</v>
      </c>
      <c r="AU880" s="773"/>
    </row>
    <row r="881" spans="1:47" s="774" customFormat="1" ht="14.45" customHeight="1" x14ac:dyDescent="0.25">
      <c r="A881" s="451">
        <f t="shared" si="13"/>
        <v>48.56666666666667</v>
      </c>
      <c r="B881" s="768">
        <v>40913</v>
      </c>
      <c r="C881" s="769" t="s">
        <v>454</v>
      </c>
      <c r="D881" s="770" t="s">
        <v>462</v>
      </c>
      <c r="E881" s="769" t="s">
        <v>380</v>
      </c>
      <c r="F881" s="435" t="s">
        <v>310</v>
      </c>
      <c r="G881" s="435" t="s">
        <v>326</v>
      </c>
      <c r="H881" s="436"/>
      <c r="I881" s="436"/>
      <c r="J881" s="436"/>
      <c r="K881" s="436">
        <v>52</v>
      </c>
      <c r="L881" s="437">
        <v>29</v>
      </c>
      <c r="M881" s="437">
        <v>52</v>
      </c>
      <c r="N881" s="437">
        <v>29</v>
      </c>
      <c r="O881" s="437">
        <v>29</v>
      </c>
      <c r="P881" s="437">
        <v>29</v>
      </c>
      <c r="Q881" s="437">
        <v>29</v>
      </c>
      <c r="R881" s="436"/>
      <c r="S881" s="436"/>
      <c r="T881" s="436"/>
      <c r="U881" s="436"/>
      <c r="V881" s="436"/>
      <c r="W881" s="436"/>
      <c r="X881" s="436"/>
      <c r="Y881" s="436">
        <f>IF(NFI_Expiration=1,IF($A881&lt;VLOOKUP(H$5,NFI,5,0),1,0)*Table_NFI[[#This Row],[Hygiene Kit]],Table_NFI[Hygiene Kit])</f>
        <v>0</v>
      </c>
      <c r="Z881" s="436">
        <f>IF(NFI_Expiration=1,IF($A881&lt;VLOOKUP(I$5,NFI,5,0),1,0)*Table_NFI[[#This Row],[NFI Core Kit]],Table_NFI[NFI Core Kit])</f>
        <v>0</v>
      </c>
      <c r="AA881" s="436">
        <f>IF(NFI_Expiration=1,IF($A881&lt;VLOOKUP(J$5,NFI,5,0),1,0)*Table_NFI[[#This Row],[Sanitary Kit]],Table_NFI[Sanitary Kit])</f>
        <v>0</v>
      </c>
      <c r="AB881" s="436">
        <f>IF(NFI_Expiration=1,IF($A881&lt;VLOOKUP(K$5,NFI,5,0),1,0)*Table_NFI[[#This Row],[Mosquito net]],Table_NFI[Mosquito net])</f>
        <v>0</v>
      </c>
      <c r="AC881" s="436">
        <f>IF(NFI_Expiration=1,IF($A881&lt;VLOOKUP(L$5,NFI,5,0),1,0)*Table_NFI[[#This Row],[Tarpaulin]],Table_NFI[[#This Row],[Tarpaulin]])</f>
        <v>0</v>
      </c>
      <c r="AD881" s="436">
        <f>IF(NFI_Expiration=1,IF($A881&lt;VLOOKUP(M$5,NFI,5,0),1,0)*Table_NFI[[#This Row],[Blanket]],Table_NFI[[#This Row],[Blanket]])</f>
        <v>0</v>
      </c>
      <c r="AE881" s="436">
        <f>IF(NFI_Expiration=1,IF($A881&lt;VLOOKUP(N$5,NFI,5,0),1,0)*Table_NFI[[#This Row],[Kitchen Set]],Table_NFI[Kitchen Set])</f>
        <v>0</v>
      </c>
      <c r="AF881" s="436">
        <f>IF(NFI_Expiration=1,IF($A881&lt;VLOOKUP(O$5,NFI,5,0),1,0)*Table_NFI[[#This Row],[Clothes Kit]],Table_NFI[Clothes Kit])</f>
        <v>0</v>
      </c>
      <c r="AG881" s="436">
        <f>IF(NFI_Expiration=1,IF($A881&lt;VLOOKUP(P$5,NFI,5,0),1,0)*Table_NFI[[#This Row],[Plastic Bucket]],Table_NFI[Plastic Bucket])</f>
        <v>0</v>
      </c>
      <c r="AH881" s="436">
        <f>IF(NFI_Expiration=1,IF($A881&lt;VLOOKUP(Q$5,NFI,5,0),1,0)*Table_NFI[[#This Row],[Plastic Mat]],Table_NFI[Plastic Mat])*IF(Table_NFI[[#This Row],[Distribution Date]]&gt;"2014-04-01",1,2.5)</f>
        <v>0</v>
      </c>
      <c r="AI881" s="436">
        <f>IF(NFI_Expiration=1,IF($A881&lt;VLOOKUP(R$5,NFI,5,0),1,0)*Table_NFI[[#This Row],[Winter Clothes Adult]],Table_NFI[Winter Clothes Adult])</f>
        <v>0</v>
      </c>
      <c r="AJ881" s="436">
        <f>IF(NFI_Expiration=1,IF($A881&lt;VLOOKUP(S$5,NFI,5,0),1,0)*Table_NFI[[#This Row],[Winter Clothes Children]],Table_NFI[Winter Clothes Children])</f>
        <v>0</v>
      </c>
      <c r="AK881" s="436">
        <f>IF(NFI_Expiration=1,IF($A881&lt;VLOOKUP(T$5,NFI,5,0),1,0)*Table_NFI[[#This Row],[Winter Items Other]],Table_NFI[Winter Items Other])</f>
        <v>0</v>
      </c>
      <c r="AL881" s="436">
        <f>IF(NFI_Expiration=1,IF($A881&lt;VLOOKUP(M$5,NFI,5,0),1,0)*Table_NFI[[#This Row],[Winter Blanket]],Table_NFI[[#This Row],[Winter Blanket]])</f>
        <v>0</v>
      </c>
      <c r="AM881" s="436">
        <f>IF(Table_NFI[[#This Row],[Winter Clothes Adult]]+Table_NFI[[#This Row],[Winter Clothes Children]]+Table_NFI[[#This Row],[Winter Items Other]]+Table_NFI[[#This Row],[Winter Blanket]]&gt;0,1,0)</f>
        <v>0</v>
      </c>
      <c r="AN881" s="439">
        <f>IF(NFI_Expiration=1,IF($A881&lt;VLOOKUP(V$5,NFI,5,0),1,0)*Table_NFI[[#This Row],[Jerry Can]],Table_NFI[Jerry Can])</f>
        <v>0</v>
      </c>
      <c r="AO881" s="771" t="str">
        <f>IFERROR(VLOOKUP(Table_NFI[[#This Row],[Camp Name]],CL,2,0),"")</f>
        <v>MMR001CMP039</v>
      </c>
      <c r="AP881" s="772">
        <f ca="1">IF(Table_NFI[[#This Row],[Pcode]]="","",IF(OFFSET(CampList[Opening Date],MATCH(Table_NFI[[#This Row],[Pcode]],CampList[CP_Pcode],0)-1,0,1,1)&gt;=NFI_Monitor_Date,1,0))</f>
        <v>0</v>
      </c>
      <c r="AQ881" s="781" t="str">
        <f>IFERROR(VLOOKUP(Table_NFI[[#This Row],[Camp Name]],CL,3,0),"")</f>
        <v>Open</v>
      </c>
      <c r="AR881" s="439" t="str">
        <f ca="1">IF(Table_NFI[[#This Row],[Pcode]]="","",OFFSET(CampList[Priority],MATCH(Table_NFI[[#This Row],[Pcode]],CampList[CP_Pcode],0)-1,0,1,1))</f>
        <v>P4</v>
      </c>
      <c r="AS881" s="438">
        <f>IFERROR(Table_NFI[[#This Row],[Kitchen Set]]/VLOOKUP(Table_NFI[[#This Row],[Camp Name]],CL,4,0),"")</f>
        <v>0.60416666666666663</v>
      </c>
      <c r="AT881" s="769" t="s">
        <v>1099</v>
      </c>
      <c r="AU881" s="773"/>
    </row>
    <row r="882" spans="1:47" s="774" customFormat="1" ht="13.9" customHeight="1" x14ac:dyDescent="0.25">
      <c r="A882" s="451">
        <f t="shared" si="13"/>
        <v>48.633333333333333</v>
      </c>
      <c r="B882" s="768">
        <v>40911</v>
      </c>
      <c r="C882" s="769" t="s">
        <v>454</v>
      </c>
      <c r="D882" s="770" t="s">
        <v>508</v>
      </c>
      <c r="E882" s="769" t="s">
        <v>380</v>
      </c>
      <c r="F882" s="435" t="s">
        <v>237</v>
      </c>
      <c r="G882" s="435" t="s">
        <v>249</v>
      </c>
      <c r="H882" s="436"/>
      <c r="I882" s="436"/>
      <c r="J882" s="436"/>
      <c r="K882" s="436">
        <v>0</v>
      </c>
      <c r="L882" s="437">
        <v>0</v>
      </c>
      <c r="M882" s="437">
        <v>0</v>
      </c>
      <c r="N882" s="437">
        <v>0</v>
      </c>
      <c r="O882" s="437">
        <v>8</v>
      </c>
      <c r="P882" s="437">
        <v>8</v>
      </c>
      <c r="Q882" s="437">
        <v>8</v>
      </c>
      <c r="R882" s="436"/>
      <c r="S882" s="436"/>
      <c r="T882" s="436"/>
      <c r="U882" s="436"/>
      <c r="V882" s="436"/>
      <c r="W882" s="436"/>
      <c r="X882" s="436"/>
      <c r="Y882" s="436">
        <f>IF(NFI_Expiration=1,IF($A882&lt;VLOOKUP(H$5,NFI,5,0),1,0)*Table_NFI[[#This Row],[Hygiene Kit]],Table_NFI[Hygiene Kit])</f>
        <v>0</v>
      </c>
      <c r="Z882" s="436">
        <f>IF(NFI_Expiration=1,IF($A882&lt;VLOOKUP(I$5,NFI,5,0),1,0)*Table_NFI[[#This Row],[NFI Core Kit]],Table_NFI[NFI Core Kit])</f>
        <v>0</v>
      </c>
      <c r="AA882" s="436">
        <f>IF(NFI_Expiration=1,IF($A882&lt;VLOOKUP(J$5,NFI,5,0),1,0)*Table_NFI[[#This Row],[Sanitary Kit]],Table_NFI[Sanitary Kit])</f>
        <v>0</v>
      </c>
      <c r="AB882" s="436">
        <f>IF(NFI_Expiration=1,IF($A882&lt;VLOOKUP(K$5,NFI,5,0),1,0)*Table_NFI[[#This Row],[Mosquito net]],Table_NFI[Mosquito net])</f>
        <v>0</v>
      </c>
      <c r="AC882" s="436">
        <f>IF(NFI_Expiration=1,IF($A882&lt;VLOOKUP(L$5,NFI,5,0),1,0)*Table_NFI[[#This Row],[Tarpaulin]],Table_NFI[[#This Row],[Tarpaulin]])</f>
        <v>0</v>
      </c>
      <c r="AD882" s="436">
        <f>IF(NFI_Expiration=1,IF($A882&lt;VLOOKUP(M$5,NFI,5,0),1,0)*Table_NFI[[#This Row],[Blanket]],Table_NFI[[#This Row],[Blanket]])</f>
        <v>0</v>
      </c>
      <c r="AE882" s="436">
        <f>IF(NFI_Expiration=1,IF($A882&lt;VLOOKUP(N$5,NFI,5,0),1,0)*Table_NFI[[#This Row],[Kitchen Set]],Table_NFI[Kitchen Set])</f>
        <v>0</v>
      </c>
      <c r="AF882" s="436">
        <f>IF(NFI_Expiration=1,IF($A882&lt;VLOOKUP(O$5,NFI,5,0),1,0)*Table_NFI[[#This Row],[Clothes Kit]],Table_NFI[Clothes Kit])</f>
        <v>0</v>
      </c>
      <c r="AG882" s="436">
        <f>IF(NFI_Expiration=1,IF($A882&lt;VLOOKUP(P$5,NFI,5,0),1,0)*Table_NFI[[#This Row],[Plastic Bucket]],Table_NFI[Plastic Bucket])</f>
        <v>0</v>
      </c>
      <c r="AH882" s="436">
        <f>IF(NFI_Expiration=1,IF($A882&lt;VLOOKUP(Q$5,NFI,5,0),1,0)*Table_NFI[[#This Row],[Plastic Mat]],Table_NFI[Plastic Mat])*IF(Table_NFI[[#This Row],[Distribution Date]]&gt;"2014-04-01",1,2.5)</f>
        <v>0</v>
      </c>
      <c r="AI882" s="436">
        <f>IF(NFI_Expiration=1,IF($A882&lt;VLOOKUP(R$5,NFI,5,0),1,0)*Table_NFI[[#This Row],[Winter Clothes Adult]],Table_NFI[Winter Clothes Adult])</f>
        <v>0</v>
      </c>
      <c r="AJ882" s="436">
        <f>IF(NFI_Expiration=1,IF($A882&lt;VLOOKUP(S$5,NFI,5,0),1,0)*Table_NFI[[#This Row],[Winter Clothes Children]],Table_NFI[Winter Clothes Children])</f>
        <v>0</v>
      </c>
      <c r="AK882" s="436">
        <f>IF(NFI_Expiration=1,IF($A882&lt;VLOOKUP(T$5,NFI,5,0),1,0)*Table_NFI[[#This Row],[Winter Items Other]],Table_NFI[Winter Items Other])</f>
        <v>0</v>
      </c>
      <c r="AL882" s="436">
        <f>IF(NFI_Expiration=1,IF($A882&lt;VLOOKUP(M$5,NFI,5,0),1,0)*Table_NFI[[#This Row],[Winter Blanket]],Table_NFI[[#This Row],[Winter Blanket]])</f>
        <v>0</v>
      </c>
      <c r="AM882" s="436">
        <f>IF(Table_NFI[[#This Row],[Winter Clothes Adult]]+Table_NFI[[#This Row],[Winter Clothes Children]]+Table_NFI[[#This Row],[Winter Items Other]]+Table_NFI[[#This Row],[Winter Blanket]]&gt;0,1,0)</f>
        <v>0</v>
      </c>
      <c r="AN882" s="439">
        <f>IF(NFI_Expiration=1,IF($A882&lt;VLOOKUP(V$5,NFI,5,0),1,0)*Table_NFI[[#This Row],[Jerry Can]],Table_NFI[Jerry Can])</f>
        <v>0</v>
      </c>
      <c r="AO882" s="771" t="str">
        <f>IFERROR(VLOOKUP(Table_NFI[[#This Row],[Camp Name]],CL,2,0),"")</f>
        <v>MMR001CMP004</v>
      </c>
      <c r="AP882" s="772">
        <f ca="1">IF(Table_NFI[[#This Row],[Pcode]]="","",IF(OFFSET(CampList[Opening Date],MATCH(Table_NFI[[#This Row],[Pcode]],CampList[CP_Pcode],0)-1,0,1,1)&gt;=NFI_Monitor_Date,1,0))</f>
        <v>0</v>
      </c>
      <c r="AQ882" s="781" t="str">
        <f>IFERROR(VLOOKUP(Table_NFI[[#This Row],[Camp Name]],CL,3,0),"")</f>
        <v>Open</v>
      </c>
      <c r="AR882" s="439" t="str">
        <f ca="1">IF(Table_NFI[[#This Row],[Pcode]]="","",OFFSET(CampList[Priority],MATCH(Table_NFI[[#This Row],[Pcode]],CampList[CP_Pcode],0)-1,0,1,1))</f>
        <v>P4</v>
      </c>
      <c r="AS882" s="438">
        <f>IFERROR(Table_NFI[[#This Row],[Kitchen Set]]/VLOOKUP(Table_NFI[[#This Row],[Camp Name]],CL,4,0),"")</f>
        <v>0</v>
      </c>
      <c r="AT882" s="769" t="s">
        <v>1099</v>
      </c>
      <c r="AU882" s="773"/>
    </row>
    <row r="883" spans="1:47" s="774" customFormat="1" ht="14.45" customHeight="1" x14ac:dyDescent="0.25">
      <c r="A883" s="451">
        <f t="shared" si="13"/>
        <v>48.733333333333334</v>
      </c>
      <c r="B883" s="768">
        <v>40908</v>
      </c>
      <c r="C883" s="769" t="s">
        <v>454</v>
      </c>
      <c r="D883" s="770" t="s">
        <v>508</v>
      </c>
      <c r="E883" s="769" t="s">
        <v>380</v>
      </c>
      <c r="F883" s="435" t="s">
        <v>310</v>
      </c>
      <c r="G883" s="435" t="s">
        <v>330</v>
      </c>
      <c r="H883" s="436"/>
      <c r="I883" s="436"/>
      <c r="J883" s="436"/>
      <c r="K883" s="436">
        <v>46</v>
      </c>
      <c r="L883" s="437">
        <v>27</v>
      </c>
      <c r="M883" s="437">
        <v>47</v>
      </c>
      <c r="N883" s="437">
        <v>27</v>
      </c>
      <c r="O883" s="437">
        <v>27</v>
      </c>
      <c r="P883" s="437">
        <v>27</v>
      </c>
      <c r="Q883" s="437">
        <v>27</v>
      </c>
      <c r="R883" s="436"/>
      <c r="S883" s="436"/>
      <c r="T883" s="436"/>
      <c r="U883" s="436"/>
      <c r="V883" s="436"/>
      <c r="W883" s="436"/>
      <c r="X883" s="436"/>
      <c r="Y883" s="436">
        <f>IF(NFI_Expiration=1,IF($A883&lt;VLOOKUP(H$5,NFI,5,0),1,0)*Table_NFI[[#This Row],[Hygiene Kit]],Table_NFI[Hygiene Kit])</f>
        <v>0</v>
      </c>
      <c r="Z883" s="436">
        <f>IF(NFI_Expiration=1,IF($A883&lt;VLOOKUP(I$5,NFI,5,0),1,0)*Table_NFI[[#This Row],[NFI Core Kit]],Table_NFI[NFI Core Kit])</f>
        <v>0</v>
      </c>
      <c r="AA883" s="436">
        <f>IF(NFI_Expiration=1,IF($A883&lt;VLOOKUP(J$5,NFI,5,0),1,0)*Table_NFI[[#This Row],[Sanitary Kit]],Table_NFI[Sanitary Kit])</f>
        <v>0</v>
      </c>
      <c r="AB883" s="436">
        <f>IF(NFI_Expiration=1,IF($A883&lt;VLOOKUP(K$5,NFI,5,0),1,0)*Table_NFI[[#This Row],[Mosquito net]],Table_NFI[Mosquito net])</f>
        <v>0</v>
      </c>
      <c r="AC883" s="436">
        <f>IF(NFI_Expiration=1,IF($A883&lt;VLOOKUP(L$5,NFI,5,0),1,0)*Table_NFI[[#This Row],[Tarpaulin]],Table_NFI[[#This Row],[Tarpaulin]])</f>
        <v>0</v>
      </c>
      <c r="AD883" s="436">
        <f>IF(NFI_Expiration=1,IF($A883&lt;VLOOKUP(M$5,NFI,5,0),1,0)*Table_NFI[[#This Row],[Blanket]],Table_NFI[[#This Row],[Blanket]])</f>
        <v>0</v>
      </c>
      <c r="AE883" s="436">
        <f>IF(NFI_Expiration=1,IF($A883&lt;VLOOKUP(N$5,NFI,5,0),1,0)*Table_NFI[[#This Row],[Kitchen Set]],Table_NFI[Kitchen Set])</f>
        <v>0</v>
      </c>
      <c r="AF883" s="436">
        <f>IF(NFI_Expiration=1,IF($A883&lt;VLOOKUP(O$5,NFI,5,0),1,0)*Table_NFI[[#This Row],[Clothes Kit]],Table_NFI[Clothes Kit])</f>
        <v>0</v>
      </c>
      <c r="AG883" s="436">
        <f>IF(NFI_Expiration=1,IF($A883&lt;VLOOKUP(P$5,NFI,5,0),1,0)*Table_NFI[[#This Row],[Plastic Bucket]],Table_NFI[Plastic Bucket])</f>
        <v>0</v>
      </c>
      <c r="AH883" s="436">
        <f>IF(NFI_Expiration=1,IF($A883&lt;VLOOKUP(Q$5,NFI,5,0),1,0)*Table_NFI[[#This Row],[Plastic Mat]],Table_NFI[Plastic Mat])*IF(Table_NFI[[#This Row],[Distribution Date]]&gt;"2014-04-01",1,2.5)</f>
        <v>0</v>
      </c>
      <c r="AI883" s="436">
        <f>IF(NFI_Expiration=1,IF($A883&lt;VLOOKUP(R$5,NFI,5,0),1,0)*Table_NFI[[#This Row],[Winter Clothes Adult]],Table_NFI[Winter Clothes Adult])</f>
        <v>0</v>
      </c>
      <c r="AJ883" s="436">
        <f>IF(NFI_Expiration=1,IF($A883&lt;VLOOKUP(S$5,NFI,5,0),1,0)*Table_NFI[[#This Row],[Winter Clothes Children]],Table_NFI[Winter Clothes Children])</f>
        <v>0</v>
      </c>
      <c r="AK883" s="436">
        <f>IF(NFI_Expiration=1,IF($A883&lt;VLOOKUP(T$5,NFI,5,0),1,0)*Table_NFI[[#This Row],[Winter Items Other]],Table_NFI[Winter Items Other])</f>
        <v>0</v>
      </c>
      <c r="AL883" s="436">
        <f>IF(NFI_Expiration=1,IF($A883&lt;VLOOKUP(M$5,NFI,5,0),1,0)*Table_NFI[[#This Row],[Winter Blanket]],Table_NFI[[#This Row],[Winter Blanket]])</f>
        <v>0</v>
      </c>
      <c r="AM883" s="436">
        <f>IF(Table_NFI[[#This Row],[Winter Clothes Adult]]+Table_NFI[[#This Row],[Winter Clothes Children]]+Table_NFI[[#This Row],[Winter Items Other]]+Table_NFI[[#This Row],[Winter Blanket]]&gt;0,1,0)</f>
        <v>0</v>
      </c>
      <c r="AN883" s="439">
        <f>IF(NFI_Expiration=1,IF($A883&lt;VLOOKUP(V$5,NFI,5,0),1,0)*Table_NFI[[#This Row],[Jerry Can]],Table_NFI[Jerry Can])</f>
        <v>0</v>
      </c>
      <c r="AO883" s="771" t="str">
        <f>IFERROR(VLOOKUP(Table_NFI[[#This Row],[Camp Name]],CL,2,0),"")</f>
        <v>MMR001CMP029</v>
      </c>
      <c r="AP883" s="772">
        <f ca="1">IF(Table_NFI[[#This Row],[Pcode]]="","",IF(OFFSET(CampList[Opening Date],MATCH(Table_NFI[[#This Row],[Pcode]],CampList[CP_Pcode],0)-1,0,1,1)&gt;=NFI_Monitor_Date,1,0))</f>
        <v>0</v>
      </c>
      <c r="AQ883" s="781" t="str">
        <f>IFERROR(VLOOKUP(Table_NFI[[#This Row],[Camp Name]],CL,3,0),"")</f>
        <v>Open</v>
      </c>
      <c r="AR883" s="439" t="str">
        <f ca="1">IF(Table_NFI[[#This Row],[Pcode]]="","",OFFSET(CampList[Priority],MATCH(Table_NFI[[#This Row],[Pcode]],CampList[CP_Pcode],0)-1,0,1,1))</f>
        <v>P4</v>
      </c>
      <c r="AS883" s="438">
        <f>IFERROR(Table_NFI[[#This Row],[Kitchen Set]]/VLOOKUP(Table_NFI[[#This Row],[Camp Name]],CL,4,0),"")</f>
        <v>0.11894273127753303</v>
      </c>
      <c r="AT883" s="769" t="s">
        <v>1099</v>
      </c>
      <c r="AU883" s="773"/>
    </row>
    <row r="884" spans="1:47" s="774" customFormat="1" ht="15" customHeight="1" x14ac:dyDescent="0.25">
      <c r="A884" s="451">
        <f t="shared" si="13"/>
        <v>48.766666666666666</v>
      </c>
      <c r="B884" s="768">
        <v>40907</v>
      </c>
      <c r="C884" s="769" t="s">
        <v>454</v>
      </c>
      <c r="D884" s="770" t="s">
        <v>462</v>
      </c>
      <c r="E884" s="769" t="s">
        <v>380</v>
      </c>
      <c r="F884" s="435" t="s">
        <v>237</v>
      </c>
      <c r="G884" s="435" t="s">
        <v>253</v>
      </c>
      <c r="H884" s="436"/>
      <c r="I884" s="436"/>
      <c r="J884" s="436"/>
      <c r="K884" s="436">
        <v>56</v>
      </c>
      <c r="L884" s="437">
        <v>29</v>
      </c>
      <c r="M884" s="437">
        <v>56</v>
      </c>
      <c r="N884" s="437">
        <v>29</v>
      </c>
      <c r="O884" s="437">
        <v>29</v>
      </c>
      <c r="P884" s="437">
        <v>29</v>
      </c>
      <c r="Q884" s="437">
        <v>29</v>
      </c>
      <c r="R884" s="436"/>
      <c r="S884" s="436"/>
      <c r="T884" s="436"/>
      <c r="U884" s="436"/>
      <c r="V884" s="436"/>
      <c r="W884" s="436"/>
      <c r="X884" s="436"/>
      <c r="Y884" s="436">
        <f>IF(NFI_Expiration=1,IF($A884&lt;VLOOKUP(H$5,NFI,5,0),1,0)*Table_NFI[[#This Row],[Hygiene Kit]],Table_NFI[Hygiene Kit])</f>
        <v>0</v>
      </c>
      <c r="Z884" s="436">
        <f>IF(NFI_Expiration=1,IF($A884&lt;VLOOKUP(I$5,NFI,5,0),1,0)*Table_NFI[[#This Row],[NFI Core Kit]],Table_NFI[NFI Core Kit])</f>
        <v>0</v>
      </c>
      <c r="AA884" s="436">
        <f>IF(NFI_Expiration=1,IF($A884&lt;VLOOKUP(J$5,NFI,5,0),1,0)*Table_NFI[[#This Row],[Sanitary Kit]],Table_NFI[Sanitary Kit])</f>
        <v>0</v>
      </c>
      <c r="AB884" s="436">
        <f>IF(NFI_Expiration=1,IF($A884&lt;VLOOKUP(K$5,NFI,5,0),1,0)*Table_NFI[[#This Row],[Mosquito net]],Table_NFI[Mosquito net])</f>
        <v>0</v>
      </c>
      <c r="AC884" s="436">
        <f>IF(NFI_Expiration=1,IF($A884&lt;VLOOKUP(L$5,NFI,5,0),1,0)*Table_NFI[[#This Row],[Tarpaulin]],Table_NFI[[#This Row],[Tarpaulin]])</f>
        <v>0</v>
      </c>
      <c r="AD884" s="436">
        <f>IF(NFI_Expiration=1,IF($A884&lt;VLOOKUP(M$5,NFI,5,0),1,0)*Table_NFI[[#This Row],[Blanket]],Table_NFI[[#This Row],[Blanket]])</f>
        <v>0</v>
      </c>
      <c r="AE884" s="436">
        <f>IF(NFI_Expiration=1,IF($A884&lt;VLOOKUP(N$5,NFI,5,0),1,0)*Table_NFI[[#This Row],[Kitchen Set]],Table_NFI[Kitchen Set])</f>
        <v>0</v>
      </c>
      <c r="AF884" s="436">
        <f>IF(NFI_Expiration=1,IF($A884&lt;VLOOKUP(O$5,NFI,5,0),1,0)*Table_NFI[[#This Row],[Clothes Kit]],Table_NFI[Clothes Kit])</f>
        <v>0</v>
      </c>
      <c r="AG884" s="436">
        <f>IF(NFI_Expiration=1,IF($A884&lt;VLOOKUP(P$5,NFI,5,0),1,0)*Table_NFI[[#This Row],[Plastic Bucket]],Table_NFI[Plastic Bucket])</f>
        <v>0</v>
      </c>
      <c r="AH884" s="436">
        <f>IF(NFI_Expiration=1,IF($A884&lt;VLOOKUP(Q$5,NFI,5,0),1,0)*Table_NFI[[#This Row],[Plastic Mat]],Table_NFI[Plastic Mat])*IF(Table_NFI[[#This Row],[Distribution Date]]&gt;"2014-04-01",1,2.5)</f>
        <v>0</v>
      </c>
      <c r="AI884" s="436">
        <f>IF(NFI_Expiration=1,IF($A884&lt;VLOOKUP(R$5,NFI,5,0),1,0)*Table_NFI[[#This Row],[Winter Clothes Adult]],Table_NFI[Winter Clothes Adult])</f>
        <v>0</v>
      </c>
      <c r="AJ884" s="436">
        <f>IF(NFI_Expiration=1,IF($A884&lt;VLOOKUP(S$5,NFI,5,0),1,0)*Table_NFI[[#This Row],[Winter Clothes Children]],Table_NFI[Winter Clothes Children])</f>
        <v>0</v>
      </c>
      <c r="AK884" s="436">
        <f>IF(NFI_Expiration=1,IF($A884&lt;VLOOKUP(T$5,NFI,5,0),1,0)*Table_NFI[[#This Row],[Winter Items Other]],Table_NFI[Winter Items Other])</f>
        <v>0</v>
      </c>
      <c r="AL884" s="436">
        <f>IF(NFI_Expiration=1,IF($A884&lt;VLOOKUP(M$5,NFI,5,0),1,0)*Table_NFI[[#This Row],[Winter Blanket]],Table_NFI[[#This Row],[Winter Blanket]])</f>
        <v>0</v>
      </c>
      <c r="AM884" s="436">
        <f>IF(Table_NFI[[#This Row],[Winter Clothes Adult]]+Table_NFI[[#This Row],[Winter Clothes Children]]+Table_NFI[[#This Row],[Winter Items Other]]+Table_NFI[[#This Row],[Winter Blanket]]&gt;0,1,0)</f>
        <v>0</v>
      </c>
      <c r="AN884" s="439">
        <f>IF(NFI_Expiration=1,IF($A884&lt;VLOOKUP(V$5,NFI,5,0),1,0)*Table_NFI[[#This Row],[Jerry Can]],Table_NFI[Jerry Can])</f>
        <v>0</v>
      </c>
      <c r="AO884" s="771" t="str">
        <f>IFERROR(VLOOKUP(Table_NFI[[#This Row],[Camp Name]],CL,2,0),"")</f>
        <v>MMR001CMP018</v>
      </c>
      <c r="AP884" s="772">
        <f ca="1">IF(Table_NFI[[#This Row],[Pcode]]="","",IF(OFFSET(CampList[Opening Date],MATCH(Table_NFI[[#This Row],[Pcode]],CampList[CP_Pcode],0)-1,0,1,1)&gt;=NFI_Monitor_Date,1,0))</f>
        <v>0</v>
      </c>
      <c r="AQ884" s="781" t="str">
        <f>IFERROR(VLOOKUP(Table_NFI[[#This Row],[Camp Name]],CL,3,0),"")</f>
        <v>Open</v>
      </c>
      <c r="AR884" s="439" t="str">
        <f ca="1">IF(Table_NFI[[#This Row],[Pcode]]="","",OFFSET(CampList[Priority],MATCH(Table_NFI[[#This Row],[Pcode]],CampList[CP_Pcode],0)-1,0,1,1))</f>
        <v>P4</v>
      </c>
      <c r="AS884" s="438">
        <f>IFERROR(Table_NFI[[#This Row],[Kitchen Set]]/VLOOKUP(Table_NFI[[#This Row],[Camp Name]],CL,4,0),"")</f>
        <v>0.14285714285714285</v>
      </c>
      <c r="AT884" s="769" t="s">
        <v>1099</v>
      </c>
      <c r="AU884" s="773"/>
    </row>
    <row r="885" spans="1:47" s="774" customFormat="1" x14ac:dyDescent="0.25">
      <c r="A885" s="451">
        <f t="shared" si="13"/>
        <v>48.833333333333336</v>
      </c>
      <c r="B885" s="768">
        <v>40905</v>
      </c>
      <c r="C885" s="769" t="s">
        <v>454</v>
      </c>
      <c r="D885" s="769" t="s">
        <v>910</v>
      </c>
      <c r="E885" s="769" t="s">
        <v>380</v>
      </c>
      <c r="F885" s="769" t="s">
        <v>310</v>
      </c>
      <c r="G885" s="435" t="s">
        <v>313</v>
      </c>
      <c r="H885" s="436"/>
      <c r="I885" s="436"/>
      <c r="J885" s="436"/>
      <c r="K885" s="436">
        <v>31</v>
      </c>
      <c r="L885" s="437">
        <v>19</v>
      </c>
      <c r="M885" s="437">
        <v>31</v>
      </c>
      <c r="N885" s="437">
        <v>19</v>
      </c>
      <c r="O885" s="437">
        <v>19</v>
      </c>
      <c r="P885" s="437">
        <v>19</v>
      </c>
      <c r="Q885" s="437">
        <v>19</v>
      </c>
      <c r="R885" s="436"/>
      <c r="S885" s="436"/>
      <c r="T885" s="436"/>
      <c r="U885" s="436"/>
      <c r="V885" s="436"/>
      <c r="W885" s="436"/>
      <c r="X885" s="436"/>
      <c r="Y885" s="436">
        <f>IF(NFI_Expiration=1,IF($A885&lt;VLOOKUP(H$5,NFI,5,0),1,0)*Table_NFI[[#This Row],[Hygiene Kit]],Table_NFI[Hygiene Kit])</f>
        <v>0</v>
      </c>
      <c r="Z885" s="436">
        <f>IF(NFI_Expiration=1,IF($A885&lt;VLOOKUP(I$5,NFI,5,0),1,0)*Table_NFI[[#This Row],[NFI Core Kit]],Table_NFI[NFI Core Kit])</f>
        <v>0</v>
      </c>
      <c r="AA885" s="436">
        <f>IF(NFI_Expiration=1,IF($A885&lt;VLOOKUP(J$5,NFI,5,0),1,0)*Table_NFI[[#This Row],[Sanitary Kit]],Table_NFI[Sanitary Kit])</f>
        <v>0</v>
      </c>
      <c r="AB885" s="436">
        <f>IF(NFI_Expiration=1,IF($A885&lt;VLOOKUP(K$5,NFI,5,0),1,0)*Table_NFI[[#This Row],[Mosquito net]],Table_NFI[Mosquito net])</f>
        <v>0</v>
      </c>
      <c r="AC885" s="436">
        <f>IF(NFI_Expiration=1,IF($A885&lt;VLOOKUP(L$5,NFI,5,0),1,0)*Table_NFI[[#This Row],[Tarpaulin]],Table_NFI[[#This Row],[Tarpaulin]])</f>
        <v>0</v>
      </c>
      <c r="AD885" s="436">
        <f>IF(NFI_Expiration=1,IF($A885&lt;VLOOKUP(M$5,NFI,5,0),1,0)*Table_NFI[[#This Row],[Blanket]],Table_NFI[[#This Row],[Blanket]])</f>
        <v>0</v>
      </c>
      <c r="AE885" s="436">
        <f>IF(NFI_Expiration=1,IF($A885&lt;VLOOKUP(N$5,NFI,5,0),1,0)*Table_NFI[[#This Row],[Kitchen Set]],Table_NFI[Kitchen Set])</f>
        <v>0</v>
      </c>
      <c r="AF885" s="436">
        <f>IF(NFI_Expiration=1,IF($A885&lt;VLOOKUP(O$5,NFI,5,0),1,0)*Table_NFI[[#This Row],[Clothes Kit]],Table_NFI[Clothes Kit])</f>
        <v>0</v>
      </c>
      <c r="AG885" s="436">
        <f>IF(NFI_Expiration=1,IF($A885&lt;VLOOKUP(P$5,NFI,5,0),1,0)*Table_NFI[[#This Row],[Plastic Bucket]],Table_NFI[Plastic Bucket])</f>
        <v>0</v>
      </c>
      <c r="AH885" s="436">
        <f>IF(NFI_Expiration=1,IF($A885&lt;VLOOKUP(Q$5,NFI,5,0),1,0)*Table_NFI[[#This Row],[Plastic Mat]],Table_NFI[Plastic Mat])*IF(Table_NFI[[#This Row],[Distribution Date]]&gt;"2014-04-01",1,2.5)</f>
        <v>0</v>
      </c>
      <c r="AI885" s="436">
        <f>IF(NFI_Expiration=1,IF($A885&lt;VLOOKUP(R$5,NFI,5,0),1,0)*Table_NFI[[#This Row],[Winter Clothes Adult]],Table_NFI[Winter Clothes Adult])</f>
        <v>0</v>
      </c>
      <c r="AJ885" s="436">
        <f>IF(NFI_Expiration=1,IF($A885&lt;VLOOKUP(S$5,NFI,5,0),1,0)*Table_NFI[[#This Row],[Winter Clothes Children]],Table_NFI[Winter Clothes Children])</f>
        <v>0</v>
      </c>
      <c r="AK885" s="436">
        <f>IF(NFI_Expiration=1,IF($A885&lt;VLOOKUP(T$5,NFI,5,0),1,0)*Table_NFI[[#This Row],[Winter Items Other]],Table_NFI[Winter Items Other])</f>
        <v>0</v>
      </c>
      <c r="AL885" s="436">
        <f>IF(NFI_Expiration=1,IF($A885&lt;VLOOKUP(M$5,NFI,5,0),1,0)*Table_NFI[[#This Row],[Winter Blanket]],Table_NFI[[#This Row],[Winter Blanket]])</f>
        <v>0</v>
      </c>
      <c r="AM885" s="436">
        <f>IF(Table_NFI[[#This Row],[Winter Clothes Adult]]+Table_NFI[[#This Row],[Winter Clothes Children]]+Table_NFI[[#This Row],[Winter Items Other]]+Table_NFI[[#This Row],[Winter Blanket]]&gt;0,1,0)</f>
        <v>0</v>
      </c>
      <c r="AN885" s="439">
        <f>IF(NFI_Expiration=1,IF($A885&lt;VLOOKUP(V$5,NFI,5,0),1,0)*Table_NFI[[#This Row],[Jerry Can]],Table_NFI[Jerry Can])</f>
        <v>0</v>
      </c>
      <c r="AO885" s="771" t="str">
        <f>IFERROR(VLOOKUP(Table_NFI[[#This Row],[Camp Name]],CL,2,0),"")</f>
        <v>MMR001CMP028</v>
      </c>
      <c r="AP885" s="772">
        <f ca="1">IF(Table_NFI[[#This Row],[Pcode]]="","",IF(OFFSET(CampList[Opening Date],MATCH(Table_NFI[[#This Row],[Pcode]],CampList[CP_Pcode],0)-1,0,1,1)&gt;=NFI_Monitor_Date,1,0))</f>
        <v>0</v>
      </c>
      <c r="AQ885" s="781" t="str">
        <f>IFERROR(VLOOKUP(Table_NFI[[#This Row],[Camp Name]],CL,3,0),"")</f>
        <v>Open</v>
      </c>
      <c r="AR885" s="439" t="str">
        <f ca="1">IF(Table_NFI[[#This Row],[Pcode]]="","",OFFSET(CampList[Priority],MATCH(Table_NFI[[#This Row],[Pcode]],CampList[CP_Pcode],0)-1,0,1,1))</f>
        <v>P4</v>
      </c>
      <c r="AS885" s="438">
        <f>IFERROR(Table_NFI[[#This Row],[Kitchen Set]]/VLOOKUP(Table_NFI[[#This Row],[Camp Name]],CL,4,0),"")</f>
        <v>0.17117117117117117</v>
      </c>
      <c r="AT885" s="769" t="s">
        <v>1099</v>
      </c>
      <c r="AU885" s="773"/>
    </row>
    <row r="886" spans="1:47" s="774" customFormat="1" ht="14.45" customHeight="1" x14ac:dyDescent="0.25">
      <c r="A886" s="451">
        <f t="shared" si="13"/>
        <v>48.9</v>
      </c>
      <c r="B886" s="768">
        <v>40903</v>
      </c>
      <c r="C886" s="769" t="s">
        <v>454</v>
      </c>
      <c r="D886" s="769" t="s">
        <v>462</v>
      </c>
      <c r="E886" s="769" t="s">
        <v>380</v>
      </c>
      <c r="F886" s="435" t="s">
        <v>310</v>
      </c>
      <c r="G886" s="435" t="s">
        <v>342</v>
      </c>
      <c r="H886" s="436"/>
      <c r="I886" s="436"/>
      <c r="J886" s="436"/>
      <c r="K886" s="436">
        <v>54</v>
      </c>
      <c r="L886" s="437">
        <v>33</v>
      </c>
      <c r="M886" s="437">
        <v>54</v>
      </c>
      <c r="N886" s="437">
        <v>33</v>
      </c>
      <c r="O886" s="437">
        <v>33</v>
      </c>
      <c r="P886" s="439">
        <v>33</v>
      </c>
      <c r="Q886" s="439">
        <v>33</v>
      </c>
      <c r="R886" s="436"/>
      <c r="S886" s="436"/>
      <c r="T886" s="436"/>
      <c r="U886" s="436"/>
      <c r="V886" s="436"/>
      <c r="W886" s="436"/>
      <c r="X886" s="436"/>
      <c r="Y886" s="436">
        <f>IF(NFI_Expiration=1,IF($A886&lt;VLOOKUP(H$5,NFI,5,0),1,0)*Table_NFI[[#This Row],[Hygiene Kit]],Table_NFI[Hygiene Kit])</f>
        <v>0</v>
      </c>
      <c r="Z886" s="436">
        <f>IF(NFI_Expiration=1,IF($A886&lt;VLOOKUP(I$5,NFI,5,0),1,0)*Table_NFI[[#This Row],[NFI Core Kit]],Table_NFI[NFI Core Kit])</f>
        <v>0</v>
      </c>
      <c r="AA886" s="436">
        <f>IF(NFI_Expiration=1,IF($A886&lt;VLOOKUP(J$5,NFI,5,0),1,0)*Table_NFI[[#This Row],[Sanitary Kit]],Table_NFI[Sanitary Kit])</f>
        <v>0</v>
      </c>
      <c r="AB886" s="436">
        <f>IF(NFI_Expiration=1,IF($A886&lt;VLOOKUP(K$5,NFI,5,0),1,0)*Table_NFI[[#This Row],[Mosquito net]],Table_NFI[Mosquito net])</f>
        <v>0</v>
      </c>
      <c r="AC886" s="436">
        <f>IF(NFI_Expiration=1,IF($A886&lt;VLOOKUP(L$5,NFI,5,0),1,0)*Table_NFI[[#This Row],[Tarpaulin]],Table_NFI[[#This Row],[Tarpaulin]])</f>
        <v>0</v>
      </c>
      <c r="AD886" s="436">
        <f>IF(NFI_Expiration=1,IF($A886&lt;VLOOKUP(M$5,NFI,5,0),1,0)*Table_NFI[[#This Row],[Blanket]],Table_NFI[[#This Row],[Blanket]])</f>
        <v>0</v>
      </c>
      <c r="AE886" s="436">
        <f>IF(NFI_Expiration=1,IF($A886&lt;VLOOKUP(N$5,NFI,5,0),1,0)*Table_NFI[[#This Row],[Kitchen Set]],Table_NFI[Kitchen Set])</f>
        <v>0</v>
      </c>
      <c r="AF886" s="436">
        <f>IF(NFI_Expiration=1,IF($A886&lt;VLOOKUP(O$5,NFI,5,0),1,0)*Table_NFI[[#This Row],[Clothes Kit]],Table_NFI[Clothes Kit])</f>
        <v>0</v>
      </c>
      <c r="AG886" s="436">
        <f>IF(NFI_Expiration=1,IF($A886&lt;VLOOKUP(P$5,NFI,5,0),1,0)*Table_NFI[[#This Row],[Plastic Bucket]],Table_NFI[Plastic Bucket])</f>
        <v>0</v>
      </c>
      <c r="AH886" s="436">
        <f>IF(NFI_Expiration=1,IF($A886&lt;VLOOKUP(Q$5,NFI,5,0),1,0)*Table_NFI[[#This Row],[Plastic Mat]],Table_NFI[Plastic Mat])*IF(Table_NFI[[#This Row],[Distribution Date]]&gt;"2014-04-01",1,2.5)</f>
        <v>0</v>
      </c>
      <c r="AI886" s="436">
        <f>IF(NFI_Expiration=1,IF($A886&lt;VLOOKUP(R$5,NFI,5,0),1,0)*Table_NFI[[#This Row],[Winter Clothes Adult]],Table_NFI[Winter Clothes Adult])</f>
        <v>0</v>
      </c>
      <c r="AJ886" s="436">
        <f>IF(NFI_Expiration=1,IF($A886&lt;VLOOKUP(S$5,NFI,5,0),1,0)*Table_NFI[[#This Row],[Winter Clothes Children]],Table_NFI[Winter Clothes Children])</f>
        <v>0</v>
      </c>
      <c r="AK886" s="436">
        <f>IF(NFI_Expiration=1,IF($A886&lt;VLOOKUP(T$5,NFI,5,0),1,0)*Table_NFI[[#This Row],[Winter Items Other]],Table_NFI[Winter Items Other])</f>
        <v>0</v>
      </c>
      <c r="AL886" s="436">
        <f>IF(NFI_Expiration=1,IF($A886&lt;VLOOKUP(M$5,NFI,5,0),1,0)*Table_NFI[[#This Row],[Winter Blanket]],Table_NFI[[#This Row],[Winter Blanket]])</f>
        <v>0</v>
      </c>
      <c r="AM886" s="436">
        <f>IF(Table_NFI[[#This Row],[Winter Clothes Adult]]+Table_NFI[[#This Row],[Winter Clothes Children]]+Table_NFI[[#This Row],[Winter Items Other]]+Table_NFI[[#This Row],[Winter Blanket]]&gt;0,1,0)</f>
        <v>0</v>
      </c>
      <c r="AN886" s="439">
        <f>IF(NFI_Expiration=1,IF($A886&lt;VLOOKUP(V$5,NFI,5,0),1,0)*Table_NFI[[#This Row],[Jerry Can]],Table_NFI[Jerry Can])</f>
        <v>0</v>
      </c>
      <c r="AO886" s="771" t="str">
        <f>IFERROR(VLOOKUP(Table_NFI[[#This Row],[Camp Name]],CL,2,0),"")</f>
        <v>MMR001CMP025</v>
      </c>
      <c r="AP886" s="772">
        <f ca="1">IF(Table_NFI[[#This Row],[Pcode]]="","",IF(OFFSET(CampList[Opening Date],MATCH(Table_NFI[[#This Row],[Pcode]],CampList[CP_Pcode],0)-1,0,1,1)&gt;=NFI_Monitor_Date,1,0))</f>
        <v>0</v>
      </c>
      <c r="AQ886" s="781" t="str">
        <f>IFERROR(VLOOKUP(Table_NFI[[#This Row],[Camp Name]],CL,3,0),"")</f>
        <v>Open</v>
      </c>
      <c r="AR886" s="439" t="str">
        <f ca="1">IF(Table_NFI[[#This Row],[Pcode]]="","",OFFSET(CampList[Priority],MATCH(Table_NFI[[#This Row],[Pcode]],CampList[CP_Pcode],0)-1,0,1,1))</f>
        <v>P4</v>
      </c>
      <c r="AS886" s="438">
        <f>IFERROR(Table_NFI[[#This Row],[Kitchen Set]]/VLOOKUP(Table_NFI[[#This Row],[Camp Name]],CL,4,0),"")</f>
        <v>0.50769230769230766</v>
      </c>
      <c r="AT886" s="769" t="s">
        <v>1099</v>
      </c>
      <c r="AU886" s="773"/>
    </row>
    <row r="887" spans="1:47" s="774" customFormat="1" ht="15" customHeight="1" x14ac:dyDescent="0.25">
      <c r="A887" s="451">
        <f t="shared" si="13"/>
        <v>49.033333333333331</v>
      </c>
      <c r="B887" s="768">
        <v>40899</v>
      </c>
      <c r="C887" s="769" t="s">
        <v>454</v>
      </c>
      <c r="D887" s="769" t="s">
        <v>454</v>
      </c>
      <c r="E887" s="769" t="s">
        <v>380</v>
      </c>
      <c r="F887" s="435" t="s">
        <v>310</v>
      </c>
      <c r="G887" s="435" t="s">
        <v>318</v>
      </c>
      <c r="H887" s="436"/>
      <c r="I887" s="436"/>
      <c r="J887" s="436"/>
      <c r="K887" s="436">
        <v>0</v>
      </c>
      <c r="L887" s="437">
        <v>0</v>
      </c>
      <c r="M887" s="437">
        <v>0</v>
      </c>
      <c r="N887" s="437">
        <v>0</v>
      </c>
      <c r="O887" s="437">
        <v>4</v>
      </c>
      <c r="P887" s="439">
        <v>4</v>
      </c>
      <c r="Q887" s="439">
        <v>4</v>
      </c>
      <c r="R887" s="436"/>
      <c r="S887" s="436"/>
      <c r="T887" s="436"/>
      <c r="U887" s="436"/>
      <c r="V887" s="436"/>
      <c r="W887" s="436"/>
      <c r="X887" s="436"/>
      <c r="Y887" s="436">
        <f>IF(NFI_Expiration=1,IF($A887&lt;VLOOKUP(H$5,NFI,5,0),1,0)*Table_NFI[[#This Row],[Hygiene Kit]],Table_NFI[Hygiene Kit])</f>
        <v>0</v>
      </c>
      <c r="Z887" s="436">
        <f>IF(NFI_Expiration=1,IF($A887&lt;VLOOKUP(I$5,NFI,5,0),1,0)*Table_NFI[[#This Row],[NFI Core Kit]],Table_NFI[NFI Core Kit])</f>
        <v>0</v>
      </c>
      <c r="AA887" s="436">
        <f>IF(NFI_Expiration=1,IF($A887&lt;VLOOKUP(J$5,NFI,5,0),1,0)*Table_NFI[[#This Row],[Sanitary Kit]],Table_NFI[Sanitary Kit])</f>
        <v>0</v>
      </c>
      <c r="AB887" s="436">
        <f>IF(NFI_Expiration=1,IF($A887&lt;VLOOKUP(K$5,NFI,5,0),1,0)*Table_NFI[[#This Row],[Mosquito net]],Table_NFI[Mosquito net])</f>
        <v>0</v>
      </c>
      <c r="AC887" s="436">
        <f>IF(NFI_Expiration=1,IF($A887&lt;VLOOKUP(L$5,NFI,5,0),1,0)*Table_NFI[[#This Row],[Tarpaulin]],Table_NFI[[#This Row],[Tarpaulin]])</f>
        <v>0</v>
      </c>
      <c r="AD887" s="436">
        <f>IF(NFI_Expiration=1,IF($A887&lt;VLOOKUP(M$5,NFI,5,0),1,0)*Table_NFI[[#This Row],[Blanket]],Table_NFI[[#This Row],[Blanket]])</f>
        <v>0</v>
      </c>
      <c r="AE887" s="436">
        <f>IF(NFI_Expiration=1,IF($A887&lt;VLOOKUP(N$5,NFI,5,0),1,0)*Table_NFI[[#This Row],[Kitchen Set]],Table_NFI[Kitchen Set])</f>
        <v>0</v>
      </c>
      <c r="AF887" s="436">
        <f>IF(NFI_Expiration=1,IF($A887&lt;VLOOKUP(O$5,NFI,5,0),1,0)*Table_NFI[[#This Row],[Clothes Kit]],Table_NFI[Clothes Kit])</f>
        <v>0</v>
      </c>
      <c r="AG887" s="436">
        <f>IF(NFI_Expiration=1,IF($A887&lt;VLOOKUP(P$5,NFI,5,0),1,0)*Table_NFI[[#This Row],[Plastic Bucket]],Table_NFI[Plastic Bucket])</f>
        <v>0</v>
      </c>
      <c r="AH887" s="436">
        <f>IF(NFI_Expiration=1,IF($A887&lt;VLOOKUP(Q$5,NFI,5,0),1,0)*Table_NFI[[#This Row],[Plastic Mat]],Table_NFI[Plastic Mat])*IF(Table_NFI[[#This Row],[Distribution Date]]&gt;"2014-04-01",1,2.5)</f>
        <v>0</v>
      </c>
      <c r="AI887" s="436">
        <f>IF(NFI_Expiration=1,IF($A887&lt;VLOOKUP(R$5,NFI,5,0),1,0)*Table_NFI[[#This Row],[Winter Clothes Adult]],Table_NFI[Winter Clothes Adult])</f>
        <v>0</v>
      </c>
      <c r="AJ887" s="436">
        <f>IF(NFI_Expiration=1,IF($A887&lt;VLOOKUP(S$5,NFI,5,0),1,0)*Table_NFI[[#This Row],[Winter Clothes Children]],Table_NFI[Winter Clothes Children])</f>
        <v>0</v>
      </c>
      <c r="AK887" s="436">
        <f>IF(NFI_Expiration=1,IF($A887&lt;VLOOKUP(T$5,NFI,5,0),1,0)*Table_NFI[[#This Row],[Winter Items Other]],Table_NFI[Winter Items Other])</f>
        <v>0</v>
      </c>
      <c r="AL887" s="436">
        <f>IF(NFI_Expiration=1,IF($A887&lt;VLOOKUP(M$5,NFI,5,0),1,0)*Table_NFI[[#This Row],[Winter Blanket]],Table_NFI[[#This Row],[Winter Blanket]])</f>
        <v>0</v>
      </c>
      <c r="AM887" s="436">
        <f>IF(Table_NFI[[#This Row],[Winter Clothes Adult]]+Table_NFI[[#This Row],[Winter Clothes Children]]+Table_NFI[[#This Row],[Winter Items Other]]+Table_NFI[[#This Row],[Winter Blanket]]&gt;0,1,0)</f>
        <v>0</v>
      </c>
      <c r="AN887" s="439">
        <f>IF(NFI_Expiration=1,IF($A887&lt;VLOOKUP(V$5,NFI,5,0),1,0)*Table_NFI[[#This Row],[Jerry Can]],Table_NFI[Jerry Can])</f>
        <v>0</v>
      </c>
      <c r="AO887" s="771" t="str">
        <f>IFERROR(VLOOKUP(Table_NFI[[#This Row],[Camp Name]],CL,2,0),"")</f>
        <v>MMR001CMP032</v>
      </c>
      <c r="AP887" s="772">
        <f ca="1">IF(Table_NFI[[#This Row],[Pcode]]="","",IF(OFFSET(CampList[Opening Date],MATCH(Table_NFI[[#This Row],[Pcode]],CampList[CP_Pcode],0)-1,0,1,1)&gt;=NFI_Monitor_Date,1,0))</f>
        <v>0</v>
      </c>
      <c r="AQ887" s="781" t="str">
        <f>IFERROR(VLOOKUP(Table_NFI[[#This Row],[Camp Name]],CL,3,0),"")</f>
        <v>Open</v>
      </c>
      <c r="AR887" s="439" t="str">
        <f ca="1">IF(Table_NFI[[#This Row],[Pcode]]="","",OFFSET(CampList[Priority],MATCH(Table_NFI[[#This Row],[Pcode]],CampList[CP_Pcode],0)-1,0,1,1))</f>
        <v>P4</v>
      </c>
      <c r="AS887" s="438">
        <f>IFERROR(Table_NFI[[#This Row],[Kitchen Set]]/VLOOKUP(Table_NFI[[#This Row],[Camp Name]],CL,4,0),"")</f>
        <v>0</v>
      </c>
      <c r="AT887" s="769" t="s">
        <v>1099</v>
      </c>
      <c r="AU887" s="773"/>
    </row>
    <row r="888" spans="1:47" s="774" customFormat="1" ht="14.45" customHeight="1" x14ac:dyDescent="0.25">
      <c r="A888" s="451">
        <f t="shared" si="13"/>
        <v>49.333333333333336</v>
      </c>
      <c r="B888" s="794">
        <v>40890</v>
      </c>
      <c r="C888" s="795" t="s">
        <v>454</v>
      </c>
      <c r="D888" s="828" t="s">
        <v>574</v>
      </c>
      <c r="E888" s="795" t="s">
        <v>380</v>
      </c>
      <c r="F888" s="696" t="s">
        <v>185</v>
      </c>
      <c r="G888" s="696" t="s">
        <v>194</v>
      </c>
      <c r="H888" s="695"/>
      <c r="I888" s="695"/>
      <c r="J888" s="695"/>
      <c r="K888" s="695">
        <v>250</v>
      </c>
      <c r="L888" s="487">
        <v>125</v>
      </c>
      <c r="M888" s="487">
        <v>250</v>
      </c>
      <c r="N888" s="487">
        <v>125</v>
      </c>
      <c r="O888" s="487">
        <v>125</v>
      </c>
      <c r="P888" s="487">
        <v>125</v>
      </c>
      <c r="Q888" s="487">
        <v>125</v>
      </c>
      <c r="R888" s="695"/>
      <c r="S888" s="695"/>
      <c r="T888" s="695"/>
      <c r="U888" s="695"/>
      <c r="V888" s="695"/>
      <c r="W888" s="695"/>
      <c r="X888" s="695"/>
      <c r="Y888" s="436">
        <f>IF(NFI_Expiration=1,IF($A888&lt;VLOOKUP(H$5,NFI,5,0),1,0)*Table_NFI[[#This Row],[Hygiene Kit]],Table_NFI[Hygiene Kit])</f>
        <v>0</v>
      </c>
      <c r="Z888" s="436">
        <f>IF(NFI_Expiration=1,IF($A888&lt;VLOOKUP(I$5,NFI,5,0),1,0)*Table_NFI[[#This Row],[NFI Core Kit]],Table_NFI[NFI Core Kit])</f>
        <v>0</v>
      </c>
      <c r="AA888" s="436">
        <f>IF(NFI_Expiration=1,IF($A888&lt;VLOOKUP(J$5,NFI,5,0),1,0)*Table_NFI[[#This Row],[Sanitary Kit]],Table_NFI[Sanitary Kit])</f>
        <v>0</v>
      </c>
      <c r="AB888" s="436">
        <f>IF(NFI_Expiration=1,IF($A888&lt;VLOOKUP(K$5,NFI,5,0),1,0)*Table_NFI[[#This Row],[Mosquito net]],Table_NFI[Mosquito net])</f>
        <v>0</v>
      </c>
      <c r="AC888" s="436">
        <f>IF(NFI_Expiration=1,IF($A888&lt;VLOOKUP(L$5,NFI,5,0),1,0)*Table_NFI[[#This Row],[Tarpaulin]],Table_NFI[[#This Row],[Tarpaulin]])</f>
        <v>0</v>
      </c>
      <c r="AD888" s="436">
        <f>IF(NFI_Expiration=1,IF($A888&lt;VLOOKUP(M$5,NFI,5,0),1,0)*Table_NFI[[#This Row],[Blanket]],Table_NFI[[#This Row],[Blanket]])</f>
        <v>0</v>
      </c>
      <c r="AE888" s="436">
        <f>IF(NFI_Expiration=1,IF($A888&lt;VLOOKUP(N$5,NFI,5,0),1,0)*Table_NFI[[#This Row],[Kitchen Set]],Table_NFI[Kitchen Set])</f>
        <v>0</v>
      </c>
      <c r="AF888" s="436">
        <f>IF(NFI_Expiration=1,IF($A888&lt;VLOOKUP(O$5,NFI,5,0),1,0)*Table_NFI[[#This Row],[Clothes Kit]],Table_NFI[Clothes Kit])</f>
        <v>0</v>
      </c>
      <c r="AG888" s="436">
        <f>IF(NFI_Expiration=1,IF($A888&lt;VLOOKUP(P$5,NFI,5,0),1,0)*Table_NFI[[#This Row],[Plastic Bucket]],Table_NFI[Plastic Bucket])</f>
        <v>0</v>
      </c>
      <c r="AH888" s="436">
        <f>IF(NFI_Expiration=1,IF($A888&lt;VLOOKUP(Q$5,NFI,5,0),1,0)*Table_NFI[[#This Row],[Plastic Mat]],Table_NFI[Plastic Mat])*IF(Table_NFI[[#This Row],[Distribution Date]]&gt;"2014-04-01",1,2.5)</f>
        <v>0</v>
      </c>
      <c r="AI888" s="436">
        <f>IF(NFI_Expiration=1,IF($A888&lt;VLOOKUP(R$5,NFI,5,0),1,0)*Table_NFI[[#This Row],[Winter Clothes Adult]],Table_NFI[Winter Clothes Adult])</f>
        <v>0</v>
      </c>
      <c r="AJ888" s="436">
        <f>IF(NFI_Expiration=1,IF($A888&lt;VLOOKUP(S$5,NFI,5,0),1,0)*Table_NFI[[#This Row],[Winter Clothes Children]],Table_NFI[Winter Clothes Children])</f>
        <v>0</v>
      </c>
      <c r="AK888" s="436">
        <f>IF(NFI_Expiration=1,IF($A888&lt;VLOOKUP(T$5,NFI,5,0),1,0)*Table_NFI[[#This Row],[Winter Items Other]],Table_NFI[Winter Items Other])</f>
        <v>0</v>
      </c>
      <c r="AL888" s="436">
        <f>IF(NFI_Expiration=1,IF($A888&lt;VLOOKUP(M$5,NFI,5,0),1,0)*Table_NFI[[#This Row],[Winter Blanket]],Table_NFI[[#This Row],[Winter Blanket]])</f>
        <v>0</v>
      </c>
      <c r="AM888" s="436">
        <f>IF(Table_NFI[[#This Row],[Winter Clothes Adult]]+Table_NFI[[#This Row],[Winter Clothes Children]]+Table_NFI[[#This Row],[Winter Items Other]]+Table_NFI[[#This Row],[Winter Blanket]]&gt;0,1,0)</f>
        <v>0</v>
      </c>
      <c r="AN888" s="439">
        <f>IF(NFI_Expiration=1,IF($A888&lt;VLOOKUP(V$5,NFI,5,0),1,0)*Table_NFI[[#This Row],[Jerry Can]],Table_NFI[Jerry Can])</f>
        <v>0</v>
      </c>
      <c r="AO888" s="771" t="str">
        <f>IFERROR(VLOOKUP(Table_NFI[[#This Row],[Camp Name]],CL,2,0),"")</f>
        <v>MMR001CMP122</v>
      </c>
      <c r="AP888" s="772">
        <f ca="1">IF(Table_NFI[[#This Row],[Pcode]]="","",IF(OFFSET(CampList[Opening Date],MATCH(Table_NFI[[#This Row],[Pcode]],CampList[CP_Pcode],0)-1,0,1,1)&gt;=NFI_Monitor_Date,1,0))</f>
        <v>0</v>
      </c>
      <c r="AQ888" s="781" t="str">
        <f>IFERROR(VLOOKUP(Table_NFI[[#This Row],[Camp Name]],CL,3,0),"")</f>
        <v>Open</v>
      </c>
      <c r="AR888" s="439" t="str">
        <f ca="1">IF(Table_NFI[[#This Row],[Pcode]]="","",OFFSET(CampList[Priority],MATCH(Table_NFI[[#This Row],[Pcode]],CampList[CP_Pcode],0)-1,0,1,1))</f>
        <v>P2</v>
      </c>
      <c r="AS888" s="438">
        <f>IFERROR(Table_NFI[[#This Row],[Kitchen Set]]/VLOOKUP(Table_NFI[[#This Row],[Camp Name]],CL,4,0),"")</f>
        <v>0.20358306188925082</v>
      </c>
      <c r="AT888" s="769" t="s">
        <v>1099</v>
      </c>
      <c r="AU888" s="793"/>
    </row>
    <row r="889" spans="1:47" s="774" customFormat="1" ht="13.15" customHeight="1" x14ac:dyDescent="0.25">
      <c r="A889" s="451">
        <f t="shared" si="13"/>
        <v>49.333333333333336</v>
      </c>
      <c r="B889" s="794">
        <v>40890</v>
      </c>
      <c r="C889" s="795" t="s">
        <v>454</v>
      </c>
      <c r="D889" s="828" t="s">
        <v>574</v>
      </c>
      <c r="E889" s="795" t="s">
        <v>380</v>
      </c>
      <c r="F889" s="696" t="s">
        <v>185</v>
      </c>
      <c r="G889" s="696" t="s">
        <v>196</v>
      </c>
      <c r="H889" s="695"/>
      <c r="I889" s="695"/>
      <c r="J889" s="695"/>
      <c r="K889" s="695">
        <v>250</v>
      </c>
      <c r="L889" s="487">
        <v>125</v>
      </c>
      <c r="M889" s="487">
        <v>250</v>
      </c>
      <c r="N889" s="487">
        <v>125</v>
      </c>
      <c r="O889" s="487">
        <v>125</v>
      </c>
      <c r="P889" s="487">
        <v>125</v>
      </c>
      <c r="Q889" s="487">
        <v>125</v>
      </c>
      <c r="R889" s="695"/>
      <c r="S889" s="695"/>
      <c r="T889" s="695"/>
      <c r="U889" s="695"/>
      <c r="V889" s="695"/>
      <c r="W889" s="695"/>
      <c r="X889" s="695"/>
      <c r="Y889" s="436">
        <f>IF(NFI_Expiration=1,IF($A889&lt;VLOOKUP(H$5,NFI,5,0),1,0)*Table_NFI[[#This Row],[Hygiene Kit]],Table_NFI[Hygiene Kit])</f>
        <v>0</v>
      </c>
      <c r="Z889" s="436">
        <f>IF(NFI_Expiration=1,IF($A889&lt;VLOOKUP(I$5,NFI,5,0),1,0)*Table_NFI[[#This Row],[NFI Core Kit]],Table_NFI[NFI Core Kit])</f>
        <v>0</v>
      </c>
      <c r="AA889" s="436">
        <f>IF(NFI_Expiration=1,IF($A889&lt;VLOOKUP(J$5,NFI,5,0),1,0)*Table_NFI[[#This Row],[Sanitary Kit]],Table_NFI[Sanitary Kit])</f>
        <v>0</v>
      </c>
      <c r="AB889" s="436">
        <f>IF(NFI_Expiration=1,IF($A889&lt;VLOOKUP(K$5,NFI,5,0),1,0)*Table_NFI[[#This Row],[Mosquito net]],Table_NFI[Mosquito net])</f>
        <v>0</v>
      </c>
      <c r="AC889" s="436">
        <f>IF(NFI_Expiration=1,IF($A889&lt;VLOOKUP(L$5,NFI,5,0),1,0)*Table_NFI[[#This Row],[Tarpaulin]],Table_NFI[[#This Row],[Tarpaulin]])</f>
        <v>0</v>
      </c>
      <c r="AD889" s="436">
        <f>IF(NFI_Expiration=1,IF($A889&lt;VLOOKUP(M$5,NFI,5,0),1,0)*Table_NFI[[#This Row],[Blanket]],Table_NFI[[#This Row],[Blanket]])</f>
        <v>0</v>
      </c>
      <c r="AE889" s="436">
        <f>IF(NFI_Expiration=1,IF($A889&lt;VLOOKUP(N$5,NFI,5,0),1,0)*Table_NFI[[#This Row],[Kitchen Set]],Table_NFI[Kitchen Set])</f>
        <v>0</v>
      </c>
      <c r="AF889" s="436">
        <f>IF(NFI_Expiration=1,IF($A889&lt;VLOOKUP(O$5,NFI,5,0),1,0)*Table_NFI[[#This Row],[Clothes Kit]],Table_NFI[Clothes Kit])</f>
        <v>0</v>
      </c>
      <c r="AG889" s="436">
        <f>IF(NFI_Expiration=1,IF($A889&lt;VLOOKUP(P$5,NFI,5,0),1,0)*Table_NFI[[#This Row],[Plastic Bucket]],Table_NFI[Plastic Bucket])</f>
        <v>0</v>
      </c>
      <c r="AH889" s="436">
        <f>IF(NFI_Expiration=1,IF($A889&lt;VLOOKUP(Q$5,NFI,5,0),1,0)*Table_NFI[[#This Row],[Plastic Mat]],Table_NFI[Plastic Mat])*IF(Table_NFI[[#This Row],[Distribution Date]]&gt;"2014-04-01",1,2.5)</f>
        <v>0</v>
      </c>
      <c r="AI889" s="436">
        <f>IF(NFI_Expiration=1,IF($A889&lt;VLOOKUP(R$5,NFI,5,0),1,0)*Table_NFI[[#This Row],[Winter Clothes Adult]],Table_NFI[Winter Clothes Adult])</f>
        <v>0</v>
      </c>
      <c r="AJ889" s="436">
        <f>IF(NFI_Expiration=1,IF($A889&lt;VLOOKUP(S$5,NFI,5,0),1,0)*Table_NFI[[#This Row],[Winter Clothes Children]],Table_NFI[Winter Clothes Children])</f>
        <v>0</v>
      </c>
      <c r="AK889" s="436">
        <f>IF(NFI_Expiration=1,IF($A889&lt;VLOOKUP(T$5,NFI,5,0),1,0)*Table_NFI[[#This Row],[Winter Items Other]],Table_NFI[Winter Items Other])</f>
        <v>0</v>
      </c>
      <c r="AL889" s="436">
        <f>IF(NFI_Expiration=1,IF($A889&lt;VLOOKUP(M$5,NFI,5,0),1,0)*Table_NFI[[#This Row],[Winter Blanket]],Table_NFI[[#This Row],[Winter Blanket]])</f>
        <v>0</v>
      </c>
      <c r="AM889" s="436">
        <f>IF(Table_NFI[[#This Row],[Winter Clothes Adult]]+Table_NFI[[#This Row],[Winter Clothes Children]]+Table_NFI[[#This Row],[Winter Items Other]]+Table_NFI[[#This Row],[Winter Blanket]]&gt;0,1,0)</f>
        <v>0</v>
      </c>
      <c r="AN889" s="439">
        <f>IF(NFI_Expiration=1,IF($A889&lt;VLOOKUP(V$5,NFI,5,0),1,0)*Table_NFI[[#This Row],[Jerry Can]],Table_NFI[Jerry Can])</f>
        <v>0</v>
      </c>
      <c r="AO889" s="771" t="str">
        <f>IFERROR(VLOOKUP(Table_NFI[[#This Row],[Camp Name]],CL,2,0),"")</f>
        <v>MMR001CMP121</v>
      </c>
      <c r="AP889" s="772">
        <f ca="1">IF(Table_NFI[[#This Row],[Pcode]]="","",IF(OFFSET(CampList[Opening Date],MATCH(Table_NFI[[#This Row],[Pcode]],CampList[CP_Pcode],0)-1,0,1,1)&gt;=NFI_Monitor_Date,1,0))</f>
        <v>0</v>
      </c>
      <c r="AQ889" s="781" t="str">
        <f>IFERROR(VLOOKUP(Table_NFI[[#This Row],[Camp Name]],CL,3,0),"")</f>
        <v>Open</v>
      </c>
      <c r="AR889" s="439" t="str">
        <f ca="1">IF(Table_NFI[[#This Row],[Pcode]]="","",OFFSET(CampList[Priority],MATCH(Table_NFI[[#This Row],[Pcode]],CampList[CP_Pcode],0)-1,0,1,1))</f>
        <v>P2</v>
      </c>
      <c r="AS889" s="438">
        <f>IFERROR(Table_NFI[[#This Row],[Kitchen Set]]/VLOOKUP(Table_NFI[[#This Row],[Camp Name]],CL,4,0),"")</f>
        <v>7.3746312684365781E-2</v>
      </c>
      <c r="AT889" s="769" t="s">
        <v>1099</v>
      </c>
      <c r="AU889" s="793"/>
    </row>
    <row r="890" spans="1:47" s="774" customFormat="1" ht="14.45" customHeight="1" x14ac:dyDescent="0.25">
      <c r="A890" s="451">
        <f t="shared" si="13"/>
        <v>49.333333333333336</v>
      </c>
      <c r="B890" s="794">
        <v>40890</v>
      </c>
      <c r="C890" s="795" t="s">
        <v>454</v>
      </c>
      <c r="D890" s="828" t="s">
        <v>574</v>
      </c>
      <c r="E890" s="769" t="s">
        <v>380</v>
      </c>
      <c r="F890" s="435" t="s">
        <v>310</v>
      </c>
      <c r="G890" s="435" t="s">
        <v>322</v>
      </c>
      <c r="H890" s="695"/>
      <c r="I890" s="695"/>
      <c r="J890" s="695"/>
      <c r="K890" s="695">
        <v>250</v>
      </c>
      <c r="L890" s="487">
        <v>125</v>
      </c>
      <c r="M890" s="487">
        <v>250</v>
      </c>
      <c r="N890" s="487">
        <v>125</v>
      </c>
      <c r="O890" s="487">
        <v>125</v>
      </c>
      <c r="P890" s="487">
        <v>125</v>
      </c>
      <c r="Q890" s="487">
        <v>125</v>
      </c>
      <c r="R890" s="695"/>
      <c r="S890" s="695"/>
      <c r="T890" s="695"/>
      <c r="U890" s="695"/>
      <c r="V890" s="695"/>
      <c r="W890" s="695"/>
      <c r="X890" s="695"/>
      <c r="Y890" s="436">
        <f>IF(NFI_Expiration=1,IF($A890&lt;VLOOKUP(H$5,NFI,5,0),1,0)*Table_NFI[[#This Row],[Hygiene Kit]],Table_NFI[Hygiene Kit])</f>
        <v>0</v>
      </c>
      <c r="Z890" s="436">
        <f>IF(NFI_Expiration=1,IF($A890&lt;VLOOKUP(I$5,NFI,5,0),1,0)*Table_NFI[[#This Row],[NFI Core Kit]],Table_NFI[NFI Core Kit])</f>
        <v>0</v>
      </c>
      <c r="AA890" s="436">
        <f>IF(NFI_Expiration=1,IF($A890&lt;VLOOKUP(J$5,NFI,5,0),1,0)*Table_NFI[[#This Row],[Sanitary Kit]],Table_NFI[Sanitary Kit])</f>
        <v>0</v>
      </c>
      <c r="AB890" s="436">
        <f>IF(NFI_Expiration=1,IF($A890&lt;VLOOKUP(K$5,NFI,5,0),1,0)*Table_NFI[[#This Row],[Mosquito net]],Table_NFI[Mosquito net])</f>
        <v>0</v>
      </c>
      <c r="AC890" s="436">
        <f>IF(NFI_Expiration=1,IF($A890&lt;VLOOKUP(L$5,NFI,5,0),1,0)*Table_NFI[[#This Row],[Tarpaulin]],Table_NFI[[#This Row],[Tarpaulin]])</f>
        <v>0</v>
      </c>
      <c r="AD890" s="436">
        <f>IF(NFI_Expiration=1,IF($A890&lt;VLOOKUP(M$5,NFI,5,0),1,0)*Table_NFI[[#This Row],[Blanket]],Table_NFI[[#This Row],[Blanket]])</f>
        <v>0</v>
      </c>
      <c r="AE890" s="436">
        <f>IF(NFI_Expiration=1,IF($A890&lt;VLOOKUP(N$5,NFI,5,0),1,0)*Table_NFI[[#This Row],[Kitchen Set]],Table_NFI[Kitchen Set])</f>
        <v>0</v>
      </c>
      <c r="AF890" s="436">
        <f>IF(NFI_Expiration=1,IF($A890&lt;VLOOKUP(O$5,NFI,5,0),1,0)*Table_NFI[[#This Row],[Clothes Kit]],Table_NFI[Clothes Kit])</f>
        <v>0</v>
      </c>
      <c r="AG890" s="436">
        <f>IF(NFI_Expiration=1,IF($A890&lt;VLOOKUP(P$5,NFI,5,0),1,0)*Table_NFI[[#This Row],[Plastic Bucket]],Table_NFI[Plastic Bucket])</f>
        <v>0</v>
      </c>
      <c r="AH890" s="436">
        <f>IF(NFI_Expiration=1,IF($A890&lt;VLOOKUP(Q$5,NFI,5,0),1,0)*Table_NFI[[#This Row],[Plastic Mat]],Table_NFI[Plastic Mat])*IF(Table_NFI[[#This Row],[Distribution Date]]&gt;"2014-04-01",1,2.5)</f>
        <v>0</v>
      </c>
      <c r="AI890" s="436">
        <f>IF(NFI_Expiration=1,IF($A890&lt;VLOOKUP(R$5,NFI,5,0),1,0)*Table_NFI[[#This Row],[Winter Clothes Adult]],Table_NFI[Winter Clothes Adult])</f>
        <v>0</v>
      </c>
      <c r="AJ890" s="436">
        <f>IF(NFI_Expiration=1,IF($A890&lt;VLOOKUP(S$5,NFI,5,0),1,0)*Table_NFI[[#This Row],[Winter Clothes Children]],Table_NFI[Winter Clothes Children])</f>
        <v>0</v>
      </c>
      <c r="AK890" s="436">
        <f>IF(NFI_Expiration=1,IF($A890&lt;VLOOKUP(T$5,NFI,5,0),1,0)*Table_NFI[[#This Row],[Winter Items Other]],Table_NFI[Winter Items Other])</f>
        <v>0</v>
      </c>
      <c r="AL890" s="436">
        <f>IF(NFI_Expiration=1,IF($A890&lt;VLOOKUP(M$5,NFI,5,0),1,0)*Table_NFI[[#This Row],[Winter Blanket]],Table_NFI[[#This Row],[Winter Blanket]])</f>
        <v>0</v>
      </c>
      <c r="AM890" s="436">
        <f>IF(Table_NFI[[#This Row],[Winter Clothes Adult]]+Table_NFI[[#This Row],[Winter Clothes Children]]+Table_NFI[[#This Row],[Winter Items Other]]+Table_NFI[[#This Row],[Winter Blanket]]&gt;0,1,0)</f>
        <v>0</v>
      </c>
      <c r="AN890" s="439">
        <f>IF(NFI_Expiration=1,IF($A890&lt;VLOOKUP(V$5,NFI,5,0),1,0)*Table_NFI[[#This Row],[Jerry Can]],Table_NFI[Jerry Can])</f>
        <v>0</v>
      </c>
      <c r="AO890" s="771" t="str">
        <f>IFERROR(VLOOKUP(Table_NFI[[#This Row],[Camp Name]],CL,2,0),"")</f>
        <v>MMR001CMP119</v>
      </c>
      <c r="AP890" s="772">
        <f ca="1">IF(Table_NFI[[#This Row],[Pcode]]="","",IF(OFFSET(CampList[Opening Date],MATCH(Table_NFI[[#This Row],[Pcode]],CampList[CP_Pcode],0)-1,0,1,1)&gt;=NFI_Monitor_Date,1,0))</f>
        <v>0</v>
      </c>
      <c r="AQ890" s="781" t="str">
        <f>IFERROR(VLOOKUP(Table_NFI[[#This Row],[Camp Name]],CL,3,0),"")</f>
        <v>Open</v>
      </c>
      <c r="AR890" s="439" t="str">
        <f ca="1">IF(Table_NFI[[#This Row],[Pcode]]="","",OFFSET(CampList[Priority],MATCH(Table_NFI[[#This Row],[Pcode]],CampList[CP_Pcode],0)-1,0,1,1))</f>
        <v>P2</v>
      </c>
      <c r="AS890" s="438">
        <f>IFERROR(Table_NFI[[#This Row],[Kitchen Set]]/VLOOKUP(Table_NFI[[#This Row],[Camp Name]],CL,4,0),"")</f>
        <v>0.20559210526315788</v>
      </c>
      <c r="AT890" s="769" t="s">
        <v>1099</v>
      </c>
      <c r="AU890" s="793"/>
    </row>
    <row r="891" spans="1:47" s="798" customFormat="1" ht="17.45" customHeight="1" x14ac:dyDescent="0.25">
      <c r="A891" s="451">
        <f t="shared" si="13"/>
        <v>49.333333333333336</v>
      </c>
      <c r="B891" s="794">
        <v>40890</v>
      </c>
      <c r="C891" s="795" t="s">
        <v>454</v>
      </c>
      <c r="D891" s="828" t="s">
        <v>574</v>
      </c>
      <c r="E891" s="769" t="s">
        <v>380</v>
      </c>
      <c r="F891" s="435" t="s">
        <v>310</v>
      </c>
      <c r="G891" s="435" t="s">
        <v>1259</v>
      </c>
      <c r="H891" s="695"/>
      <c r="I891" s="695"/>
      <c r="J891" s="695"/>
      <c r="K891" s="695">
        <v>250</v>
      </c>
      <c r="L891" s="487">
        <v>125</v>
      </c>
      <c r="M891" s="487">
        <v>250</v>
      </c>
      <c r="N891" s="487">
        <v>125</v>
      </c>
      <c r="O891" s="487">
        <v>125</v>
      </c>
      <c r="P891" s="487">
        <v>125</v>
      </c>
      <c r="Q891" s="487">
        <v>125</v>
      </c>
      <c r="R891" s="695"/>
      <c r="S891" s="695"/>
      <c r="T891" s="695"/>
      <c r="U891" s="695"/>
      <c r="V891" s="695"/>
      <c r="W891" s="695"/>
      <c r="X891" s="695"/>
      <c r="Y891" s="436">
        <f>IF(NFI_Expiration=1,IF($A891&lt;VLOOKUP(H$5,NFI,5,0),1,0)*Table_NFI[[#This Row],[Hygiene Kit]],Table_NFI[Hygiene Kit])</f>
        <v>0</v>
      </c>
      <c r="Z891" s="436">
        <f>IF(NFI_Expiration=1,IF($A891&lt;VLOOKUP(I$5,NFI,5,0),1,0)*Table_NFI[[#This Row],[NFI Core Kit]],Table_NFI[NFI Core Kit])</f>
        <v>0</v>
      </c>
      <c r="AA891" s="436">
        <f>IF(NFI_Expiration=1,IF($A891&lt;VLOOKUP(J$5,NFI,5,0),1,0)*Table_NFI[[#This Row],[Sanitary Kit]],Table_NFI[Sanitary Kit])</f>
        <v>0</v>
      </c>
      <c r="AB891" s="436">
        <f>IF(NFI_Expiration=1,IF($A891&lt;VLOOKUP(K$5,NFI,5,0),1,0)*Table_NFI[[#This Row],[Mosquito net]],Table_NFI[Mosquito net])</f>
        <v>0</v>
      </c>
      <c r="AC891" s="436">
        <f>IF(NFI_Expiration=1,IF($A891&lt;VLOOKUP(L$5,NFI,5,0),1,0)*Table_NFI[[#This Row],[Tarpaulin]],Table_NFI[[#This Row],[Tarpaulin]])</f>
        <v>0</v>
      </c>
      <c r="AD891" s="436">
        <f>IF(NFI_Expiration=1,IF($A891&lt;VLOOKUP(M$5,NFI,5,0),1,0)*Table_NFI[[#This Row],[Blanket]],Table_NFI[[#This Row],[Blanket]])</f>
        <v>0</v>
      </c>
      <c r="AE891" s="436">
        <f>IF(NFI_Expiration=1,IF($A891&lt;VLOOKUP(N$5,NFI,5,0),1,0)*Table_NFI[[#This Row],[Kitchen Set]],Table_NFI[Kitchen Set])</f>
        <v>0</v>
      </c>
      <c r="AF891" s="436">
        <f>IF(NFI_Expiration=1,IF($A891&lt;VLOOKUP(O$5,NFI,5,0),1,0)*Table_NFI[[#This Row],[Clothes Kit]],Table_NFI[Clothes Kit])</f>
        <v>0</v>
      </c>
      <c r="AG891" s="436">
        <f>IF(NFI_Expiration=1,IF($A891&lt;VLOOKUP(P$5,NFI,5,0),1,0)*Table_NFI[[#This Row],[Plastic Bucket]],Table_NFI[Plastic Bucket])</f>
        <v>0</v>
      </c>
      <c r="AH891" s="436">
        <f>IF(NFI_Expiration=1,IF($A891&lt;VLOOKUP(Q$5,NFI,5,0),1,0)*Table_NFI[[#This Row],[Plastic Mat]],Table_NFI[Plastic Mat])*IF(Table_NFI[[#This Row],[Distribution Date]]&gt;"2014-04-01",1,2.5)</f>
        <v>0</v>
      </c>
      <c r="AI891" s="436">
        <f>IF(NFI_Expiration=1,IF($A891&lt;VLOOKUP(R$5,NFI,5,0),1,0)*Table_NFI[[#This Row],[Winter Clothes Adult]],Table_NFI[Winter Clothes Adult])</f>
        <v>0</v>
      </c>
      <c r="AJ891" s="436">
        <f>IF(NFI_Expiration=1,IF($A891&lt;VLOOKUP(S$5,NFI,5,0),1,0)*Table_NFI[[#This Row],[Winter Clothes Children]],Table_NFI[Winter Clothes Children])</f>
        <v>0</v>
      </c>
      <c r="AK891" s="436">
        <f>IF(NFI_Expiration=1,IF($A891&lt;VLOOKUP(T$5,NFI,5,0),1,0)*Table_NFI[[#This Row],[Winter Items Other]],Table_NFI[Winter Items Other])</f>
        <v>0</v>
      </c>
      <c r="AL891" s="436">
        <f>IF(NFI_Expiration=1,IF($A891&lt;VLOOKUP(M$5,NFI,5,0),1,0)*Table_NFI[[#This Row],[Winter Blanket]],Table_NFI[[#This Row],[Winter Blanket]])</f>
        <v>0</v>
      </c>
      <c r="AM891" s="436">
        <f>IF(Table_NFI[[#This Row],[Winter Clothes Adult]]+Table_NFI[[#This Row],[Winter Clothes Children]]+Table_NFI[[#This Row],[Winter Items Other]]+Table_NFI[[#This Row],[Winter Blanket]]&gt;0,1,0)</f>
        <v>0</v>
      </c>
      <c r="AN891" s="439">
        <f>IF(NFI_Expiration=1,IF($A891&lt;VLOOKUP(V$5,NFI,5,0),1,0)*Table_NFI[[#This Row],[Jerry Can]],Table_NFI[Jerry Can])</f>
        <v>0</v>
      </c>
      <c r="AO891" s="771" t="str">
        <f>IFERROR(VLOOKUP(Table_NFI[[#This Row],[Camp Name]],CL,2,0),"")</f>
        <v>MMR001CMP111</v>
      </c>
      <c r="AP891" s="772">
        <f ca="1">IF(Table_NFI[[#This Row],[Pcode]]="","",IF(OFFSET(CampList[Opening Date],MATCH(Table_NFI[[#This Row],[Pcode]],CampList[CP_Pcode],0)-1,0,1,1)&gt;=NFI_Monitor_Date,1,0))</f>
        <v>0</v>
      </c>
      <c r="AQ891" s="781" t="str">
        <f>IFERROR(VLOOKUP(Table_NFI[[#This Row],[Camp Name]],CL,3,0),"")</f>
        <v>Open</v>
      </c>
      <c r="AR891" s="439" t="str">
        <f ca="1">IF(Table_NFI[[#This Row],[Pcode]]="","",OFFSET(CampList[Priority],MATCH(Table_NFI[[#This Row],[Pcode]],CampList[CP_Pcode],0)-1,0,1,1))</f>
        <v>P2</v>
      </c>
      <c r="AS891" s="438">
        <f>IFERROR(Table_NFI[[#This Row],[Kitchen Set]]/VLOOKUP(Table_NFI[[#This Row],[Camp Name]],CL,4,0),"")</f>
        <v>0.20161290322580644</v>
      </c>
      <c r="AT891" s="769" t="s">
        <v>1099</v>
      </c>
      <c r="AU891" s="793"/>
    </row>
    <row r="892" spans="1:47" s="774" customFormat="1" ht="19.149999999999999" customHeight="1" x14ac:dyDescent="0.25">
      <c r="A892" s="451">
        <f t="shared" si="13"/>
        <v>49.4</v>
      </c>
      <c r="B892" s="794">
        <v>40888</v>
      </c>
      <c r="C892" s="795" t="s">
        <v>454</v>
      </c>
      <c r="D892" s="795" t="s">
        <v>910</v>
      </c>
      <c r="E892" s="795" t="s">
        <v>380</v>
      </c>
      <c r="F892" s="795" t="s">
        <v>237</v>
      </c>
      <c r="G892" s="696" t="s">
        <v>925</v>
      </c>
      <c r="H892" s="695"/>
      <c r="I892" s="695"/>
      <c r="J892" s="695"/>
      <c r="K892" s="695">
        <v>88</v>
      </c>
      <c r="L892" s="487">
        <v>49</v>
      </c>
      <c r="M892" s="487">
        <v>88</v>
      </c>
      <c r="N892" s="487">
        <v>49</v>
      </c>
      <c r="O892" s="487">
        <v>49</v>
      </c>
      <c r="P892" s="487">
        <v>49</v>
      </c>
      <c r="Q892" s="487">
        <v>49</v>
      </c>
      <c r="R892" s="695"/>
      <c r="S892" s="695"/>
      <c r="T892" s="695"/>
      <c r="U892" s="695"/>
      <c r="V892" s="695"/>
      <c r="W892" s="695"/>
      <c r="X892" s="695"/>
      <c r="Y892" s="436">
        <f>IF(NFI_Expiration=1,IF($A892&lt;VLOOKUP(H$5,NFI,5,0),1,0)*Table_NFI[[#This Row],[Hygiene Kit]],Table_NFI[Hygiene Kit])</f>
        <v>0</v>
      </c>
      <c r="Z892" s="436">
        <f>IF(NFI_Expiration=1,IF($A892&lt;VLOOKUP(I$5,NFI,5,0),1,0)*Table_NFI[[#This Row],[NFI Core Kit]],Table_NFI[NFI Core Kit])</f>
        <v>0</v>
      </c>
      <c r="AA892" s="436">
        <f>IF(NFI_Expiration=1,IF($A892&lt;VLOOKUP(J$5,NFI,5,0),1,0)*Table_NFI[[#This Row],[Sanitary Kit]],Table_NFI[Sanitary Kit])</f>
        <v>0</v>
      </c>
      <c r="AB892" s="436">
        <f>IF(NFI_Expiration=1,IF($A892&lt;VLOOKUP(K$5,NFI,5,0),1,0)*Table_NFI[[#This Row],[Mosquito net]],Table_NFI[Mosquito net])</f>
        <v>0</v>
      </c>
      <c r="AC892" s="436">
        <f>IF(NFI_Expiration=1,IF($A892&lt;VLOOKUP(L$5,NFI,5,0),1,0)*Table_NFI[[#This Row],[Tarpaulin]],Table_NFI[[#This Row],[Tarpaulin]])</f>
        <v>0</v>
      </c>
      <c r="AD892" s="436">
        <f>IF(NFI_Expiration=1,IF($A892&lt;VLOOKUP(M$5,NFI,5,0),1,0)*Table_NFI[[#This Row],[Blanket]],Table_NFI[[#This Row],[Blanket]])</f>
        <v>0</v>
      </c>
      <c r="AE892" s="436">
        <f>IF(NFI_Expiration=1,IF($A892&lt;VLOOKUP(N$5,NFI,5,0),1,0)*Table_NFI[[#This Row],[Kitchen Set]],Table_NFI[Kitchen Set])</f>
        <v>0</v>
      </c>
      <c r="AF892" s="436">
        <f>IF(NFI_Expiration=1,IF($A892&lt;VLOOKUP(O$5,NFI,5,0),1,0)*Table_NFI[[#This Row],[Clothes Kit]],Table_NFI[Clothes Kit])</f>
        <v>0</v>
      </c>
      <c r="AG892" s="436">
        <f>IF(NFI_Expiration=1,IF($A892&lt;VLOOKUP(P$5,NFI,5,0),1,0)*Table_NFI[[#This Row],[Plastic Bucket]],Table_NFI[Plastic Bucket])</f>
        <v>0</v>
      </c>
      <c r="AH892" s="436">
        <f>IF(NFI_Expiration=1,IF($A892&lt;VLOOKUP(Q$5,NFI,5,0),1,0)*Table_NFI[[#This Row],[Plastic Mat]],Table_NFI[Plastic Mat])*IF(Table_NFI[[#This Row],[Distribution Date]]&gt;"2014-04-01",1,2.5)</f>
        <v>0</v>
      </c>
      <c r="AI892" s="436">
        <f>IF(NFI_Expiration=1,IF($A892&lt;VLOOKUP(R$5,NFI,5,0),1,0)*Table_NFI[[#This Row],[Winter Clothes Adult]],Table_NFI[Winter Clothes Adult])</f>
        <v>0</v>
      </c>
      <c r="AJ892" s="436">
        <f>IF(NFI_Expiration=1,IF($A892&lt;VLOOKUP(S$5,NFI,5,0),1,0)*Table_NFI[[#This Row],[Winter Clothes Children]],Table_NFI[Winter Clothes Children])</f>
        <v>0</v>
      </c>
      <c r="AK892" s="436">
        <f>IF(NFI_Expiration=1,IF($A892&lt;VLOOKUP(T$5,NFI,5,0),1,0)*Table_NFI[[#This Row],[Winter Items Other]],Table_NFI[Winter Items Other])</f>
        <v>0</v>
      </c>
      <c r="AL892" s="436">
        <f>IF(NFI_Expiration=1,IF($A892&lt;VLOOKUP(M$5,NFI,5,0),1,0)*Table_NFI[[#This Row],[Winter Blanket]],Table_NFI[[#This Row],[Winter Blanket]])</f>
        <v>0</v>
      </c>
      <c r="AM892" s="436">
        <f>IF(Table_NFI[[#This Row],[Winter Clothes Adult]]+Table_NFI[[#This Row],[Winter Clothes Children]]+Table_NFI[[#This Row],[Winter Items Other]]+Table_NFI[[#This Row],[Winter Blanket]]&gt;0,1,0)</f>
        <v>0</v>
      </c>
      <c r="AN892" s="439">
        <f>IF(NFI_Expiration=1,IF($A892&lt;VLOOKUP(V$5,NFI,5,0),1,0)*Table_NFI[[#This Row],[Jerry Can]],Table_NFI[Jerry Can])</f>
        <v>0</v>
      </c>
      <c r="AO892" s="771" t="str">
        <f>IFERROR(VLOOKUP(Table_NFI[[#This Row],[Camp Name]],CL,2,0),"")</f>
        <v/>
      </c>
      <c r="AP892" s="772" t="str">
        <f ca="1">IF(Table_NFI[[#This Row],[Pcode]]="","",IF(OFFSET(CampList[Opening Date],MATCH(Table_NFI[[#This Row],[Pcode]],CampList[CP_Pcode],0)-1,0,1,1)&gt;=NFI_Monitor_Date,1,0))</f>
        <v/>
      </c>
      <c r="AQ892" s="781" t="str">
        <f>IFERROR(VLOOKUP(Table_NFI[[#This Row],[Camp Name]],CL,3,0),"")</f>
        <v/>
      </c>
      <c r="AR892" s="439" t="str">
        <f ca="1">IF(Table_NFI[[#This Row],[Pcode]]="","",OFFSET(CampList[Priority],MATCH(Table_NFI[[#This Row],[Pcode]],CampList[CP_Pcode],0)-1,0,1,1))</f>
        <v/>
      </c>
      <c r="AS892" s="438" t="str">
        <f>IFERROR(Table_NFI[[#This Row],[Kitchen Set]]/VLOOKUP(Table_NFI[[#This Row],[Camp Name]],CL,4,0),"")</f>
        <v/>
      </c>
      <c r="AT892" s="769" t="s">
        <v>1099</v>
      </c>
      <c r="AU892" s="793"/>
    </row>
    <row r="893" spans="1:47" s="774" customFormat="1" ht="13.15" customHeight="1" x14ac:dyDescent="0.25">
      <c r="A893" s="451">
        <f t="shared" si="13"/>
        <v>49.4</v>
      </c>
      <c r="B893" s="794">
        <v>40888</v>
      </c>
      <c r="C893" s="769" t="s">
        <v>454</v>
      </c>
      <c r="D893" s="795" t="s">
        <v>462</v>
      </c>
      <c r="E893" s="769" t="s">
        <v>380</v>
      </c>
      <c r="F893" s="435" t="s">
        <v>237</v>
      </c>
      <c r="G893" s="435" t="s">
        <v>261</v>
      </c>
      <c r="H893" s="695"/>
      <c r="I893" s="695"/>
      <c r="J893" s="695"/>
      <c r="K893" s="695">
        <v>6</v>
      </c>
      <c r="L893" s="487">
        <v>4</v>
      </c>
      <c r="M893" s="487">
        <v>6</v>
      </c>
      <c r="N893" s="487">
        <v>4</v>
      </c>
      <c r="O893" s="487">
        <v>4</v>
      </c>
      <c r="P893" s="488">
        <v>4</v>
      </c>
      <c r="Q893" s="488">
        <v>4</v>
      </c>
      <c r="R893" s="695"/>
      <c r="S893" s="695"/>
      <c r="T893" s="695"/>
      <c r="U893" s="695"/>
      <c r="V893" s="695"/>
      <c r="W893" s="695"/>
      <c r="X893" s="695"/>
      <c r="Y893" s="436">
        <f>IF(NFI_Expiration=1,IF($A893&lt;VLOOKUP(H$5,NFI,5,0),1,0)*Table_NFI[[#This Row],[Hygiene Kit]],Table_NFI[Hygiene Kit])</f>
        <v>0</v>
      </c>
      <c r="Z893" s="436">
        <f>IF(NFI_Expiration=1,IF($A893&lt;VLOOKUP(I$5,NFI,5,0),1,0)*Table_NFI[[#This Row],[NFI Core Kit]],Table_NFI[NFI Core Kit])</f>
        <v>0</v>
      </c>
      <c r="AA893" s="436">
        <f>IF(NFI_Expiration=1,IF($A893&lt;VLOOKUP(J$5,NFI,5,0),1,0)*Table_NFI[[#This Row],[Sanitary Kit]],Table_NFI[Sanitary Kit])</f>
        <v>0</v>
      </c>
      <c r="AB893" s="436">
        <f>IF(NFI_Expiration=1,IF($A893&lt;VLOOKUP(K$5,NFI,5,0),1,0)*Table_NFI[[#This Row],[Mosquito net]],Table_NFI[Mosquito net])</f>
        <v>0</v>
      </c>
      <c r="AC893" s="436">
        <f>IF(NFI_Expiration=1,IF($A893&lt;VLOOKUP(L$5,NFI,5,0),1,0)*Table_NFI[[#This Row],[Tarpaulin]],Table_NFI[[#This Row],[Tarpaulin]])</f>
        <v>0</v>
      </c>
      <c r="AD893" s="436">
        <f>IF(NFI_Expiration=1,IF($A893&lt;VLOOKUP(M$5,NFI,5,0),1,0)*Table_NFI[[#This Row],[Blanket]],Table_NFI[[#This Row],[Blanket]])</f>
        <v>0</v>
      </c>
      <c r="AE893" s="436">
        <f>IF(NFI_Expiration=1,IF($A893&lt;VLOOKUP(N$5,NFI,5,0),1,0)*Table_NFI[[#This Row],[Kitchen Set]],Table_NFI[Kitchen Set])</f>
        <v>0</v>
      </c>
      <c r="AF893" s="436">
        <f>IF(NFI_Expiration=1,IF($A893&lt;VLOOKUP(O$5,NFI,5,0),1,0)*Table_NFI[[#This Row],[Clothes Kit]],Table_NFI[Clothes Kit])</f>
        <v>0</v>
      </c>
      <c r="AG893" s="436">
        <f>IF(NFI_Expiration=1,IF($A893&lt;VLOOKUP(P$5,NFI,5,0),1,0)*Table_NFI[[#This Row],[Plastic Bucket]],Table_NFI[Plastic Bucket])</f>
        <v>0</v>
      </c>
      <c r="AH893" s="436">
        <f>IF(NFI_Expiration=1,IF($A893&lt;VLOOKUP(Q$5,NFI,5,0),1,0)*Table_NFI[[#This Row],[Plastic Mat]],Table_NFI[Plastic Mat])*IF(Table_NFI[[#This Row],[Distribution Date]]&gt;"2014-04-01",1,2.5)</f>
        <v>0</v>
      </c>
      <c r="AI893" s="436">
        <f>IF(NFI_Expiration=1,IF($A893&lt;VLOOKUP(R$5,NFI,5,0),1,0)*Table_NFI[[#This Row],[Winter Clothes Adult]],Table_NFI[Winter Clothes Adult])</f>
        <v>0</v>
      </c>
      <c r="AJ893" s="436">
        <f>IF(NFI_Expiration=1,IF($A893&lt;VLOOKUP(S$5,NFI,5,0),1,0)*Table_NFI[[#This Row],[Winter Clothes Children]],Table_NFI[Winter Clothes Children])</f>
        <v>0</v>
      </c>
      <c r="AK893" s="436">
        <f>IF(NFI_Expiration=1,IF($A893&lt;VLOOKUP(T$5,NFI,5,0),1,0)*Table_NFI[[#This Row],[Winter Items Other]],Table_NFI[Winter Items Other])</f>
        <v>0</v>
      </c>
      <c r="AL893" s="436">
        <f>IF(NFI_Expiration=1,IF($A893&lt;VLOOKUP(M$5,NFI,5,0),1,0)*Table_NFI[[#This Row],[Winter Blanket]],Table_NFI[[#This Row],[Winter Blanket]])</f>
        <v>0</v>
      </c>
      <c r="AM893" s="436">
        <f>IF(Table_NFI[[#This Row],[Winter Clothes Adult]]+Table_NFI[[#This Row],[Winter Clothes Children]]+Table_NFI[[#This Row],[Winter Items Other]]+Table_NFI[[#This Row],[Winter Blanket]]&gt;0,1,0)</f>
        <v>0</v>
      </c>
      <c r="AN893" s="439">
        <f>IF(NFI_Expiration=1,IF($A893&lt;VLOOKUP(V$5,NFI,5,0),1,0)*Table_NFI[[#This Row],[Jerry Can]],Table_NFI[Jerry Can])</f>
        <v>0</v>
      </c>
      <c r="AO893" s="771" t="str">
        <f>IFERROR(VLOOKUP(Table_NFI[[#This Row],[Camp Name]],CL,2,0),"")</f>
        <v>MMR001CMP008</v>
      </c>
      <c r="AP893" s="772">
        <f ca="1">IF(Table_NFI[[#This Row],[Pcode]]="","",IF(OFFSET(CampList[Opening Date],MATCH(Table_NFI[[#This Row],[Pcode]],CampList[CP_Pcode],0)-1,0,1,1)&gt;=NFI_Monitor_Date,1,0))</f>
        <v>0</v>
      </c>
      <c r="AQ893" s="781" t="str">
        <f>IFERROR(VLOOKUP(Table_NFI[[#This Row],[Camp Name]],CL,3,0),"")</f>
        <v>Open</v>
      </c>
      <c r="AR893" s="439" t="str">
        <f ca="1">IF(Table_NFI[[#This Row],[Pcode]]="","",OFFSET(CampList[Priority],MATCH(Table_NFI[[#This Row],[Pcode]],CampList[CP_Pcode],0)-1,0,1,1))</f>
        <v>P4</v>
      </c>
      <c r="AS893" s="438">
        <f>IFERROR(Table_NFI[[#This Row],[Kitchen Set]]/VLOOKUP(Table_NFI[[#This Row],[Camp Name]],CL,4,0),"")</f>
        <v>4.1666666666666664E-2</v>
      </c>
      <c r="AT893" s="769" t="s">
        <v>1099</v>
      </c>
      <c r="AU893" s="793"/>
    </row>
    <row r="894" spans="1:47" s="774" customFormat="1" ht="13.15" customHeight="1" x14ac:dyDescent="0.25">
      <c r="A894" s="451">
        <f t="shared" si="13"/>
        <v>49.4</v>
      </c>
      <c r="B894" s="794">
        <v>40888</v>
      </c>
      <c r="C894" s="769" t="s">
        <v>454</v>
      </c>
      <c r="D894" s="828" t="s">
        <v>462</v>
      </c>
      <c r="E894" s="769" t="s">
        <v>380</v>
      </c>
      <c r="F894" s="435" t="s">
        <v>237</v>
      </c>
      <c r="G894" s="435" t="s">
        <v>277</v>
      </c>
      <c r="H894" s="436"/>
      <c r="I894" s="436"/>
      <c r="J894" s="436"/>
      <c r="K894" s="436">
        <v>2</v>
      </c>
      <c r="L894" s="437">
        <v>2</v>
      </c>
      <c r="M894" s="437">
        <v>2</v>
      </c>
      <c r="N894" s="437">
        <v>2</v>
      </c>
      <c r="O894" s="437">
        <v>2</v>
      </c>
      <c r="P894" s="437">
        <v>2</v>
      </c>
      <c r="Q894" s="437">
        <v>2</v>
      </c>
      <c r="R894" s="436"/>
      <c r="S894" s="436"/>
      <c r="T894" s="436"/>
      <c r="U894" s="436"/>
      <c r="V894" s="695"/>
      <c r="W894" s="695"/>
      <c r="X894" s="695"/>
      <c r="Y894" s="436">
        <f>IF(NFI_Expiration=1,IF($A894&lt;VLOOKUP(H$5,NFI,5,0),1,0)*Table_NFI[[#This Row],[Hygiene Kit]],Table_NFI[Hygiene Kit])</f>
        <v>0</v>
      </c>
      <c r="Z894" s="436">
        <f>IF(NFI_Expiration=1,IF($A894&lt;VLOOKUP(I$5,NFI,5,0),1,0)*Table_NFI[[#This Row],[NFI Core Kit]],Table_NFI[NFI Core Kit])</f>
        <v>0</v>
      </c>
      <c r="AA894" s="436">
        <f>IF(NFI_Expiration=1,IF($A894&lt;VLOOKUP(J$5,NFI,5,0),1,0)*Table_NFI[[#This Row],[Sanitary Kit]],Table_NFI[Sanitary Kit])</f>
        <v>0</v>
      </c>
      <c r="AB894" s="436">
        <f>IF(NFI_Expiration=1,IF($A894&lt;VLOOKUP(K$5,NFI,5,0),1,0)*Table_NFI[[#This Row],[Mosquito net]],Table_NFI[Mosquito net])</f>
        <v>0</v>
      </c>
      <c r="AC894" s="436">
        <f>IF(NFI_Expiration=1,IF($A894&lt;VLOOKUP(L$5,NFI,5,0),1,0)*Table_NFI[[#This Row],[Tarpaulin]],Table_NFI[[#This Row],[Tarpaulin]])</f>
        <v>0</v>
      </c>
      <c r="AD894" s="436">
        <f>IF(NFI_Expiration=1,IF($A894&lt;VLOOKUP(M$5,NFI,5,0),1,0)*Table_NFI[[#This Row],[Blanket]],Table_NFI[[#This Row],[Blanket]])</f>
        <v>0</v>
      </c>
      <c r="AE894" s="436">
        <f>IF(NFI_Expiration=1,IF($A894&lt;VLOOKUP(N$5,NFI,5,0),1,0)*Table_NFI[[#This Row],[Kitchen Set]],Table_NFI[Kitchen Set])</f>
        <v>0</v>
      </c>
      <c r="AF894" s="436">
        <f>IF(NFI_Expiration=1,IF($A894&lt;VLOOKUP(O$5,NFI,5,0),1,0)*Table_NFI[[#This Row],[Clothes Kit]],Table_NFI[Clothes Kit])</f>
        <v>0</v>
      </c>
      <c r="AG894" s="436">
        <f>IF(NFI_Expiration=1,IF($A894&lt;VLOOKUP(P$5,NFI,5,0),1,0)*Table_NFI[[#This Row],[Plastic Bucket]],Table_NFI[Plastic Bucket])</f>
        <v>0</v>
      </c>
      <c r="AH894" s="436">
        <f>IF(NFI_Expiration=1,IF($A894&lt;VLOOKUP(Q$5,NFI,5,0),1,0)*Table_NFI[[#This Row],[Plastic Mat]],Table_NFI[Plastic Mat])*IF(Table_NFI[[#This Row],[Distribution Date]]&gt;"2014-04-01",1,2.5)</f>
        <v>0</v>
      </c>
      <c r="AI894" s="436">
        <f>IF(NFI_Expiration=1,IF($A894&lt;VLOOKUP(R$5,NFI,5,0),1,0)*Table_NFI[[#This Row],[Winter Clothes Adult]],Table_NFI[Winter Clothes Adult])</f>
        <v>0</v>
      </c>
      <c r="AJ894" s="436">
        <f>IF(NFI_Expiration=1,IF($A894&lt;VLOOKUP(S$5,NFI,5,0),1,0)*Table_NFI[[#This Row],[Winter Clothes Children]],Table_NFI[Winter Clothes Children])</f>
        <v>0</v>
      </c>
      <c r="AK894" s="436">
        <f>IF(NFI_Expiration=1,IF($A894&lt;VLOOKUP(T$5,NFI,5,0),1,0)*Table_NFI[[#This Row],[Winter Items Other]],Table_NFI[Winter Items Other])</f>
        <v>0</v>
      </c>
      <c r="AL894" s="436">
        <f>IF(NFI_Expiration=1,IF($A894&lt;VLOOKUP(M$5,NFI,5,0),1,0)*Table_NFI[[#This Row],[Winter Blanket]],Table_NFI[[#This Row],[Winter Blanket]])</f>
        <v>0</v>
      </c>
      <c r="AM894" s="436">
        <f>IF(Table_NFI[[#This Row],[Winter Clothes Adult]]+Table_NFI[[#This Row],[Winter Clothes Children]]+Table_NFI[[#This Row],[Winter Items Other]]+Table_NFI[[#This Row],[Winter Blanket]]&gt;0,1,0)</f>
        <v>0</v>
      </c>
      <c r="AN894" s="439">
        <f>IF(NFI_Expiration=1,IF($A894&lt;VLOOKUP(V$5,NFI,5,0),1,0)*Table_NFI[[#This Row],[Jerry Can]],Table_NFI[Jerry Can])</f>
        <v>0</v>
      </c>
      <c r="AO894" s="771" t="str">
        <f>IFERROR(VLOOKUP(Table_NFI[[#This Row],[Camp Name]],CL,2,0),"")</f>
        <v>MMR001CMP006</v>
      </c>
      <c r="AP894" s="772">
        <f ca="1">IF(Table_NFI[[#This Row],[Pcode]]="","",IF(OFFSET(CampList[Opening Date],MATCH(Table_NFI[[#This Row],[Pcode]],CampList[CP_Pcode],0)-1,0,1,1)&gt;=NFI_Monitor_Date,1,0))</f>
        <v>0</v>
      </c>
      <c r="AQ894" s="781" t="str">
        <f>IFERROR(VLOOKUP(Table_NFI[[#This Row],[Camp Name]],CL,3,0),"")</f>
        <v>Open</v>
      </c>
      <c r="AR894" s="439" t="str">
        <f ca="1">IF(Table_NFI[[#This Row],[Pcode]]="","",OFFSET(CampList[Priority],MATCH(Table_NFI[[#This Row],[Pcode]],CampList[CP_Pcode],0)-1,0,1,1))</f>
        <v>P4</v>
      </c>
      <c r="AS894" s="438">
        <f>IFERROR(Table_NFI[[#This Row],[Kitchen Set]]/VLOOKUP(Table_NFI[[#This Row],[Camp Name]],CL,4,0),"")</f>
        <v>2.1052631578947368E-2</v>
      </c>
      <c r="AT894" s="769" t="s">
        <v>1099</v>
      </c>
      <c r="AU894" s="773"/>
    </row>
    <row r="895" spans="1:47" s="774" customFormat="1" ht="13.15" customHeight="1" x14ac:dyDescent="0.25">
      <c r="A895" s="451">
        <f t="shared" si="13"/>
        <v>49.4</v>
      </c>
      <c r="B895" s="794">
        <v>40888</v>
      </c>
      <c r="C895" s="769" t="s">
        <v>454</v>
      </c>
      <c r="D895" s="828" t="s">
        <v>462</v>
      </c>
      <c r="E895" s="769" t="s">
        <v>380</v>
      </c>
      <c r="F895" s="435" t="s">
        <v>237</v>
      </c>
      <c r="G895" s="435" t="s">
        <v>275</v>
      </c>
      <c r="H895" s="436"/>
      <c r="I895" s="436"/>
      <c r="J895" s="436"/>
      <c r="K895" s="436">
        <v>3</v>
      </c>
      <c r="L895" s="437">
        <v>2</v>
      </c>
      <c r="M895" s="437">
        <v>3</v>
      </c>
      <c r="N895" s="437">
        <v>2</v>
      </c>
      <c r="O895" s="437">
        <v>2</v>
      </c>
      <c r="P895" s="437">
        <v>2</v>
      </c>
      <c r="Q895" s="437">
        <v>2</v>
      </c>
      <c r="R895" s="436"/>
      <c r="S895" s="436"/>
      <c r="T895" s="436"/>
      <c r="U895" s="436"/>
      <c r="V895" s="695"/>
      <c r="W895" s="695"/>
      <c r="X895" s="695"/>
      <c r="Y895" s="436">
        <f>IF(NFI_Expiration=1,IF($A895&lt;VLOOKUP(H$5,NFI,5,0),1,0)*Table_NFI[[#This Row],[Hygiene Kit]],Table_NFI[Hygiene Kit])</f>
        <v>0</v>
      </c>
      <c r="Z895" s="436">
        <f>IF(NFI_Expiration=1,IF($A895&lt;VLOOKUP(I$5,NFI,5,0),1,0)*Table_NFI[[#This Row],[NFI Core Kit]],Table_NFI[NFI Core Kit])</f>
        <v>0</v>
      </c>
      <c r="AA895" s="436">
        <f>IF(NFI_Expiration=1,IF($A895&lt;VLOOKUP(J$5,NFI,5,0),1,0)*Table_NFI[[#This Row],[Sanitary Kit]],Table_NFI[Sanitary Kit])</f>
        <v>0</v>
      </c>
      <c r="AB895" s="436">
        <f>IF(NFI_Expiration=1,IF($A895&lt;VLOOKUP(K$5,NFI,5,0),1,0)*Table_NFI[[#This Row],[Mosquito net]],Table_NFI[Mosquito net])</f>
        <v>0</v>
      </c>
      <c r="AC895" s="436">
        <f>IF(NFI_Expiration=1,IF($A895&lt;VLOOKUP(L$5,NFI,5,0),1,0)*Table_NFI[[#This Row],[Tarpaulin]],Table_NFI[[#This Row],[Tarpaulin]])</f>
        <v>0</v>
      </c>
      <c r="AD895" s="436">
        <f>IF(NFI_Expiration=1,IF($A895&lt;VLOOKUP(M$5,NFI,5,0),1,0)*Table_NFI[[#This Row],[Blanket]],Table_NFI[[#This Row],[Blanket]])</f>
        <v>0</v>
      </c>
      <c r="AE895" s="436">
        <f>IF(NFI_Expiration=1,IF($A895&lt;VLOOKUP(N$5,NFI,5,0),1,0)*Table_NFI[[#This Row],[Kitchen Set]],Table_NFI[Kitchen Set])</f>
        <v>0</v>
      </c>
      <c r="AF895" s="436">
        <f>IF(NFI_Expiration=1,IF($A895&lt;VLOOKUP(O$5,NFI,5,0),1,0)*Table_NFI[[#This Row],[Clothes Kit]],Table_NFI[Clothes Kit])</f>
        <v>0</v>
      </c>
      <c r="AG895" s="436">
        <f>IF(NFI_Expiration=1,IF($A895&lt;VLOOKUP(P$5,NFI,5,0),1,0)*Table_NFI[[#This Row],[Plastic Bucket]],Table_NFI[Plastic Bucket])</f>
        <v>0</v>
      </c>
      <c r="AH895" s="436">
        <f>IF(NFI_Expiration=1,IF($A895&lt;VLOOKUP(Q$5,NFI,5,0),1,0)*Table_NFI[[#This Row],[Plastic Mat]],Table_NFI[Plastic Mat])*IF(Table_NFI[[#This Row],[Distribution Date]]&gt;"2014-04-01",1,2.5)</f>
        <v>0</v>
      </c>
      <c r="AI895" s="436">
        <f>IF(NFI_Expiration=1,IF($A895&lt;VLOOKUP(R$5,NFI,5,0),1,0)*Table_NFI[[#This Row],[Winter Clothes Adult]],Table_NFI[Winter Clothes Adult])</f>
        <v>0</v>
      </c>
      <c r="AJ895" s="436">
        <f>IF(NFI_Expiration=1,IF($A895&lt;VLOOKUP(S$5,NFI,5,0),1,0)*Table_NFI[[#This Row],[Winter Clothes Children]],Table_NFI[Winter Clothes Children])</f>
        <v>0</v>
      </c>
      <c r="AK895" s="436">
        <f>IF(NFI_Expiration=1,IF($A895&lt;VLOOKUP(T$5,NFI,5,0),1,0)*Table_NFI[[#This Row],[Winter Items Other]],Table_NFI[Winter Items Other])</f>
        <v>0</v>
      </c>
      <c r="AL895" s="436">
        <f>IF(NFI_Expiration=1,IF($A895&lt;VLOOKUP(M$5,NFI,5,0),1,0)*Table_NFI[[#This Row],[Winter Blanket]],Table_NFI[[#This Row],[Winter Blanket]])</f>
        <v>0</v>
      </c>
      <c r="AM895" s="436">
        <f>IF(Table_NFI[[#This Row],[Winter Clothes Adult]]+Table_NFI[[#This Row],[Winter Clothes Children]]+Table_NFI[[#This Row],[Winter Items Other]]+Table_NFI[[#This Row],[Winter Blanket]]&gt;0,1,0)</f>
        <v>0</v>
      </c>
      <c r="AN895" s="439">
        <f>IF(NFI_Expiration=1,IF($A895&lt;VLOOKUP(V$5,NFI,5,0),1,0)*Table_NFI[[#This Row],[Jerry Can]],Table_NFI[Jerry Can])</f>
        <v>0</v>
      </c>
      <c r="AO895" s="771" t="str">
        <f>IFERROR(VLOOKUP(Table_NFI[[#This Row],[Camp Name]],CL,2,0),"")</f>
        <v>MMR001CMP005</v>
      </c>
      <c r="AP895" s="772">
        <f ca="1">IF(Table_NFI[[#This Row],[Pcode]]="","",IF(OFFSET(CampList[Opening Date],MATCH(Table_NFI[[#This Row],[Pcode]],CampList[CP_Pcode],0)-1,0,1,1)&gt;=NFI_Monitor_Date,1,0))</f>
        <v>0</v>
      </c>
      <c r="AQ895" s="781" t="str">
        <f>IFERROR(VLOOKUP(Table_NFI[[#This Row],[Camp Name]],CL,3,0),"")</f>
        <v>Open</v>
      </c>
      <c r="AR895" s="439" t="str">
        <f ca="1">IF(Table_NFI[[#This Row],[Pcode]]="","",OFFSET(CampList[Priority],MATCH(Table_NFI[[#This Row],[Pcode]],CampList[CP_Pcode],0)-1,0,1,1))</f>
        <v>P4</v>
      </c>
      <c r="AS895" s="438">
        <f>IFERROR(Table_NFI[[#This Row],[Kitchen Set]]/VLOOKUP(Table_NFI[[#This Row],[Camp Name]],CL,4,0),"")</f>
        <v>4.5454545454545456E-2</v>
      </c>
      <c r="AT895" s="769" t="s">
        <v>1099</v>
      </c>
      <c r="AU895" s="773"/>
    </row>
    <row r="896" spans="1:47" s="774" customFormat="1" ht="13.15" customHeight="1" x14ac:dyDescent="0.25">
      <c r="A896" s="451">
        <f t="shared" si="13"/>
        <v>49.466666666666669</v>
      </c>
      <c r="B896" s="794">
        <v>40886</v>
      </c>
      <c r="C896" s="769" t="s">
        <v>454</v>
      </c>
      <c r="D896" s="828" t="s">
        <v>462</v>
      </c>
      <c r="E896" s="769" t="s">
        <v>380</v>
      </c>
      <c r="F896" s="435" t="s">
        <v>237</v>
      </c>
      <c r="G896" s="435" t="s">
        <v>240</v>
      </c>
      <c r="H896" s="436"/>
      <c r="I896" s="436"/>
      <c r="J896" s="436"/>
      <c r="K896" s="436">
        <v>13</v>
      </c>
      <c r="L896" s="437">
        <v>6</v>
      </c>
      <c r="M896" s="437">
        <v>13</v>
      </c>
      <c r="N896" s="437">
        <v>6</v>
      </c>
      <c r="O896" s="437">
        <v>6</v>
      </c>
      <c r="P896" s="437">
        <v>6</v>
      </c>
      <c r="Q896" s="437">
        <v>6</v>
      </c>
      <c r="R896" s="436"/>
      <c r="S896" s="436"/>
      <c r="T896" s="436"/>
      <c r="U896" s="436"/>
      <c r="V896" s="695"/>
      <c r="W896" s="695"/>
      <c r="X896" s="695"/>
      <c r="Y896" s="436">
        <f>IF(NFI_Expiration=1,IF($A896&lt;VLOOKUP(H$5,NFI,5,0),1,0)*Table_NFI[[#This Row],[Hygiene Kit]],Table_NFI[Hygiene Kit])</f>
        <v>0</v>
      </c>
      <c r="Z896" s="436">
        <f>IF(NFI_Expiration=1,IF($A896&lt;VLOOKUP(I$5,NFI,5,0),1,0)*Table_NFI[[#This Row],[NFI Core Kit]],Table_NFI[NFI Core Kit])</f>
        <v>0</v>
      </c>
      <c r="AA896" s="436">
        <f>IF(NFI_Expiration=1,IF($A896&lt;VLOOKUP(J$5,NFI,5,0),1,0)*Table_NFI[[#This Row],[Sanitary Kit]],Table_NFI[Sanitary Kit])</f>
        <v>0</v>
      </c>
      <c r="AB896" s="436">
        <f>IF(NFI_Expiration=1,IF($A896&lt;VLOOKUP(K$5,NFI,5,0),1,0)*Table_NFI[[#This Row],[Mosquito net]],Table_NFI[Mosquito net])</f>
        <v>0</v>
      </c>
      <c r="AC896" s="436">
        <f>IF(NFI_Expiration=1,IF($A896&lt;VLOOKUP(L$5,NFI,5,0),1,0)*Table_NFI[[#This Row],[Tarpaulin]],Table_NFI[[#This Row],[Tarpaulin]])</f>
        <v>0</v>
      </c>
      <c r="AD896" s="436">
        <f>IF(NFI_Expiration=1,IF($A896&lt;VLOOKUP(M$5,NFI,5,0),1,0)*Table_NFI[[#This Row],[Blanket]],Table_NFI[[#This Row],[Blanket]])</f>
        <v>0</v>
      </c>
      <c r="AE896" s="436">
        <f>IF(NFI_Expiration=1,IF($A896&lt;VLOOKUP(N$5,NFI,5,0),1,0)*Table_NFI[[#This Row],[Kitchen Set]],Table_NFI[Kitchen Set])</f>
        <v>0</v>
      </c>
      <c r="AF896" s="436">
        <f>IF(NFI_Expiration=1,IF($A896&lt;VLOOKUP(O$5,NFI,5,0),1,0)*Table_NFI[[#This Row],[Clothes Kit]],Table_NFI[Clothes Kit])</f>
        <v>0</v>
      </c>
      <c r="AG896" s="436">
        <f>IF(NFI_Expiration=1,IF($A896&lt;VLOOKUP(P$5,NFI,5,0),1,0)*Table_NFI[[#This Row],[Plastic Bucket]],Table_NFI[Plastic Bucket])</f>
        <v>0</v>
      </c>
      <c r="AH896" s="436">
        <f>IF(NFI_Expiration=1,IF($A896&lt;VLOOKUP(Q$5,NFI,5,0),1,0)*Table_NFI[[#This Row],[Plastic Mat]],Table_NFI[Plastic Mat])*IF(Table_NFI[[#This Row],[Distribution Date]]&gt;"2014-04-01",1,2.5)</f>
        <v>0</v>
      </c>
      <c r="AI896" s="436">
        <f>IF(NFI_Expiration=1,IF($A896&lt;VLOOKUP(R$5,NFI,5,0),1,0)*Table_NFI[[#This Row],[Winter Clothes Adult]],Table_NFI[Winter Clothes Adult])</f>
        <v>0</v>
      </c>
      <c r="AJ896" s="436">
        <f>IF(NFI_Expiration=1,IF($A896&lt;VLOOKUP(S$5,NFI,5,0),1,0)*Table_NFI[[#This Row],[Winter Clothes Children]],Table_NFI[Winter Clothes Children])</f>
        <v>0</v>
      </c>
      <c r="AK896" s="436">
        <f>IF(NFI_Expiration=1,IF($A896&lt;VLOOKUP(T$5,NFI,5,0),1,0)*Table_NFI[[#This Row],[Winter Items Other]],Table_NFI[Winter Items Other])</f>
        <v>0</v>
      </c>
      <c r="AL896" s="436">
        <f>IF(NFI_Expiration=1,IF($A896&lt;VLOOKUP(M$5,NFI,5,0),1,0)*Table_NFI[[#This Row],[Winter Blanket]],Table_NFI[[#This Row],[Winter Blanket]])</f>
        <v>0</v>
      </c>
      <c r="AM896" s="436">
        <f>IF(Table_NFI[[#This Row],[Winter Clothes Adult]]+Table_NFI[[#This Row],[Winter Clothes Children]]+Table_NFI[[#This Row],[Winter Items Other]]+Table_NFI[[#This Row],[Winter Blanket]]&gt;0,1,0)</f>
        <v>0</v>
      </c>
      <c r="AN896" s="439">
        <f>IF(NFI_Expiration=1,IF($A896&lt;VLOOKUP(V$5,NFI,5,0),1,0)*Table_NFI[[#This Row],[Jerry Can]],Table_NFI[Jerry Can])</f>
        <v>0</v>
      </c>
      <c r="AO896" s="771" t="str">
        <f>IFERROR(VLOOKUP(Table_NFI[[#This Row],[Camp Name]],CL,2,0),"")</f>
        <v>MMR001CMP015</v>
      </c>
      <c r="AP896" s="772">
        <f ca="1">IF(Table_NFI[[#This Row],[Pcode]]="","",IF(OFFSET(CampList[Opening Date],MATCH(Table_NFI[[#This Row],[Pcode]],CampList[CP_Pcode],0)-1,0,1,1)&gt;=NFI_Monitor_Date,1,0))</f>
        <v>0</v>
      </c>
      <c r="AQ896" s="781" t="str">
        <f>IFERROR(VLOOKUP(Table_NFI[[#This Row],[Camp Name]],CL,3,0),"")</f>
        <v>Open</v>
      </c>
      <c r="AR896" s="439" t="str">
        <f ca="1">IF(Table_NFI[[#This Row],[Pcode]]="","",OFFSET(CampList[Priority],MATCH(Table_NFI[[#This Row],[Pcode]],CampList[CP_Pcode],0)-1,0,1,1))</f>
        <v>P4</v>
      </c>
      <c r="AS896" s="438">
        <f>IFERROR(Table_NFI[[#This Row],[Kitchen Set]]/VLOOKUP(Table_NFI[[#This Row],[Camp Name]],CL,4,0),"")</f>
        <v>5.5555555555555552E-2</v>
      </c>
      <c r="AT896" s="769" t="s">
        <v>1099</v>
      </c>
      <c r="AU896" s="773"/>
    </row>
    <row r="897" spans="1:47" s="774" customFormat="1" ht="13.15" customHeight="1" x14ac:dyDescent="0.25">
      <c r="A897" s="451">
        <f t="shared" si="13"/>
        <v>49.6</v>
      </c>
      <c r="B897" s="768">
        <v>40882</v>
      </c>
      <c r="C897" s="769" t="s">
        <v>454</v>
      </c>
      <c r="D897" s="770" t="s">
        <v>508</v>
      </c>
      <c r="E897" s="769" t="s">
        <v>380</v>
      </c>
      <c r="F897" s="435" t="s">
        <v>237</v>
      </c>
      <c r="G897" s="435" t="s">
        <v>253</v>
      </c>
      <c r="H897" s="436"/>
      <c r="I897" s="436"/>
      <c r="J897" s="436"/>
      <c r="K897" s="436">
        <v>80</v>
      </c>
      <c r="L897" s="437">
        <v>45</v>
      </c>
      <c r="M897" s="437">
        <v>80</v>
      </c>
      <c r="N897" s="437">
        <v>45</v>
      </c>
      <c r="O897" s="437">
        <v>45</v>
      </c>
      <c r="P897" s="437">
        <v>45</v>
      </c>
      <c r="Q897" s="437">
        <v>45</v>
      </c>
      <c r="R897" s="436"/>
      <c r="S897" s="436"/>
      <c r="T897" s="436"/>
      <c r="U897" s="436"/>
      <c r="V897" s="695"/>
      <c r="W897" s="695"/>
      <c r="X897" s="695"/>
      <c r="Y897" s="436">
        <f>IF(NFI_Expiration=1,IF($A897&lt;VLOOKUP(H$5,NFI,5,0),1,0)*Table_NFI[[#This Row],[Hygiene Kit]],Table_NFI[Hygiene Kit])</f>
        <v>0</v>
      </c>
      <c r="Z897" s="436">
        <f>IF(NFI_Expiration=1,IF($A897&lt;VLOOKUP(I$5,NFI,5,0),1,0)*Table_NFI[[#This Row],[NFI Core Kit]],Table_NFI[NFI Core Kit])</f>
        <v>0</v>
      </c>
      <c r="AA897" s="436">
        <f>IF(NFI_Expiration=1,IF($A897&lt;VLOOKUP(J$5,NFI,5,0),1,0)*Table_NFI[[#This Row],[Sanitary Kit]],Table_NFI[Sanitary Kit])</f>
        <v>0</v>
      </c>
      <c r="AB897" s="436">
        <f>IF(NFI_Expiration=1,IF($A897&lt;VLOOKUP(K$5,NFI,5,0),1,0)*Table_NFI[[#This Row],[Mosquito net]],Table_NFI[Mosquito net])</f>
        <v>0</v>
      </c>
      <c r="AC897" s="436">
        <f>IF(NFI_Expiration=1,IF($A897&lt;VLOOKUP(L$5,NFI,5,0),1,0)*Table_NFI[[#This Row],[Tarpaulin]],Table_NFI[[#This Row],[Tarpaulin]])</f>
        <v>0</v>
      </c>
      <c r="AD897" s="436">
        <f>IF(NFI_Expiration=1,IF($A897&lt;VLOOKUP(M$5,NFI,5,0),1,0)*Table_NFI[[#This Row],[Blanket]],Table_NFI[[#This Row],[Blanket]])</f>
        <v>0</v>
      </c>
      <c r="AE897" s="436">
        <f>IF(NFI_Expiration=1,IF($A897&lt;VLOOKUP(N$5,NFI,5,0),1,0)*Table_NFI[[#This Row],[Kitchen Set]],Table_NFI[Kitchen Set])</f>
        <v>0</v>
      </c>
      <c r="AF897" s="436">
        <f>IF(NFI_Expiration=1,IF($A897&lt;VLOOKUP(O$5,NFI,5,0),1,0)*Table_NFI[[#This Row],[Clothes Kit]],Table_NFI[Clothes Kit])</f>
        <v>0</v>
      </c>
      <c r="AG897" s="436">
        <f>IF(NFI_Expiration=1,IF($A897&lt;VLOOKUP(P$5,NFI,5,0),1,0)*Table_NFI[[#This Row],[Plastic Bucket]],Table_NFI[Plastic Bucket])</f>
        <v>0</v>
      </c>
      <c r="AH897" s="436">
        <f>IF(NFI_Expiration=1,IF($A897&lt;VLOOKUP(Q$5,NFI,5,0),1,0)*Table_NFI[[#This Row],[Plastic Mat]],Table_NFI[Plastic Mat])*IF(Table_NFI[[#This Row],[Distribution Date]]&gt;"2014-04-01",1,2.5)</f>
        <v>0</v>
      </c>
      <c r="AI897" s="436">
        <f>IF(NFI_Expiration=1,IF($A897&lt;VLOOKUP(R$5,NFI,5,0),1,0)*Table_NFI[[#This Row],[Winter Clothes Adult]],Table_NFI[Winter Clothes Adult])</f>
        <v>0</v>
      </c>
      <c r="AJ897" s="436">
        <f>IF(NFI_Expiration=1,IF($A897&lt;VLOOKUP(S$5,NFI,5,0),1,0)*Table_NFI[[#This Row],[Winter Clothes Children]],Table_NFI[Winter Clothes Children])</f>
        <v>0</v>
      </c>
      <c r="AK897" s="436">
        <f>IF(NFI_Expiration=1,IF($A897&lt;VLOOKUP(T$5,NFI,5,0),1,0)*Table_NFI[[#This Row],[Winter Items Other]],Table_NFI[Winter Items Other])</f>
        <v>0</v>
      </c>
      <c r="AL897" s="436">
        <f>IF(NFI_Expiration=1,IF($A897&lt;VLOOKUP(M$5,NFI,5,0),1,0)*Table_NFI[[#This Row],[Winter Blanket]],Table_NFI[[#This Row],[Winter Blanket]])</f>
        <v>0</v>
      </c>
      <c r="AM897" s="436">
        <f>IF(Table_NFI[[#This Row],[Winter Clothes Adult]]+Table_NFI[[#This Row],[Winter Clothes Children]]+Table_NFI[[#This Row],[Winter Items Other]]+Table_NFI[[#This Row],[Winter Blanket]]&gt;0,1,0)</f>
        <v>0</v>
      </c>
      <c r="AN897" s="439">
        <f>IF(NFI_Expiration=1,IF($A897&lt;VLOOKUP(V$5,NFI,5,0),1,0)*Table_NFI[[#This Row],[Jerry Can]],Table_NFI[Jerry Can])</f>
        <v>0</v>
      </c>
      <c r="AO897" s="771" t="str">
        <f>IFERROR(VLOOKUP(Table_NFI[[#This Row],[Camp Name]],CL,2,0),"")</f>
        <v>MMR001CMP018</v>
      </c>
      <c r="AP897" s="772">
        <f ca="1">IF(Table_NFI[[#This Row],[Pcode]]="","",IF(OFFSET(CampList[Opening Date],MATCH(Table_NFI[[#This Row],[Pcode]],CampList[CP_Pcode],0)-1,0,1,1)&gt;=NFI_Monitor_Date,1,0))</f>
        <v>0</v>
      </c>
      <c r="AQ897" s="781" t="str">
        <f>IFERROR(VLOOKUP(Table_NFI[[#This Row],[Camp Name]],CL,3,0),"")</f>
        <v>Open</v>
      </c>
      <c r="AR897" s="439" t="str">
        <f ca="1">IF(Table_NFI[[#This Row],[Pcode]]="","",OFFSET(CampList[Priority],MATCH(Table_NFI[[#This Row],[Pcode]],CampList[CP_Pcode],0)-1,0,1,1))</f>
        <v>P4</v>
      </c>
      <c r="AS897" s="438">
        <f>IFERROR(Table_NFI[[#This Row],[Kitchen Set]]/VLOOKUP(Table_NFI[[#This Row],[Camp Name]],CL,4,0),"")</f>
        <v>0.22167487684729065</v>
      </c>
      <c r="AT897" s="769" t="s">
        <v>1099</v>
      </c>
      <c r="AU897" s="793"/>
    </row>
    <row r="898" spans="1:47" s="798" customFormat="1" ht="16.899999999999999" customHeight="1" x14ac:dyDescent="0.25">
      <c r="A898" s="451">
        <f t="shared" si="13"/>
        <v>49.633333333333333</v>
      </c>
      <c r="B898" s="768">
        <v>40881</v>
      </c>
      <c r="C898" s="769" t="s">
        <v>454</v>
      </c>
      <c r="D898" s="828" t="s">
        <v>462</v>
      </c>
      <c r="E898" s="795" t="s">
        <v>380</v>
      </c>
      <c r="F898" s="696" t="s">
        <v>237</v>
      </c>
      <c r="G898" s="696" t="s">
        <v>281</v>
      </c>
      <c r="H898" s="436"/>
      <c r="I898" s="436"/>
      <c r="J898" s="436"/>
      <c r="K898" s="436">
        <v>52</v>
      </c>
      <c r="L898" s="437">
        <v>27</v>
      </c>
      <c r="M898" s="437">
        <v>52</v>
      </c>
      <c r="N898" s="437">
        <v>27</v>
      </c>
      <c r="O898" s="437">
        <v>27</v>
      </c>
      <c r="P898" s="437">
        <v>27</v>
      </c>
      <c r="Q898" s="437">
        <v>27</v>
      </c>
      <c r="R898" s="436"/>
      <c r="S898" s="436"/>
      <c r="T898" s="436"/>
      <c r="U898" s="436"/>
      <c r="V898" s="436"/>
      <c r="W898" s="436"/>
      <c r="X898" s="436"/>
      <c r="Y898" s="436">
        <f>IF(NFI_Expiration=1,IF($A898&lt;VLOOKUP(H$5,NFI,5,0),1,0)*Table_NFI[[#This Row],[Hygiene Kit]],Table_NFI[Hygiene Kit])</f>
        <v>0</v>
      </c>
      <c r="Z898" s="436">
        <f>IF(NFI_Expiration=1,IF($A898&lt;VLOOKUP(I$5,NFI,5,0),1,0)*Table_NFI[[#This Row],[NFI Core Kit]],Table_NFI[NFI Core Kit])</f>
        <v>0</v>
      </c>
      <c r="AA898" s="436">
        <f>IF(NFI_Expiration=1,IF($A898&lt;VLOOKUP(J$5,NFI,5,0),1,0)*Table_NFI[[#This Row],[Sanitary Kit]],Table_NFI[Sanitary Kit])</f>
        <v>0</v>
      </c>
      <c r="AB898" s="436">
        <f>IF(NFI_Expiration=1,IF($A898&lt;VLOOKUP(K$5,NFI,5,0),1,0)*Table_NFI[[#This Row],[Mosquito net]],Table_NFI[Mosquito net])</f>
        <v>0</v>
      </c>
      <c r="AC898" s="436">
        <f>IF(NFI_Expiration=1,IF($A898&lt;VLOOKUP(L$5,NFI,5,0),1,0)*Table_NFI[[#This Row],[Tarpaulin]],Table_NFI[[#This Row],[Tarpaulin]])</f>
        <v>0</v>
      </c>
      <c r="AD898" s="436">
        <f>IF(NFI_Expiration=1,IF($A898&lt;VLOOKUP(M$5,NFI,5,0),1,0)*Table_NFI[[#This Row],[Blanket]],Table_NFI[[#This Row],[Blanket]])</f>
        <v>0</v>
      </c>
      <c r="AE898" s="436">
        <f>IF(NFI_Expiration=1,IF($A898&lt;VLOOKUP(N$5,NFI,5,0),1,0)*Table_NFI[[#This Row],[Kitchen Set]],Table_NFI[Kitchen Set])</f>
        <v>0</v>
      </c>
      <c r="AF898" s="436">
        <f>IF(NFI_Expiration=1,IF($A898&lt;VLOOKUP(O$5,NFI,5,0),1,0)*Table_NFI[[#This Row],[Clothes Kit]],Table_NFI[Clothes Kit])</f>
        <v>0</v>
      </c>
      <c r="AG898" s="436">
        <f>IF(NFI_Expiration=1,IF($A898&lt;VLOOKUP(P$5,NFI,5,0),1,0)*Table_NFI[[#This Row],[Plastic Bucket]],Table_NFI[Plastic Bucket])</f>
        <v>0</v>
      </c>
      <c r="AH898" s="436">
        <f>IF(NFI_Expiration=1,IF($A898&lt;VLOOKUP(Q$5,NFI,5,0),1,0)*Table_NFI[[#This Row],[Plastic Mat]],Table_NFI[Plastic Mat])*IF(Table_NFI[[#This Row],[Distribution Date]]&gt;"2014-04-01",1,2.5)</f>
        <v>0</v>
      </c>
      <c r="AI898" s="436">
        <f>IF(NFI_Expiration=1,IF($A898&lt;VLOOKUP(R$5,NFI,5,0),1,0)*Table_NFI[[#This Row],[Winter Clothes Adult]],Table_NFI[Winter Clothes Adult])</f>
        <v>0</v>
      </c>
      <c r="AJ898" s="436">
        <f>IF(NFI_Expiration=1,IF($A898&lt;VLOOKUP(S$5,NFI,5,0),1,0)*Table_NFI[[#This Row],[Winter Clothes Children]],Table_NFI[Winter Clothes Children])</f>
        <v>0</v>
      </c>
      <c r="AK898" s="436">
        <f>IF(NFI_Expiration=1,IF($A898&lt;VLOOKUP(T$5,NFI,5,0),1,0)*Table_NFI[[#This Row],[Winter Items Other]],Table_NFI[Winter Items Other])</f>
        <v>0</v>
      </c>
      <c r="AL898" s="436">
        <f>IF(NFI_Expiration=1,IF($A898&lt;VLOOKUP(M$5,NFI,5,0),1,0)*Table_NFI[[#This Row],[Winter Blanket]],Table_NFI[[#This Row],[Winter Blanket]])</f>
        <v>0</v>
      </c>
      <c r="AM898" s="436">
        <f>IF(Table_NFI[[#This Row],[Winter Clothes Adult]]+Table_NFI[[#This Row],[Winter Clothes Children]]+Table_NFI[[#This Row],[Winter Items Other]]+Table_NFI[[#This Row],[Winter Blanket]]&gt;0,1,0)</f>
        <v>0</v>
      </c>
      <c r="AN898" s="439">
        <f>IF(NFI_Expiration=1,IF($A898&lt;VLOOKUP(V$5,NFI,5,0),1,0)*Table_NFI[[#This Row],[Jerry Can]],Table_NFI[Jerry Can])</f>
        <v>0</v>
      </c>
      <c r="AO898" s="771" t="str">
        <f>IFERROR(VLOOKUP(Table_NFI[[#This Row],[Camp Name]],CL,2,0),"")</f>
        <v>MMR001CMP009</v>
      </c>
      <c r="AP898" s="772">
        <f ca="1">IF(Table_NFI[[#This Row],[Pcode]]="","",IF(OFFSET(CampList[Opening Date],MATCH(Table_NFI[[#This Row],[Pcode]],CampList[CP_Pcode],0)-1,0,1,1)&gt;=NFI_Monitor_Date,1,0))</f>
        <v>0</v>
      </c>
      <c r="AQ898" s="781" t="str">
        <f>IFERROR(VLOOKUP(Table_NFI[[#This Row],[Camp Name]],CL,3,0),"")</f>
        <v>Open</v>
      </c>
      <c r="AR898" s="439" t="str">
        <f ca="1">IF(Table_NFI[[#This Row],[Pcode]]="","",OFFSET(CampList[Priority],MATCH(Table_NFI[[#This Row],[Pcode]],CampList[CP_Pcode],0)-1,0,1,1))</f>
        <v>P4</v>
      </c>
      <c r="AS898" s="438">
        <f>IFERROR(Table_NFI[[#This Row],[Kitchen Set]]/VLOOKUP(Table_NFI[[#This Row],[Camp Name]],CL,4,0),"")</f>
        <v>0.3</v>
      </c>
      <c r="AT898" s="769" t="s">
        <v>1099</v>
      </c>
      <c r="AU898" s="793"/>
    </row>
    <row r="899" spans="1:47" s="798" customFormat="1" ht="14.45" customHeight="1" x14ac:dyDescent="0.25">
      <c r="A899" s="451">
        <f t="shared" si="13"/>
        <v>50.166666666666664</v>
      </c>
      <c r="B899" s="768">
        <v>40865</v>
      </c>
      <c r="C899" s="769" t="s">
        <v>454</v>
      </c>
      <c r="D899" s="828" t="s">
        <v>454</v>
      </c>
      <c r="E899" s="795" t="s">
        <v>380</v>
      </c>
      <c r="F899" s="696" t="s">
        <v>237</v>
      </c>
      <c r="G899" s="696" t="s">
        <v>913</v>
      </c>
      <c r="H899" s="436"/>
      <c r="I899" s="436"/>
      <c r="J899" s="436"/>
      <c r="K899" s="436">
        <v>24</v>
      </c>
      <c r="L899" s="437">
        <v>3</v>
      </c>
      <c r="M899" s="437">
        <v>24</v>
      </c>
      <c r="N899" s="437">
        <v>3</v>
      </c>
      <c r="O899" s="437">
        <v>3</v>
      </c>
      <c r="P899" s="437">
        <v>3</v>
      </c>
      <c r="Q899" s="437">
        <v>3</v>
      </c>
      <c r="R899" s="436"/>
      <c r="S899" s="436"/>
      <c r="T899" s="436"/>
      <c r="U899" s="436"/>
      <c r="V899" s="436"/>
      <c r="W899" s="436"/>
      <c r="X899" s="436"/>
      <c r="Y899" s="436">
        <f>IF(NFI_Expiration=1,IF($A899&lt;VLOOKUP(H$5,NFI,5,0),1,0)*Table_NFI[[#This Row],[Hygiene Kit]],Table_NFI[Hygiene Kit])</f>
        <v>0</v>
      </c>
      <c r="Z899" s="436">
        <f>IF(NFI_Expiration=1,IF($A899&lt;VLOOKUP(I$5,NFI,5,0),1,0)*Table_NFI[[#This Row],[NFI Core Kit]],Table_NFI[NFI Core Kit])</f>
        <v>0</v>
      </c>
      <c r="AA899" s="436">
        <f>IF(NFI_Expiration=1,IF($A899&lt;VLOOKUP(J$5,NFI,5,0),1,0)*Table_NFI[[#This Row],[Sanitary Kit]],Table_NFI[Sanitary Kit])</f>
        <v>0</v>
      </c>
      <c r="AB899" s="436">
        <f>IF(NFI_Expiration=1,IF($A899&lt;VLOOKUP(K$5,NFI,5,0),1,0)*Table_NFI[[#This Row],[Mosquito net]],Table_NFI[Mosquito net])</f>
        <v>0</v>
      </c>
      <c r="AC899" s="436">
        <f>IF(NFI_Expiration=1,IF($A899&lt;VLOOKUP(L$5,NFI,5,0),1,0)*Table_NFI[[#This Row],[Tarpaulin]],Table_NFI[[#This Row],[Tarpaulin]])</f>
        <v>0</v>
      </c>
      <c r="AD899" s="436">
        <f>IF(NFI_Expiration=1,IF($A899&lt;VLOOKUP(M$5,NFI,5,0),1,0)*Table_NFI[[#This Row],[Blanket]],Table_NFI[[#This Row],[Blanket]])</f>
        <v>0</v>
      </c>
      <c r="AE899" s="436">
        <f>IF(NFI_Expiration=1,IF($A899&lt;VLOOKUP(N$5,NFI,5,0),1,0)*Table_NFI[[#This Row],[Kitchen Set]],Table_NFI[Kitchen Set])</f>
        <v>0</v>
      </c>
      <c r="AF899" s="436">
        <f>IF(NFI_Expiration=1,IF($A899&lt;VLOOKUP(O$5,NFI,5,0),1,0)*Table_NFI[[#This Row],[Clothes Kit]],Table_NFI[Clothes Kit])</f>
        <v>0</v>
      </c>
      <c r="AG899" s="436">
        <f>IF(NFI_Expiration=1,IF($A899&lt;VLOOKUP(P$5,NFI,5,0),1,0)*Table_NFI[[#This Row],[Plastic Bucket]],Table_NFI[Plastic Bucket])</f>
        <v>0</v>
      </c>
      <c r="AH899" s="436">
        <f>IF(NFI_Expiration=1,IF($A899&lt;VLOOKUP(Q$5,NFI,5,0),1,0)*Table_NFI[[#This Row],[Plastic Mat]],Table_NFI[Plastic Mat])*IF(Table_NFI[[#This Row],[Distribution Date]]&gt;"2014-04-01",1,2.5)</f>
        <v>0</v>
      </c>
      <c r="AI899" s="436">
        <f>IF(NFI_Expiration=1,IF($A899&lt;VLOOKUP(R$5,NFI,5,0),1,0)*Table_NFI[[#This Row],[Winter Clothes Adult]],Table_NFI[Winter Clothes Adult])</f>
        <v>0</v>
      </c>
      <c r="AJ899" s="436">
        <f>IF(NFI_Expiration=1,IF($A899&lt;VLOOKUP(S$5,NFI,5,0),1,0)*Table_NFI[[#This Row],[Winter Clothes Children]],Table_NFI[Winter Clothes Children])</f>
        <v>0</v>
      </c>
      <c r="AK899" s="436">
        <f>IF(NFI_Expiration=1,IF($A899&lt;VLOOKUP(T$5,NFI,5,0),1,0)*Table_NFI[[#This Row],[Winter Items Other]],Table_NFI[Winter Items Other])</f>
        <v>0</v>
      </c>
      <c r="AL899" s="436">
        <f>IF(NFI_Expiration=1,IF($A899&lt;VLOOKUP(M$5,NFI,5,0),1,0)*Table_NFI[[#This Row],[Winter Blanket]],Table_NFI[[#This Row],[Winter Blanket]])</f>
        <v>0</v>
      </c>
      <c r="AM899" s="436">
        <f>IF(Table_NFI[[#This Row],[Winter Clothes Adult]]+Table_NFI[[#This Row],[Winter Clothes Children]]+Table_NFI[[#This Row],[Winter Items Other]]+Table_NFI[[#This Row],[Winter Blanket]]&gt;0,1,0)</f>
        <v>0</v>
      </c>
      <c r="AN899" s="439">
        <f>IF(NFI_Expiration=1,IF($A899&lt;VLOOKUP(V$5,NFI,5,0),1,0)*Table_NFI[[#This Row],[Jerry Can]],Table_NFI[Jerry Can])</f>
        <v>0</v>
      </c>
      <c r="AO899" s="771" t="str">
        <f>IFERROR(VLOOKUP(Table_NFI[[#This Row],[Camp Name]],CL,2,0),"")</f>
        <v/>
      </c>
      <c r="AP899" s="772" t="str">
        <f ca="1">IF(Table_NFI[[#This Row],[Pcode]]="","",IF(OFFSET(CampList[Opening Date],MATCH(Table_NFI[[#This Row],[Pcode]],CampList[CP_Pcode],0)-1,0,1,1)&gt;=NFI_Monitor_Date,1,0))</f>
        <v/>
      </c>
      <c r="AQ899" s="781" t="str">
        <f>IFERROR(VLOOKUP(Table_NFI[[#This Row],[Camp Name]],CL,3,0),"")</f>
        <v/>
      </c>
      <c r="AR899" s="439" t="str">
        <f ca="1">IF(Table_NFI[[#This Row],[Pcode]]="","",OFFSET(CampList[Priority],MATCH(Table_NFI[[#This Row],[Pcode]],CampList[CP_Pcode],0)-1,0,1,1))</f>
        <v/>
      </c>
      <c r="AS899" s="438" t="str">
        <f>IFERROR(Table_NFI[[#This Row],[Kitchen Set]]/VLOOKUP(Table_NFI[[#This Row],[Camp Name]],CL,4,0),"")</f>
        <v/>
      </c>
      <c r="AT899" s="769" t="s">
        <v>1099</v>
      </c>
      <c r="AU899" s="769"/>
    </row>
    <row r="900" spans="1:47" s="798" customFormat="1" ht="16.899999999999999" customHeight="1" x14ac:dyDescent="0.25">
      <c r="A900" s="451">
        <f t="shared" si="13"/>
        <v>50.166666666666664</v>
      </c>
      <c r="B900" s="794">
        <v>40865</v>
      </c>
      <c r="C900" s="795" t="s">
        <v>454</v>
      </c>
      <c r="D900" s="828" t="s">
        <v>454</v>
      </c>
      <c r="E900" s="795" t="s">
        <v>380</v>
      </c>
      <c r="F900" s="696" t="s">
        <v>237</v>
      </c>
      <c r="G900" s="696" t="s">
        <v>283</v>
      </c>
      <c r="H900" s="695"/>
      <c r="I900" s="695"/>
      <c r="J900" s="695"/>
      <c r="K900" s="695">
        <v>175</v>
      </c>
      <c r="L900" s="487">
        <v>0</v>
      </c>
      <c r="M900" s="487">
        <v>175</v>
      </c>
      <c r="N900" s="487">
        <v>0</v>
      </c>
      <c r="O900" s="487">
        <v>0</v>
      </c>
      <c r="P900" s="487"/>
      <c r="Q900" s="487"/>
      <c r="R900" s="695"/>
      <c r="S900" s="695"/>
      <c r="T900" s="695"/>
      <c r="U900" s="695"/>
      <c r="V900" s="695"/>
      <c r="W900" s="695"/>
      <c r="X900" s="695"/>
      <c r="Y900" s="436">
        <f>IF(NFI_Expiration=1,IF($A900&lt;VLOOKUP(H$5,NFI,5,0),1,0)*Table_NFI[[#This Row],[Hygiene Kit]],Table_NFI[Hygiene Kit])</f>
        <v>0</v>
      </c>
      <c r="Z900" s="436">
        <f>IF(NFI_Expiration=1,IF($A900&lt;VLOOKUP(I$5,NFI,5,0),1,0)*Table_NFI[[#This Row],[NFI Core Kit]],Table_NFI[NFI Core Kit])</f>
        <v>0</v>
      </c>
      <c r="AA900" s="436">
        <f>IF(NFI_Expiration=1,IF($A900&lt;VLOOKUP(J$5,NFI,5,0),1,0)*Table_NFI[[#This Row],[Sanitary Kit]],Table_NFI[Sanitary Kit])</f>
        <v>0</v>
      </c>
      <c r="AB900" s="436">
        <f>IF(NFI_Expiration=1,IF($A900&lt;VLOOKUP(K$5,NFI,5,0),1,0)*Table_NFI[[#This Row],[Mosquito net]],Table_NFI[Mosquito net])</f>
        <v>0</v>
      </c>
      <c r="AC900" s="436">
        <f>IF(NFI_Expiration=1,IF($A900&lt;VLOOKUP(L$5,NFI,5,0),1,0)*Table_NFI[[#This Row],[Tarpaulin]],Table_NFI[[#This Row],[Tarpaulin]])</f>
        <v>0</v>
      </c>
      <c r="AD900" s="436">
        <f>IF(NFI_Expiration=1,IF($A900&lt;VLOOKUP(M$5,NFI,5,0),1,0)*Table_NFI[[#This Row],[Blanket]],Table_NFI[[#This Row],[Blanket]])</f>
        <v>0</v>
      </c>
      <c r="AE900" s="436">
        <f>IF(NFI_Expiration=1,IF($A900&lt;VLOOKUP(N$5,NFI,5,0),1,0)*Table_NFI[[#This Row],[Kitchen Set]],Table_NFI[Kitchen Set])</f>
        <v>0</v>
      </c>
      <c r="AF900" s="436">
        <f>IF(NFI_Expiration=1,IF($A900&lt;VLOOKUP(O$5,NFI,5,0),1,0)*Table_NFI[[#This Row],[Clothes Kit]],Table_NFI[Clothes Kit])</f>
        <v>0</v>
      </c>
      <c r="AG900" s="436">
        <f>IF(NFI_Expiration=1,IF($A900&lt;VLOOKUP(P$5,NFI,5,0),1,0)*Table_NFI[[#This Row],[Plastic Bucket]],Table_NFI[Plastic Bucket])</f>
        <v>0</v>
      </c>
      <c r="AH900" s="436">
        <f>IF(NFI_Expiration=1,IF($A900&lt;VLOOKUP(Q$5,NFI,5,0),1,0)*Table_NFI[[#This Row],[Plastic Mat]],Table_NFI[Plastic Mat])*IF(Table_NFI[[#This Row],[Distribution Date]]&gt;"2014-04-01",1,2.5)</f>
        <v>0</v>
      </c>
      <c r="AI900" s="436">
        <f>IF(NFI_Expiration=1,IF($A900&lt;VLOOKUP(R$5,NFI,5,0),1,0)*Table_NFI[[#This Row],[Winter Clothes Adult]],Table_NFI[Winter Clothes Adult])</f>
        <v>0</v>
      </c>
      <c r="AJ900" s="436">
        <f>IF(NFI_Expiration=1,IF($A900&lt;VLOOKUP(S$5,NFI,5,0),1,0)*Table_NFI[[#This Row],[Winter Clothes Children]],Table_NFI[Winter Clothes Children])</f>
        <v>0</v>
      </c>
      <c r="AK900" s="436">
        <f>IF(NFI_Expiration=1,IF($A900&lt;VLOOKUP(T$5,NFI,5,0),1,0)*Table_NFI[[#This Row],[Winter Items Other]],Table_NFI[Winter Items Other])</f>
        <v>0</v>
      </c>
      <c r="AL900" s="436">
        <f>IF(NFI_Expiration=1,IF($A900&lt;VLOOKUP(M$5,NFI,5,0),1,0)*Table_NFI[[#This Row],[Winter Blanket]],Table_NFI[[#This Row],[Winter Blanket]])</f>
        <v>0</v>
      </c>
      <c r="AM900" s="436">
        <f>IF(Table_NFI[[#This Row],[Winter Clothes Adult]]+Table_NFI[[#This Row],[Winter Clothes Children]]+Table_NFI[[#This Row],[Winter Items Other]]+Table_NFI[[#This Row],[Winter Blanket]]&gt;0,1,0)</f>
        <v>0</v>
      </c>
      <c r="AN900" s="439">
        <f>IF(NFI_Expiration=1,IF($A900&lt;VLOOKUP(V$5,NFI,5,0),1,0)*Table_NFI[[#This Row],[Jerry Can]],Table_NFI[Jerry Can])</f>
        <v>0</v>
      </c>
      <c r="AO900" s="771" t="str">
        <f>IFERROR(VLOOKUP(Table_NFI[[#This Row],[Camp Name]],CL,2,0),"")</f>
        <v>MMR001CMP022</v>
      </c>
      <c r="AP900" s="772">
        <f ca="1">IF(Table_NFI[[#This Row],[Pcode]]="","",IF(OFFSET(CampList[Opening Date],MATCH(Table_NFI[[#This Row],[Pcode]],CampList[CP_Pcode],0)-1,0,1,1)&gt;=NFI_Monitor_Date,1,0))</f>
        <v>0</v>
      </c>
      <c r="AQ900" s="781" t="str">
        <f>IFERROR(VLOOKUP(Table_NFI[[#This Row],[Camp Name]],CL,3,0),"")</f>
        <v>Open</v>
      </c>
      <c r="AR900" s="439" t="str">
        <f ca="1">IF(Table_NFI[[#This Row],[Pcode]]="","",OFFSET(CampList[Priority],MATCH(Table_NFI[[#This Row],[Pcode]],CampList[CP_Pcode],0)-1,0,1,1))</f>
        <v>P4</v>
      </c>
      <c r="AS900" s="438">
        <f>IFERROR(Table_NFI[[#This Row],[Kitchen Set]]/VLOOKUP(Table_NFI[[#This Row],[Camp Name]],CL,4,0),"")</f>
        <v>0</v>
      </c>
      <c r="AT900" s="769" t="s">
        <v>1099</v>
      </c>
      <c r="AU900" s="773"/>
    </row>
    <row r="901" spans="1:47" s="798" customFormat="1" ht="22.9" customHeight="1" x14ac:dyDescent="0.25">
      <c r="A901" s="451">
        <f t="shared" si="13"/>
        <v>50.233333333333334</v>
      </c>
      <c r="B901" s="794">
        <v>40863</v>
      </c>
      <c r="C901" s="795" t="s">
        <v>454</v>
      </c>
      <c r="D901" s="828" t="s">
        <v>462</v>
      </c>
      <c r="E901" s="795" t="s">
        <v>380</v>
      </c>
      <c r="F901" s="696" t="s">
        <v>237</v>
      </c>
      <c r="G901" s="696" t="s">
        <v>269</v>
      </c>
      <c r="H901" s="695"/>
      <c r="I901" s="695"/>
      <c r="J901" s="695"/>
      <c r="K901" s="695">
        <v>92</v>
      </c>
      <c r="L901" s="487">
        <v>53</v>
      </c>
      <c r="M901" s="487">
        <v>92</v>
      </c>
      <c r="N901" s="487">
        <v>53</v>
      </c>
      <c r="O901" s="487">
        <v>53</v>
      </c>
      <c r="P901" s="487">
        <v>53</v>
      </c>
      <c r="Q901" s="487">
        <v>53</v>
      </c>
      <c r="R901" s="695"/>
      <c r="S901" s="695"/>
      <c r="T901" s="695"/>
      <c r="U901" s="695"/>
      <c r="V901" s="695"/>
      <c r="W901" s="695"/>
      <c r="X901" s="695"/>
      <c r="Y901" s="436">
        <f>IF(NFI_Expiration=1,IF($A901&lt;VLOOKUP(H$5,NFI,5,0),1,0)*Table_NFI[[#This Row],[Hygiene Kit]],Table_NFI[Hygiene Kit])</f>
        <v>0</v>
      </c>
      <c r="Z901" s="436">
        <f>IF(NFI_Expiration=1,IF($A901&lt;VLOOKUP(I$5,NFI,5,0),1,0)*Table_NFI[[#This Row],[NFI Core Kit]],Table_NFI[NFI Core Kit])</f>
        <v>0</v>
      </c>
      <c r="AA901" s="436">
        <f>IF(NFI_Expiration=1,IF($A901&lt;VLOOKUP(J$5,NFI,5,0),1,0)*Table_NFI[[#This Row],[Sanitary Kit]],Table_NFI[Sanitary Kit])</f>
        <v>0</v>
      </c>
      <c r="AB901" s="436">
        <f>IF(NFI_Expiration=1,IF($A901&lt;VLOOKUP(K$5,NFI,5,0),1,0)*Table_NFI[[#This Row],[Mosquito net]],Table_NFI[Mosquito net])</f>
        <v>0</v>
      </c>
      <c r="AC901" s="436">
        <f>IF(NFI_Expiration=1,IF($A901&lt;VLOOKUP(L$5,NFI,5,0),1,0)*Table_NFI[[#This Row],[Tarpaulin]],Table_NFI[[#This Row],[Tarpaulin]])</f>
        <v>0</v>
      </c>
      <c r="AD901" s="436">
        <f>IF(NFI_Expiration=1,IF($A901&lt;VLOOKUP(M$5,NFI,5,0),1,0)*Table_NFI[[#This Row],[Blanket]],Table_NFI[[#This Row],[Blanket]])</f>
        <v>0</v>
      </c>
      <c r="AE901" s="436">
        <f>IF(NFI_Expiration=1,IF($A901&lt;VLOOKUP(N$5,NFI,5,0),1,0)*Table_NFI[[#This Row],[Kitchen Set]],Table_NFI[Kitchen Set])</f>
        <v>0</v>
      </c>
      <c r="AF901" s="436">
        <f>IF(NFI_Expiration=1,IF($A901&lt;VLOOKUP(O$5,NFI,5,0),1,0)*Table_NFI[[#This Row],[Clothes Kit]],Table_NFI[Clothes Kit])</f>
        <v>0</v>
      </c>
      <c r="AG901" s="436">
        <f>IF(NFI_Expiration=1,IF($A901&lt;VLOOKUP(P$5,NFI,5,0),1,0)*Table_NFI[[#This Row],[Plastic Bucket]],Table_NFI[Plastic Bucket])</f>
        <v>0</v>
      </c>
      <c r="AH901" s="436">
        <f>IF(NFI_Expiration=1,IF($A901&lt;VLOOKUP(Q$5,NFI,5,0),1,0)*Table_NFI[[#This Row],[Plastic Mat]],Table_NFI[Plastic Mat])*IF(Table_NFI[[#This Row],[Distribution Date]]&gt;"2014-04-01",1,2.5)</f>
        <v>0</v>
      </c>
      <c r="AI901" s="436">
        <f>IF(NFI_Expiration=1,IF($A901&lt;VLOOKUP(R$5,NFI,5,0),1,0)*Table_NFI[[#This Row],[Winter Clothes Adult]],Table_NFI[Winter Clothes Adult])</f>
        <v>0</v>
      </c>
      <c r="AJ901" s="436">
        <f>IF(NFI_Expiration=1,IF($A901&lt;VLOOKUP(S$5,NFI,5,0),1,0)*Table_NFI[[#This Row],[Winter Clothes Children]],Table_NFI[Winter Clothes Children])</f>
        <v>0</v>
      </c>
      <c r="AK901" s="436">
        <f>IF(NFI_Expiration=1,IF($A901&lt;VLOOKUP(T$5,NFI,5,0),1,0)*Table_NFI[[#This Row],[Winter Items Other]],Table_NFI[Winter Items Other])</f>
        <v>0</v>
      </c>
      <c r="AL901" s="436">
        <f>IF(NFI_Expiration=1,IF($A901&lt;VLOOKUP(M$5,NFI,5,0),1,0)*Table_NFI[[#This Row],[Winter Blanket]],Table_NFI[[#This Row],[Winter Blanket]])</f>
        <v>0</v>
      </c>
      <c r="AM901" s="436">
        <f>IF(Table_NFI[[#This Row],[Winter Clothes Adult]]+Table_NFI[[#This Row],[Winter Clothes Children]]+Table_NFI[[#This Row],[Winter Items Other]]+Table_NFI[[#This Row],[Winter Blanket]]&gt;0,1,0)</f>
        <v>0</v>
      </c>
      <c r="AN901" s="439">
        <f>IF(NFI_Expiration=1,IF($A901&lt;VLOOKUP(V$5,NFI,5,0),1,0)*Table_NFI[[#This Row],[Jerry Can]],Table_NFI[Jerry Can])</f>
        <v>0</v>
      </c>
      <c r="AO901" s="771" t="str">
        <f>IFERROR(VLOOKUP(Table_NFI[[#This Row],[Camp Name]],CL,2,0),"")</f>
        <v>MMR001CMP002</v>
      </c>
      <c r="AP901" s="772">
        <f ca="1">IF(Table_NFI[[#This Row],[Pcode]]="","",IF(OFFSET(CampList[Opening Date],MATCH(Table_NFI[[#This Row],[Pcode]],CampList[CP_Pcode],0)-1,0,1,1)&gt;=NFI_Monitor_Date,1,0))</f>
        <v>0</v>
      </c>
      <c r="AQ901" s="781" t="str">
        <f>IFERROR(VLOOKUP(Table_NFI[[#This Row],[Camp Name]],CL,3,0),"")</f>
        <v>Open</v>
      </c>
      <c r="AR901" s="439" t="str">
        <f ca="1">IF(Table_NFI[[#This Row],[Pcode]]="","",OFFSET(CampList[Priority],MATCH(Table_NFI[[#This Row],[Pcode]],CampList[CP_Pcode],0)-1,0,1,1))</f>
        <v>P4</v>
      </c>
      <c r="AS901" s="438">
        <f>IFERROR(Table_NFI[[#This Row],[Kitchen Set]]/VLOOKUP(Table_NFI[[#This Row],[Camp Name]],CL,4,0),"")</f>
        <v>0.92982456140350878</v>
      </c>
      <c r="AT901" s="769" t="s">
        <v>1099</v>
      </c>
      <c r="AU901" s="793"/>
    </row>
    <row r="902" spans="1:47" s="798" customFormat="1" ht="19.149999999999999" customHeight="1" x14ac:dyDescent="0.25">
      <c r="A902" s="451">
        <f t="shared" ref="A902:A965" si="14">IF(ISBLANK(B902),"",(Report_Date-B902)/30)</f>
        <v>50.233333333333334</v>
      </c>
      <c r="B902" s="794">
        <v>40863</v>
      </c>
      <c r="C902" s="795" t="s">
        <v>454</v>
      </c>
      <c r="D902" s="795" t="s">
        <v>462</v>
      </c>
      <c r="E902" s="795" t="s">
        <v>380</v>
      </c>
      <c r="F902" s="696" t="s">
        <v>237</v>
      </c>
      <c r="G902" s="435" t="s">
        <v>251</v>
      </c>
      <c r="H902" s="695"/>
      <c r="I902" s="695"/>
      <c r="J902" s="695"/>
      <c r="K902" s="695">
        <v>53</v>
      </c>
      <c r="L902" s="487">
        <v>31</v>
      </c>
      <c r="M902" s="487">
        <v>53</v>
      </c>
      <c r="N902" s="487">
        <v>31</v>
      </c>
      <c r="O902" s="487">
        <v>31</v>
      </c>
      <c r="P902" s="488">
        <v>31</v>
      </c>
      <c r="Q902" s="488">
        <v>31</v>
      </c>
      <c r="R902" s="695"/>
      <c r="S902" s="695"/>
      <c r="T902" s="695"/>
      <c r="U902" s="695"/>
      <c r="V902" s="695"/>
      <c r="W902" s="695"/>
      <c r="X902" s="695"/>
      <c r="Y902" s="436">
        <f>IF(NFI_Expiration=1,IF($A902&lt;VLOOKUP(H$5,NFI,5,0),1,0)*Table_NFI[[#This Row],[Hygiene Kit]],Table_NFI[Hygiene Kit])</f>
        <v>0</v>
      </c>
      <c r="Z902" s="436">
        <f>IF(NFI_Expiration=1,IF($A902&lt;VLOOKUP(I$5,NFI,5,0),1,0)*Table_NFI[[#This Row],[NFI Core Kit]],Table_NFI[NFI Core Kit])</f>
        <v>0</v>
      </c>
      <c r="AA902" s="436">
        <f>IF(NFI_Expiration=1,IF($A902&lt;VLOOKUP(J$5,NFI,5,0),1,0)*Table_NFI[[#This Row],[Sanitary Kit]],Table_NFI[Sanitary Kit])</f>
        <v>0</v>
      </c>
      <c r="AB902" s="436">
        <f>IF(NFI_Expiration=1,IF($A902&lt;VLOOKUP(K$5,NFI,5,0),1,0)*Table_NFI[[#This Row],[Mosquito net]],Table_NFI[Mosquito net])</f>
        <v>0</v>
      </c>
      <c r="AC902" s="436">
        <f>IF(NFI_Expiration=1,IF($A902&lt;VLOOKUP(L$5,NFI,5,0),1,0)*Table_NFI[[#This Row],[Tarpaulin]],Table_NFI[[#This Row],[Tarpaulin]])</f>
        <v>0</v>
      </c>
      <c r="AD902" s="436">
        <f>IF(NFI_Expiration=1,IF($A902&lt;VLOOKUP(M$5,NFI,5,0),1,0)*Table_NFI[[#This Row],[Blanket]],Table_NFI[[#This Row],[Blanket]])</f>
        <v>0</v>
      </c>
      <c r="AE902" s="436">
        <f>IF(NFI_Expiration=1,IF($A902&lt;VLOOKUP(N$5,NFI,5,0),1,0)*Table_NFI[[#This Row],[Kitchen Set]],Table_NFI[Kitchen Set])</f>
        <v>0</v>
      </c>
      <c r="AF902" s="436">
        <f>IF(NFI_Expiration=1,IF($A902&lt;VLOOKUP(O$5,NFI,5,0),1,0)*Table_NFI[[#This Row],[Clothes Kit]],Table_NFI[Clothes Kit])</f>
        <v>0</v>
      </c>
      <c r="AG902" s="436">
        <f>IF(NFI_Expiration=1,IF($A902&lt;VLOOKUP(P$5,NFI,5,0),1,0)*Table_NFI[[#This Row],[Plastic Bucket]],Table_NFI[Plastic Bucket])</f>
        <v>0</v>
      </c>
      <c r="AH902" s="436">
        <f>IF(NFI_Expiration=1,IF($A902&lt;VLOOKUP(Q$5,NFI,5,0),1,0)*Table_NFI[[#This Row],[Plastic Mat]],Table_NFI[Plastic Mat])*IF(Table_NFI[[#This Row],[Distribution Date]]&gt;"2014-04-01",1,2.5)</f>
        <v>0</v>
      </c>
      <c r="AI902" s="436">
        <f>IF(NFI_Expiration=1,IF($A902&lt;VLOOKUP(R$5,NFI,5,0),1,0)*Table_NFI[[#This Row],[Winter Clothes Adult]],Table_NFI[Winter Clothes Adult])</f>
        <v>0</v>
      </c>
      <c r="AJ902" s="436">
        <f>IF(NFI_Expiration=1,IF($A902&lt;VLOOKUP(S$5,NFI,5,0),1,0)*Table_NFI[[#This Row],[Winter Clothes Children]],Table_NFI[Winter Clothes Children])</f>
        <v>0</v>
      </c>
      <c r="AK902" s="436">
        <f>IF(NFI_Expiration=1,IF($A902&lt;VLOOKUP(T$5,NFI,5,0),1,0)*Table_NFI[[#This Row],[Winter Items Other]],Table_NFI[Winter Items Other])</f>
        <v>0</v>
      </c>
      <c r="AL902" s="436">
        <f>IF(NFI_Expiration=1,IF($A902&lt;VLOOKUP(M$5,NFI,5,0),1,0)*Table_NFI[[#This Row],[Winter Blanket]],Table_NFI[[#This Row],[Winter Blanket]])</f>
        <v>0</v>
      </c>
      <c r="AM902" s="436">
        <f>IF(Table_NFI[[#This Row],[Winter Clothes Adult]]+Table_NFI[[#This Row],[Winter Clothes Children]]+Table_NFI[[#This Row],[Winter Items Other]]+Table_NFI[[#This Row],[Winter Blanket]]&gt;0,1,0)</f>
        <v>0</v>
      </c>
      <c r="AN902" s="439">
        <f>IF(NFI_Expiration=1,IF($A902&lt;VLOOKUP(V$5,NFI,5,0),1,0)*Table_NFI[[#This Row],[Jerry Can]],Table_NFI[Jerry Can])</f>
        <v>0</v>
      </c>
      <c r="AO902" s="771" t="str">
        <f>IFERROR(VLOOKUP(Table_NFI[[#This Row],[Camp Name]],CL,2,0),"")</f>
        <v>MMR001CMP003</v>
      </c>
      <c r="AP902" s="772">
        <f ca="1">IF(Table_NFI[[#This Row],[Pcode]]="","",IF(OFFSET(CampList[Opening Date],MATCH(Table_NFI[[#This Row],[Pcode]],CampList[CP_Pcode],0)-1,0,1,1)&gt;=NFI_Monitor_Date,1,0))</f>
        <v>0</v>
      </c>
      <c r="AQ902" s="781" t="str">
        <f>IFERROR(VLOOKUP(Table_NFI[[#This Row],[Camp Name]],CL,3,0),"")</f>
        <v>Open</v>
      </c>
      <c r="AR902" s="439" t="str">
        <f ca="1">IF(Table_NFI[[#This Row],[Pcode]]="","",OFFSET(CampList[Priority],MATCH(Table_NFI[[#This Row],[Pcode]],CampList[CP_Pcode],0)-1,0,1,1))</f>
        <v>P4</v>
      </c>
      <c r="AS902" s="438">
        <f>IFERROR(Table_NFI[[#This Row],[Kitchen Set]]/VLOOKUP(Table_NFI[[#This Row],[Camp Name]],CL,4,0),"")</f>
        <v>0.96875</v>
      </c>
      <c r="AT902" s="769" t="s">
        <v>1099</v>
      </c>
      <c r="AU902" s="793"/>
    </row>
    <row r="903" spans="1:47" s="798" customFormat="1" ht="19.899999999999999" customHeight="1" x14ac:dyDescent="0.25">
      <c r="A903" s="451">
        <f t="shared" si="14"/>
        <v>50.233333333333334</v>
      </c>
      <c r="B903" s="794">
        <v>40863</v>
      </c>
      <c r="C903" s="795" t="s">
        <v>454</v>
      </c>
      <c r="D903" s="828" t="s">
        <v>462</v>
      </c>
      <c r="E903" s="795" t="s">
        <v>380</v>
      </c>
      <c r="F903" s="696" t="s">
        <v>237</v>
      </c>
      <c r="G903" s="696" t="s">
        <v>281</v>
      </c>
      <c r="H903" s="695"/>
      <c r="I903" s="695"/>
      <c r="J903" s="695"/>
      <c r="K903" s="695">
        <v>63</v>
      </c>
      <c r="L903" s="487">
        <v>30</v>
      </c>
      <c r="M903" s="487">
        <v>63</v>
      </c>
      <c r="N903" s="487">
        <v>30</v>
      </c>
      <c r="O903" s="487">
        <v>30</v>
      </c>
      <c r="P903" s="487">
        <v>30</v>
      </c>
      <c r="Q903" s="487">
        <v>30</v>
      </c>
      <c r="R903" s="695"/>
      <c r="S903" s="695"/>
      <c r="T903" s="695"/>
      <c r="U903" s="695"/>
      <c r="V903" s="695"/>
      <c r="W903" s="695"/>
      <c r="X903" s="695"/>
      <c r="Y903" s="436">
        <f>IF(NFI_Expiration=1,IF($A903&lt;VLOOKUP(H$5,NFI,5,0),1,0)*Table_NFI[[#This Row],[Hygiene Kit]],Table_NFI[Hygiene Kit])</f>
        <v>0</v>
      </c>
      <c r="Z903" s="436">
        <f>IF(NFI_Expiration=1,IF($A903&lt;VLOOKUP(I$5,NFI,5,0),1,0)*Table_NFI[[#This Row],[NFI Core Kit]],Table_NFI[NFI Core Kit])</f>
        <v>0</v>
      </c>
      <c r="AA903" s="436">
        <f>IF(NFI_Expiration=1,IF($A903&lt;VLOOKUP(J$5,NFI,5,0),1,0)*Table_NFI[[#This Row],[Sanitary Kit]],Table_NFI[Sanitary Kit])</f>
        <v>0</v>
      </c>
      <c r="AB903" s="436">
        <f>IF(NFI_Expiration=1,IF($A903&lt;VLOOKUP(K$5,NFI,5,0),1,0)*Table_NFI[[#This Row],[Mosquito net]],Table_NFI[Mosquito net])</f>
        <v>0</v>
      </c>
      <c r="AC903" s="436">
        <f>IF(NFI_Expiration=1,IF($A903&lt;VLOOKUP(L$5,NFI,5,0),1,0)*Table_NFI[[#This Row],[Tarpaulin]],Table_NFI[[#This Row],[Tarpaulin]])</f>
        <v>0</v>
      </c>
      <c r="AD903" s="436">
        <f>IF(NFI_Expiration=1,IF($A903&lt;VLOOKUP(M$5,NFI,5,0),1,0)*Table_NFI[[#This Row],[Blanket]],Table_NFI[[#This Row],[Blanket]])</f>
        <v>0</v>
      </c>
      <c r="AE903" s="436">
        <f>IF(NFI_Expiration=1,IF($A903&lt;VLOOKUP(N$5,NFI,5,0),1,0)*Table_NFI[[#This Row],[Kitchen Set]],Table_NFI[Kitchen Set])</f>
        <v>0</v>
      </c>
      <c r="AF903" s="436">
        <f>IF(NFI_Expiration=1,IF($A903&lt;VLOOKUP(O$5,NFI,5,0),1,0)*Table_NFI[[#This Row],[Clothes Kit]],Table_NFI[Clothes Kit])</f>
        <v>0</v>
      </c>
      <c r="AG903" s="436">
        <f>IF(NFI_Expiration=1,IF($A903&lt;VLOOKUP(P$5,NFI,5,0),1,0)*Table_NFI[[#This Row],[Plastic Bucket]],Table_NFI[Plastic Bucket])</f>
        <v>0</v>
      </c>
      <c r="AH903" s="436">
        <f>IF(NFI_Expiration=1,IF($A903&lt;VLOOKUP(Q$5,NFI,5,0),1,0)*Table_NFI[[#This Row],[Plastic Mat]],Table_NFI[Plastic Mat])*IF(Table_NFI[[#This Row],[Distribution Date]]&gt;"2014-04-01",1,2.5)</f>
        <v>0</v>
      </c>
      <c r="AI903" s="436">
        <f>IF(NFI_Expiration=1,IF($A903&lt;VLOOKUP(R$5,NFI,5,0),1,0)*Table_NFI[[#This Row],[Winter Clothes Adult]],Table_NFI[Winter Clothes Adult])</f>
        <v>0</v>
      </c>
      <c r="AJ903" s="436">
        <f>IF(NFI_Expiration=1,IF($A903&lt;VLOOKUP(S$5,NFI,5,0),1,0)*Table_NFI[[#This Row],[Winter Clothes Children]],Table_NFI[Winter Clothes Children])</f>
        <v>0</v>
      </c>
      <c r="AK903" s="436">
        <f>IF(NFI_Expiration=1,IF($A903&lt;VLOOKUP(T$5,NFI,5,0),1,0)*Table_NFI[[#This Row],[Winter Items Other]],Table_NFI[Winter Items Other])</f>
        <v>0</v>
      </c>
      <c r="AL903" s="436">
        <f>IF(NFI_Expiration=1,IF($A903&lt;VLOOKUP(M$5,NFI,5,0),1,0)*Table_NFI[[#This Row],[Winter Blanket]],Table_NFI[[#This Row],[Winter Blanket]])</f>
        <v>0</v>
      </c>
      <c r="AM903" s="436">
        <f>IF(Table_NFI[[#This Row],[Winter Clothes Adult]]+Table_NFI[[#This Row],[Winter Clothes Children]]+Table_NFI[[#This Row],[Winter Items Other]]+Table_NFI[[#This Row],[Winter Blanket]]&gt;0,1,0)</f>
        <v>0</v>
      </c>
      <c r="AN903" s="439">
        <f>IF(NFI_Expiration=1,IF($A903&lt;VLOOKUP(V$5,NFI,5,0),1,0)*Table_NFI[[#This Row],[Jerry Can]],Table_NFI[Jerry Can])</f>
        <v>0</v>
      </c>
      <c r="AO903" s="771" t="str">
        <f>IFERROR(VLOOKUP(Table_NFI[[#This Row],[Camp Name]],CL,2,0),"")</f>
        <v>MMR001CMP009</v>
      </c>
      <c r="AP903" s="772">
        <f ca="1">IF(Table_NFI[[#This Row],[Pcode]]="","",IF(OFFSET(CampList[Opening Date],MATCH(Table_NFI[[#This Row],[Pcode]],CampList[CP_Pcode],0)-1,0,1,1)&gt;=NFI_Monitor_Date,1,0))</f>
        <v>0</v>
      </c>
      <c r="AQ903" s="781" t="str">
        <f>IFERROR(VLOOKUP(Table_NFI[[#This Row],[Camp Name]],CL,3,0),"")</f>
        <v>Open</v>
      </c>
      <c r="AR903" s="439" t="str">
        <f ca="1">IF(Table_NFI[[#This Row],[Pcode]]="","",OFFSET(CampList[Priority],MATCH(Table_NFI[[#This Row],[Pcode]],CampList[CP_Pcode],0)-1,0,1,1))</f>
        <v>P4</v>
      </c>
      <c r="AS903" s="438">
        <f>IFERROR(Table_NFI[[#This Row],[Kitchen Set]]/VLOOKUP(Table_NFI[[#This Row],[Camp Name]],CL,4,0),"")</f>
        <v>0.33333333333333331</v>
      </c>
      <c r="AT903" s="769" t="s">
        <v>1099</v>
      </c>
      <c r="AU903" s="793"/>
    </row>
    <row r="904" spans="1:47" s="798" customFormat="1" x14ac:dyDescent="0.25">
      <c r="A904" s="451">
        <f t="shared" si="14"/>
        <v>50.266666666666666</v>
      </c>
      <c r="B904" s="794">
        <v>40862</v>
      </c>
      <c r="C904" s="795" t="s">
        <v>454</v>
      </c>
      <c r="D904" s="828" t="s">
        <v>462</v>
      </c>
      <c r="E904" s="795" t="s">
        <v>380</v>
      </c>
      <c r="F904" s="696" t="s">
        <v>237</v>
      </c>
      <c r="G904" s="435" t="s">
        <v>275</v>
      </c>
      <c r="H904" s="695"/>
      <c r="I904" s="695"/>
      <c r="J904" s="695"/>
      <c r="K904" s="695">
        <v>30</v>
      </c>
      <c r="L904" s="487">
        <v>17</v>
      </c>
      <c r="M904" s="487">
        <v>30</v>
      </c>
      <c r="N904" s="487">
        <v>17</v>
      </c>
      <c r="O904" s="487">
        <v>17</v>
      </c>
      <c r="P904" s="487">
        <v>17</v>
      </c>
      <c r="Q904" s="487">
        <v>17</v>
      </c>
      <c r="R904" s="695"/>
      <c r="S904" s="695"/>
      <c r="T904" s="695"/>
      <c r="U904" s="695"/>
      <c r="V904" s="695"/>
      <c r="W904" s="695"/>
      <c r="X904" s="695"/>
      <c r="Y904" s="436">
        <f>IF(NFI_Expiration=1,IF($A904&lt;VLOOKUP(H$5,NFI,5,0),1,0)*Table_NFI[[#This Row],[Hygiene Kit]],Table_NFI[Hygiene Kit])</f>
        <v>0</v>
      </c>
      <c r="Z904" s="436">
        <f>IF(NFI_Expiration=1,IF($A904&lt;VLOOKUP(I$5,NFI,5,0),1,0)*Table_NFI[[#This Row],[NFI Core Kit]],Table_NFI[NFI Core Kit])</f>
        <v>0</v>
      </c>
      <c r="AA904" s="436">
        <f>IF(NFI_Expiration=1,IF($A904&lt;VLOOKUP(J$5,NFI,5,0),1,0)*Table_NFI[[#This Row],[Sanitary Kit]],Table_NFI[Sanitary Kit])</f>
        <v>0</v>
      </c>
      <c r="AB904" s="436">
        <f>IF(NFI_Expiration=1,IF($A904&lt;VLOOKUP(K$5,NFI,5,0),1,0)*Table_NFI[[#This Row],[Mosquito net]],Table_NFI[Mosquito net])</f>
        <v>0</v>
      </c>
      <c r="AC904" s="436">
        <f>IF(NFI_Expiration=1,IF($A904&lt;VLOOKUP(L$5,NFI,5,0),1,0)*Table_NFI[[#This Row],[Tarpaulin]],Table_NFI[[#This Row],[Tarpaulin]])</f>
        <v>0</v>
      </c>
      <c r="AD904" s="436">
        <f>IF(NFI_Expiration=1,IF($A904&lt;VLOOKUP(M$5,NFI,5,0),1,0)*Table_NFI[[#This Row],[Blanket]],Table_NFI[[#This Row],[Blanket]])</f>
        <v>0</v>
      </c>
      <c r="AE904" s="436">
        <f>IF(NFI_Expiration=1,IF($A904&lt;VLOOKUP(N$5,NFI,5,0),1,0)*Table_NFI[[#This Row],[Kitchen Set]],Table_NFI[Kitchen Set])</f>
        <v>0</v>
      </c>
      <c r="AF904" s="436">
        <f>IF(NFI_Expiration=1,IF($A904&lt;VLOOKUP(O$5,NFI,5,0),1,0)*Table_NFI[[#This Row],[Clothes Kit]],Table_NFI[Clothes Kit])</f>
        <v>0</v>
      </c>
      <c r="AG904" s="436">
        <f>IF(NFI_Expiration=1,IF($A904&lt;VLOOKUP(P$5,NFI,5,0),1,0)*Table_NFI[[#This Row],[Plastic Bucket]],Table_NFI[Plastic Bucket])</f>
        <v>0</v>
      </c>
      <c r="AH904" s="436">
        <f>IF(NFI_Expiration=1,IF($A904&lt;VLOOKUP(Q$5,NFI,5,0),1,0)*Table_NFI[[#This Row],[Plastic Mat]],Table_NFI[Plastic Mat])*IF(Table_NFI[[#This Row],[Distribution Date]]&gt;"2014-04-01",1,2.5)</f>
        <v>0</v>
      </c>
      <c r="AI904" s="436">
        <f>IF(NFI_Expiration=1,IF($A904&lt;VLOOKUP(R$5,NFI,5,0),1,0)*Table_NFI[[#This Row],[Winter Clothes Adult]],Table_NFI[Winter Clothes Adult])</f>
        <v>0</v>
      </c>
      <c r="AJ904" s="436">
        <f>IF(NFI_Expiration=1,IF($A904&lt;VLOOKUP(S$5,NFI,5,0),1,0)*Table_NFI[[#This Row],[Winter Clothes Children]],Table_NFI[Winter Clothes Children])</f>
        <v>0</v>
      </c>
      <c r="AK904" s="436">
        <f>IF(NFI_Expiration=1,IF($A904&lt;VLOOKUP(T$5,NFI,5,0),1,0)*Table_NFI[[#This Row],[Winter Items Other]],Table_NFI[Winter Items Other])</f>
        <v>0</v>
      </c>
      <c r="AL904" s="436">
        <f>IF(NFI_Expiration=1,IF($A904&lt;VLOOKUP(M$5,NFI,5,0),1,0)*Table_NFI[[#This Row],[Winter Blanket]],Table_NFI[[#This Row],[Winter Blanket]])</f>
        <v>0</v>
      </c>
      <c r="AM904" s="436">
        <f>IF(Table_NFI[[#This Row],[Winter Clothes Adult]]+Table_NFI[[#This Row],[Winter Clothes Children]]+Table_NFI[[#This Row],[Winter Items Other]]+Table_NFI[[#This Row],[Winter Blanket]]&gt;0,1,0)</f>
        <v>0</v>
      </c>
      <c r="AN904" s="439">
        <f>IF(NFI_Expiration=1,IF($A904&lt;VLOOKUP(V$5,NFI,5,0),1,0)*Table_NFI[[#This Row],[Jerry Can]],Table_NFI[Jerry Can])</f>
        <v>0</v>
      </c>
      <c r="AO904" s="771" t="str">
        <f>IFERROR(VLOOKUP(Table_NFI[[#This Row],[Camp Name]],CL,2,0),"")</f>
        <v>MMR001CMP005</v>
      </c>
      <c r="AP904" s="772">
        <f ca="1">IF(Table_NFI[[#This Row],[Pcode]]="","",IF(OFFSET(CampList[Opening Date],MATCH(Table_NFI[[#This Row],[Pcode]],CampList[CP_Pcode],0)-1,0,1,1)&gt;=NFI_Monitor_Date,1,0))</f>
        <v>0</v>
      </c>
      <c r="AQ904" s="781" t="str">
        <f>IFERROR(VLOOKUP(Table_NFI[[#This Row],[Camp Name]],CL,3,0),"")</f>
        <v>Open</v>
      </c>
      <c r="AR904" s="439" t="str">
        <f ca="1">IF(Table_NFI[[#This Row],[Pcode]]="","",OFFSET(CampList[Priority],MATCH(Table_NFI[[#This Row],[Pcode]],CampList[CP_Pcode],0)-1,0,1,1))</f>
        <v>P4</v>
      </c>
      <c r="AS904" s="438">
        <f>IFERROR(Table_NFI[[#This Row],[Kitchen Set]]/VLOOKUP(Table_NFI[[#This Row],[Camp Name]],CL,4,0),"")</f>
        <v>0.38636363636363635</v>
      </c>
      <c r="AT904" s="769" t="s">
        <v>1099</v>
      </c>
      <c r="AU904" s="793"/>
    </row>
    <row r="905" spans="1:47" s="798" customFormat="1" ht="15" customHeight="1" x14ac:dyDescent="0.25">
      <c r="A905" s="451">
        <f t="shared" si="14"/>
        <v>50.3</v>
      </c>
      <c r="B905" s="768">
        <v>40861</v>
      </c>
      <c r="C905" s="769" t="s">
        <v>454</v>
      </c>
      <c r="D905" s="770" t="s">
        <v>462</v>
      </c>
      <c r="E905" s="769" t="s">
        <v>380</v>
      </c>
      <c r="F905" s="435" t="s">
        <v>237</v>
      </c>
      <c r="G905" s="435" t="s">
        <v>257</v>
      </c>
      <c r="H905" s="436"/>
      <c r="I905" s="436"/>
      <c r="J905" s="436"/>
      <c r="K905" s="436">
        <v>47</v>
      </c>
      <c r="L905" s="437">
        <v>28</v>
      </c>
      <c r="M905" s="437">
        <v>47</v>
      </c>
      <c r="N905" s="437">
        <v>28</v>
      </c>
      <c r="O905" s="437">
        <v>28</v>
      </c>
      <c r="P905" s="437">
        <v>28</v>
      </c>
      <c r="Q905" s="437">
        <v>28</v>
      </c>
      <c r="R905" s="436"/>
      <c r="S905" s="436"/>
      <c r="T905" s="436"/>
      <c r="U905" s="436"/>
      <c r="V905" s="695"/>
      <c r="W905" s="695"/>
      <c r="X905" s="695"/>
      <c r="Y905" s="436">
        <f>IF(NFI_Expiration=1,IF($A905&lt;VLOOKUP(H$5,NFI,5,0),1,0)*Table_NFI[[#This Row],[Hygiene Kit]],Table_NFI[Hygiene Kit])</f>
        <v>0</v>
      </c>
      <c r="Z905" s="436">
        <f>IF(NFI_Expiration=1,IF($A905&lt;VLOOKUP(I$5,NFI,5,0),1,0)*Table_NFI[[#This Row],[NFI Core Kit]],Table_NFI[NFI Core Kit])</f>
        <v>0</v>
      </c>
      <c r="AA905" s="436">
        <f>IF(NFI_Expiration=1,IF($A905&lt;VLOOKUP(J$5,NFI,5,0),1,0)*Table_NFI[[#This Row],[Sanitary Kit]],Table_NFI[Sanitary Kit])</f>
        <v>0</v>
      </c>
      <c r="AB905" s="436">
        <f>IF(NFI_Expiration=1,IF($A905&lt;VLOOKUP(K$5,NFI,5,0),1,0)*Table_NFI[[#This Row],[Mosquito net]],Table_NFI[Mosquito net])</f>
        <v>0</v>
      </c>
      <c r="AC905" s="436">
        <f>IF(NFI_Expiration=1,IF($A905&lt;VLOOKUP(L$5,NFI,5,0),1,0)*Table_NFI[[#This Row],[Tarpaulin]],Table_NFI[[#This Row],[Tarpaulin]])</f>
        <v>0</v>
      </c>
      <c r="AD905" s="436">
        <f>IF(NFI_Expiration=1,IF($A905&lt;VLOOKUP(M$5,NFI,5,0),1,0)*Table_NFI[[#This Row],[Blanket]],Table_NFI[[#This Row],[Blanket]])</f>
        <v>0</v>
      </c>
      <c r="AE905" s="436">
        <f>IF(NFI_Expiration=1,IF($A905&lt;VLOOKUP(N$5,NFI,5,0),1,0)*Table_NFI[[#This Row],[Kitchen Set]],Table_NFI[Kitchen Set])</f>
        <v>0</v>
      </c>
      <c r="AF905" s="436">
        <f>IF(NFI_Expiration=1,IF($A905&lt;VLOOKUP(O$5,NFI,5,0),1,0)*Table_NFI[[#This Row],[Clothes Kit]],Table_NFI[Clothes Kit])</f>
        <v>0</v>
      </c>
      <c r="AG905" s="436">
        <f>IF(NFI_Expiration=1,IF($A905&lt;VLOOKUP(P$5,NFI,5,0),1,0)*Table_NFI[[#This Row],[Plastic Bucket]],Table_NFI[Plastic Bucket])</f>
        <v>0</v>
      </c>
      <c r="AH905" s="436">
        <f>IF(NFI_Expiration=1,IF($A905&lt;VLOOKUP(Q$5,NFI,5,0),1,0)*Table_NFI[[#This Row],[Plastic Mat]],Table_NFI[Plastic Mat])*IF(Table_NFI[[#This Row],[Distribution Date]]&gt;"2014-04-01",1,2.5)</f>
        <v>0</v>
      </c>
      <c r="AI905" s="436">
        <f>IF(NFI_Expiration=1,IF($A905&lt;VLOOKUP(R$5,NFI,5,0),1,0)*Table_NFI[[#This Row],[Winter Clothes Adult]],Table_NFI[Winter Clothes Adult])</f>
        <v>0</v>
      </c>
      <c r="AJ905" s="436">
        <f>IF(NFI_Expiration=1,IF($A905&lt;VLOOKUP(S$5,NFI,5,0),1,0)*Table_NFI[[#This Row],[Winter Clothes Children]],Table_NFI[Winter Clothes Children])</f>
        <v>0</v>
      </c>
      <c r="AK905" s="436">
        <f>IF(NFI_Expiration=1,IF($A905&lt;VLOOKUP(T$5,NFI,5,0),1,0)*Table_NFI[[#This Row],[Winter Items Other]],Table_NFI[Winter Items Other])</f>
        <v>0</v>
      </c>
      <c r="AL905" s="436">
        <f>IF(NFI_Expiration=1,IF($A905&lt;VLOOKUP(M$5,NFI,5,0),1,0)*Table_NFI[[#This Row],[Winter Blanket]],Table_NFI[[#This Row],[Winter Blanket]])</f>
        <v>0</v>
      </c>
      <c r="AM905" s="436">
        <f>IF(Table_NFI[[#This Row],[Winter Clothes Adult]]+Table_NFI[[#This Row],[Winter Clothes Children]]+Table_NFI[[#This Row],[Winter Items Other]]+Table_NFI[[#This Row],[Winter Blanket]]&gt;0,1,0)</f>
        <v>0</v>
      </c>
      <c r="AN905" s="439">
        <f>IF(NFI_Expiration=1,IF($A905&lt;VLOOKUP(V$5,NFI,5,0),1,0)*Table_NFI[[#This Row],[Jerry Can]],Table_NFI[Jerry Can])</f>
        <v>0</v>
      </c>
      <c r="AO905" s="771" t="str">
        <f>IFERROR(VLOOKUP(Table_NFI[[#This Row],[Camp Name]],CL,2,0),"")</f>
        <v>MMR001CMP013</v>
      </c>
      <c r="AP905" s="772">
        <f ca="1">IF(Table_NFI[[#This Row],[Pcode]]="","",IF(OFFSET(CampList[Opening Date],MATCH(Table_NFI[[#This Row],[Pcode]],CampList[CP_Pcode],0)-1,0,1,1)&gt;=NFI_Monitor_Date,1,0))</f>
        <v>0</v>
      </c>
      <c r="AQ905" s="781" t="str">
        <f>IFERROR(VLOOKUP(Table_NFI[[#This Row],[Camp Name]],CL,3,0),"")</f>
        <v>Open</v>
      </c>
      <c r="AR905" s="439" t="str">
        <f ca="1">IF(Table_NFI[[#This Row],[Pcode]]="","",OFFSET(CampList[Priority],MATCH(Table_NFI[[#This Row],[Pcode]],CampList[CP_Pcode],0)-1,0,1,1))</f>
        <v>P4</v>
      </c>
      <c r="AS905" s="438">
        <f>IFERROR(Table_NFI[[#This Row],[Kitchen Set]]/VLOOKUP(Table_NFI[[#This Row],[Camp Name]],CL,4,0),"")</f>
        <v>0.62222222222222223</v>
      </c>
      <c r="AT905" s="769" t="s">
        <v>1099</v>
      </c>
      <c r="AU905" s="773"/>
    </row>
    <row r="906" spans="1:47" s="798" customFormat="1" ht="15.75" customHeight="1" x14ac:dyDescent="0.25">
      <c r="A906" s="451">
        <f t="shared" si="14"/>
        <v>50.3</v>
      </c>
      <c r="B906" s="768">
        <v>40861</v>
      </c>
      <c r="C906" s="769" t="s">
        <v>454</v>
      </c>
      <c r="D906" s="770" t="s">
        <v>462</v>
      </c>
      <c r="E906" s="769" t="s">
        <v>380</v>
      </c>
      <c r="F906" s="435" t="s">
        <v>237</v>
      </c>
      <c r="G906" s="435" t="s">
        <v>240</v>
      </c>
      <c r="H906" s="436"/>
      <c r="I906" s="436"/>
      <c r="J906" s="436"/>
      <c r="K906" s="436">
        <v>52</v>
      </c>
      <c r="L906" s="437">
        <v>25</v>
      </c>
      <c r="M906" s="437">
        <v>52</v>
      </c>
      <c r="N906" s="437">
        <v>25</v>
      </c>
      <c r="O906" s="437">
        <v>25</v>
      </c>
      <c r="P906" s="437">
        <v>25</v>
      </c>
      <c r="Q906" s="437">
        <v>25</v>
      </c>
      <c r="R906" s="436"/>
      <c r="S906" s="436"/>
      <c r="T906" s="436"/>
      <c r="U906" s="436"/>
      <c r="V906" s="695"/>
      <c r="W906" s="695"/>
      <c r="X906" s="695"/>
      <c r="Y906" s="436">
        <f>IF(NFI_Expiration=1,IF($A906&lt;VLOOKUP(H$5,NFI,5,0),1,0)*Table_NFI[[#This Row],[Hygiene Kit]],Table_NFI[Hygiene Kit])</f>
        <v>0</v>
      </c>
      <c r="Z906" s="436">
        <f>IF(NFI_Expiration=1,IF($A906&lt;VLOOKUP(I$5,NFI,5,0),1,0)*Table_NFI[[#This Row],[NFI Core Kit]],Table_NFI[NFI Core Kit])</f>
        <v>0</v>
      </c>
      <c r="AA906" s="436">
        <f>IF(NFI_Expiration=1,IF($A906&lt;VLOOKUP(J$5,NFI,5,0),1,0)*Table_NFI[[#This Row],[Sanitary Kit]],Table_NFI[Sanitary Kit])</f>
        <v>0</v>
      </c>
      <c r="AB906" s="436">
        <f>IF(NFI_Expiration=1,IF($A906&lt;VLOOKUP(K$5,NFI,5,0),1,0)*Table_NFI[[#This Row],[Mosquito net]],Table_NFI[Mosquito net])</f>
        <v>0</v>
      </c>
      <c r="AC906" s="436">
        <f>IF(NFI_Expiration=1,IF($A906&lt;VLOOKUP(L$5,NFI,5,0),1,0)*Table_NFI[[#This Row],[Tarpaulin]],Table_NFI[[#This Row],[Tarpaulin]])</f>
        <v>0</v>
      </c>
      <c r="AD906" s="436">
        <f>IF(NFI_Expiration=1,IF($A906&lt;VLOOKUP(M$5,NFI,5,0),1,0)*Table_NFI[[#This Row],[Blanket]],Table_NFI[[#This Row],[Blanket]])</f>
        <v>0</v>
      </c>
      <c r="AE906" s="436">
        <f>IF(NFI_Expiration=1,IF($A906&lt;VLOOKUP(N$5,NFI,5,0),1,0)*Table_NFI[[#This Row],[Kitchen Set]],Table_NFI[Kitchen Set])</f>
        <v>0</v>
      </c>
      <c r="AF906" s="436">
        <f>IF(NFI_Expiration=1,IF($A906&lt;VLOOKUP(O$5,NFI,5,0),1,0)*Table_NFI[[#This Row],[Clothes Kit]],Table_NFI[Clothes Kit])</f>
        <v>0</v>
      </c>
      <c r="AG906" s="436">
        <f>IF(NFI_Expiration=1,IF($A906&lt;VLOOKUP(P$5,NFI,5,0),1,0)*Table_NFI[[#This Row],[Plastic Bucket]],Table_NFI[Plastic Bucket])</f>
        <v>0</v>
      </c>
      <c r="AH906" s="436">
        <f>IF(NFI_Expiration=1,IF($A906&lt;VLOOKUP(Q$5,NFI,5,0),1,0)*Table_NFI[[#This Row],[Plastic Mat]],Table_NFI[Plastic Mat])*IF(Table_NFI[[#This Row],[Distribution Date]]&gt;"2014-04-01",1,2.5)</f>
        <v>0</v>
      </c>
      <c r="AI906" s="436">
        <f>IF(NFI_Expiration=1,IF($A906&lt;VLOOKUP(R$5,NFI,5,0),1,0)*Table_NFI[[#This Row],[Winter Clothes Adult]],Table_NFI[Winter Clothes Adult])</f>
        <v>0</v>
      </c>
      <c r="AJ906" s="436">
        <f>IF(NFI_Expiration=1,IF($A906&lt;VLOOKUP(S$5,NFI,5,0),1,0)*Table_NFI[[#This Row],[Winter Clothes Children]],Table_NFI[Winter Clothes Children])</f>
        <v>0</v>
      </c>
      <c r="AK906" s="436">
        <f>IF(NFI_Expiration=1,IF($A906&lt;VLOOKUP(T$5,NFI,5,0),1,0)*Table_NFI[[#This Row],[Winter Items Other]],Table_NFI[Winter Items Other])</f>
        <v>0</v>
      </c>
      <c r="AL906" s="436">
        <f>IF(NFI_Expiration=1,IF($A906&lt;VLOOKUP(M$5,NFI,5,0),1,0)*Table_NFI[[#This Row],[Winter Blanket]],Table_NFI[[#This Row],[Winter Blanket]])</f>
        <v>0</v>
      </c>
      <c r="AM906" s="436">
        <f>IF(Table_NFI[[#This Row],[Winter Clothes Adult]]+Table_NFI[[#This Row],[Winter Clothes Children]]+Table_NFI[[#This Row],[Winter Items Other]]+Table_NFI[[#This Row],[Winter Blanket]]&gt;0,1,0)</f>
        <v>0</v>
      </c>
      <c r="AN906" s="439">
        <f>IF(NFI_Expiration=1,IF($A906&lt;VLOOKUP(V$5,NFI,5,0),1,0)*Table_NFI[[#This Row],[Jerry Can]],Table_NFI[Jerry Can])</f>
        <v>0</v>
      </c>
      <c r="AO906" s="771" t="str">
        <f>IFERROR(VLOOKUP(Table_NFI[[#This Row],[Camp Name]],CL,2,0),"")</f>
        <v>MMR001CMP015</v>
      </c>
      <c r="AP906" s="772">
        <f ca="1">IF(Table_NFI[[#This Row],[Pcode]]="","",IF(OFFSET(CampList[Opening Date],MATCH(Table_NFI[[#This Row],[Pcode]],CampList[CP_Pcode],0)-1,0,1,1)&gt;=NFI_Monitor_Date,1,0))</f>
        <v>0</v>
      </c>
      <c r="AQ906" s="781" t="str">
        <f>IFERROR(VLOOKUP(Table_NFI[[#This Row],[Camp Name]],CL,3,0),"")</f>
        <v>Open</v>
      </c>
      <c r="AR906" s="439" t="str">
        <f ca="1">IF(Table_NFI[[#This Row],[Pcode]]="","",OFFSET(CampList[Priority],MATCH(Table_NFI[[#This Row],[Pcode]],CampList[CP_Pcode],0)-1,0,1,1))</f>
        <v>P4</v>
      </c>
      <c r="AS906" s="438">
        <f>IFERROR(Table_NFI[[#This Row],[Kitchen Set]]/VLOOKUP(Table_NFI[[#This Row],[Camp Name]],CL,4,0),"")</f>
        <v>0.23148148148148148</v>
      </c>
      <c r="AT906" s="769" t="s">
        <v>1099</v>
      </c>
      <c r="AU906" s="773"/>
    </row>
    <row r="907" spans="1:47" s="798" customFormat="1" ht="15.75" customHeight="1" x14ac:dyDescent="0.25">
      <c r="A907" s="451">
        <f t="shared" si="14"/>
        <v>50.3</v>
      </c>
      <c r="B907" s="768">
        <v>40861</v>
      </c>
      <c r="C907" s="769" t="s">
        <v>454</v>
      </c>
      <c r="D907" s="770" t="s">
        <v>462</v>
      </c>
      <c r="E907" s="769" t="s">
        <v>380</v>
      </c>
      <c r="F907" s="435" t="s">
        <v>237</v>
      </c>
      <c r="G907" s="435" t="s">
        <v>259</v>
      </c>
      <c r="H907" s="436"/>
      <c r="I907" s="436"/>
      <c r="J907" s="436"/>
      <c r="K907" s="436">
        <v>57</v>
      </c>
      <c r="L907" s="437">
        <v>30</v>
      </c>
      <c r="M907" s="437">
        <v>57</v>
      </c>
      <c r="N907" s="437">
        <v>30</v>
      </c>
      <c r="O907" s="437">
        <v>30</v>
      </c>
      <c r="P907" s="437">
        <v>30</v>
      </c>
      <c r="Q907" s="437">
        <v>30</v>
      </c>
      <c r="R907" s="436"/>
      <c r="S907" s="436"/>
      <c r="T907" s="436"/>
      <c r="U907" s="436"/>
      <c r="V907" s="695"/>
      <c r="W907" s="695"/>
      <c r="X907" s="695"/>
      <c r="Y907" s="436">
        <f>IF(NFI_Expiration=1,IF($A907&lt;VLOOKUP(H$5,NFI,5,0),1,0)*Table_NFI[[#This Row],[Hygiene Kit]],Table_NFI[Hygiene Kit])</f>
        <v>0</v>
      </c>
      <c r="Z907" s="436">
        <f>IF(NFI_Expiration=1,IF($A907&lt;VLOOKUP(I$5,NFI,5,0),1,0)*Table_NFI[[#This Row],[NFI Core Kit]],Table_NFI[NFI Core Kit])</f>
        <v>0</v>
      </c>
      <c r="AA907" s="436">
        <f>IF(NFI_Expiration=1,IF($A907&lt;VLOOKUP(J$5,NFI,5,0),1,0)*Table_NFI[[#This Row],[Sanitary Kit]],Table_NFI[Sanitary Kit])</f>
        <v>0</v>
      </c>
      <c r="AB907" s="436">
        <f>IF(NFI_Expiration=1,IF($A907&lt;VLOOKUP(K$5,NFI,5,0),1,0)*Table_NFI[[#This Row],[Mosquito net]],Table_NFI[Mosquito net])</f>
        <v>0</v>
      </c>
      <c r="AC907" s="436">
        <f>IF(NFI_Expiration=1,IF($A907&lt;VLOOKUP(L$5,NFI,5,0),1,0)*Table_NFI[[#This Row],[Tarpaulin]],Table_NFI[[#This Row],[Tarpaulin]])</f>
        <v>0</v>
      </c>
      <c r="AD907" s="436">
        <f>IF(NFI_Expiration=1,IF($A907&lt;VLOOKUP(M$5,NFI,5,0),1,0)*Table_NFI[[#This Row],[Blanket]],Table_NFI[[#This Row],[Blanket]])</f>
        <v>0</v>
      </c>
      <c r="AE907" s="436">
        <f>IF(NFI_Expiration=1,IF($A907&lt;VLOOKUP(N$5,NFI,5,0),1,0)*Table_NFI[[#This Row],[Kitchen Set]],Table_NFI[Kitchen Set])</f>
        <v>0</v>
      </c>
      <c r="AF907" s="436">
        <f>IF(NFI_Expiration=1,IF($A907&lt;VLOOKUP(O$5,NFI,5,0),1,0)*Table_NFI[[#This Row],[Clothes Kit]],Table_NFI[Clothes Kit])</f>
        <v>0</v>
      </c>
      <c r="AG907" s="436">
        <f>IF(NFI_Expiration=1,IF($A907&lt;VLOOKUP(P$5,NFI,5,0),1,0)*Table_NFI[[#This Row],[Plastic Bucket]],Table_NFI[Plastic Bucket])</f>
        <v>0</v>
      </c>
      <c r="AH907" s="436">
        <f>IF(NFI_Expiration=1,IF($A907&lt;VLOOKUP(Q$5,NFI,5,0),1,0)*Table_NFI[[#This Row],[Plastic Mat]],Table_NFI[Plastic Mat])*IF(Table_NFI[[#This Row],[Distribution Date]]&gt;"2014-04-01",1,2.5)</f>
        <v>0</v>
      </c>
      <c r="AI907" s="436">
        <f>IF(NFI_Expiration=1,IF($A907&lt;VLOOKUP(R$5,NFI,5,0),1,0)*Table_NFI[[#This Row],[Winter Clothes Adult]],Table_NFI[Winter Clothes Adult])</f>
        <v>0</v>
      </c>
      <c r="AJ907" s="436">
        <f>IF(NFI_Expiration=1,IF($A907&lt;VLOOKUP(S$5,NFI,5,0),1,0)*Table_NFI[[#This Row],[Winter Clothes Children]],Table_NFI[Winter Clothes Children])</f>
        <v>0</v>
      </c>
      <c r="AK907" s="436">
        <f>IF(NFI_Expiration=1,IF($A907&lt;VLOOKUP(T$5,NFI,5,0),1,0)*Table_NFI[[#This Row],[Winter Items Other]],Table_NFI[Winter Items Other])</f>
        <v>0</v>
      </c>
      <c r="AL907" s="436">
        <f>IF(NFI_Expiration=1,IF($A907&lt;VLOOKUP(M$5,NFI,5,0),1,0)*Table_NFI[[#This Row],[Winter Blanket]],Table_NFI[[#This Row],[Winter Blanket]])</f>
        <v>0</v>
      </c>
      <c r="AM907" s="436">
        <f>IF(Table_NFI[[#This Row],[Winter Clothes Adult]]+Table_NFI[[#This Row],[Winter Clothes Children]]+Table_NFI[[#This Row],[Winter Items Other]]+Table_NFI[[#This Row],[Winter Blanket]]&gt;0,1,0)</f>
        <v>0</v>
      </c>
      <c r="AN907" s="439">
        <f>IF(NFI_Expiration=1,IF($A907&lt;VLOOKUP(V$5,NFI,5,0),1,0)*Table_NFI[[#This Row],[Jerry Can]],Table_NFI[Jerry Can])</f>
        <v>0</v>
      </c>
      <c r="AO907" s="771" t="str">
        <f>IFERROR(VLOOKUP(Table_NFI[[#This Row],[Camp Name]],CL,2,0),"")</f>
        <v>MMR001CMP016</v>
      </c>
      <c r="AP907" s="772">
        <f ca="1">IF(Table_NFI[[#This Row],[Pcode]]="","",IF(OFFSET(CampList[Opening Date],MATCH(Table_NFI[[#This Row],[Pcode]],CampList[CP_Pcode],0)-1,0,1,1)&gt;=NFI_Monitor_Date,1,0))</f>
        <v>0</v>
      </c>
      <c r="AQ907" s="781" t="str">
        <f>IFERROR(VLOOKUP(Table_NFI[[#This Row],[Camp Name]],CL,3,0),"")</f>
        <v>Open</v>
      </c>
      <c r="AR907" s="439" t="str">
        <f ca="1">IF(Table_NFI[[#This Row],[Pcode]]="","",OFFSET(CampList[Priority],MATCH(Table_NFI[[#This Row],[Pcode]],CampList[CP_Pcode],0)-1,0,1,1))</f>
        <v>P4</v>
      </c>
      <c r="AS907" s="438">
        <f>IFERROR(Table_NFI[[#This Row],[Kitchen Set]]/VLOOKUP(Table_NFI[[#This Row],[Camp Name]],CL,4,0),"")</f>
        <v>0.41666666666666669</v>
      </c>
      <c r="AT907" s="769" t="s">
        <v>1099</v>
      </c>
      <c r="AU907" s="773"/>
    </row>
    <row r="908" spans="1:47" s="798" customFormat="1" ht="15.75" customHeight="1" x14ac:dyDescent="0.25">
      <c r="A908" s="451">
        <f t="shared" si="14"/>
        <v>50.633333333333333</v>
      </c>
      <c r="B908" s="768">
        <v>40851</v>
      </c>
      <c r="C908" s="769" t="s">
        <v>454</v>
      </c>
      <c r="D908" s="770" t="s">
        <v>462</v>
      </c>
      <c r="E908" s="769" t="s">
        <v>380</v>
      </c>
      <c r="F908" s="435" t="s">
        <v>237</v>
      </c>
      <c r="G908" s="435" t="s">
        <v>253</v>
      </c>
      <c r="H908" s="436"/>
      <c r="I908" s="436"/>
      <c r="J908" s="436"/>
      <c r="K908" s="436">
        <v>208</v>
      </c>
      <c r="L908" s="437">
        <v>102</v>
      </c>
      <c r="M908" s="437">
        <v>208</v>
      </c>
      <c r="N908" s="437">
        <v>102</v>
      </c>
      <c r="O908" s="437">
        <v>102</v>
      </c>
      <c r="P908" s="437">
        <v>102</v>
      </c>
      <c r="Q908" s="437">
        <v>102</v>
      </c>
      <c r="R908" s="436"/>
      <c r="S908" s="436"/>
      <c r="T908" s="436"/>
      <c r="U908" s="436"/>
      <c r="V908" s="695"/>
      <c r="W908" s="695"/>
      <c r="X908" s="695"/>
      <c r="Y908" s="436">
        <f>IF(NFI_Expiration=1,IF($A908&lt;VLOOKUP(H$5,NFI,5,0),1,0)*Table_NFI[[#This Row],[Hygiene Kit]],Table_NFI[Hygiene Kit])</f>
        <v>0</v>
      </c>
      <c r="Z908" s="436">
        <f>IF(NFI_Expiration=1,IF($A908&lt;VLOOKUP(I$5,NFI,5,0),1,0)*Table_NFI[[#This Row],[NFI Core Kit]],Table_NFI[NFI Core Kit])</f>
        <v>0</v>
      </c>
      <c r="AA908" s="436">
        <f>IF(NFI_Expiration=1,IF($A908&lt;VLOOKUP(J$5,NFI,5,0),1,0)*Table_NFI[[#This Row],[Sanitary Kit]],Table_NFI[Sanitary Kit])</f>
        <v>0</v>
      </c>
      <c r="AB908" s="436">
        <f>IF(NFI_Expiration=1,IF($A908&lt;VLOOKUP(K$5,NFI,5,0),1,0)*Table_NFI[[#This Row],[Mosquito net]],Table_NFI[Mosquito net])</f>
        <v>0</v>
      </c>
      <c r="AC908" s="436">
        <f>IF(NFI_Expiration=1,IF($A908&lt;VLOOKUP(L$5,NFI,5,0),1,0)*Table_NFI[[#This Row],[Tarpaulin]],Table_NFI[[#This Row],[Tarpaulin]])</f>
        <v>0</v>
      </c>
      <c r="AD908" s="436">
        <f>IF(NFI_Expiration=1,IF($A908&lt;VLOOKUP(M$5,NFI,5,0),1,0)*Table_NFI[[#This Row],[Blanket]],Table_NFI[[#This Row],[Blanket]])</f>
        <v>0</v>
      </c>
      <c r="AE908" s="436">
        <f>IF(NFI_Expiration=1,IF($A908&lt;VLOOKUP(N$5,NFI,5,0),1,0)*Table_NFI[[#This Row],[Kitchen Set]],Table_NFI[Kitchen Set])</f>
        <v>0</v>
      </c>
      <c r="AF908" s="436">
        <f>IF(NFI_Expiration=1,IF($A908&lt;VLOOKUP(O$5,NFI,5,0),1,0)*Table_NFI[[#This Row],[Clothes Kit]],Table_NFI[Clothes Kit])</f>
        <v>0</v>
      </c>
      <c r="AG908" s="436">
        <f>IF(NFI_Expiration=1,IF($A908&lt;VLOOKUP(P$5,NFI,5,0),1,0)*Table_NFI[[#This Row],[Plastic Bucket]],Table_NFI[Plastic Bucket])</f>
        <v>0</v>
      </c>
      <c r="AH908" s="436">
        <f>IF(NFI_Expiration=1,IF($A908&lt;VLOOKUP(Q$5,NFI,5,0),1,0)*Table_NFI[[#This Row],[Plastic Mat]],Table_NFI[Plastic Mat])*IF(Table_NFI[[#This Row],[Distribution Date]]&gt;"2014-04-01",1,2.5)</f>
        <v>0</v>
      </c>
      <c r="AI908" s="436">
        <f>IF(NFI_Expiration=1,IF($A908&lt;VLOOKUP(R$5,NFI,5,0),1,0)*Table_NFI[[#This Row],[Winter Clothes Adult]],Table_NFI[Winter Clothes Adult])</f>
        <v>0</v>
      </c>
      <c r="AJ908" s="436">
        <f>IF(NFI_Expiration=1,IF($A908&lt;VLOOKUP(S$5,NFI,5,0),1,0)*Table_NFI[[#This Row],[Winter Clothes Children]],Table_NFI[Winter Clothes Children])</f>
        <v>0</v>
      </c>
      <c r="AK908" s="436">
        <f>IF(NFI_Expiration=1,IF($A908&lt;VLOOKUP(T$5,NFI,5,0),1,0)*Table_NFI[[#This Row],[Winter Items Other]],Table_NFI[Winter Items Other])</f>
        <v>0</v>
      </c>
      <c r="AL908" s="436">
        <f>IF(NFI_Expiration=1,IF($A908&lt;VLOOKUP(M$5,NFI,5,0),1,0)*Table_NFI[[#This Row],[Winter Blanket]],Table_NFI[[#This Row],[Winter Blanket]])</f>
        <v>0</v>
      </c>
      <c r="AM908" s="436">
        <f>IF(Table_NFI[[#This Row],[Winter Clothes Adult]]+Table_NFI[[#This Row],[Winter Clothes Children]]+Table_NFI[[#This Row],[Winter Items Other]]+Table_NFI[[#This Row],[Winter Blanket]]&gt;0,1,0)</f>
        <v>0</v>
      </c>
      <c r="AN908" s="439">
        <f>IF(NFI_Expiration=1,IF($A908&lt;VLOOKUP(V$5,NFI,5,0),1,0)*Table_NFI[[#This Row],[Jerry Can]],Table_NFI[Jerry Can])</f>
        <v>0</v>
      </c>
      <c r="AO908" s="771" t="str">
        <f>IFERROR(VLOOKUP(Table_NFI[[#This Row],[Camp Name]],CL,2,0),"")</f>
        <v>MMR001CMP018</v>
      </c>
      <c r="AP908" s="772">
        <f ca="1">IF(Table_NFI[[#This Row],[Pcode]]="","",IF(OFFSET(CampList[Opening Date],MATCH(Table_NFI[[#This Row],[Pcode]],CampList[CP_Pcode],0)-1,0,1,1)&gt;=NFI_Monitor_Date,1,0))</f>
        <v>0</v>
      </c>
      <c r="AQ908" s="781" t="str">
        <f>IFERROR(VLOOKUP(Table_NFI[[#This Row],[Camp Name]],CL,3,0),"")</f>
        <v>Open</v>
      </c>
      <c r="AR908" s="439" t="str">
        <f ca="1">IF(Table_NFI[[#This Row],[Pcode]]="","",OFFSET(CampList[Priority],MATCH(Table_NFI[[#This Row],[Pcode]],CampList[CP_Pcode],0)-1,0,1,1))</f>
        <v>P4</v>
      </c>
      <c r="AS908" s="438">
        <f>IFERROR(Table_NFI[[#This Row],[Kitchen Set]]/VLOOKUP(Table_NFI[[#This Row],[Camp Name]],CL,4,0),"")</f>
        <v>0.50246305418719217</v>
      </c>
      <c r="AT908" s="769" t="s">
        <v>1099</v>
      </c>
      <c r="AU908" s="773"/>
    </row>
    <row r="909" spans="1:47" s="798" customFormat="1" ht="15.75" customHeight="1" x14ac:dyDescent="0.25">
      <c r="A909" s="451">
        <f t="shared" si="14"/>
        <v>50.633333333333333</v>
      </c>
      <c r="B909" s="768">
        <v>40851</v>
      </c>
      <c r="C909" s="769" t="s">
        <v>454</v>
      </c>
      <c r="D909" s="770" t="s">
        <v>462</v>
      </c>
      <c r="E909" s="769" t="s">
        <v>380</v>
      </c>
      <c r="F909" s="435" t="s">
        <v>237</v>
      </c>
      <c r="G909" s="435" t="s">
        <v>267</v>
      </c>
      <c r="H909" s="436"/>
      <c r="I909" s="436"/>
      <c r="J909" s="436"/>
      <c r="K909" s="436">
        <v>10</v>
      </c>
      <c r="L909" s="437">
        <v>6</v>
      </c>
      <c r="M909" s="437">
        <v>10</v>
      </c>
      <c r="N909" s="437">
        <v>6</v>
      </c>
      <c r="O909" s="437">
        <v>6</v>
      </c>
      <c r="P909" s="437">
        <v>6</v>
      </c>
      <c r="Q909" s="437">
        <v>6</v>
      </c>
      <c r="R909" s="436"/>
      <c r="S909" s="436"/>
      <c r="T909" s="436"/>
      <c r="U909" s="436"/>
      <c r="V909" s="695"/>
      <c r="W909" s="695"/>
      <c r="X909" s="695"/>
      <c r="Y909" s="436">
        <f>IF(NFI_Expiration=1,IF($A909&lt;VLOOKUP(H$5,NFI,5,0),1,0)*Table_NFI[[#This Row],[Hygiene Kit]],Table_NFI[Hygiene Kit])</f>
        <v>0</v>
      </c>
      <c r="Z909" s="436">
        <f>IF(NFI_Expiration=1,IF($A909&lt;VLOOKUP(I$5,NFI,5,0),1,0)*Table_NFI[[#This Row],[NFI Core Kit]],Table_NFI[NFI Core Kit])</f>
        <v>0</v>
      </c>
      <c r="AA909" s="436">
        <f>IF(NFI_Expiration=1,IF($A909&lt;VLOOKUP(J$5,NFI,5,0),1,0)*Table_NFI[[#This Row],[Sanitary Kit]],Table_NFI[Sanitary Kit])</f>
        <v>0</v>
      </c>
      <c r="AB909" s="436">
        <f>IF(NFI_Expiration=1,IF($A909&lt;VLOOKUP(K$5,NFI,5,0),1,0)*Table_NFI[[#This Row],[Mosquito net]],Table_NFI[Mosquito net])</f>
        <v>0</v>
      </c>
      <c r="AC909" s="436">
        <f>IF(NFI_Expiration=1,IF($A909&lt;VLOOKUP(L$5,NFI,5,0),1,0)*Table_NFI[[#This Row],[Tarpaulin]],Table_NFI[[#This Row],[Tarpaulin]])</f>
        <v>0</v>
      </c>
      <c r="AD909" s="436">
        <f>IF(NFI_Expiration=1,IF($A909&lt;VLOOKUP(M$5,NFI,5,0),1,0)*Table_NFI[[#This Row],[Blanket]],Table_NFI[[#This Row],[Blanket]])</f>
        <v>0</v>
      </c>
      <c r="AE909" s="436">
        <f>IF(NFI_Expiration=1,IF($A909&lt;VLOOKUP(N$5,NFI,5,0),1,0)*Table_NFI[[#This Row],[Kitchen Set]],Table_NFI[Kitchen Set])</f>
        <v>0</v>
      </c>
      <c r="AF909" s="436">
        <f>IF(NFI_Expiration=1,IF($A909&lt;VLOOKUP(O$5,NFI,5,0),1,0)*Table_NFI[[#This Row],[Clothes Kit]],Table_NFI[Clothes Kit])</f>
        <v>0</v>
      </c>
      <c r="AG909" s="436">
        <f>IF(NFI_Expiration=1,IF($A909&lt;VLOOKUP(P$5,NFI,5,0),1,0)*Table_NFI[[#This Row],[Plastic Bucket]],Table_NFI[Plastic Bucket])</f>
        <v>0</v>
      </c>
      <c r="AH909" s="436">
        <f>IF(NFI_Expiration=1,IF($A909&lt;VLOOKUP(Q$5,NFI,5,0),1,0)*Table_NFI[[#This Row],[Plastic Mat]],Table_NFI[Plastic Mat])*IF(Table_NFI[[#This Row],[Distribution Date]]&gt;"2014-04-01",1,2.5)</f>
        <v>0</v>
      </c>
      <c r="AI909" s="436">
        <f>IF(NFI_Expiration=1,IF($A909&lt;VLOOKUP(R$5,NFI,5,0),1,0)*Table_NFI[[#This Row],[Winter Clothes Adult]],Table_NFI[Winter Clothes Adult])</f>
        <v>0</v>
      </c>
      <c r="AJ909" s="436">
        <f>IF(NFI_Expiration=1,IF($A909&lt;VLOOKUP(S$5,NFI,5,0),1,0)*Table_NFI[[#This Row],[Winter Clothes Children]],Table_NFI[Winter Clothes Children])</f>
        <v>0</v>
      </c>
      <c r="AK909" s="436">
        <f>IF(NFI_Expiration=1,IF($A909&lt;VLOOKUP(T$5,NFI,5,0),1,0)*Table_NFI[[#This Row],[Winter Items Other]],Table_NFI[Winter Items Other])</f>
        <v>0</v>
      </c>
      <c r="AL909" s="436">
        <f>IF(NFI_Expiration=1,IF($A909&lt;VLOOKUP(M$5,NFI,5,0),1,0)*Table_NFI[[#This Row],[Winter Blanket]],Table_NFI[[#This Row],[Winter Blanket]])</f>
        <v>0</v>
      </c>
      <c r="AM909" s="436">
        <f>IF(Table_NFI[[#This Row],[Winter Clothes Adult]]+Table_NFI[[#This Row],[Winter Clothes Children]]+Table_NFI[[#This Row],[Winter Items Other]]+Table_NFI[[#This Row],[Winter Blanket]]&gt;0,1,0)</f>
        <v>0</v>
      </c>
      <c r="AN909" s="439">
        <f>IF(NFI_Expiration=1,IF($A909&lt;VLOOKUP(V$5,NFI,5,0),1,0)*Table_NFI[[#This Row],[Jerry Can]],Table_NFI[Jerry Can])</f>
        <v>0</v>
      </c>
      <c r="AO909" s="771" t="str">
        <f>IFERROR(VLOOKUP(Table_NFI[[#This Row],[Camp Name]],CL,2,0),"")</f>
        <v>MMR001CMP017</v>
      </c>
      <c r="AP909" s="772">
        <f ca="1">IF(Table_NFI[[#This Row],[Pcode]]="","",IF(OFFSET(CampList[Opening Date],MATCH(Table_NFI[[#This Row],[Pcode]],CampList[CP_Pcode],0)-1,0,1,1)&gt;=NFI_Monitor_Date,1,0))</f>
        <v>0</v>
      </c>
      <c r="AQ909" s="781" t="str">
        <f>IFERROR(VLOOKUP(Table_NFI[[#This Row],[Camp Name]],CL,3,0),"")</f>
        <v>Closed</v>
      </c>
      <c r="AR909" s="439" t="str">
        <f ca="1">IF(Table_NFI[[#This Row],[Pcode]]="","",OFFSET(CampList[Priority],MATCH(Table_NFI[[#This Row],[Pcode]],CampList[CP_Pcode],0)-1,0,1,1))</f>
        <v>P4</v>
      </c>
      <c r="AS909" s="438" t="str">
        <f>IFERROR(Table_NFI[[#This Row],[Kitchen Set]]/VLOOKUP(Table_NFI[[#This Row],[Camp Name]],CL,4,0),"")</f>
        <v/>
      </c>
      <c r="AT909" s="769" t="s">
        <v>1099</v>
      </c>
      <c r="AU909" s="773"/>
    </row>
    <row r="910" spans="1:47" s="798" customFormat="1" ht="15.75" customHeight="1" x14ac:dyDescent="0.25">
      <c r="A910" s="451">
        <f t="shared" si="14"/>
        <v>50.666666666666664</v>
      </c>
      <c r="B910" s="768">
        <v>40850</v>
      </c>
      <c r="C910" s="769" t="s">
        <v>454</v>
      </c>
      <c r="D910" s="770" t="s">
        <v>508</v>
      </c>
      <c r="E910" s="769" t="s">
        <v>380</v>
      </c>
      <c r="F910" s="435" t="s">
        <v>237</v>
      </c>
      <c r="G910" s="435" t="s">
        <v>253</v>
      </c>
      <c r="H910" s="436"/>
      <c r="I910" s="436"/>
      <c r="J910" s="436"/>
      <c r="K910" s="436">
        <v>106</v>
      </c>
      <c r="L910" s="437">
        <v>52</v>
      </c>
      <c r="M910" s="437">
        <v>106</v>
      </c>
      <c r="N910" s="437">
        <v>52</v>
      </c>
      <c r="O910" s="437">
        <v>52</v>
      </c>
      <c r="P910" s="437">
        <v>52</v>
      </c>
      <c r="Q910" s="437">
        <v>52</v>
      </c>
      <c r="R910" s="436"/>
      <c r="S910" s="436"/>
      <c r="T910" s="436"/>
      <c r="U910" s="436"/>
      <c r="V910" s="695"/>
      <c r="W910" s="695"/>
      <c r="X910" s="695"/>
      <c r="Y910" s="436">
        <f>IF(NFI_Expiration=1,IF($A910&lt;VLOOKUP(H$5,NFI,5,0),1,0)*Table_NFI[[#This Row],[Hygiene Kit]],Table_NFI[Hygiene Kit])</f>
        <v>0</v>
      </c>
      <c r="Z910" s="436">
        <f>IF(NFI_Expiration=1,IF($A910&lt;VLOOKUP(I$5,NFI,5,0),1,0)*Table_NFI[[#This Row],[NFI Core Kit]],Table_NFI[NFI Core Kit])</f>
        <v>0</v>
      </c>
      <c r="AA910" s="436">
        <f>IF(NFI_Expiration=1,IF($A910&lt;VLOOKUP(J$5,NFI,5,0),1,0)*Table_NFI[[#This Row],[Sanitary Kit]],Table_NFI[Sanitary Kit])</f>
        <v>0</v>
      </c>
      <c r="AB910" s="436">
        <f>IF(NFI_Expiration=1,IF($A910&lt;VLOOKUP(K$5,NFI,5,0),1,0)*Table_NFI[[#This Row],[Mosquito net]],Table_NFI[Mosquito net])</f>
        <v>0</v>
      </c>
      <c r="AC910" s="436">
        <f>IF(NFI_Expiration=1,IF($A910&lt;VLOOKUP(L$5,NFI,5,0),1,0)*Table_NFI[[#This Row],[Tarpaulin]],Table_NFI[[#This Row],[Tarpaulin]])</f>
        <v>0</v>
      </c>
      <c r="AD910" s="436">
        <f>IF(NFI_Expiration=1,IF($A910&lt;VLOOKUP(M$5,NFI,5,0),1,0)*Table_NFI[[#This Row],[Blanket]],Table_NFI[[#This Row],[Blanket]])</f>
        <v>0</v>
      </c>
      <c r="AE910" s="436">
        <f>IF(NFI_Expiration=1,IF($A910&lt;VLOOKUP(N$5,NFI,5,0),1,0)*Table_NFI[[#This Row],[Kitchen Set]],Table_NFI[Kitchen Set])</f>
        <v>0</v>
      </c>
      <c r="AF910" s="436">
        <f>IF(NFI_Expiration=1,IF($A910&lt;VLOOKUP(O$5,NFI,5,0),1,0)*Table_NFI[[#This Row],[Clothes Kit]],Table_NFI[Clothes Kit])</f>
        <v>0</v>
      </c>
      <c r="AG910" s="436">
        <f>IF(NFI_Expiration=1,IF($A910&lt;VLOOKUP(P$5,NFI,5,0),1,0)*Table_NFI[[#This Row],[Plastic Bucket]],Table_NFI[Plastic Bucket])</f>
        <v>0</v>
      </c>
      <c r="AH910" s="436">
        <f>IF(NFI_Expiration=1,IF($A910&lt;VLOOKUP(Q$5,NFI,5,0),1,0)*Table_NFI[[#This Row],[Plastic Mat]],Table_NFI[Plastic Mat])*IF(Table_NFI[[#This Row],[Distribution Date]]&gt;"2014-04-01",1,2.5)</f>
        <v>0</v>
      </c>
      <c r="AI910" s="436">
        <f>IF(NFI_Expiration=1,IF($A910&lt;VLOOKUP(R$5,NFI,5,0),1,0)*Table_NFI[[#This Row],[Winter Clothes Adult]],Table_NFI[Winter Clothes Adult])</f>
        <v>0</v>
      </c>
      <c r="AJ910" s="436">
        <f>IF(NFI_Expiration=1,IF($A910&lt;VLOOKUP(S$5,NFI,5,0),1,0)*Table_NFI[[#This Row],[Winter Clothes Children]],Table_NFI[Winter Clothes Children])</f>
        <v>0</v>
      </c>
      <c r="AK910" s="436">
        <f>IF(NFI_Expiration=1,IF($A910&lt;VLOOKUP(T$5,NFI,5,0),1,0)*Table_NFI[[#This Row],[Winter Items Other]],Table_NFI[Winter Items Other])</f>
        <v>0</v>
      </c>
      <c r="AL910" s="436">
        <f>IF(NFI_Expiration=1,IF($A910&lt;VLOOKUP(M$5,NFI,5,0),1,0)*Table_NFI[[#This Row],[Winter Blanket]],Table_NFI[[#This Row],[Winter Blanket]])</f>
        <v>0</v>
      </c>
      <c r="AM910" s="436">
        <f>IF(Table_NFI[[#This Row],[Winter Clothes Adult]]+Table_NFI[[#This Row],[Winter Clothes Children]]+Table_NFI[[#This Row],[Winter Items Other]]+Table_NFI[[#This Row],[Winter Blanket]]&gt;0,1,0)</f>
        <v>0</v>
      </c>
      <c r="AN910" s="439">
        <f>IF(NFI_Expiration=1,IF($A910&lt;VLOOKUP(V$5,NFI,5,0),1,0)*Table_NFI[[#This Row],[Jerry Can]],Table_NFI[Jerry Can])</f>
        <v>0</v>
      </c>
      <c r="AO910" s="771" t="str">
        <f>IFERROR(VLOOKUP(Table_NFI[[#This Row],[Camp Name]],CL,2,0),"")</f>
        <v>MMR001CMP018</v>
      </c>
      <c r="AP910" s="772">
        <f ca="1">IF(Table_NFI[[#This Row],[Pcode]]="","",IF(OFFSET(CampList[Opening Date],MATCH(Table_NFI[[#This Row],[Pcode]],CampList[CP_Pcode],0)-1,0,1,1)&gt;=NFI_Monitor_Date,1,0))</f>
        <v>0</v>
      </c>
      <c r="AQ910" s="781" t="str">
        <f>IFERROR(VLOOKUP(Table_NFI[[#This Row],[Camp Name]],CL,3,0),"")</f>
        <v>Open</v>
      </c>
      <c r="AR910" s="439" t="str">
        <f ca="1">IF(Table_NFI[[#This Row],[Pcode]]="","",OFFSET(CampList[Priority],MATCH(Table_NFI[[#This Row],[Pcode]],CampList[CP_Pcode],0)-1,0,1,1))</f>
        <v>P4</v>
      </c>
      <c r="AS910" s="438">
        <f>IFERROR(Table_NFI[[#This Row],[Kitchen Set]]/VLOOKUP(Table_NFI[[#This Row],[Camp Name]],CL,4,0),"")</f>
        <v>0.25615763546798032</v>
      </c>
      <c r="AT910" s="769" t="s">
        <v>1099</v>
      </c>
      <c r="AU910" s="773"/>
    </row>
    <row r="911" spans="1:47" s="798" customFormat="1" ht="15.75" customHeight="1" x14ac:dyDescent="0.25">
      <c r="A911" s="451">
        <f t="shared" si="14"/>
        <v>50.666666666666664</v>
      </c>
      <c r="B911" s="768">
        <v>40850</v>
      </c>
      <c r="C911" s="769" t="s">
        <v>454</v>
      </c>
      <c r="D911" s="770" t="s">
        <v>462</v>
      </c>
      <c r="E911" s="769" t="s">
        <v>380</v>
      </c>
      <c r="F911" s="435" t="s">
        <v>237</v>
      </c>
      <c r="G911" s="435" t="s">
        <v>285</v>
      </c>
      <c r="H911" s="436"/>
      <c r="I911" s="436"/>
      <c r="J911" s="436"/>
      <c r="K911" s="436">
        <v>116</v>
      </c>
      <c r="L911" s="437">
        <v>49</v>
      </c>
      <c r="M911" s="437">
        <v>116</v>
      </c>
      <c r="N911" s="437">
        <v>49</v>
      </c>
      <c r="O911" s="437">
        <v>49</v>
      </c>
      <c r="P911" s="437">
        <v>49</v>
      </c>
      <c r="Q911" s="437">
        <v>49</v>
      </c>
      <c r="R911" s="436"/>
      <c r="S911" s="436"/>
      <c r="T911" s="436"/>
      <c r="U911" s="436"/>
      <c r="V911" s="695"/>
      <c r="W911" s="695"/>
      <c r="X911" s="695"/>
      <c r="Y911" s="436">
        <f>IF(NFI_Expiration=1,IF($A911&lt;VLOOKUP(H$5,NFI,5,0),1,0)*Table_NFI[[#This Row],[Hygiene Kit]],Table_NFI[Hygiene Kit])</f>
        <v>0</v>
      </c>
      <c r="Z911" s="436">
        <f>IF(NFI_Expiration=1,IF($A911&lt;VLOOKUP(I$5,NFI,5,0),1,0)*Table_NFI[[#This Row],[NFI Core Kit]],Table_NFI[NFI Core Kit])</f>
        <v>0</v>
      </c>
      <c r="AA911" s="436">
        <f>IF(NFI_Expiration=1,IF($A911&lt;VLOOKUP(J$5,NFI,5,0),1,0)*Table_NFI[[#This Row],[Sanitary Kit]],Table_NFI[Sanitary Kit])</f>
        <v>0</v>
      </c>
      <c r="AB911" s="436">
        <f>IF(NFI_Expiration=1,IF($A911&lt;VLOOKUP(K$5,NFI,5,0),1,0)*Table_NFI[[#This Row],[Mosquito net]],Table_NFI[Mosquito net])</f>
        <v>0</v>
      </c>
      <c r="AC911" s="436">
        <f>IF(NFI_Expiration=1,IF($A911&lt;VLOOKUP(L$5,NFI,5,0),1,0)*Table_NFI[[#This Row],[Tarpaulin]],Table_NFI[[#This Row],[Tarpaulin]])</f>
        <v>0</v>
      </c>
      <c r="AD911" s="436">
        <f>IF(NFI_Expiration=1,IF($A911&lt;VLOOKUP(M$5,NFI,5,0),1,0)*Table_NFI[[#This Row],[Blanket]],Table_NFI[[#This Row],[Blanket]])</f>
        <v>0</v>
      </c>
      <c r="AE911" s="436">
        <f>IF(NFI_Expiration=1,IF($A911&lt;VLOOKUP(N$5,NFI,5,0),1,0)*Table_NFI[[#This Row],[Kitchen Set]],Table_NFI[Kitchen Set])</f>
        <v>0</v>
      </c>
      <c r="AF911" s="436">
        <f>IF(NFI_Expiration=1,IF($A911&lt;VLOOKUP(O$5,NFI,5,0),1,0)*Table_NFI[[#This Row],[Clothes Kit]],Table_NFI[Clothes Kit])</f>
        <v>0</v>
      </c>
      <c r="AG911" s="436">
        <f>IF(NFI_Expiration=1,IF($A911&lt;VLOOKUP(P$5,NFI,5,0),1,0)*Table_NFI[[#This Row],[Plastic Bucket]],Table_NFI[Plastic Bucket])</f>
        <v>0</v>
      </c>
      <c r="AH911" s="436">
        <f>IF(NFI_Expiration=1,IF($A911&lt;VLOOKUP(Q$5,NFI,5,0),1,0)*Table_NFI[[#This Row],[Plastic Mat]],Table_NFI[Plastic Mat])*IF(Table_NFI[[#This Row],[Distribution Date]]&gt;"2014-04-01",1,2.5)</f>
        <v>0</v>
      </c>
      <c r="AI911" s="436">
        <f>IF(NFI_Expiration=1,IF($A911&lt;VLOOKUP(R$5,NFI,5,0),1,0)*Table_NFI[[#This Row],[Winter Clothes Adult]],Table_NFI[Winter Clothes Adult])</f>
        <v>0</v>
      </c>
      <c r="AJ911" s="436">
        <f>IF(NFI_Expiration=1,IF($A911&lt;VLOOKUP(S$5,NFI,5,0),1,0)*Table_NFI[[#This Row],[Winter Clothes Children]],Table_NFI[Winter Clothes Children])</f>
        <v>0</v>
      </c>
      <c r="AK911" s="436">
        <f>IF(NFI_Expiration=1,IF($A911&lt;VLOOKUP(T$5,NFI,5,0),1,0)*Table_NFI[[#This Row],[Winter Items Other]],Table_NFI[Winter Items Other])</f>
        <v>0</v>
      </c>
      <c r="AL911" s="436">
        <f>IF(NFI_Expiration=1,IF($A911&lt;VLOOKUP(M$5,NFI,5,0),1,0)*Table_NFI[[#This Row],[Winter Blanket]],Table_NFI[[#This Row],[Winter Blanket]])</f>
        <v>0</v>
      </c>
      <c r="AM911" s="436">
        <f>IF(Table_NFI[[#This Row],[Winter Clothes Adult]]+Table_NFI[[#This Row],[Winter Clothes Children]]+Table_NFI[[#This Row],[Winter Items Other]]+Table_NFI[[#This Row],[Winter Blanket]]&gt;0,1,0)</f>
        <v>0</v>
      </c>
      <c r="AN911" s="439">
        <f>IF(NFI_Expiration=1,IF($A911&lt;VLOOKUP(V$5,NFI,5,0),1,0)*Table_NFI[[#This Row],[Jerry Can]],Table_NFI[Jerry Can])</f>
        <v>0</v>
      </c>
      <c r="AO911" s="771" t="str">
        <f>IFERROR(VLOOKUP(Table_NFI[[#This Row],[Camp Name]],CL,2,0),"")</f>
        <v>MMR001CMP014</v>
      </c>
      <c r="AP911" s="772">
        <f ca="1">IF(Table_NFI[[#This Row],[Pcode]]="","",IF(OFFSET(CampList[Opening Date],MATCH(Table_NFI[[#This Row],[Pcode]],CampList[CP_Pcode],0)-1,0,1,1)&gt;=NFI_Monitor_Date,1,0))</f>
        <v>0</v>
      </c>
      <c r="AQ911" s="781" t="str">
        <f>IFERROR(VLOOKUP(Table_NFI[[#This Row],[Camp Name]],CL,3,0),"")</f>
        <v>Open</v>
      </c>
      <c r="AR911" s="439" t="str">
        <f ca="1">IF(Table_NFI[[#This Row],[Pcode]]="","",OFFSET(CampList[Priority],MATCH(Table_NFI[[#This Row],[Pcode]],CampList[CP_Pcode],0)-1,0,1,1))</f>
        <v>P4</v>
      </c>
      <c r="AS911" s="438">
        <f>IFERROR(Table_NFI[[#This Row],[Kitchen Set]]/VLOOKUP(Table_NFI[[#This Row],[Camp Name]],CL,4,0),"")</f>
        <v>0.30061349693251532</v>
      </c>
      <c r="AT911" s="769" t="s">
        <v>1099</v>
      </c>
      <c r="AU911" s="773"/>
    </row>
    <row r="912" spans="1:47" s="798" customFormat="1" ht="15.75" customHeight="1" x14ac:dyDescent="0.25">
      <c r="A912" s="451">
        <f t="shared" si="14"/>
        <v>50.666666666666664</v>
      </c>
      <c r="B912" s="768">
        <v>40850</v>
      </c>
      <c r="C912" s="769" t="s">
        <v>454</v>
      </c>
      <c r="D912" s="770" t="s">
        <v>462</v>
      </c>
      <c r="E912" s="769" t="s">
        <v>380</v>
      </c>
      <c r="F912" s="435" t="s">
        <v>237</v>
      </c>
      <c r="G912" s="435" t="s">
        <v>238</v>
      </c>
      <c r="H912" s="436"/>
      <c r="I912" s="436"/>
      <c r="J912" s="436"/>
      <c r="K912" s="436">
        <v>73</v>
      </c>
      <c r="L912" s="437">
        <v>34</v>
      </c>
      <c r="M912" s="437">
        <v>73</v>
      </c>
      <c r="N912" s="437">
        <v>34</v>
      </c>
      <c r="O912" s="437">
        <v>34</v>
      </c>
      <c r="P912" s="437">
        <v>34</v>
      </c>
      <c r="Q912" s="437">
        <v>34</v>
      </c>
      <c r="R912" s="436"/>
      <c r="S912" s="436"/>
      <c r="T912" s="436"/>
      <c r="U912" s="436"/>
      <c r="V912" s="695"/>
      <c r="W912" s="695"/>
      <c r="X912" s="695"/>
      <c r="Y912" s="436">
        <f>IF(NFI_Expiration=1,IF($A912&lt;VLOOKUP(H$5,NFI,5,0),1,0)*Table_NFI[[#This Row],[Hygiene Kit]],Table_NFI[Hygiene Kit])</f>
        <v>0</v>
      </c>
      <c r="Z912" s="436">
        <f>IF(NFI_Expiration=1,IF($A912&lt;VLOOKUP(I$5,NFI,5,0),1,0)*Table_NFI[[#This Row],[NFI Core Kit]],Table_NFI[NFI Core Kit])</f>
        <v>0</v>
      </c>
      <c r="AA912" s="436">
        <f>IF(NFI_Expiration=1,IF($A912&lt;VLOOKUP(J$5,NFI,5,0),1,0)*Table_NFI[[#This Row],[Sanitary Kit]],Table_NFI[Sanitary Kit])</f>
        <v>0</v>
      </c>
      <c r="AB912" s="436">
        <f>IF(NFI_Expiration=1,IF($A912&lt;VLOOKUP(K$5,NFI,5,0),1,0)*Table_NFI[[#This Row],[Mosquito net]],Table_NFI[Mosquito net])</f>
        <v>0</v>
      </c>
      <c r="AC912" s="436">
        <f>IF(NFI_Expiration=1,IF($A912&lt;VLOOKUP(L$5,NFI,5,0),1,0)*Table_NFI[[#This Row],[Tarpaulin]],Table_NFI[[#This Row],[Tarpaulin]])</f>
        <v>0</v>
      </c>
      <c r="AD912" s="436">
        <f>IF(NFI_Expiration=1,IF($A912&lt;VLOOKUP(M$5,NFI,5,0),1,0)*Table_NFI[[#This Row],[Blanket]],Table_NFI[[#This Row],[Blanket]])</f>
        <v>0</v>
      </c>
      <c r="AE912" s="436">
        <f>IF(NFI_Expiration=1,IF($A912&lt;VLOOKUP(N$5,NFI,5,0),1,0)*Table_NFI[[#This Row],[Kitchen Set]],Table_NFI[Kitchen Set])</f>
        <v>0</v>
      </c>
      <c r="AF912" s="436">
        <f>IF(NFI_Expiration=1,IF($A912&lt;VLOOKUP(O$5,NFI,5,0),1,0)*Table_NFI[[#This Row],[Clothes Kit]],Table_NFI[Clothes Kit])</f>
        <v>0</v>
      </c>
      <c r="AG912" s="436">
        <f>IF(NFI_Expiration=1,IF($A912&lt;VLOOKUP(P$5,NFI,5,0),1,0)*Table_NFI[[#This Row],[Plastic Bucket]],Table_NFI[Plastic Bucket])</f>
        <v>0</v>
      </c>
      <c r="AH912" s="436">
        <f>IF(NFI_Expiration=1,IF($A912&lt;VLOOKUP(Q$5,NFI,5,0),1,0)*Table_NFI[[#This Row],[Plastic Mat]],Table_NFI[Plastic Mat])*IF(Table_NFI[[#This Row],[Distribution Date]]&gt;"2014-04-01",1,2.5)</f>
        <v>0</v>
      </c>
      <c r="AI912" s="436">
        <f>IF(NFI_Expiration=1,IF($A912&lt;VLOOKUP(R$5,NFI,5,0),1,0)*Table_NFI[[#This Row],[Winter Clothes Adult]],Table_NFI[Winter Clothes Adult])</f>
        <v>0</v>
      </c>
      <c r="AJ912" s="436">
        <f>IF(NFI_Expiration=1,IF($A912&lt;VLOOKUP(S$5,NFI,5,0),1,0)*Table_NFI[[#This Row],[Winter Clothes Children]],Table_NFI[Winter Clothes Children])</f>
        <v>0</v>
      </c>
      <c r="AK912" s="436">
        <f>IF(NFI_Expiration=1,IF($A912&lt;VLOOKUP(T$5,NFI,5,0),1,0)*Table_NFI[[#This Row],[Winter Items Other]],Table_NFI[Winter Items Other])</f>
        <v>0</v>
      </c>
      <c r="AL912" s="436">
        <f>IF(NFI_Expiration=1,IF($A912&lt;VLOOKUP(M$5,NFI,5,0),1,0)*Table_NFI[[#This Row],[Winter Blanket]],Table_NFI[[#This Row],[Winter Blanket]])</f>
        <v>0</v>
      </c>
      <c r="AM912" s="436">
        <f>IF(Table_NFI[[#This Row],[Winter Clothes Adult]]+Table_NFI[[#This Row],[Winter Clothes Children]]+Table_NFI[[#This Row],[Winter Items Other]]+Table_NFI[[#This Row],[Winter Blanket]]&gt;0,1,0)</f>
        <v>0</v>
      </c>
      <c r="AN912" s="439">
        <f>IF(NFI_Expiration=1,IF($A912&lt;VLOOKUP(V$5,NFI,5,0),1,0)*Table_NFI[[#This Row],[Jerry Can]],Table_NFI[Jerry Can])</f>
        <v>0</v>
      </c>
      <c r="AO912" s="771" t="str">
        <f>IFERROR(VLOOKUP(Table_NFI[[#This Row],[Camp Name]],CL,2,0),"")</f>
        <v>MMR001CMP001</v>
      </c>
      <c r="AP912" s="772">
        <f ca="1">IF(Table_NFI[[#This Row],[Pcode]]="","",IF(OFFSET(CampList[Opening Date],MATCH(Table_NFI[[#This Row],[Pcode]],CampList[CP_Pcode],0)-1,0,1,1)&gt;=NFI_Monitor_Date,1,0))</f>
        <v>0</v>
      </c>
      <c r="AQ912" s="781" t="str">
        <f>IFERROR(VLOOKUP(Table_NFI[[#This Row],[Camp Name]],CL,3,0),"")</f>
        <v>Open</v>
      </c>
      <c r="AR912" s="439" t="str">
        <f ca="1">IF(Table_NFI[[#This Row],[Pcode]]="","",OFFSET(CampList[Priority],MATCH(Table_NFI[[#This Row],[Pcode]],CampList[CP_Pcode],0)-1,0,1,1))</f>
        <v>P4</v>
      </c>
      <c r="AS912" s="438">
        <f>IFERROR(Table_NFI[[#This Row],[Kitchen Set]]/VLOOKUP(Table_NFI[[#This Row],[Camp Name]],CL,4,0),"")</f>
        <v>0.48571428571428571</v>
      </c>
      <c r="AT912" s="769" t="s">
        <v>1099</v>
      </c>
      <c r="AU912" s="773"/>
    </row>
    <row r="913" spans="1:47" s="798" customFormat="1" ht="15.75" customHeight="1" x14ac:dyDescent="0.25">
      <c r="A913" s="451">
        <f t="shared" si="14"/>
        <v>50.666666666666664</v>
      </c>
      <c r="B913" s="768">
        <v>40850</v>
      </c>
      <c r="C913" s="769" t="s">
        <v>454</v>
      </c>
      <c r="D913" s="770" t="s">
        <v>508</v>
      </c>
      <c r="E913" s="769" t="s">
        <v>380</v>
      </c>
      <c r="F913" s="435" t="s">
        <v>237</v>
      </c>
      <c r="G913" s="435" t="s">
        <v>249</v>
      </c>
      <c r="H913" s="436"/>
      <c r="I913" s="436"/>
      <c r="J913" s="436"/>
      <c r="K913" s="436">
        <v>18</v>
      </c>
      <c r="L913" s="437">
        <v>8</v>
      </c>
      <c r="M913" s="437">
        <v>18</v>
      </c>
      <c r="N913" s="437">
        <v>8</v>
      </c>
      <c r="O913" s="437">
        <v>8</v>
      </c>
      <c r="P913" s="437">
        <v>8</v>
      </c>
      <c r="Q913" s="437">
        <v>8</v>
      </c>
      <c r="R913" s="436"/>
      <c r="S913" s="436"/>
      <c r="T913" s="436"/>
      <c r="U913" s="436"/>
      <c r="V913" s="695"/>
      <c r="W913" s="695"/>
      <c r="X913" s="695"/>
      <c r="Y913" s="436">
        <f>IF(NFI_Expiration=1,IF($A913&lt;VLOOKUP(H$5,NFI,5,0),1,0)*Table_NFI[[#This Row],[Hygiene Kit]],Table_NFI[Hygiene Kit])</f>
        <v>0</v>
      </c>
      <c r="Z913" s="436">
        <f>IF(NFI_Expiration=1,IF($A913&lt;VLOOKUP(I$5,NFI,5,0),1,0)*Table_NFI[[#This Row],[NFI Core Kit]],Table_NFI[NFI Core Kit])</f>
        <v>0</v>
      </c>
      <c r="AA913" s="436">
        <f>IF(NFI_Expiration=1,IF($A913&lt;VLOOKUP(J$5,NFI,5,0),1,0)*Table_NFI[[#This Row],[Sanitary Kit]],Table_NFI[Sanitary Kit])</f>
        <v>0</v>
      </c>
      <c r="AB913" s="436">
        <f>IF(NFI_Expiration=1,IF($A913&lt;VLOOKUP(K$5,NFI,5,0),1,0)*Table_NFI[[#This Row],[Mosquito net]],Table_NFI[Mosquito net])</f>
        <v>0</v>
      </c>
      <c r="AC913" s="436">
        <f>IF(NFI_Expiration=1,IF($A913&lt;VLOOKUP(L$5,NFI,5,0),1,0)*Table_NFI[[#This Row],[Tarpaulin]],Table_NFI[[#This Row],[Tarpaulin]])</f>
        <v>0</v>
      </c>
      <c r="AD913" s="436">
        <f>IF(NFI_Expiration=1,IF($A913&lt;VLOOKUP(M$5,NFI,5,0),1,0)*Table_NFI[[#This Row],[Blanket]],Table_NFI[[#This Row],[Blanket]])</f>
        <v>0</v>
      </c>
      <c r="AE913" s="436">
        <f>IF(NFI_Expiration=1,IF($A913&lt;VLOOKUP(N$5,NFI,5,0),1,0)*Table_NFI[[#This Row],[Kitchen Set]],Table_NFI[Kitchen Set])</f>
        <v>0</v>
      </c>
      <c r="AF913" s="436">
        <f>IF(NFI_Expiration=1,IF($A913&lt;VLOOKUP(O$5,NFI,5,0),1,0)*Table_NFI[[#This Row],[Clothes Kit]],Table_NFI[Clothes Kit])</f>
        <v>0</v>
      </c>
      <c r="AG913" s="436">
        <f>IF(NFI_Expiration=1,IF($A913&lt;VLOOKUP(P$5,NFI,5,0),1,0)*Table_NFI[[#This Row],[Plastic Bucket]],Table_NFI[Plastic Bucket])</f>
        <v>0</v>
      </c>
      <c r="AH913" s="436">
        <f>IF(NFI_Expiration=1,IF($A913&lt;VLOOKUP(Q$5,NFI,5,0),1,0)*Table_NFI[[#This Row],[Plastic Mat]],Table_NFI[Plastic Mat])*IF(Table_NFI[[#This Row],[Distribution Date]]&gt;"2014-04-01",1,2.5)</f>
        <v>0</v>
      </c>
      <c r="AI913" s="436">
        <f>IF(NFI_Expiration=1,IF($A913&lt;VLOOKUP(R$5,NFI,5,0),1,0)*Table_NFI[[#This Row],[Winter Clothes Adult]],Table_NFI[Winter Clothes Adult])</f>
        <v>0</v>
      </c>
      <c r="AJ913" s="436">
        <f>IF(NFI_Expiration=1,IF($A913&lt;VLOOKUP(S$5,NFI,5,0),1,0)*Table_NFI[[#This Row],[Winter Clothes Children]],Table_NFI[Winter Clothes Children])</f>
        <v>0</v>
      </c>
      <c r="AK913" s="436">
        <f>IF(NFI_Expiration=1,IF($A913&lt;VLOOKUP(T$5,NFI,5,0),1,0)*Table_NFI[[#This Row],[Winter Items Other]],Table_NFI[Winter Items Other])</f>
        <v>0</v>
      </c>
      <c r="AL913" s="436">
        <f>IF(NFI_Expiration=1,IF($A913&lt;VLOOKUP(M$5,NFI,5,0),1,0)*Table_NFI[[#This Row],[Winter Blanket]],Table_NFI[[#This Row],[Winter Blanket]])</f>
        <v>0</v>
      </c>
      <c r="AM913" s="436">
        <f>IF(Table_NFI[[#This Row],[Winter Clothes Adult]]+Table_NFI[[#This Row],[Winter Clothes Children]]+Table_NFI[[#This Row],[Winter Items Other]]+Table_NFI[[#This Row],[Winter Blanket]]&gt;0,1,0)</f>
        <v>0</v>
      </c>
      <c r="AN913" s="439">
        <f>IF(NFI_Expiration=1,IF($A913&lt;VLOOKUP(V$5,NFI,5,0),1,0)*Table_NFI[[#This Row],[Jerry Can]],Table_NFI[Jerry Can])</f>
        <v>0</v>
      </c>
      <c r="AO913" s="771" t="str">
        <f>IFERROR(VLOOKUP(Table_NFI[[#This Row],[Camp Name]],CL,2,0),"")</f>
        <v>MMR001CMP004</v>
      </c>
      <c r="AP913" s="772">
        <f ca="1">IF(Table_NFI[[#This Row],[Pcode]]="","",IF(OFFSET(CampList[Opening Date],MATCH(Table_NFI[[#This Row],[Pcode]],CampList[CP_Pcode],0)-1,0,1,1)&gt;=NFI_Monitor_Date,1,0))</f>
        <v>0</v>
      </c>
      <c r="AQ913" s="781" t="str">
        <f>IFERROR(VLOOKUP(Table_NFI[[#This Row],[Camp Name]],CL,3,0),"")</f>
        <v>Open</v>
      </c>
      <c r="AR913" s="439" t="str">
        <f ca="1">IF(Table_NFI[[#This Row],[Pcode]]="","",OFFSET(CampList[Priority],MATCH(Table_NFI[[#This Row],[Pcode]],CampList[CP_Pcode],0)-1,0,1,1))</f>
        <v>P4</v>
      </c>
      <c r="AS913" s="438">
        <f>IFERROR(Table_NFI[[#This Row],[Kitchen Set]]/VLOOKUP(Table_NFI[[#This Row],[Camp Name]],CL,4,0),"")</f>
        <v>0.66666666666666663</v>
      </c>
      <c r="AT913" s="769" t="s">
        <v>1099</v>
      </c>
      <c r="AU913" s="773"/>
    </row>
    <row r="914" spans="1:47" s="798" customFormat="1" ht="15.75" customHeight="1" x14ac:dyDescent="0.25">
      <c r="A914" s="451">
        <f t="shared" si="14"/>
        <v>50.666666666666664</v>
      </c>
      <c r="B914" s="768">
        <v>40850</v>
      </c>
      <c r="C914" s="769" t="s">
        <v>454</v>
      </c>
      <c r="D914" s="770" t="s">
        <v>508</v>
      </c>
      <c r="E914" s="769" t="s">
        <v>380</v>
      </c>
      <c r="F914" s="435" t="s">
        <v>237</v>
      </c>
      <c r="G914" s="435" t="s">
        <v>281</v>
      </c>
      <c r="H914" s="436"/>
      <c r="I914" s="436"/>
      <c r="J914" s="436"/>
      <c r="K914" s="436">
        <v>18</v>
      </c>
      <c r="L914" s="437">
        <v>8</v>
      </c>
      <c r="M914" s="437">
        <v>18</v>
      </c>
      <c r="N914" s="437">
        <v>8</v>
      </c>
      <c r="O914" s="437">
        <v>8</v>
      </c>
      <c r="P914" s="437">
        <v>8</v>
      </c>
      <c r="Q914" s="437">
        <v>8</v>
      </c>
      <c r="R914" s="436"/>
      <c r="S914" s="436"/>
      <c r="T914" s="436"/>
      <c r="U914" s="436"/>
      <c r="V914" s="695"/>
      <c r="W914" s="695"/>
      <c r="X914" s="695"/>
      <c r="Y914" s="436">
        <f>IF(NFI_Expiration=1,IF($A914&lt;VLOOKUP(H$5,NFI,5,0),1,0)*Table_NFI[[#This Row],[Hygiene Kit]],Table_NFI[Hygiene Kit])</f>
        <v>0</v>
      </c>
      <c r="Z914" s="436">
        <f>IF(NFI_Expiration=1,IF($A914&lt;VLOOKUP(I$5,NFI,5,0),1,0)*Table_NFI[[#This Row],[NFI Core Kit]],Table_NFI[NFI Core Kit])</f>
        <v>0</v>
      </c>
      <c r="AA914" s="436">
        <f>IF(NFI_Expiration=1,IF($A914&lt;VLOOKUP(J$5,NFI,5,0),1,0)*Table_NFI[[#This Row],[Sanitary Kit]],Table_NFI[Sanitary Kit])</f>
        <v>0</v>
      </c>
      <c r="AB914" s="436">
        <f>IF(NFI_Expiration=1,IF($A914&lt;VLOOKUP(K$5,NFI,5,0),1,0)*Table_NFI[[#This Row],[Mosquito net]],Table_NFI[Mosquito net])</f>
        <v>0</v>
      </c>
      <c r="AC914" s="436">
        <f>IF(NFI_Expiration=1,IF($A914&lt;VLOOKUP(L$5,NFI,5,0),1,0)*Table_NFI[[#This Row],[Tarpaulin]],Table_NFI[[#This Row],[Tarpaulin]])</f>
        <v>0</v>
      </c>
      <c r="AD914" s="436">
        <f>IF(NFI_Expiration=1,IF($A914&lt;VLOOKUP(M$5,NFI,5,0),1,0)*Table_NFI[[#This Row],[Blanket]],Table_NFI[[#This Row],[Blanket]])</f>
        <v>0</v>
      </c>
      <c r="AE914" s="436">
        <f>IF(NFI_Expiration=1,IF($A914&lt;VLOOKUP(N$5,NFI,5,0),1,0)*Table_NFI[[#This Row],[Kitchen Set]],Table_NFI[Kitchen Set])</f>
        <v>0</v>
      </c>
      <c r="AF914" s="436">
        <f>IF(NFI_Expiration=1,IF($A914&lt;VLOOKUP(O$5,NFI,5,0),1,0)*Table_NFI[[#This Row],[Clothes Kit]],Table_NFI[Clothes Kit])</f>
        <v>0</v>
      </c>
      <c r="AG914" s="436">
        <f>IF(NFI_Expiration=1,IF($A914&lt;VLOOKUP(P$5,NFI,5,0),1,0)*Table_NFI[[#This Row],[Plastic Bucket]],Table_NFI[Plastic Bucket])</f>
        <v>0</v>
      </c>
      <c r="AH914" s="436">
        <f>IF(NFI_Expiration=1,IF($A914&lt;VLOOKUP(Q$5,NFI,5,0),1,0)*Table_NFI[[#This Row],[Plastic Mat]],Table_NFI[Plastic Mat])*IF(Table_NFI[[#This Row],[Distribution Date]]&gt;"2014-04-01",1,2.5)</f>
        <v>0</v>
      </c>
      <c r="AI914" s="436">
        <f>IF(NFI_Expiration=1,IF($A914&lt;VLOOKUP(R$5,NFI,5,0),1,0)*Table_NFI[[#This Row],[Winter Clothes Adult]],Table_NFI[Winter Clothes Adult])</f>
        <v>0</v>
      </c>
      <c r="AJ914" s="436">
        <f>IF(NFI_Expiration=1,IF($A914&lt;VLOOKUP(S$5,NFI,5,0),1,0)*Table_NFI[[#This Row],[Winter Clothes Children]],Table_NFI[Winter Clothes Children])</f>
        <v>0</v>
      </c>
      <c r="AK914" s="436">
        <f>IF(NFI_Expiration=1,IF($A914&lt;VLOOKUP(T$5,NFI,5,0),1,0)*Table_NFI[[#This Row],[Winter Items Other]],Table_NFI[Winter Items Other])</f>
        <v>0</v>
      </c>
      <c r="AL914" s="436">
        <f>IF(NFI_Expiration=1,IF($A914&lt;VLOOKUP(M$5,NFI,5,0),1,0)*Table_NFI[[#This Row],[Winter Blanket]],Table_NFI[[#This Row],[Winter Blanket]])</f>
        <v>0</v>
      </c>
      <c r="AM914" s="436">
        <f>IF(Table_NFI[[#This Row],[Winter Clothes Adult]]+Table_NFI[[#This Row],[Winter Clothes Children]]+Table_NFI[[#This Row],[Winter Items Other]]+Table_NFI[[#This Row],[Winter Blanket]]&gt;0,1,0)</f>
        <v>0</v>
      </c>
      <c r="AN914" s="439">
        <f>IF(NFI_Expiration=1,IF($A914&lt;VLOOKUP(V$5,NFI,5,0),1,0)*Table_NFI[[#This Row],[Jerry Can]],Table_NFI[Jerry Can])</f>
        <v>0</v>
      </c>
      <c r="AO914" s="771" t="str">
        <f>IFERROR(VLOOKUP(Table_NFI[[#This Row],[Camp Name]],CL,2,0),"")</f>
        <v>MMR001CMP009</v>
      </c>
      <c r="AP914" s="772">
        <f ca="1">IF(Table_NFI[[#This Row],[Pcode]]="","",IF(OFFSET(CampList[Opening Date],MATCH(Table_NFI[[#This Row],[Pcode]],CampList[CP_Pcode],0)-1,0,1,1)&gt;=NFI_Monitor_Date,1,0))</f>
        <v>0</v>
      </c>
      <c r="AQ914" s="781" t="str">
        <f>IFERROR(VLOOKUP(Table_NFI[[#This Row],[Camp Name]],CL,3,0),"")</f>
        <v>Open</v>
      </c>
      <c r="AR914" s="439" t="str">
        <f ca="1">IF(Table_NFI[[#This Row],[Pcode]]="","",OFFSET(CampList[Priority],MATCH(Table_NFI[[#This Row],[Pcode]],CampList[CP_Pcode],0)-1,0,1,1))</f>
        <v>P4</v>
      </c>
      <c r="AS914" s="438">
        <f>IFERROR(Table_NFI[[#This Row],[Kitchen Set]]/VLOOKUP(Table_NFI[[#This Row],[Camp Name]],CL,4,0),"")</f>
        <v>8.8888888888888892E-2</v>
      </c>
      <c r="AT914" s="769" t="s">
        <v>1099</v>
      </c>
      <c r="AU914" s="773"/>
    </row>
    <row r="915" spans="1:47" s="798" customFormat="1" ht="15.75" customHeight="1" x14ac:dyDescent="0.25">
      <c r="A915" s="451">
        <f t="shared" si="14"/>
        <v>50.7</v>
      </c>
      <c r="B915" s="768">
        <v>40849</v>
      </c>
      <c r="C915" s="769" t="s">
        <v>454</v>
      </c>
      <c r="D915" s="770" t="s">
        <v>462</v>
      </c>
      <c r="E915" s="769" t="s">
        <v>380</v>
      </c>
      <c r="F915" s="435" t="s">
        <v>237</v>
      </c>
      <c r="G915" s="435" t="s">
        <v>243</v>
      </c>
      <c r="H915" s="436"/>
      <c r="I915" s="436"/>
      <c r="J915" s="436"/>
      <c r="K915" s="436">
        <v>0</v>
      </c>
      <c r="L915" s="437">
        <v>5</v>
      </c>
      <c r="M915" s="437">
        <v>0</v>
      </c>
      <c r="N915" s="437">
        <v>5</v>
      </c>
      <c r="O915" s="437">
        <v>5</v>
      </c>
      <c r="P915" s="437">
        <v>5</v>
      </c>
      <c r="Q915" s="437">
        <v>5</v>
      </c>
      <c r="R915" s="436"/>
      <c r="S915" s="436"/>
      <c r="T915" s="436"/>
      <c r="U915" s="436"/>
      <c r="V915" s="695"/>
      <c r="W915" s="695"/>
      <c r="X915" s="695"/>
      <c r="Y915" s="436">
        <f>IF(NFI_Expiration=1,IF($A915&lt;VLOOKUP(H$5,NFI,5,0),1,0)*Table_NFI[[#This Row],[Hygiene Kit]],Table_NFI[Hygiene Kit])</f>
        <v>0</v>
      </c>
      <c r="Z915" s="436">
        <f>IF(NFI_Expiration=1,IF($A915&lt;VLOOKUP(I$5,NFI,5,0),1,0)*Table_NFI[[#This Row],[NFI Core Kit]],Table_NFI[NFI Core Kit])</f>
        <v>0</v>
      </c>
      <c r="AA915" s="436">
        <f>IF(NFI_Expiration=1,IF($A915&lt;VLOOKUP(J$5,NFI,5,0),1,0)*Table_NFI[[#This Row],[Sanitary Kit]],Table_NFI[Sanitary Kit])</f>
        <v>0</v>
      </c>
      <c r="AB915" s="436">
        <f>IF(NFI_Expiration=1,IF($A915&lt;VLOOKUP(K$5,NFI,5,0),1,0)*Table_NFI[[#This Row],[Mosquito net]],Table_NFI[Mosquito net])</f>
        <v>0</v>
      </c>
      <c r="AC915" s="436">
        <f>IF(NFI_Expiration=1,IF($A915&lt;VLOOKUP(L$5,NFI,5,0),1,0)*Table_NFI[[#This Row],[Tarpaulin]],Table_NFI[[#This Row],[Tarpaulin]])</f>
        <v>0</v>
      </c>
      <c r="AD915" s="436">
        <f>IF(NFI_Expiration=1,IF($A915&lt;VLOOKUP(M$5,NFI,5,0),1,0)*Table_NFI[[#This Row],[Blanket]],Table_NFI[[#This Row],[Blanket]])</f>
        <v>0</v>
      </c>
      <c r="AE915" s="436">
        <f>IF(NFI_Expiration=1,IF($A915&lt;VLOOKUP(N$5,NFI,5,0),1,0)*Table_NFI[[#This Row],[Kitchen Set]],Table_NFI[Kitchen Set])</f>
        <v>0</v>
      </c>
      <c r="AF915" s="436">
        <f>IF(NFI_Expiration=1,IF($A915&lt;VLOOKUP(O$5,NFI,5,0),1,0)*Table_NFI[[#This Row],[Clothes Kit]],Table_NFI[Clothes Kit])</f>
        <v>0</v>
      </c>
      <c r="AG915" s="436">
        <f>IF(NFI_Expiration=1,IF($A915&lt;VLOOKUP(P$5,NFI,5,0),1,0)*Table_NFI[[#This Row],[Plastic Bucket]],Table_NFI[Plastic Bucket])</f>
        <v>0</v>
      </c>
      <c r="AH915" s="436">
        <f>IF(NFI_Expiration=1,IF($A915&lt;VLOOKUP(Q$5,NFI,5,0),1,0)*Table_NFI[[#This Row],[Plastic Mat]],Table_NFI[Plastic Mat])*IF(Table_NFI[[#This Row],[Distribution Date]]&gt;"2014-04-01",1,2.5)</f>
        <v>0</v>
      </c>
      <c r="AI915" s="436">
        <f>IF(NFI_Expiration=1,IF($A915&lt;VLOOKUP(R$5,NFI,5,0),1,0)*Table_NFI[[#This Row],[Winter Clothes Adult]],Table_NFI[Winter Clothes Adult])</f>
        <v>0</v>
      </c>
      <c r="AJ915" s="436">
        <f>IF(NFI_Expiration=1,IF($A915&lt;VLOOKUP(S$5,NFI,5,0),1,0)*Table_NFI[[#This Row],[Winter Clothes Children]],Table_NFI[Winter Clothes Children])</f>
        <v>0</v>
      </c>
      <c r="AK915" s="436">
        <f>IF(NFI_Expiration=1,IF($A915&lt;VLOOKUP(T$5,NFI,5,0),1,0)*Table_NFI[[#This Row],[Winter Items Other]],Table_NFI[Winter Items Other])</f>
        <v>0</v>
      </c>
      <c r="AL915" s="436">
        <f>IF(NFI_Expiration=1,IF($A915&lt;VLOOKUP(M$5,NFI,5,0),1,0)*Table_NFI[[#This Row],[Winter Blanket]],Table_NFI[[#This Row],[Winter Blanket]])</f>
        <v>0</v>
      </c>
      <c r="AM915" s="436">
        <f>IF(Table_NFI[[#This Row],[Winter Clothes Adult]]+Table_NFI[[#This Row],[Winter Clothes Children]]+Table_NFI[[#This Row],[Winter Items Other]]+Table_NFI[[#This Row],[Winter Blanket]]&gt;0,1,0)</f>
        <v>0</v>
      </c>
      <c r="AN915" s="439">
        <f>IF(NFI_Expiration=1,IF($A915&lt;VLOOKUP(V$5,NFI,5,0),1,0)*Table_NFI[[#This Row],[Jerry Can]],Table_NFI[Jerry Can])</f>
        <v>0</v>
      </c>
      <c r="AO915" s="771" t="str">
        <f>IFERROR(VLOOKUP(Table_NFI[[#This Row],[Camp Name]],CL,2,0),"")</f>
        <v>MMR001CMP012</v>
      </c>
      <c r="AP915" s="772">
        <f ca="1">IF(Table_NFI[[#This Row],[Pcode]]="","",IF(OFFSET(CampList[Opening Date],MATCH(Table_NFI[[#This Row],[Pcode]],CampList[CP_Pcode],0)-1,0,1,1)&gt;=NFI_Monitor_Date,1,0))</f>
        <v>0</v>
      </c>
      <c r="AQ915" s="781" t="str">
        <f>IFERROR(VLOOKUP(Table_NFI[[#This Row],[Camp Name]],CL,3,0),"")</f>
        <v>Open</v>
      </c>
      <c r="AR915" s="439" t="str">
        <f ca="1">IF(Table_NFI[[#This Row],[Pcode]]="","",OFFSET(CampList[Priority],MATCH(Table_NFI[[#This Row],[Pcode]],CampList[CP_Pcode],0)-1,0,1,1))</f>
        <v>P4</v>
      </c>
      <c r="AS915" s="438">
        <f>IFERROR(Table_NFI[[#This Row],[Kitchen Set]]/VLOOKUP(Table_NFI[[#This Row],[Camp Name]],CL,4,0),"")</f>
        <v>0.83333333333333337</v>
      </c>
      <c r="AT915" s="769" t="s">
        <v>1099</v>
      </c>
      <c r="AU915" s="773"/>
    </row>
    <row r="916" spans="1:47" s="798" customFormat="1" ht="15.75" customHeight="1" x14ac:dyDescent="0.25">
      <c r="A916" s="451">
        <f t="shared" si="14"/>
        <v>50.7</v>
      </c>
      <c r="B916" s="768">
        <v>40849</v>
      </c>
      <c r="C916" s="769" t="s">
        <v>454</v>
      </c>
      <c r="D916" s="770" t="s">
        <v>462</v>
      </c>
      <c r="E916" s="769" t="s">
        <v>380</v>
      </c>
      <c r="F916" s="435" t="s">
        <v>237</v>
      </c>
      <c r="G916" s="435" t="s">
        <v>245</v>
      </c>
      <c r="H916" s="436"/>
      <c r="I916" s="436"/>
      <c r="J916" s="436"/>
      <c r="K916" s="436">
        <v>0</v>
      </c>
      <c r="L916" s="437">
        <v>6</v>
      </c>
      <c r="M916" s="437">
        <v>0</v>
      </c>
      <c r="N916" s="437">
        <v>6</v>
      </c>
      <c r="O916" s="437">
        <v>6</v>
      </c>
      <c r="P916" s="437">
        <v>6</v>
      </c>
      <c r="Q916" s="437">
        <v>6</v>
      </c>
      <c r="R916" s="436"/>
      <c r="S916" s="436"/>
      <c r="T916" s="436"/>
      <c r="U916" s="436"/>
      <c r="V916" s="695"/>
      <c r="W916" s="695"/>
      <c r="X916" s="695"/>
      <c r="Y916" s="436">
        <f>IF(NFI_Expiration=1,IF($A916&lt;VLOOKUP(H$5,NFI,5,0),1,0)*Table_NFI[[#This Row],[Hygiene Kit]],Table_NFI[Hygiene Kit])</f>
        <v>0</v>
      </c>
      <c r="Z916" s="436">
        <f>IF(NFI_Expiration=1,IF($A916&lt;VLOOKUP(I$5,NFI,5,0),1,0)*Table_NFI[[#This Row],[NFI Core Kit]],Table_NFI[NFI Core Kit])</f>
        <v>0</v>
      </c>
      <c r="AA916" s="436">
        <f>IF(NFI_Expiration=1,IF($A916&lt;VLOOKUP(J$5,NFI,5,0),1,0)*Table_NFI[[#This Row],[Sanitary Kit]],Table_NFI[Sanitary Kit])</f>
        <v>0</v>
      </c>
      <c r="AB916" s="436">
        <f>IF(NFI_Expiration=1,IF($A916&lt;VLOOKUP(K$5,NFI,5,0),1,0)*Table_NFI[[#This Row],[Mosquito net]],Table_NFI[Mosquito net])</f>
        <v>0</v>
      </c>
      <c r="AC916" s="436">
        <f>IF(NFI_Expiration=1,IF($A916&lt;VLOOKUP(L$5,NFI,5,0),1,0)*Table_NFI[[#This Row],[Tarpaulin]],Table_NFI[[#This Row],[Tarpaulin]])</f>
        <v>0</v>
      </c>
      <c r="AD916" s="436">
        <f>IF(NFI_Expiration=1,IF($A916&lt;VLOOKUP(M$5,NFI,5,0),1,0)*Table_NFI[[#This Row],[Blanket]],Table_NFI[[#This Row],[Blanket]])</f>
        <v>0</v>
      </c>
      <c r="AE916" s="436">
        <f>IF(NFI_Expiration=1,IF($A916&lt;VLOOKUP(N$5,NFI,5,0),1,0)*Table_NFI[[#This Row],[Kitchen Set]],Table_NFI[Kitchen Set])</f>
        <v>0</v>
      </c>
      <c r="AF916" s="436">
        <f>IF(NFI_Expiration=1,IF($A916&lt;VLOOKUP(O$5,NFI,5,0),1,0)*Table_NFI[[#This Row],[Clothes Kit]],Table_NFI[Clothes Kit])</f>
        <v>0</v>
      </c>
      <c r="AG916" s="436">
        <f>IF(NFI_Expiration=1,IF($A916&lt;VLOOKUP(P$5,NFI,5,0),1,0)*Table_NFI[[#This Row],[Plastic Bucket]],Table_NFI[Plastic Bucket])</f>
        <v>0</v>
      </c>
      <c r="AH916" s="436">
        <f>IF(NFI_Expiration=1,IF($A916&lt;VLOOKUP(Q$5,NFI,5,0),1,0)*Table_NFI[[#This Row],[Plastic Mat]],Table_NFI[Plastic Mat])*IF(Table_NFI[[#This Row],[Distribution Date]]&gt;"2014-04-01",1,2.5)</f>
        <v>0</v>
      </c>
      <c r="AI916" s="436">
        <f>IF(NFI_Expiration=1,IF($A916&lt;VLOOKUP(R$5,NFI,5,0),1,0)*Table_NFI[[#This Row],[Winter Clothes Adult]],Table_NFI[Winter Clothes Adult])</f>
        <v>0</v>
      </c>
      <c r="AJ916" s="436">
        <f>IF(NFI_Expiration=1,IF($A916&lt;VLOOKUP(S$5,NFI,5,0),1,0)*Table_NFI[[#This Row],[Winter Clothes Children]],Table_NFI[Winter Clothes Children])</f>
        <v>0</v>
      </c>
      <c r="AK916" s="436">
        <f>IF(NFI_Expiration=1,IF($A916&lt;VLOOKUP(T$5,NFI,5,0),1,0)*Table_NFI[[#This Row],[Winter Items Other]],Table_NFI[Winter Items Other])</f>
        <v>0</v>
      </c>
      <c r="AL916" s="436">
        <f>IF(NFI_Expiration=1,IF($A916&lt;VLOOKUP(M$5,NFI,5,0),1,0)*Table_NFI[[#This Row],[Winter Blanket]],Table_NFI[[#This Row],[Winter Blanket]])</f>
        <v>0</v>
      </c>
      <c r="AM916" s="436">
        <f>IF(Table_NFI[[#This Row],[Winter Clothes Adult]]+Table_NFI[[#This Row],[Winter Clothes Children]]+Table_NFI[[#This Row],[Winter Items Other]]+Table_NFI[[#This Row],[Winter Blanket]]&gt;0,1,0)</f>
        <v>0</v>
      </c>
      <c r="AN916" s="439">
        <f>IF(NFI_Expiration=1,IF($A916&lt;VLOOKUP(V$5,NFI,5,0),1,0)*Table_NFI[[#This Row],[Jerry Can]],Table_NFI[Jerry Can])</f>
        <v>0</v>
      </c>
      <c r="AO916" s="771" t="str">
        <f>IFERROR(VLOOKUP(Table_NFI[[#This Row],[Camp Name]],CL,2,0),"")</f>
        <v>MMR001CMP010</v>
      </c>
      <c r="AP916" s="772">
        <f ca="1">IF(Table_NFI[[#This Row],[Pcode]]="","",IF(OFFSET(CampList[Opening Date],MATCH(Table_NFI[[#This Row],[Pcode]],CampList[CP_Pcode],0)-1,0,1,1)&gt;=NFI_Monitor_Date,1,0))</f>
        <v>0</v>
      </c>
      <c r="AQ916" s="781" t="str">
        <f>IFERROR(VLOOKUP(Table_NFI[[#This Row],[Camp Name]],CL,3,0),"")</f>
        <v>Open</v>
      </c>
      <c r="AR916" s="439" t="str">
        <f ca="1">IF(Table_NFI[[#This Row],[Pcode]]="","",OFFSET(CampList[Priority],MATCH(Table_NFI[[#This Row],[Pcode]],CampList[CP_Pcode],0)-1,0,1,1))</f>
        <v>P4</v>
      </c>
      <c r="AS916" s="438">
        <f>IFERROR(Table_NFI[[#This Row],[Kitchen Set]]/VLOOKUP(Table_NFI[[#This Row],[Camp Name]],CL,4,0),"")</f>
        <v>1</v>
      </c>
      <c r="AT916" s="769" t="s">
        <v>1099</v>
      </c>
      <c r="AU916" s="773"/>
    </row>
    <row r="917" spans="1:47" s="798" customFormat="1" ht="15" customHeight="1" x14ac:dyDescent="0.25">
      <c r="A917" s="451">
        <f t="shared" si="14"/>
        <v>50.7</v>
      </c>
      <c r="B917" s="768">
        <v>40849</v>
      </c>
      <c r="C917" s="769" t="s">
        <v>454</v>
      </c>
      <c r="D917" s="770" t="s">
        <v>462</v>
      </c>
      <c r="E917" s="769" t="s">
        <v>380</v>
      </c>
      <c r="F917" s="435" t="s">
        <v>237</v>
      </c>
      <c r="G917" s="435" t="s">
        <v>247</v>
      </c>
      <c r="H917" s="436"/>
      <c r="I917" s="436"/>
      <c r="J917" s="436"/>
      <c r="K917" s="436">
        <v>39</v>
      </c>
      <c r="L917" s="437">
        <v>8</v>
      </c>
      <c r="M917" s="437">
        <v>39</v>
      </c>
      <c r="N917" s="437">
        <v>8</v>
      </c>
      <c r="O917" s="437">
        <v>8</v>
      </c>
      <c r="P917" s="437">
        <v>8</v>
      </c>
      <c r="Q917" s="437">
        <v>8</v>
      </c>
      <c r="R917" s="436"/>
      <c r="S917" s="436"/>
      <c r="T917" s="436"/>
      <c r="U917" s="436"/>
      <c r="V917" s="695"/>
      <c r="W917" s="695"/>
      <c r="X917" s="695"/>
      <c r="Y917" s="436">
        <f>IF(NFI_Expiration=1,IF($A917&lt;VLOOKUP(H$5,NFI,5,0),1,0)*Table_NFI[[#This Row],[Hygiene Kit]],Table_NFI[Hygiene Kit])</f>
        <v>0</v>
      </c>
      <c r="Z917" s="436">
        <f>IF(NFI_Expiration=1,IF($A917&lt;VLOOKUP(I$5,NFI,5,0),1,0)*Table_NFI[[#This Row],[NFI Core Kit]],Table_NFI[NFI Core Kit])</f>
        <v>0</v>
      </c>
      <c r="AA917" s="436">
        <f>IF(NFI_Expiration=1,IF($A917&lt;VLOOKUP(J$5,NFI,5,0),1,0)*Table_NFI[[#This Row],[Sanitary Kit]],Table_NFI[Sanitary Kit])</f>
        <v>0</v>
      </c>
      <c r="AB917" s="436">
        <f>IF(NFI_Expiration=1,IF($A917&lt;VLOOKUP(K$5,NFI,5,0),1,0)*Table_NFI[[#This Row],[Mosquito net]],Table_NFI[Mosquito net])</f>
        <v>0</v>
      </c>
      <c r="AC917" s="436">
        <f>IF(NFI_Expiration=1,IF($A917&lt;VLOOKUP(L$5,NFI,5,0),1,0)*Table_NFI[[#This Row],[Tarpaulin]],Table_NFI[[#This Row],[Tarpaulin]])</f>
        <v>0</v>
      </c>
      <c r="AD917" s="436">
        <f>IF(NFI_Expiration=1,IF($A917&lt;VLOOKUP(M$5,NFI,5,0),1,0)*Table_NFI[[#This Row],[Blanket]],Table_NFI[[#This Row],[Blanket]])</f>
        <v>0</v>
      </c>
      <c r="AE917" s="436">
        <f>IF(NFI_Expiration=1,IF($A917&lt;VLOOKUP(N$5,NFI,5,0),1,0)*Table_NFI[[#This Row],[Kitchen Set]],Table_NFI[Kitchen Set])</f>
        <v>0</v>
      </c>
      <c r="AF917" s="436">
        <f>IF(NFI_Expiration=1,IF($A917&lt;VLOOKUP(O$5,NFI,5,0),1,0)*Table_NFI[[#This Row],[Clothes Kit]],Table_NFI[Clothes Kit])</f>
        <v>0</v>
      </c>
      <c r="AG917" s="436">
        <f>IF(NFI_Expiration=1,IF($A917&lt;VLOOKUP(P$5,NFI,5,0),1,0)*Table_NFI[[#This Row],[Plastic Bucket]],Table_NFI[Plastic Bucket])</f>
        <v>0</v>
      </c>
      <c r="AH917" s="436">
        <f>IF(NFI_Expiration=1,IF($A917&lt;VLOOKUP(Q$5,NFI,5,0),1,0)*Table_NFI[[#This Row],[Plastic Mat]],Table_NFI[Plastic Mat])*IF(Table_NFI[[#This Row],[Distribution Date]]&gt;"2014-04-01",1,2.5)</f>
        <v>0</v>
      </c>
      <c r="AI917" s="436">
        <f>IF(NFI_Expiration=1,IF($A917&lt;VLOOKUP(R$5,NFI,5,0),1,0)*Table_NFI[[#This Row],[Winter Clothes Adult]],Table_NFI[Winter Clothes Adult])</f>
        <v>0</v>
      </c>
      <c r="AJ917" s="436">
        <f>IF(NFI_Expiration=1,IF($A917&lt;VLOOKUP(S$5,NFI,5,0),1,0)*Table_NFI[[#This Row],[Winter Clothes Children]],Table_NFI[Winter Clothes Children])</f>
        <v>0</v>
      </c>
      <c r="AK917" s="436">
        <f>IF(NFI_Expiration=1,IF($A917&lt;VLOOKUP(T$5,NFI,5,0),1,0)*Table_NFI[[#This Row],[Winter Items Other]],Table_NFI[Winter Items Other])</f>
        <v>0</v>
      </c>
      <c r="AL917" s="436">
        <f>IF(NFI_Expiration=1,IF($A917&lt;VLOOKUP(M$5,NFI,5,0),1,0)*Table_NFI[[#This Row],[Winter Blanket]],Table_NFI[[#This Row],[Winter Blanket]])</f>
        <v>0</v>
      </c>
      <c r="AM917" s="436">
        <f>IF(Table_NFI[[#This Row],[Winter Clothes Adult]]+Table_NFI[[#This Row],[Winter Clothes Children]]+Table_NFI[[#This Row],[Winter Items Other]]+Table_NFI[[#This Row],[Winter Blanket]]&gt;0,1,0)</f>
        <v>0</v>
      </c>
      <c r="AN917" s="439">
        <f>IF(NFI_Expiration=1,IF($A917&lt;VLOOKUP(V$5,NFI,5,0),1,0)*Table_NFI[[#This Row],[Jerry Can]],Table_NFI[Jerry Can])</f>
        <v>0</v>
      </c>
      <c r="AO917" s="771" t="str">
        <f>IFERROR(VLOOKUP(Table_NFI[[#This Row],[Camp Name]],CL,2,0),"")</f>
        <v>MMR001CMP011</v>
      </c>
      <c r="AP917" s="772">
        <f ca="1">IF(Table_NFI[[#This Row],[Pcode]]="","",IF(OFFSET(CampList[Opening Date],MATCH(Table_NFI[[#This Row],[Pcode]],CampList[CP_Pcode],0)-1,0,1,1)&gt;=NFI_Monitor_Date,1,0))</f>
        <v>0</v>
      </c>
      <c r="AQ917" s="781" t="str">
        <f>IFERROR(VLOOKUP(Table_NFI[[#This Row],[Camp Name]],CL,3,0),"")</f>
        <v>Open</v>
      </c>
      <c r="AR917" s="439" t="str">
        <f ca="1">IF(Table_NFI[[#This Row],[Pcode]]="","",OFFSET(CampList[Priority],MATCH(Table_NFI[[#This Row],[Pcode]],CampList[CP_Pcode],0)-1,0,1,1))</f>
        <v>P4</v>
      </c>
      <c r="AS917" s="438">
        <f>IFERROR(Table_NFI[[#This Row],[Kitchen Set]]/VLOOKUP(Table_NFI[[#This Row],[Camp Name]],CL,4,0),"")</f>
        <v>0.16</v>
      </c>
      <c r="AT917" s="769" t="s">
        <v>1099</v>
      </c>
      <c r="AU917" s="773"/>
    </row>
    <row r="918" spans="1:47" s="798" customFormat="1" ht="15.75" customHeight="1" x14ac:dyDescent="0.25">
      <c r="A918" s="451">
        <f t="shared" si="14"/>
        <v>50.7</v>
      </c>
      <c r="B918" s="768">
        <v>40849</v>
      </c>
      <c r="C918" s="769" t="s">
        <v>454</v>
      </c>
      <c r="D918" s="770" t="s">
        <v>462</v>
      </c>
      <c r="E918" s="769" t="s">
        <v>380</v>
      </c>
      <c r="F918" s="435" t="s">
        <v>237</v>
      </c>
      <c r="G918" s="435" t="s">
        <v>261</v>
      </c>
      <c r="H918" s="436"/>
      <c r="I918" s="436"/>
      <c r="J918" s="436"/>
      <c r="K918" s="436">
        <v>112</v>
      </c>
      <c r="L918" s="437">
        <v>68</v>
      </c>
      <c r="M918" s="437">
        <v>112</v>
      </c>
      <c r="N918" s="437">
        <v>68</v>
      </c>
      <c r="O918" s="437">
        <v>68</v>
      </c>
      <c r="P918" s="437">
        <v>68</v>
      </c>
      <c r="Q918" s="437">
        <v>68</v>
      </c>
      <c r="R918" s="436"/>
      <c r="S918" s="436"/>
      <c r="T918" s="436"/>
      <c r="U918" s="436"/>
      <c r="V918" s="695"/>
      <c r="W918" s="695"/>
      <c r="X918" s="695"/>
      <c r="Y918" s="436">
        <f>IF(NFI_Expiration=1,IF($A918&lt;VLOOKUP(H$5,NFI,5,0),1,0)*Table_NFI[[#This Row],[Hygiene Kit]],Table_NFI[Hygiene Kit])</f>
        <v>0</v>
      </c>
      <c r="Z918" s="436">
        <f>IF(NFI_Expiration=1,IF($A918&lt;VLOOKUP(I$5,NFI,5,0),1,0)*Table_NFI[[#This Row],[NFI Core Kit]],Table_NFI[NFI Core Kit])</f>
        <v>0</v>
      </c>
      <c r="AA918" s="436">
        <f>IF(NFI_Expiration=1,IF($A918&lt;VLOOKUP(J$5,NFI,5,0),1,0)*Table_NFI[[#This Row],[Sanitary Kit]],Table_NFI[Sanitary Kit])</f>
        <v>0</v>
      </c>
      <c r="AB918" s="436">
        <f>IF(NFI_Expiration=1,IF($A918&lt;VLOOKUP(K$5,NFI,5,0),1,0)*Table_NFI[[#This Row],[Mosquito net]],Table_NFI[Mosquito net])</f>
        <v>0</v>
      </c>
      <c r="AC918" s="436">
        <f>IF(NFI_Expiration=1,IF($A918&lt;VLOOKUP(L$5,NFI,5,0),1,0)*Table_NFI[[#This Row],[Tarpaulin]],Table_NFI[[#This Row],[Tarpaulin]])</f>
        <v>0</v>
      </c>
      <c r="AD918" s="436">
        <f>IF(NFI_Expiration=1,IF($A918&lt;VLOOKUP(M$5,NFI,5,0),1,0)*Table_NFI[[#This Row],[Blanket]],Table_NFI[[#This Row],[Blanket]])</f>
        <v>0</v>
      </c>
      <c r="AE918" s="436">
        <f>IF(NFI_Expiration=1,IF($A918&lt;VLOOKUP(N$5,NFI,5,0),1,0)*Table_NFI[[#This Row],[Kitchen Set]],Table_NFI[Kitchen Set])</f>
        <v>0</v>
      </c>
      <c r="AF918" s="436">
        <f>IF(NFI_Expiration=1,IF($A918&lt;VLOOKUP(O$5,NFI,5,0),1,0)*Table_NFI[[#This Row],[Clothes Kit]],Table_NFI[Clothes Kit])</f>
        <v>0</v>
      </c>
      <c r="AG918" s="436">
        <f>IF(NFI_Expiration=1,IF($A918&lt;VLOOKUP(P$5,NFI,5,0),1,0)*Table_NFI[[#This Row],[Plastic Bucket]],Table_NFI[Plastic Bucket])</f>
        <v>0</v>
      </c>
      <c r="AH918" s="436">
        <f>IF(NFI_Expiration=1,IF($A918&lt;VLOOKUP(Q$5,NFI,5,0),1,0)*Table_NFI[[#This Row],[Plastic Mat]],Table_NFI[Plastic Mat])*IF(Table_NFI[[#This Row],[Distribution Date]]&gt;"2014-04-01",1,2.5)</f>
        <v>0</v>
      </c>
      <c r="AI918" s="436">
        <f>IF(NFI_Expiration=1,IF($A918&lt;VLOOKUP(R$5,NFI,5,0),1,0)*Table_NFI[[#This Row],[Winter Clothes Adult]],Table_NFI[Winter Clothes Adult])</f>
        <v>0</v>
      </c>
      <c r="AJ918" s="436">
        <f>IF(NFI_Expiration=1,IF($A918&lt;VLOOKUP(S$5,NFI,5,0),1,0)*Table_NFI[[#This Row],[Winter Clothes Children]],Table_NFI[Winter Clothes Children])</f>
        <v>0</v>
      </c>
      <c r="AK918" s="436">
        <f>IF(NFI_Expiration=1,IF($A918&lt;VLOOKUP(T$5,NFI,5,0),1,0)*Table_NFI[[#This Row],[Winter Items Other]],Table_NFI[Winter Items Other])</f>
        <v>0</v>
      </c>
      <c r="AL918" s="436">
        <f>IF(NFI_Expiration=1,IF($A918&lt;VLOOKUP(M$5,NFI,5,0),1,0)*Table_NFI[[#This Row],[Winter Blanket]],Table_NFI[[#This Row],[Winter Blanket]])</f>
        <v>0</v>
      </c>
      <c r="AM918" s="436">
        <f>IF(Table_NFI[[#This Row],[Winter Clothes Adult]]+Table_NFI[[#This Row],[Winter Clothes Children]]+Table_NFI[[#This Row],[Winter Items Other]]+Table_NFI[[#This Row],[Winter Blanket]]&gt;0,1,0)</f>
        <v>0</v>
      </c>
      <c r="AN918" s="439">
        <f>IF(NFI_Expiration=1,IF($A918&lt;VLOOKUP(V$5,NFI,5,0),1,0)*Table_NFI[[#This Row],[Jerry Can]],Table_NFI[Jerry Can])</f>
        <v>0</v>
      </c>
      <c r="AO918" s="771" t="str">
        <f>IFERROR(VLOOKUP(Table_NFI[[#This Row],[Camp Name]],CL,2,0),"")</f>
        <v>MMR001CMP008</v>
      </c>
      <c r="AP918" s="772">
        <f ca="1">IF(Table_NFI[[#This Row],[Pcode]]="","",IF(OFFSET(CampList[Opening Date],MATCH(Table_NFI[[#This Row],[Pcode]],CampList[CP_Pcode],0)-1,0,1,1)&gt;=NFI_Monitor_Date,1,0))</f>
        <v>0</v>
      </c>
      <c r="AQ918" s="781" t="str">
        <f>IFERROR(VLOOKUP(Table_NFI[[#This Row],[Camp Name]],CL,3,0),"")</f>
        <v>Open</v>
      </c>
      <c r="AR918" s="439" t="str">
        <f ca="1">IF(Table_NFI[[#This Row],[Pcode]]="","",OFFSET(CampList[Priority],MATCH(Table_NFI[[#This Row],[Pcode]],CampList[CP_Pcode],0)-1,0,1,1))</f>
        <v>P4</v>
      </c>
      <c r="AS918" s="438">
        <f>IFERROR(Table_NFI[[#This Row],[Kitchen Set]]/VLOOKUP(Table_NFI[[#This Row],[Camp Name]],CL,4,0),"")</f>
        <v>0.70833333333333337</v>
      </c>
      <c r="AT918" s="769" t="s">
        <v>1099</v>
      </c>
      <c r="AU918" s="773"/>
    </row>
    <row r="919" spans="1:47" s="798" customFormat="1" ht="15.75" customHeight="1" x14ac:dyDescent="0.25">
      <c r="A919" s="451">
        <f t="shared" si="14"/>
        <v>50.7</v>
      </c>
      <c r="B919" s="768">
        <v>40849</v>
      </c>
      <c r="C919" s="769" t="s">
        <v>454</v>
      </c>
      <c r="D919" s="769" t="s">
        <v>462</v>
      </c>
      <c r="E919" s="769" t="s">
        <v>380</v>
      </c>
      <c r="F919" s="435" t="s">
        <v>237</v>
      </c>
      <c r="G919" s="435" t="s">
        <v>277</v>
      </c>
      <c r="H919" s="436"/>
      <c r="I919" s="436"/>
      <c r="J919" s="436"/>
      <c r="K919" s="436">
        <v>219</v>
      </c>
      <c r="L919" s="437">
        <v>117</v>
      </c>
      <c r="M919" s="437">
        <v>219</v>
      </c>
      <c r="N919" s="437">
        <v>117</v>
      </c>
      <c r="O919" s="437">
        <v>117</v>
      </c>
      <c r="P919" s="439">
        <v>117</v>
      </c>
      <c r="Q919" s="439">
        <v>117</v>
      </c>
      <c r="R919" s="436"/>
      <c r="S919" s="436"/>
      <c r="T919" s="436"/>
      <c r="U919" s="436"/>
      <c r="V919" s="695"/>
      <c r="W919" s="695"/>
      <c r="X919" s="695"/>
      <c r="Y919" s="436">
        <f>IF(NFI_Expiration=1,IF($A919&lt;VLOOKUP(H$5,NFI,5,0),1,0)*Table_NFI[[#This Row],[Hygiene Kit]],Table_NFI[Hygiene Kit])</f>
        <v>0</v>
      </c>
      <c r="Z919" s="436">
        <f>IF(NFI_Expiration=1,IF($A919&lt;VLOOKUP(I$5,NFI,5,0),1,0)*Table_NFI[[#This Row],[NFI Core Kit]],Table_NFI[NFI Core Kit])</f>
        <v>0</v>
      </c>
      <c r="AA919" s="436">
        <f>IF(NFI_Expiration=1,IF($A919&lt;VLOOKUP(J$5,NFI,5,0),1,0)*Table_NFI[[#This Row],[Sanitary Kit]],Table_NFI[Sanitary Kit])</f>
        <v>0</v>
      </c>
      <c r="AB919" s="436">
        <f>IF(NFI_Expiration=1,IF($A919&lt;VLOOKUP(K$5,NFI,5,0),1,0)*Table_NFI[[#This Row],[Mosquito net]],Table_NFI[Mosquito net])</f>
        <v>0</v>
      </c>
      <c r="AC919" s="436">
        <f>IF(NFI_Expiration=1,IF($A919&lt;VLOOKUP(L$5,NFI,5,0),1,0)*Table_NFI[[#This Row],[Tarpaulin]],Table_NFI[[#This Row],[Tarpaulin]])</f>
        <v>0</v>
      </c>
      <c r="AD919" s="436">
        <f>IF(NFI_Expiration=1,IF($A919&lt;VLOOKUP(M$5,NFI,5,0),1,0)*Table_NFI[[#This Row],[Blanket]],Table_NFI[[#This Row],[Blanket]])</f>
        <v>0</v>
      </c>
      <c r="AE919" s="436">
        <f>IF(NFI_Expiration=1,IF($A919&lt;VLOOKUP(N$5,NFI,5,0),1,0)*Table_NFI[[#This Row],[Kitchen Set]],Table_NFI[Kitchen Set])</f>
        <v>0</v>
      </c>
      <c r="AF919" s="436">
        <f>IF(NFI_Expiration=1,IF($A919&lt;VLOOKUP(O$5,NFI,5,0),1,0)*Table_NFI[[#This Row],[Clothes Kit]],Table_NFI[Clothes Kit])</f>
        <v>0</v>
      </c>
      <c r="AG919" s="436">
        <f>IF(NFI_Expiration=1,IF($A919&lt;VLOOKUP(P$5,NFI,5,0),1,0)*Table_NFI[[#This Row],[Plastic Bucket]],Table_NFI[Plastic Bucket])</f>
        <v>0</v>
      </c>
      <c r="AH919" s="436">
        <f>IF(NFI_Expiration=1,IF($A919&lt;VLOOKUP(Q$5,NFI,5,0),1,0)*Table_NFI[[#This Row],[Plastic Mat]],Table_NFI[Plastic Mat])*IF(Table_NFI[[#This Row],[Distribution Date]]&gt;"2014-04-01",1,2.5)</f>
        <v>0</v>
      </c>
      <c r="AI919" s="436">
        <f>IF(NFI_Expiration=1,IF($A919&lt;VLOOKUP(R$5,NFI,5,0),1,0)*Table_NFI[[#This Row],[Winter Clothes Adult]],Table_NFI[Winter Clothes Adult])</f>
        <v>0</v>
      </c>
      <c r="AJ919" s="436">
        <f>IF(NFI_Expiration=1,IF($A919&lt;VLOOKUP(S$5,NFI,5,0),1,0)*Table_NFI[[#This Row],[Winter Clothes Children]],Table_NFI[Winter Clothes Children])</f>
        <v>0</v>
      </c>
      <c r="AK919" s="436">
        <f>IF(NFI_Expiration=1,IF($A919&lt;VLOOKUP(T$5,NFI,5,0),1,0)*Table_NFI[[#This Row],[Winter Items Other]],Table_NFI[Winter Items Other])</f>
        <v>0</v>
      </c>
      <c r="AL919" s="436">
        <f>IF(NFI_Expiration=1,IF($A919&lt;VLOOKUP(M$5,NFI,5,0),1,0)*Table_NFI[[#This Row],[Winter Blanket]],Table_NFI[[#This Row],[Winter Blanket]])</f>
        <v>0</v>
      </c>
      <c r="AM919" s="436">
        <f>IF(Table_NFI[[#This Row],[Winter Clothes Adult]]+Table_NFI[[#This Row],[Winter Clothes Children]]+Table_NFI[[#This Row],[Winter Items Other]]+Table_NFI[[#This Row],[Winter Blanket]]&gt;0,1,0)</f>
        <v>0</v>
      </c>
      <c r="AN919" s="439">
        <f>IF(NFI_Expiration=1,IF($A919&lt;VLOOKUP(V$5,NFI,5,0),1,0)*Table_NFI[[#This Row],[Jerry Can]],Table_NFI[Jerry Can])</f>
        <v>0</v>
      </c>
      <c r="AO919" s="771" t="str">
        <f>IFERROR(VLOOKUP(Table_NFI[[#This Row],[Camp Name]],CL,2,0),"")</f>
        <v>MMR001CMP006</v>
      </c>
      <c r="AP919" s="772">
        <f ca="1">IF(Table_NFI[[#This Row],[Pcode]]="","",IF(OFFSET(CampList[Opening Date],MATCH(Table_NFI[[#This Row],[Pcode]],CampList[CP_Pcode],0)-1,0,1,1)&gt;=NFI_Monitor_Date,1,0))</f>
        <v>0</v>
      </c>
      <c r="AQ919" s="781" t="str">
        <f>IFERROR(VLOOKUP(Table_NFI[[#This Row],[Camp Name]],CL,3,0),"")</f>
        <v>Open</v>
      </c>
      <c r="AR919" s="439" t="str">
        <f ca="1">IF(Table_NFI[[#This Row],[Pcode]]="","",OFFSET(CampList[Priority],MATCH(Table_NFI[[#This Row],[Pcode]],CampList[CP_Pcode],0)-1,0,1,1))</f>
        <v>P4</v>
      </c>
      <c r="AS919" s="438">
        <f>IFERROR(Table_NFI[[#This Row],[Kitchen Set]]/VLOOKUP(Table_NFI[[#This Row],[Camp Name]],CL,4,0),"")</f>
        <v>1.2315789473684211</v>
      </c>
      <c r="AT919" s="769" t="s">
        <v>1099</v>
      </c>
      <c r="AU919" s="773"/>
    </row>
    <row r="920" spans="1:47" s="798" customFormat="1" ht="15.75" customHeight="1" x14ac:dyDescent="0.25">
      <c r="A920" s="451">
        <f t="shared" si="14"/>
        <v>50.7</v>
      </c>
      <c r="B920" s="768">
        <v>40849</v>
      </c>
      <c r="C920" s="769" t="s">
        <v>454</v>
      </c>
      <c r="D920" s="770" t="s">
        <v>462</v>
      </c>
      <c r="E920" s="769" t="s">
        <v>380</v>
      </c>
      <c r="F920" s="435" t="s">
        <v>237</v>
      </c>
      <c r="G920" s="435" t="s">
        <v>279</v>
      </c>
      <c r="H920" s="436"/>
      <c r="I920" s="436"/>
      <c r="J920" s="436"/>
      <c r="K920" s="436">
        <v>2</v>
      </c>
      <c r="L920" s="437">
        <v>1</v>
      </c>
      <c r="M920" s="437">
        <v>2</v>
      </c>
      <c r="N920" s="437">
        <v>1</v>
      </c>
      <c r="O920" s="437">
        <v>1</v>
      </c>
      <c r="P920" s="437">
        <v>1</v>
      </c>
      <c r="Q920" s="437">
        <v>1</v>
      </c>
      <c r="R920" s="436"/>
      <c r="S920" s="436"/>
      <c r="T920" s="436"/>
      <c r="U920" s="436"/>
      <c r="V920" s="695"/>
      <c r="W920" s="695"/>
      <c r="X920" s="695"/>
      <c r="Y920" s="436">
        <f>IF(NFI_Expiration=1,IF($A920&lt;VLOOKUP(H$5,NFI,5,0),1,0)*Table_NFI[[#This Row],[Hygiene Kit]],Table_NFI[Hygiene Kit])</f>
        <v>0</v>
      </c>
      <c r="Z920" s="436">
        <f>IF(NFI_Expiration=1,IF($A920&lt;VLOOKUP(I$5,NFI,5,0),1,0)*Table_NFI[[#This Row],[NFI Core Kit]],Table_NFI[NFI Core Kit])</f>
        <v>0</v>
      </c>
      <c r="AA920" s="436">
        <f>IF(NFI_Expiration=1,IF($A920&lt;VLOOKUP(J$5,NFI,5,0),1,0)*Table_NFI[[#This Row],[Sanitary Kit]],Table_NFI[Sanitary Kit])</f>
        <v>0</v>
      </c>
      <c r="AB920" s="436">
        <f>IF(NFI_Expiration=1,IF($A920&lt;VLOOKUP(K$5,NFI,5,0),1,0)*Table_NFI[[#This Row],[Mosquito net]],Table_NFI[Mosquito net])</f>
        <v>0</v>
      </c>
      <c r="AC920" s="436">
        <f>IF(NFI_Expiration=1,IF($A920&lt;VLOOKUP(L$5,NFI,5,0),1,0)*Table_NFI[[#This Row],[Tarpaulin]],Table_NFI[[#This Row],[Tarpaulin]])</f>
        <v>0</v>
      </c>
      <c r="AD920" s="436">
        <f>IF(NFI_Expiration=1,IF($A920&lt;VLOOKUP(M$5,NFI,5,0),1,0)*Table_NFI[[#This Row],[Blanket]],Table_NFI[[#This Row],[Blanket]])</f>
        <v>0</v>
      </c>
      <c r="AE920" s="436">
        <f>IF(NFI_Expiration=1,IF($A920&lt;VLOOKUP(N$5,NFI,5,0),1,0)*Table_NFI[[#This Row],[Kitchen Set]],Table_NFI[Kitchen Set])</f>
        <v>0</v>
      </c>
      <c r="AF920" s="436">
        <f>IF(NFI_Expiration=1,IF($A920&lt;VLOOKUP(O$5,NFI,5,0),1,0)*Table_NFI[[#This Row],[Clothes Kit]],Table_NFI[Clothes Kit])</f>
        <v>0</v>
      </c>
      <c r="AG920" s="436">
        <f>IF(NFI_Expiration=1,IF($A920&lt;VLOOKUP(P$5,NFI,5,0),1,0)*Table_NFI[[#This Row],[Plastic Bucket]],Table_NFI[Plastic Bucket])</f>
        <v>0</v>
      </c>
      <c r="AH920" s="436">
        <f>IF(NFI_Expiration=1,IF($A920&lt;VLOOKUP(Q$5,NFI,5,0),1,0)*Table_NFI[[#This Row],[Plastic Mat]],Table_NFI[Plastic Mat])*IF(Table_NFI[[#This Row],[Distribution Date]]&gt;"2014-04-01",1,2.5)</f>
        <v>0</v>
      </c>
      <c r="AI920" s="436">
        <f>IF(NFI_Expiration=1,IF($A920&lt;VLOOKUP(R$5,NFI,5,0),1,0)*Table_NFI[[#This Row],[Winter Clothes Adult]],Table_NFI[Winter Clothes Adult])</f>
        <v>0</v>
      </c>
      <c r="AJ920" s="436">
        <f>IF(NFI_Expiration=1,IF($A920&lt;VLOOKUP(S$5,NFI,5,0),1,0)*Table_NFI[[#This Row],[Winter Clothes Children]],Table_NFI[Winter Clothes Children])</f>
        <v>0</v>
      </c>
      <c r="AK920" s="436">
        <f>IF(NFI_Expiration=1,IF($A920&lt;VLOOKUP(T$5,NFI,5,0),1,0)*Table_NFI[[#This Row],[Winter Items Other]],Table_NFI[Winter Items Other])</f>
        <v>0</v>
      </c>
      <c r="AL920" s="436">
        <f>IF(NFI_Expiration=1,IF($A920&lt;VLOOKUP(M$5,NFI,5,0),1,0)*Table_NFI[[#This Row],[Winter Blanket]],Table_NFI[[#This Row],[Winter Blanket]])</f>
        <v>0</v>
      </c>
      <c r="AM920" s="436">
        <f>IF(Table_NFI[[#This Row],[Winter Clothes Adult]]+Table_NFI[[#This Row],[Winter Clothes Children]]+Table_NFI[[#This Row],[Winter Items Other]]+Table_NFI[[#This Row],[Winter Blanket]]&gt;0,1,0)</f>
        <v>0</v>
      </c>
      <c r="AN920" s="439">
        <f>IF(NFI_Expiration=1,IF($A920&lt;VLOOKUP(V$5,NFI,5,0),1,0)*Table_NFI[[#This Row],[Jerry Can]],Table_NFI[Jerry Can])</f>
        <v>0</v>
      </c>
      <c r="AO920" s="771" t="str">
        <f>IFERROR(VLOOKUP(Table_NFI[[#This Row],[Camp Name]],CL,2,0),"")</f>
        <v>MMR001CMP007</v>
      </c>
      <c r="AP920" s="772">
        <f ca="1">IF(Table_NFI[[#This Row],[Pcode]]="","",IF(OFFSET(CampList[Opening Date],MATCH(Table_NFI[[#This Row],[Pcode]],CampList[CP_Pcode],0)-1,0,1,1)&gt;=NFI_Monitor_Date,1,0))</f>
        <v>0</v>
      </c>
      <c r="AQ920" s="781" t="str">
        <f>IFERROR(VLOOKUP(Table_NFI[[#This Row],[Camp Name]],CL,3,0),"")</f>
        <v>Open</v>
      </c>
      <c r="AR920" s="439" t="str">
        <f ca="1">IF(Table_NFI[[#This Row],[Pcode]]="","",OFFSET(CampList[Priority],MATCH(Table_NFI[[#This Row],[Pcode]],CampList[CP_Pcode],0)-1,0,1,1))</f>
        <v>P4</v>
      </c>
      <c r="AS920" s="438">
        <f>IFERROR(Table_NFI[[#This Row],[Kitchen Set]]/VLOOKUP(Table_NFI[[#This Row],[Camp Name]],CL,4,0),"")</f>
        <v>3.5714285714285712E-2</v>
      </c>
      <c r="AT920" s="769" t="s">
        <v>1099</v>
      </c>
      <c r="AU920" s="773"/>
    </row>
    <row r="921" spans="1:47" s="798" customFormat="1" ht="15.75" customHeight="1" x14ac:dyDescent="0.25">
      <c r="A921" s="451" t="str">
        <f t="shared" si="14"/>
        <v/>
      </c>
      <c r="B921" s="829"/>
      <c r="C921" s="830"/>
      <c r="D921" s="830"/>
      <c r="E921" s="830"/>
      <c r="F921" s="830"/>
      <c r="G921" s="830"/>
      <c r="H921" s="831"/>
      <c r="I921" s="831"/>
      <c r="J921" s="831"/>
      <c r="K921" s="831"/>
      <c r="L921" s="831"/>
      <c r="M921" s="831"/>
      <c r="N921" s="831"/>
      <c r="O921" s="831"/>
      <c r="P921" s="832"/>
      <c r="Q921" s="832"/>
      <c r="R921" s="832"/>
      <c r="S921" s="832"/>
      <c r="T921" s="832"/>
      <c r="U921" s="832"/>
      <c r="V921" s="833"/>
      <c r="W921" s="834"/>
      <c r="X921" s="834"/>
      <c r="Y921" s="436">
        <f>IF(NFI_Expiration=1,IF($A921&lt;VLOOKUP(H$5,NFI,5,0),1,0)*Table_NFI[[#This Row],[Hygiene Kit]],Table_NFI[Hygiene Kit])</f>
        <v>0</v>
      </c>
      <c r="Z921" s="436">
        <f>IF(NFI_Expiration=1,IF($A921&lt;VLOOKUP(I$5,NFI,5,0),1,0)*Table_NFI[[#This Row],[NFI Core Kit]],Table_NFI[NFI Core Kit])</f>
        <v>0</v>
      </c>
      <c r="AA921" s="436">
        <f>IF(NFI_Expiration=1,IF($A921&lt;VLOOKUP(J$5,NFI,5,0),1,0)*Table_NFI[[#This Row],[Sanitary Kit]],Table_NFI[Sanitary Kit])</f>
        <v>0</v>
      </c>
      <c r="AB921" s="436">
        <f>IF(NFI_Expiration=1,IF($A921&lt;VLOOKUP(K$5,NFI,5,0),1,0)*Table_NFI[[#This Row],[Mosquito net]],Table_NFI[Mosquito net])</f>
        <v>0</v>
      </c>
      <c r="AC921" s="436">
        <f>IF(NFI_Expiration=1,IF($A921&lt;VLOOKUP(L$5,NFI,5,0),1,0)*Table_NFI[[#This Row],[Tarpaulin]],Table_NFI[[#This Row],[Tarpaulin]])</f>
        <v>0</v>
      </c>
      <c r="AD921" s="436">
        <f>IF(NFI_Expiration=1,IF($A921&lt;VLOOKUP(M$5,NFI,5,0),1,0)*Table_NFI[[#This Row],[Blanket]],Table_NFI[[#This Row],[Blanket]])</f>
        <v>0</v>
      </c>
      <c r="AE921" s="436">
        <f>IF(NFI_Expiration=1,IF($A921&lt;VLOOKUP(N$5,NFI,5,0),1,0)*Table_NFI[[#This Row],[Kitchen Set]],Table_NFI[Kitchen Set])</f>
        <v>0</v>
      </c>
      <c r="AF921" s="436">
        <f>IF(NFI_Expiration=1,IF($A921&lt;VLOOKUP(O$5,NFI,5,0),1,0)*Table_NFI[[#This Row],[Clothes Kit]],Table_NFI[Clothes Kit])</f>
        <v>0</v>
      </c>
      <c r="AG921" s="436">
        <f>IF(NFI_Expiration=1,IF($A921&lt;VLOOKUP(P$5,NFI,5,0),1,0)*Table_NFI[[#This Row],[Plastic Bucket]],Table_NFI[Plastic Bucket])</f>
        <v>0</v>
      </c>
      <c r="AH921" s="436">
        <f>IF(NFI_Expiration=1,IF($A921&lt;VLOOKUP(Q$5,NFI,5,0),1,0)*Table_NFI[[#This Row],[Plastic Mat]],Table_NFI[Plastic Mat])*IF(Table_NFI[[#This Row],[Distribution Date]]&gt;"2014-04-01",1,2.5)</f>
        <v>0</v>
      </c>
      <c r="AI921" s="436">
        <f>IF(NFI_Expiration=1,IF($A921&lt;VLOOKUP(R$5,NFI,5,0),1,0)*Table_NFI[[#This Row],[Winter Clothes Adult]],Table_NFI[Winter Clothes Adult])</f>
        <v>0</v>
      </c>
      <c r="AJ921" s="436">
        <f>IF(NFI_Expiration=1,IF($A921&lt;VLOOKUP(S$5,NFI,5,0),1,0)*Table_NFI[[#This Row],[Winter Clothes Children]],Table_NFI[Winter Clothes Children])</f>
        <v>0</v>
      </c>
      <c r="AK921" s="436">
        <f>IF(NFI_Expiration=1,IF($A921&lt;VLOOKUP(T$5,NFI,5,0),1,0)*Table_NFI[[#This Row],[Winter Items Other]],Table_NFI[Winter Items Other])</f>
        <v>0</v>
      </c>
      <c r="AL921" s="436">
        <f>IF(NFI_Expiration=1,IF($A921&lt;VLOOKUP(M$5,NFI,5,0),1,0)*Table_NFI[[#This Row],[Winter Blanket]],Table_NFI[[#This Row],[Winter Blanket]])</f>
        <v>0</v>
      </c>
      <c r="AM921" s="436">
        <f>IF(Table_NFI[[#This Row],[Winter Clothes Adult]]+Table_NFI[[#This Row],[Winter Clothes Children]]+Table_NFI[[#This Row],[Winter Items Other]]+Table_NFI[[#This Row],[Winter Blanket]]&gt;0,1,0)</f>
        <v>0</v>
      </c>
      <c r="AN921" s="439">
        <f>IF(NFI_Expiration=1,IF($A921&lt;VLOOKUP(V$5,NFI,5,0),1,0)*Table_NFI[[#This Row],[Jerry Can]],Table_NFI[Jerry Can])</f>
        <v>0</v>
      </c>
      <c r="AO921" s="835" t="str">
        <f>IFERROR(VLOOKUP(Table_NFI[[#This Row],[Camp Name]],CL,2,0),"")</f>
        <v/>
      </c>
      <c r="AP921" s="836" t="str">
        <f ca="1">IF(Table_NFI[[#This Row],[Pcode]]="","",IF(OFFSET(CampList[Opening Date],MATCH(Table_NFI[[#This Row],[Pcode]],CampList[CP_Pcode],0)-1,0,1,1)&gt;=NFI_Monitor_Date,1,0))</f>
        <v/>
      </c>
      <c r="AQ921" s="835" t="str">
        <f>IFERROR(VLOOKUP(Table_NFI[[#This Row],[Camp Name]],CL,3,0),"")</f>
        <v/>
      </c>
      <c r="AR921" s="832" t="str">
        <f ca="1">IF(Table_NFI[[#This Row],[Pcode]]="","",OFFSET(CampList[Priority],MATCH(Table_NFI[[#This Row],[Pcode]],CampList[CP_Pcode],0)-1,0,1,1))</f>
        <v/>
      </c>
      <c r="AS921" s="837" t="str">
        <f>IFERROR(Table_NFI[[#This Row],[Kitchen Set]]/VLOOKUP(Table_NFI[[#This Row],[Camp Name]],CL,4,0),"")</f>
        <v/>
      </c>
      <c r="AT921" s="769" t="s">
        <v>1099</v>
      </c>
      <c r="AU921" s="838"/>
    </row>
    <row r="922" spans="1:47" s="798" customFormat="1" ht="15.75" customHeight="1" x14ac:dyDescent="0.25">
      <c r="A922" s="451" t="str">
        <f t="shared" si="14"/>
        <v/>
      </c>
      <c r="B922" s="829"/>
      <c r="C922" s="830"/>
      <c r="D922" s="830"/>
      <c r="E922" s="830"/>
      <c r="F922" s="830"/>
      <c r="G922" s="830"/>
      <c r="H922" s="831"/>
      <c r="I922" s="831"/>
      <c r="J922" s="831"/>
      <c r="K922" s="831"/>
      <c r="L922" s="831"/>
      <c r="M922" s="831"/>
      <c r="N922" s="831"/>
      <c r="O922" s="831"/>
      <c r="P922" s="832"/>
      <c r="Q922" s="832"/>
      <c r="R922" s="832"/>
      <c r="S922" s="832"/>
      <c r="T922" s="832"/>
      <c r="U922" s="832"/>
      <c r="V922" s="833"/>
      <c r="W922" s="834"/>
      <c r="X922" s="834"/>
      <c r="Y922" s="436">
        <f>IF(NFI_Expiration=1,IF($A922&lt;VLOOKUP(H$5,NFI,5,0),1,0)*Table_NFI[[#This Row],[Hygiene Kit]],Table_NFI[Hygiene Kit])</f>
        <v>0</v>
      </c>
      <c r="Z922" s="436">
        <f>IF(NFI_Expiration=1,IF($A922&lt;VLOOKUP(I$5,NFI,5,0),1,0)*Table_NFI[[#This Row],[NFI Core Kit]],Table_NFI[NFI Core Kit])</f>
        <v>0</v>
      </c>
      <c r="AA922" s="436">
        <f>IF(NFI_Expiration=1,IF($A922&lt;VLOOKUP(J$5,NFI,5,0),1,0)*Table_NFI[[#This Row],[Sanitary Kit]],Table_NFI[Sanitary Kit])</f>
        <v>0</v>
      </c>
      <c r="AB922" s="436">
        <f>IF(NFI_Expiration=1,IF($A922&lt;VLOOKUP(K$5,NFI,5,0),1,0)*Table_NFI[[#This Row],[Mosquito net]],Table_NFI[Mosquito net])</f>
        <v>0</v>
      </c>
      <c r="AC922" s="436">
        <f>IF(NFI_Expiration=1,IF($A922&lt;VLOOKUP(L$5,NFI,5,0),1,0)*Table_NFI[[#This Row],[Tarpaulin]],Table_NFI[[#This Row],[Tarpaulin]])</f>
        <v>0</v>
      </c>
      <c r="AD922" s="436">
        <f>IF(NFI_Expiration=1,IF($A922&lt;VLOOKUP(M$5,NFI,5,0),1,0)*Table_NFI[[#This Row],[Blanket]],Table_NFI[[#This Row],[Blanket]])</f>
        <v>0</v>
      </c>
      <c r="AE922" s="436">
        <f>IF(NFI_Expiration=1,IF($A922&lt;VLOOKUP(N$5,NFI,5,0),1,0)*Table_NFI[[#This Row],[Kitchen Set]],Table_NFI[Kitchen Set])</f>
        <v>0</v>
      </c>
      <c r="AF922" s="436">
        <f>IF(NFI_Expiration=1,IF($A922&lt;VLOOKUP(O$5,NFI,5,0),1,0)*Table_NFI[[#This Row],[Clothes Kit]],Table_NFI[Clothes Kit])</f>
        <v>0</v>
      </c>
      <c r="AG922" s="436">
        <f>IF(NFI_Expiration=1,IF($A922&lt;VLOOKUP(P$5,NFI,5,0),1,0)*Table_NFI[[#This Row],[Plastic Bucket]],Table_NFI[Plastic Bucket])</f>
        <v>0</v>
      </c>
      <c r="AH922" s="436">
        <f>IF(NFI_Expiration=1,IF($A922&lt;VLOOKUP(Q$5,NFI,5,0),1,0)*Table_NFI[[#This Row],[Plastic Mat]],Table_NFI[Plastic Mat])*IF(Table_NFI[[#This Row],[Distribution Date]]&gt;"2014-04-01",1,2.5)</f>
        <v>0</v>
      </c>
      <c r="AI922" s="436">
        <f>IF(NFI_Expiration=1,IF($A922&lt;VLOOKUP(R$5,NFI,5,0),1,0)*Table_NFI[[#This Row],[Winter Clothes Adult]],Table_NFI[Winter Clothes Adult])</f>
        <v>0</v>
      </c>
      <c r="AJ922" s="436">
        <f>IF(NFI_Expiration=1,IF($A922&lt;VLOOKUP(S$5,NFI,5,0),1,0)*Table_NFI[[#This Row],[Winter Clothes Children]],Table_NFI[Winter Clothes Children])</f>
        <v>0</v>
      </c>
      <c r="AK922" s="436">
        <f>IF(NFI_Expiration=1,IF($A922&lt;VLOOKUP(T$5,NFI,5,0),1,0)*Table_NFI[[#This Row],[Winter Items Other]],Table_NFI[Winter Items Other])</f>
        <v>0</v>
      </c>
      <c r="AL922" s="436">
        <f>IF(NFI_Expiration=1,IF($A922&lt;VLOOKUP(M$5,NFI,5,0),1,0)*Table_NFI[[#This Row],[Winter Blanket]],Table_NFI[[#This Row],[Winter Blanket]])</f>
        <v>0</v>
      </c>
      <c r="AM922" s="436">
        <f>IF(Table_NFI[[#This Row],[Winter Clothes Adult]]+Table_NFI[[#This Row],[Winter Clothes Children]]+Table_NFI[[#This Row],[Winter Items Other]]+Table_NFI[[#This Row],[Winter Blanket]]&gt;0,1,0)</f>
        <v>0</v>
      </c>
      <c r="AN922" s="439">
        <f>IF(NFI_Expiration=1,IF($A922&lt;VLOOKUP(V$5,NFI,5,0),1,0)*Table_NFI[[#This Row],[Jerry Can]],Table_NFI[Jerry Can])</f>
        <v>0</v>
      </c>
      <c r="AO922" s="835" t="str">
        <f>IFERROR(VLOOKUP(Table_NFI[[#This Row],[Camp Name]],CL,2,0),"")</f>
        <v/>
      </c>
      <c r="AP922" s="836" t="str">
        <f ca="1">IF(Table_NFI[[#This Row],[Pcode]]="","",IF(OFFSET(CampList[Opening Date],MATCH(Table_NFI[[#This Row],[Pcode]],CampList[CP_Pcode],0)-1,0,1,1)&gt;=NFI_Monitor_Date,1,0))</f>
        <v/>
      </c>
      <c r="AQ922" s="835" t="str">
        <f>IFERROR(VLOOKUP(Table_NFI[[#This Row],[Camp Name]],CL,3,0),"")</f>
        <v/>
      </c>
      <c r="AR922" s="832" t="str">
        <f ca="1">IF(Table_NFI[[#This Row],[Pcode]]="","",OFFSET(CampList[Priority],MATCH(Table_NFI[[#This Row],[Pcode]],CampList[CP_Pcode],0)-1,0,1,1))</f>
        <v/>
      </c>
      <c r="AS922" s="837" t="str">
        <f>IFERROR(Table_NFI[[#This Row],[Kitchen Set]]/VLOOKUP(Table_NFI[[#This Row],[Camp Name]],CL,4,0),"")</f>
        <v/>
      </c>
      <c r="AT922" s="769" t="s">
        <v>1099</v>
      </c>
      <c r="AU922" s="838"/>
    </row>
    <row r="923" spans="1:47" s="798" customFormat="1" ht="15.75" customHeight="1" x14ac:dyDescent="0.25">
      <c r="A923" s="451" t="str">
        <f t="shared" si="14"/>
        <v/>
      </c>
      <c r="B923" s="829"/>
      <c r="C923" s="830"/>
      <c r="D923" s="830"/>
      <c r="E923" s="830"/>
      <c r="F923" s="830"/>
      <c r="G923" s="830"/>
      <c r="H923" s="831"/>
      <c r="I923" s="831"/>
      <c r="J923" s="831"/>
      <c r="K923" s="831"/>
      <c r="L923" s="831"/>
      <c r="M923" s="831"/>
      <c r="N923" s="831"/>
      <c r="O923" s="831"/>
      <c r="P923" s="832"/>
      <c r="Q923" s="832"/>
      <c r="R923" s="832"/>
      <c r="S923" s="832"/>
      <c r="T923" s="832"/>
      <c r="U923" s="832"/>
      <c r="V923" s="833"/>
      <c r="W923" s="834"/>
      <c r="X923" s="834"/>
      <c r="Y923" s="436">
        <f>IF(NFI_Expiration=1,IF($A923&lt;VLOOKUP(H$5,NFI,5,0),1,0)*Table_NFI[[#This Row],[Hygiene Kit]],Table_NFI[Hygiene Kit])</f>
        <v>0</v>
      </c>
      <c r="Z923" s="436">
        <f>IF(NFI_Expiration=1,IF($A923&lt;VLOOKUP(I$5,NFI,5,0),1,0)*Table_NFI[[#This Row],[NFI Core Kit]],Table_NFI[NFI Core Kit])</f>
        <v>0</v>
      </c>
      <c r="AA923" s="436">
        <f>IF(NFI_Expiration=1,IF($A923&lt;VLOOKUP(J$5,NFI,5,0),1,0)*Table_NFI[[#This Row],[Sanitary Kit]],Table_NFI[Sanitary Kit])</f>
        <v>0</v>
      </c>
      <c r="AB923" s="436">
        <f>IF(NFI_Expiration=1,IF($A923&lt;VLOOKUP(K$5,NFI,5,0),1,0)*Table_NFI[[#This Row],[Mosquito net]],Table_NFI[Mosquito net])</f>
        <v>0</v>
      </c>
      <c r="AC923" s="436">
        <f>IF(NFI_Expiration=1,IF($A923&lt;VLOOKUP(L$5,NFI,5,0),1,0)*Table_NFI[[#This Row],[Tarpaulin]],Table_NFI[[#This Row],[Tarpaulin]])</f>
        <v>0</v>
      </c>
      <c r="AD923" s="436">
        <f>IF(NFI_Expiration=1,IF($A923&lt;VLOOKUP(M$5,NFI,5,0),1,0)*Table_NFI[[#This Row],[Blanket]],Table_NFI[[#This Row],[Blanket]])</f>
        <v>0</v>
      </c>
      <c r="AE923" s="436">
        <f>IF(NFI_Expiration=1,IF($A923&lt;VLOOKUP(N$5,NFI,5,0),1,0)*Table_NFI[[#This Row],[Kitchen Set]],Table_NFI[Kitchen Set])</f>
        <v>0</v>
      </c>
      <c r="AF923" s="436">
        <f>IF(NFI_Expiration=1,IF($A923&lt;VLOOKUP(O$5,NFI,5,0),1,0)*Table_NFI[[#This Row],[Clothes Kit]],Table_NFI[Clothes Kit])</f>
        <v>0</v>
      </c>
      <c r="AG923" s="436">
        <f>IF(NFI_Expiration=1,IF($A923&lt;VLOOKUP(P$5,NFI,5,0),1,0)*Table_NFI[[#This Row],[Plastic Bucket]],Table_NFI[Plastic Bucket])</f>
        <v>0</v>
      </c>
      <c r="AH923" s="436">
        <f>IF(NFI_Expiration=1,IF($A923&lt;VLOOKUP(Q$5,NFI,5,0),1,0)*Table_NFI[[#This Row],[Plastic Mat]],Table_NFI[Plastic Mat])*IF(Table_NFI[[#This Row],[Distribution Date]]&gt;"2014-04-01",1,2.5)</f>
        <v>0</v>
      </c>
      <c r="AI923" s="436">
        <f>IF(NFI_Expiration=1,IF($A923&lt;VLOOKUP(R$5,NFI,5,0),1,0)*Table_NFI[[#This Row],[Winter Clothes Adult]],Table_NFI[Winter Clothes Adult])</f>
        <v>0</v>
      </c>
      <c r="AJ923" s="436">
        <f>IF(NFI_Expiration=1,IF($A923&lt;VLOOKUP(S$5,NFI,5,0),1,0)*Table_NFI[[#This Row],[Winter Clothes Children]],Table_NFI[Winter Clothes Children])</f>
        <v>0</v>
      </c>
      <c r="AK923" s="436">
        <f>IF(NFI_Expiration=1,IF($A923&lt;VLOOKUP(T$5,NFI,5,0),1,0)*Table_NFI[[#This Row],[Winter Items Other]],Table_NFI[Winter Items Other])</f>
        <v>0</v>
      </c>
      <c r="AL923" s="436">
        <f>IF(NFI_Expiration=1,IF($A923&lt;VLOOKUP(M$5,NFI,5,0),1,0)*Table_NFI[[#This Row],[Winter Blanket]],Table_NFI[[#This Row],[Winter Blanket]])</f>
        <v>0</v>
      </c>
      <c r="AM923" s="436">
        <f>IF(Table_NFI[[#This Row],[Winter Clothes Adult]]+Table_NFI[[#This Row],[Winter Clothes Children]]+Table_NFI[[#This Row],[Winter Items Other]]+Table_NFI[[#This Row],[Winter Blanket]]&gt;0,1,0)</f>
        <v>0</v>
      </c>
      <c r="AN923" s="439">
        <f>IF(NFI_Expiration=1,IF($A923&lt;VLOOKUP(V$5,NFI,5,0),1,0)*Table_NFI[[#This Row],[Jerry Can]],Table_NFI[Jerry Can])</f>
        <v>0</v>
      </c>
      <c r="AO923" s="835" t="str">
        <f>IFERROR(VLOOKUP(Table_NFI[[#This Row],[Camp Name]],CL,2,0),"")</f>
        <v/>
      </c>
      <c r="AP923" s="836" t="str">
        <f ca="1">IF(Table_NFI[[#This Row],[Pcode]]="","",IF(OFFSET(CampList[Opening Date],MATCH(Table_NFI[[#This Row],[Pcode]],CampList[CP_Pcode],0)-1,0,1,1)&gt;=NFI_Monitor_Date,1,0))</f>
        <v/>
      </c>
      <c r="AQ923" s="835" t="str">
        <f>IFERROR(VLOOKUP(Table_NFI[[#This Row],[Camp Name]],CL,3,0),"")</f>
        <v/>
      </c>
      <c r="AR923" s="832" t="str">
        <f ca="1">IF(Table_NFI[[#This Row],[Pcode]]="","",OFFSET(CampList[Priority],MATCH(Table_NFI[[#This Row],[Pcode]],CampList[CP_Pcode],0)-1,0,1,1))</f>
        <v/>
      </c>
      <c r="AS923" s="837" t="str">
        <f>IFERROR(Table_NFI[[#This Row],[Kitchen Set]]/VLOOKUP(Table_NFI[[#This Row],[Camp Name]],CL,4,0),"")</f>
        <v/>
      </c>
      <c r="AT923" s="769" t="s">
        <v>1099</v>
      </c>
      <c r="AU923" s="838"/>
    </row>
    <row r="924" spans="1:47" s="798" customFormat="1" ht="15.75" customHeight="1" x14ac:dyDescent="0.25">
      <c r="A924" s="451" t="str">
        <f t="shared" si="14"/>
        <v/>
      </c>
      <c r="B924" s="829"/>
      <c r="C924" s="830"/>
      <c r="D924" s="830"/>
      <c r="E924" s="830"/>
      <c r="F924" s="830"/>
      <c r="G924" s="830"/>
      <c r="H924" s="831"/>
      <c r="I924" s="831"/>
      <c r="J924" s="831"/>
      <c r="K924" s="831"/>
      <c r="L924" s="831"/>
      <c r="M924" s="831"/>
      <c r="N924" s="831"/>
      <c r="O924" s="831"/>
      <c r="P924" s="832"/>
      <c r="Q924" s="832"/>
      <c r="R924" s="832"/>
      <c r="S924" s="832"/>
      <c r="T924" s="832"/>
      <c r="U924" s="832"/>
      <c r="V924" s="833"/>
      <c r="W924" s="834"/>
      <c r="X924" s="834"/>
      <c r="Y924" s="436">
        <f>IF(NFI_Expiration=1,IF($A924&lt;VLOOKUP(H$5,NFI,5,0),1,0)*Table_NFI[[#This Row],[Hygiene Kit]],Table_NFI[Hygiene Kit])</f>
        <v>0</v>
      </c>
      <c r="Z924" s="436">
        <f>IF(NFI_Expiration=1,IF($A924&lt;VLOOKUP(I$5,NFI,5,0),1,0)*Table_NFI[[#This Row],[NFI Core Kit]],Table_NFI[NFI Core Kit])</f>
        <v>0</v>
      </c>
      <c r="AA924" s="436">
        <f>IF(NFI_Expiration=1,IF($A924&lt;VLOOKUP(J$5,NFI,5,0),1,0)*Table_NFI[[#This Row],[Sanitary Kit]],Table_NFI[Sanitary Kit])</f>
        <v>0</v>
      </c>
      <c r="AB924" s="436">
        <f>IF(NFI_Expiration=1,IF($A924&lt;VLOOKUP(K$5,NFI,5,0),1,0)*Table_NFI[[#This Row],[Mosquito net]],Table_NFI[Mosquito net])</f>
        <v>0</v>
      </c>
      <c r="AC924" s="436">
        <f>IF(NFI_Expiration=1,IF($A924&lt;VLOOKUP(L$5,NFI,5,0),1,0)*Table_NFI[[#This Row],[Tarpaulin]],Table_NFI[[#This Row],[Tarpaulin]])</f>
        <v>0</v>
      </c>
      <c r="AD924" s="436">
        <f>IF(NFI_Expiration=1,IF($A924&lt;VLOOKUP(M$5,NFI,5,0),1,0)*Table_NFI[[#This Row],[Blanket]],Table_NFI[[#This Row],[Blanket]])</f>
        <v>0</v>
      </c>
      <c r="AE924" s="436">
        <f>IF(NFI_Expiration=1,IF($A924&lt;VLOOKUP(N$5,NFI,5,0),1,0)*Table_NFI[[#This Row],[Kitchen Set]],Table_NFI[Kitchen Set])</f>
        <v>0</v>
      </c>
      <c r="AF924" s="436">
        <f>IF(NFI_Expiration=1,IF($A924&lt;VLOOKUP(O$5,NFI,5,0),1,0)*Table_NFI[[#This Row],[Clothes Kit]],Table_NFI[Clothes Kit])</f>
        <v>0</v>
      </c>
      <c r="AG924" s="436">
        <f>IF(NFI_Expiration=1,IF($A924&lt;VLOOKUP(P$5,NFI,5,0),1,0)*Table_NFI[[#This Row],[Plastic Bucket]],Table_NFI[Plastic Bucket])</f>
        <v>0</v>
      </c>
      <c r="AH924" s="436">
        <f>IF(NFI_Expiration=1,IF($A924&lt;VLOOKUP(Q$5,NFI,5,0),1,0)*Table_NFI[[#This Row],[Plastic Mat]],Table_NFI[Plastic Mat])*IF(Table_NFI[[#This Row],[Distribution Date]]&gt;"2014-04-01",1,2.5)</f>
        <v>0</v>
      </c>
      <c r="AI924" s="436">
        <f>IF(NFI_Expiration=1,IF($A924&lt;VLOOKUP(R$5,NFI,5,0),1,0)*Table_NFI[[#This Row],[Winter Clothes Adult]],Table_NFI[Winter Clothes Adult])</f>
        <v>0</v>
      </c>
      <c r="AJ924" s="436">
        <f>IF(NFI_Expiration=1,IF($A924&lt;VLOOKUP(S$5,NFI,5,0),1,0)*Table_NFI[[#This Row],[Winter Clothes Children]],Table_NFI[Winter Clothes Children])</f>
        <v>0</v>
      </c>
      <c r="AK924" s="436">
        <f>IF(NFI_Expiration=1,IF($A924&lt;VLOOKUP(T$5,NFI,5,0),1,0)*Table_NFI[[#This Row],[Winter Items Other]],Table_NFI[Winter Items Other])</f>
        <v>0</v>
      </c>
      <c r="AL924" s="436">
        <f>IF(NFI_Expiration=1,IF($A924&lt;VLOOKUP(M$5,NFI,5,0),1,0)*Table_NFI[[#This Row],[Winter Blanket]],Table_NFI[[#This Row],[Winter Blanket]])</f>
        <v>0</v>
      </c>
      <c r="AM924" s="436">
        <f>IF(Table_NFI[[#This Row],[Winter Clothes Adult]]+Table_NFI[[#This Row],[Winter Clothes Children]]+Table_NFI[[#This Row],[Winter Items Other]]+Table_NFI[[#This Row],[Winter Blanket]]&gt;0,1,0)</f>
        <v>0</v>
      </c>
      <c r="AN924" s="439">
        <f>IF(NFI_Expiration=1,IF($A924&lt;VLOOKUP(V$5,NFI,5,0),1,0)*Table_NFI[[#This Row],[Jerry Can]],Table_NFI[Jerry Can])</f>
        <v>0</v>
      </c>
      <c r="AO924" s="835" t="str">
        <f>IFERROR(VLOOKUP(Table_NFI[[#This Row],[Camp Name]],CL,2,0),"")</f>
        <v/>
      </c>
      <c r="AP924" s="836" t="str">
        <f ca="1">IF(Table_NFI[[#This Row],[Pcode]]="","",IF(OFFSET(CampList[Opening Date],MATCH(Table_NFI[[#This Row],[Pcode]],CampList[CP_Pcode],0)-1,0,1,1)&gt;=NFI_Monitor_Date,1,0))</f>
        <v/>
      </c>
      <c r="AQ924" s="835" t="str">
        <f>IFERROR(VLOOKUP(Table_NFI[[#This Row],[Camp Name]],CL,3,0),"")</f>
        <v/>
      </c>
      <c r="AR924" s="832" t="str">
        <f ca="1">IF(Table_NFI[[#This Row],[Pcode]]="","",OFFSET(CampList[Priority],MATCH(Table_NFI[[#This Row],[Pcode]],CampList[CP_Pcode],0)-1,0,1,1))</f>
        <v/>
      </c>
      <c r="AS924" s="837" t="str">
        <f>IFERROR(Table_NFI[[#This Row],[Kitchen Set]]/VLOOKUP(Table_NFI[[#This Row],[Camp Name]],CL,4,0),"")</f>
        <v/>
      </c>
      <c r="AT924" s="769" t="s">
        <v>1099</v>
      </c>
      <c r="AU924" s="838"/>
    </row>
    <row r="925" spans="1:47" s="798" customFormat="1" ht="15.75" customHeight="1" x14ac:dyDescent="0.25">
      <c r="A925" s="451" t="str">
        <f t="shared" si="14"/>
        <v/>
      </c>
      <c r="B925" s="829"/>
      <c r="C925" s="830"/>
      <c r="D925" s="830"/>
      <c r="E925" s="830"/>
      <c r="F925" s="830"/>
      <c r="G925" s="830"/>
      <c r="H925" s="831"/>
      <c r="I925" s="831"/>
      <c r="J925" s="831"/>
      <c r="K925" s="831"/>
      <c r="L925" s="831"/>
      <c r="M925" s="831"/>
      <c r="N925" s="831"/>
      <c r="O925" s="831"/>
      <c r="P925" s="832"/>
      <c r="Q925" s="832"/>
      <c r="R925" s="832"/>
      <c r="S925" s="832"/>
      <c r="T925" s="832"/>
      <c r="U925" s="832"/>
      <c r="V925" s="833"/>
      <c r="W925" s="834"/>
      <c r="X925" s="834"/>
      <c r="Y925" s="436">
        <f>IF(NFI_Expiration=1,IF($A925&lt;VLOOKUP(H$5,NFI,5,0),1,0)*Table_NFI[[#This Row],[Hygiene Kit]],Table_NFI[Hygiene Kit])</f>
        <v>0</v>
      </c>
      <c r="Z925" s="436">
        <f>IF(NFI_Expiration=1,IF($A925&lt;VLOOKUP(I$5,NFI,5,0),1,0)*Table_NFI[[#This Row],[NFI Core Kit]],Table_NFI[NFI Core Kit])</f>
        <v>0</v>
      </c>
      <c r="AA925" s="436">
        <f>IF(NFI_Expiration=1,IF($A925&lt;VLOOKUP(J$5,NFI,5,0),1,0)*Table_NFI[[#This Row],[Sanitary Kit]],Table_NFI[Sanitary Kit])</f>
        <v>0</v>
      </c>
      <c r="AB925" s="436">
        <f>IF(NFI_Expiration=1,IF($A925&lt;VLOOKUP(K$5,NFI,5,0),1,0)*Table_NFI[[#This Row],[Mosquito net]],Table_NFI[Mosquito net])</f>
        <v>0</v>
      </c>
      <c r="AC925" s="436">
        <f>IF(NFI_Expiration=1,IF($A925&lt;VLOOKUP(L$5,NFI,5,0),1,0)*Table_NFI[[#This Row],[Tarpaulin]],Table_NFI[[#This Row],[Tarpaulin]])</f>
        <v>0</v>
      </c>
      <c r="AD925" s="436">
        <f>IF(NFI_Expiration=1,IF($A925&lt;VLOOKUP(M$5,NFI,5,0),1,0)*Table_NFI[[#This Row],[Blanket]],Table_NFI[[#This Row],[Blanket]])</f>
        <v>0</v>
      </c>
      <c r="AE925" s="436">
        <f>IF(NFI_Expiration=1,IF($A925&lt;VLOOKUP(N$5,NFI,5,0),1,0)*Table_NFI[[#This Row],[Kitchen Set]],Table_NFI[Kitchen Set])</f>
        <v>0</v>
      </c>
      <c r="AF925" s="436">
        <f>IF(NFI_Expiration=1,IF($A925&lt;VLOOKUP(O$5,NFI,5,0),1,0)*Table_NFI[[#This Row],[Clothes Kit]],Table_NFI[Clothes Kit])</f>
        <v>0</v>
      </c>
      <c r="AG925" s="436">
        <f>IF(NFI_Expiration=1,IF($A925&lt;VLOOKUP(P$5,NFI,5,0),1,0)*Table_NFI[[#This Row],[Plastic Bucket]],Table_NFI[Plastic Bucket])</f>
        <v>0</v>
      </c>
      <c r="AH925" s="436">
        <f>IF(NFI_Expiration=1,IF($A925&lt;VLOOKUP(Q$5,NFI,5,0),1,0)*Table_NFI[[#This Row],[Plastic Mat]],Table_NFI[Plastic Mat])*IF(Table_NFI[[#This Row],[Distribution Date]]&gt;"2014-04-01",1,2.5)</f>
        <v>0</v>
      </c>
      <c r="AI925" s="436">
        <f>IF(NFI_Expiration=1,IF($A925&lt;VLOOKUP(R$5,NFI,5,0),1,0)*Table_NFI[[#This Row],[Winter Clothes Adult]],Table_NFI[Winter Clothes Adult])</f>
        <v>0</v>
      </c>
      <c r="AJ925" s="436">
        <f>IF(NFI_Expiration=1,IF($A925&lt;VLOOKUP(S$5,NFI,5,0),1,0)*Table_NFI[[#This Row],[Winter Clothes Children]],Table_NFI[Winter Clothes Children])</f>
        <v>0</v>
      </c>
      <c r="AK925" s="436">
        <f>IF(NFI_Expiration=1,IF($A925&lt;VLOOKUP(T$5,NFI,5,0),1,0)*Table_NFI[[#This Row],[Winter Items Other]],Table_NFI[Winter Items Other])</f>
        <v>0</v>
      </c>
      <c r="AL925" s="436">
        <f>IF(NFI_Expiration=1,IF($A925&lt;VLOOKUP(M$5,NFI,5,0),1,0)*Table_NFI[[#This Row],[Winter Blanket]],Table_NFI[[#This Row],[Winter Blanket]])</f>
        <v>0</v>
      </c>
      <c r="AM925" s="436">
        <f>IF(Table_NFI[[#This Row],[Winter Clothes Adult]]+Table_NFI[[#This Row],[Winter Clothes Children]]+Table_NFI[[#This Row],[Winter Items Other]]+Table_NFI[[#This Row],[Winter Blanket]]&gt;0,1,0)</f>
        <v>0</v>
      </c>
      <c r="AN925" s="439">
        <f>IF(NFI_Expiration=1,IF($A925&lt;VLOOKUP(V$5,NFI,5,0),1,0)*Table_NFI[[#This Row],[Jerry Can]],Table_NFI[Jerry Can])</f>
        <v>0</v>
      </c>
      <c r="AO925" s="835" t="str">
        <f>IFERROR(VLOOKUP(Table_NFI[[#This Row],[Camp Name]],CL,2,0),"")</f>
        <v/>
      </c>
      <c r="AP925" s="836" t="str">
        <f ca="1">IF(Table_NFI[[#This Row],[Pcode]]="","",IF(OFFSET(CampList[Opening Date],MATCH(Table_NFI[[#This Row],[Pcode]],CampList[CP_Pcode],0)-1,0,1,1)&gt;=NFI_Monitor_Date,1,0))</f>
        <v/>
      </c>
      <c r="AQ925" s="835" t="str">
        <f>IFERROR(VLOOKUP(Table_NFI[[#This Row],[Camp Name]],CL,3,0),"")</f>
        <v/>
      </c>
      <c r="AR925" s="832" t="str">
        <f ca="1">IF(Table_NFI[[#This Row],[Pcode]]="","",OFFSET(CampList[Priority],MATCH(Table_NFI[[#This Row],[Pcode]],CampList[CP_Pcode],0)-1,0,1,1))</f>
        <v/>
      </c>
      <c r="AS925" s="837" t="str">
        <f>IFERROR(Table_NFI[[#This Row],[Kitchen Set]]/VLOOKUP(Table_NFI[[#This Row],[Camp Name]],CL,4,0),"")</f>
        <v/>
      </c>
      <c r="AT925" s="769" t="s">
        <v>1099</v>
      </c>
      <c r="AU925" s="838"/>
    </row>
    <row r="926" spans="1:47" s="798" customFormat="1" ht="15.75" customHeight="1" x14ac:dyDescent="0.25">
      <c r="A926" s="451" t="str">
        <f t="shared" si="14"/>
        <v/>
      </c>
      <c r="B926" s="829"/>
      <c r="C926" s="830"/>
      <c r="D926" s="830"/>
      <c r="E926" s="830"/>
      <c r="F926" s="830"/>
      <c r="G926" s="830"/>
      <c r="H926" s="831"/>
      <c r="I926" s="831"/>
      <c r="J926" s="831"/>
      <c r="K926" s="831"/>
      <c r="L926" s="831"/>
      <c r="M926" s="831"/>
      <c r="N926" s="831"/>
      <c r="O926" s="831"/>
      <c r="P926" s="832"/>
      <c r="Q926" s="832"/>
      <c r="R926" s="832"/>
      <c r="S926" s="832"/>
      <c r="T926" s="832"/>
      <c r="U926" s="832"/>
      <c r="V926" s="833"/>
      <c r="W926" s="834"/>
      <c r="X926" s="834"/>
      <c r="Y926" s="436">
        <f>IF(NFI_Expiration=1,IF($A926&lt;VLOOKUP(H$5,NFI,5,0),1,0)*Table_NFI[[#This Row],[Hygiene Kit]],Table_NFI[Hygiene Kit])</f>
        <v>0</v>
      </c>
      <c r="Z926" s="436">
        <f>IF(NFI_Expiration=1,IF($A926&lt;VLOOKUP(I$5,NFI,5,0),1,0)*Table_NFI[[#This Row],[NFI Core Kit]],Table_NFI[NFI Core Kit])</f>
        <v>0</v>
      </c>
      <c r="AA926" s="436">
        <f>IF(NFI_Expiration=1,IF($A926&lt;VLOOKUP(J$5,NFI,5,0),1,0)*Table_NFI[[#This Row],[Sanitary Kit]],Table_NFI[Sanitary Kit])</f>
        <v>0</v>
      </c>
      <c r="AB926" s="436">
        <f>IF(NFI_Expiration=1,IF($A926&lt;VLOOKUP(K$5,NFI,5,0),1,0)*Table_NFI[[#This Row],[Mosquito net]],Table_NFI[Mosquito net])</f>
        <v>0</v>
      </c>
      <c r="AC926" s="436">
        <f>IF(NFI_Expiration=1,IF($A926&lt;VLOOKUP(L$5,NFI,5,0),1,0)*Table_NFI[[#This Row],[Tarpaulin]],Table_NFI[[#This Row],[Tarpaulin]])</f>
        <v>0</v>
      </c>
      <c r="AD926" s="436">
        <f>IF(NFI_Expiration=1,IF($A926&lt;VLOOKUP(M$5,NFI,5,0),1,0)*Table_NFI[[#This Row],[Blanket]],Table_NFI[[#This Row],[Blanket]])</f>
        <v>0</v>
      </c>
      <c r="AE926" s="436">
        <f>IF(NFI_Expiration=1,IF($A926&lt;VLOOKUP(N$5,NFI,5,0),1,0)*Table_NFI[[#This Row],[Kitchen Set]],Table_NFI[Kitchen Set])</f>
        <v>0</v>
      </c>
      <c r="AF926" s="436">
        <f>IF(NFI_Expiration=1,IF($A926&lt;VLOOKUP(O$5,NFI,5,0),1,0)*Table_NFI[[#This Row],[Clothes Kit]],Table_NFI[Clothes Kit])</f>
        <v>0</v>
      </c>
      <c r="AG926" s="436">
        <f>IF(NFI_Expiration=1,IF($A926&lt;VLOOKUP(P$5,NFI,5,0),1,0)*Table_NFI[[#This Row],[Plastic Bucket]],Table_NFI[Plastic Bucket])</f>
        <v>0</v>
      </c>
      <c r="AH926" s="436">
        <f>IF(NFI_Expiration=1,IF($A926&lt;VLOOKUP(Q$5,NFI,5,0),1,0)*Table_NFI[[#This Row],[Plastic Mat]],Table_NFI[Plastic Mat])*IF(Table_NFI[[#This Row],[Distribution Date]]&gt;"2014-04-01",1,2.5)</f>
        <v>0</v>
      </c>
      <c r="AI926" s="436">
        <f>IF(NFI_Expiration=1,IF($A926&lt;VLOOKUP(R$5,NFI,5,0),1,0)*Table_NFI[[#This Row],[Winter Clothes Adult]],Table_NFI[Winter Clothes Adult])</f>
        <v>0</v>
      </c>
      <c r="AJ926" s="436">
        <f>IF(NFI_Expiration=1,IF($A926&lt;VLOOKUP(S$5,NFI,5,0),1,0)*Table_NFI[[#This Row],[Winter Clothes Children]],Table_NFI[Winter Clothes Children])</f>
        <v>0</v>
      </c>
      <c r="AK926" s="436">
        <f>IF(NFI_Expiration=1,IF($A926&lt;VLOOKUP(T$5,NFI,5,0),1,0)*Table_NFI[[#This Row],[Winter Items Other]],Table_NFI[Winter Items Other])</f>
        <v>0</v>
      </c>
      <c r="AL926" s="436">
        <f>IF(NFI_Expiration=1,IF($A926&lt;VLOOKUP(M$5,NFI,5,0),1,0)*Table_NFI[[#This Row],[Winter Blanket]],Table_NFI[[#This Row],[Winter Blanket]])</f>
        <v>0</v>
      </c>
      <c r="AM926" s="436">
        <f>IF(Table_NFI[[#This Row],[Winter Clothes Adult]]+Table_NFI[[#This Row],[Winter Clothes Children]]+Table_NFI[[#This Row],[Winter Items Other]]+Table_NFI[[#This Row],[Winter Blanket]]&gt;0,1,0)</f>
        <v>0</v>
      </c>
      <c r="AN926" s="439">
        <f>IF(NFI_Expiration=1,IF($A926&lt;VLOOKUP(V$5,NFI,5,0),1,0)*Table_NFI[[#This Row],[Jerry Can]],Table_NFI[Jerry Can])</f>
        <v>0</v>
      </c>
      <c r="AO926" s="835" t="str">
        <f>IFERROR(VLOOKUP(Table_NFI[[#This Row],[Camp Name]],CL,2,0),"")</f>
        <v/>
      </c>
      <c r="AP926" s="836" t="str">
        <f ca="1">IF(Table_NFI[[#This Row],[Pcode]]="","",IF(OFFSET(CampList[Opening Date],MATCH(Table_NFI[[#This Row],[Pcode]],CampList[CP_Pcode],0)-1,0,1,1)&gt;=NFI_Monitor_Date,1,0))</f>
        <v/>
      </c>
      <c r="AQ926" s="835" t="str">
        <f>IFERROR(VLOOKUP(Table_NFI[[#This Row],[Camp Name]],CL,3,0),"")</f>
        <v/>
      </c>
      <c r="AR926" s="832" t="str">
        <f ca="1">IF(Table_NFI[[#This Row],[Pcode]]="","",OFFSET(CampList[Priority],MATCH(Table_NFI[[#This Row],[Pcode]],CampList[CP_Pcode],0)-1,0,1,1))</f>
        <v/>
      </c>
      <c r="AS926" s="837" t="str">
        <f>IFERROR(Table_NFI[[#This Row],[Kitchen Set]]/VLOOKUP(Table_NFI[[#This Row],[Camp Name]],CL,4,0),"")</f>
        <v/>
      </c>
      <c r="AT926" s="769" t="s">
        <v>1099</v>
      </c>
      <c r="AU926" s="838"/>
    </row>
    <row r="927" spans="1:47" s="798" customFormat="1" ht="15.75" customHeight="1" x14ac:dyDescent="0.25">
      <c r="A927" s="451" t="str">
        <f t="shared" si="14"/>
        <v/>
      </c>
      <c r="B927" s="829"/>
      <c r="C927" s="830"/>
      <c r="D927" s="830"/>
      <c r="E927" s="830"/>
      <c r="F927" s="830"/>
      <c r="G927" s="830"/>
      <c r="H927" s="831"/>
      <c r="I927" s="831"/>
      <c r="J927" s="831"/>
      <c r="K927" s="831"/>
      <c r="L927" s="831"/>
      <c r="M927" s="831"/>
      <c r="N927" s="831"/>
      <c r="O927" s="831"/>
      <c r="P927" s="832"/>
      <c r="Q927" s="832"/>
      <c r="R927" s="832"/>
      <c r="S927" s="832"/>
      <c r="T927" s="832"/>
      <c r="U927" s="832"/>
      <c r="V927" s="833"/>
      <c r="W927" s="834"/>
      <c r="X927" s="834"/>
      <c r="Y927" s="436">
        <f>IF(NFI_Expiration=1,IF($A927&lt;VLOOKUP(H$5,NFI,5,0),1,0)*Table_NFI[[#This Row],[Hygiene Kit]],Table_NFI[Hygiene Kit])</f>
        <v>0</v>
      </c>
      <c r="Z927" s="436">
        <f>IF(NFI_Expiration=1,IF($A927&lt;VLOOKUP(I$5,NFI,5,0),1,0)*Table_NFI[[#This Row],[NFI Core Kit]],Table_NFI[NFI Core Kit])</f>
        <v>0</v>
      </c>
      <c r="AA927" s="436">
        <f>IF(NFI_Expiration=1,IF($A927&lt;VLOOKUP(J$5,NFI,5,0),1,0)*Table_NFI[[#This Row],[Sanitary Kit]],Table_NFI[Sanitary Kit])</f>
        <v>0</v>
      </c>
      <c r="AB927" s="436">
        <f>IF(NFI_Expiration=1,IF($A927&lt;VLOOKUP(K$5,NFI,5,0),1,0)*Table_NFI[[#This Row],[Mosquito net]],Table_NFI[Mosquito net])</f>
        <v>0</v>
      </c>
      <c r="AC927" s="436">
        <f>IF(NFI_Expiration=1,IF($A927&lt;VLOOKUP(L$5,NFI,5,0),1,0)*Table_NFI[[#This Row],[Tarpaulin]],Table_NFI[[#This Row],[Tarpaulin]])</f>
        <v>0</v>
      </c>
      <c r="AD927" s="436">
        <f>IF(NFI_Expiration=1,IF($A927&lt;VLOOKUP(M$5,NFI,5,0),1,0)*Table_NFI[[#This Row],[Blanket]],Table_NFI[[#This Row],[Blanket]])</f>
        <v>0</v>
      </c>
      <c r="AE927" s="436">
        <f>IF(NFI_Expiration=1,IF($A927&lt;VLOOKUP(N$5,NFI,5,0),1,0)*Table_NFI[[#This Row],[Kitchen Set]],Table_NFI[Kitchen Set])</f>
        <v>0</v>
      </c>
      <c r="AF927" s="436">
        <f>IF(NFI_Expiration=1,IF($A927&lt;VLOOKUP(O$5,NFI,5,0),1,0)*Table_NFI[[#This Row],[Clothes Kit]],Table_NFI[Clothes Kit])</f>
        <v>0</v>
      </c>
      <c r="AG927" s="436">
        <f>IF(NFI_Expiration=1,IF($A927&lt;VLOOKUP(P$5,NFI,5,0),1,0)*Table_NFI[[#This Row],[Plastic Bucket]],Table_NFI[Plastic Bucket])</f>
        <v>0</v>
      </c>
      <c r="AH927" s="436">
        <f>IF(NFI_Expiration=1,IF($A927&lt;VLOOKUP(Q$5,NFI,5,0),1,0)*Table_NFI[[#This Row],[Plastic Mat]],Table_NFI[Plastic Mat])*IF(Table_NFI[[#This Row],[Distribution Date]]&gt;"2014-04-01",1,2.5)</f>
        <v>0</v>
      </c>
      <c r="AI927" s="436">
        <f>IF(NFI_Expiration=1,IF($A927&lt;VLOOKUP(R$5,NFI,5,0),1,0)*Table_NFI[[#This Row],[Winter Clothes Adult]],Table_NFI[Winter Clothes Adult])</f>
        <v>0</v>
      </c>
      <c r="AJ927" s="436">
        <f>IF(NFI_Expiration=1,IF($A927&lt;VLOOKUP(S$5,NFI,5,0),1,0)*Table_NFI[[#This Row],[Winter Clothes Children]],Table_NFI[Winter Clothes Children])</f>
        <v>0</v>
      </c>
      <c r="AK927" s="436">
        <f>IF(NFI_Expiration=1,IF($A927&lt;VLOOKUP(T$5,NFI,5,0),1,0)*Table_NFI[[#This Row],[Winter Items Other]],Table_NFI[Winter Items Other])</f>
        <v>0</v>
      </c>
      <c r="AL927" s="436">
        <f>IF(NFI_Expiration=1,IF($A927&lt;VLOOKUP(M$5,NFI,5,0),1,0)*Table_NFI[[#This Row],[Winter Blanket]],Table_NFI[[#This Row],[Winter Blanket]])</f>
        <v>0</v>
      </c>
      <c r="AM927" s="436">
        <f>IF(Table_NFI[[#This Row],[Winter Clothes Adult]]+Table_NFI[[#This Row],[Winter Clothes Children]]+Table_NFI[[#This Row],[Winter Items Other]]+Table_NFI[[#This Row],[Winter Blanket]]&gt;0,1,0)</f>
        <v>0</v>
      </c>
      <c r="AN927" s="439">
        <f>IF(NFI_Expiration=1,IF($A927&lt;VLOOKUP(V$5,NFI,5,0),1,0)*Table_NFI[[#This Row],[Jerry Can]],Table_NFI[Jerry Can])</f>
        <v>0</v>
      </c>
      <c r="AO927" s="835" t="str">
        <f>IFERROR(VLOOKUP(Table_NFI[[#This Row],[Camp Name]],CL,2,0),"")</f>
        <v/>
      </c>
      <c r="AP927" s="836" t="str">
        <f ca="1">IF(Table_NFI[[#This Row],[Pcode]]="","",IF(OFFSET(CampList[Opening Date],MATCH(Table_NFI[[#This Row],[Pcode]],CampList[CP_Pcode],0)-1,0,1,1)&gt;=NFI_Monitor_Date,1,0))</f>
        <v/>
      </c>
      <c r="AQ927" s="835" t="str">
        <f>IFERROR(VLOOKUP(Table_NFI[[#This Row],[Camp Name]],CL,3,0),"")</f>
        <v/>
      </c>
      <c r="AR927" s="832" t="str">
        <f ca="1">IF(Table_NFI[[#This Row],[Pcode]]="","",OFFSET(CampList[Priority],MATCH(Table_NFI[[#This Row],[Pcode]],CampList[CP_Pcode],0)-1,0,1,1))</f>
        <v/>
      </c>
      <c r="AS927" s="837" t="str">
        <f>IFERROR(Table_NFI[[#This Row],[Kitchen Set]]/VLOOKUP(Table_NFI[[#This Row],[Camp Name]],CL,4,0),"")</f>
        <v/>
      </c>
      <c r="AT927" s="769" t="s">
        <v>1099</v>
      </c>
      <c r="AU927" s="838"/>
    </row>
    <row r="928" spans="1:47" s="798" customFormat="1" ht="15.75" customHeight="1" x14ac:dyDescent="0.25">
      <c r="A928" s="451" t="str">
        <f t="shared" si="14"/>
        <v/>
      </c>
      <c r="B928" s="829"/>
      <c r="C928" s="830"/>
      <c r="D928" s="830"/>
      <c r="E928" s="830"/>
      <c r="F928" s="830"/>
      <c r="G928" s="830"/>
      <c r="H928" s="831"/>
      <c r="I928" s="831"/>
      <c r="J928" s="831"/>
      <c r="K928" s="831"/>
      <c r="L928" s="831"/>
      <c r="M928" s="831"/>
      <c r="N928" s="831"/>
      <c r="O928" s="831"/>
      <c r="P928" s="832"/>
      <c r="Q928" s="832"/>
      <c r="R928" s="832"/>
      <c r="S928" s="832"/>
      <c r="T928" s="832"/>
      <c r="U928" s="832"/>
      <c r="V928" s="833"/>
      <c r="W928" s="834"/>
      <c r="X928" s="834"/>
      <c r="Y928" s="436">
        <f>IF(NFI_Expiration=1,IF($A928&lt;VLOOKUP(H$5,NFI,5,0),1,0)*Table_NFI[[#This Row],[Hygiene Kit]],Table_NFI[Hygiene Kit])</f>
        <v>0</v>
      </c>
      <c r="Z928" s="436">
        <f>IF(NFI_Expiration=1,IF($A928&lt;VLOOKUP(I$5,NFI,5,0),1,0)*Table_NFI[[#This Row],[NFI Core Kit]],Table_NFI[NFI Core Kit])</f>
        <v>0</v>
      </c>
      <c r="AA928" s="436">
        <f>IF(NFI_Expiration=1,IF($A928&lt;VLOOKUP(J$5,NFI,5,0),1,0)*Table_NFI[[#This Row],[Sanitary Kit]],Table_NFI[Sanitary Kit])</f>
        <v>0</v>
      </c>
      <c r="AB928" s="436">
        <f>IF(NFI_Expiration=1,IF($A928&lt;VLOOKUP(K$5,NFI,5,0),1,0)*Table_NFI[[#This Row],[Mosquito net]],Table_NFI[Mosquito net])</f>
        <v>0</v>
      </c>
      <c r="AC928" s="436">
        <f>IF(NFI_Expiration=1,IF($A928&lt;VLOOKUP(L$5,NFI,5,0),1,0)*Table_NFI[[#This Row],[Tarpaulin]],Table_NFI[[#This Row],[Tarpaulin]])</f>
        <v>0</v>
      </c>
      <c r="AD928" s="436">
        <f>IF(NFI_Expiration=1,IF($A928&lt;VLOOKUP(M$5,NFI,5,0),1,0)*Table_NFI[[#This Row],[Blanket]],Table_NFI[[#This Row],[Blanket]])</f>
        <v>0</v>
      </c>
      <c r="AE928" s="436">
        <f>IF(NFI_Expiration=1,IF($A928&lt;VLOOKUP(N$5,NFI,5,0),1,0)*Table_NFI[[#This Row],[Kitchen Set]],Table_NFI[Kitchen Set])</f>
        <v>0</v>
      </c>
      <c r="AF928" s="436">
        <f>IF(NFI_Expiration=1,IF($A928&lt;VLOOKUP(O$5,NFI,5,0),1,0)*Table_NFI[[#This Row],[Clothes Kit]],Table_NFI[Clothes Kit])</f>
        <v>0</v>
      </c>
      <c r="AG928" s="436">
        <f>IF(NFI_Expiration=1,IF($A928&lt;VLOOKUP(P$5,NFI,5,0),1,0)*Table_NFI[[#This Row],[Plastic Bucket]],Table_NFI[Plastic Bucket])</f>
        <v>0</v>
      </c>
      <c r="AH928" s="436">
        <f>IF(NFI_Expiration=1,IF($A928&lt;VLOOKUP(Q$5,NFI,5,0),1,0)*Table_NFI[[#This Row],[Plastic Mat]],Table_NFI[Plastic Mat])*IF(Table_NFI[[#This Row],[Distribution Date]]&gt;"2014-04-01",1,2.5)</f>
        <v>0</v>
      </c>
      <c r="AI928" s="436">
        <f>IF(NFI_Expiration=1,IF($A928&lt;VLOOKUP(R$5,NFI,5,0),1,0)*Table_NFI[[#This Row],[Winter Clothes Adult]],Table_NFI[Winter Clothes Adult])</f>
        <v>0</v>
      </c>
      <c r="AJ928" s="436">
        <f>IF(NFI_Expiration=1,IF($A928&lt;VLOOKUP(S$5,NFI,5,0),1,0)*Table_NFI[[#This Row],[Winter Clothes Children]],Table_NFI[Winter Clothes Children])</f>
        <v>0</v>
      </c>
      <c r="AK928" s="436">
        <f>IF(NFI_Expiration=1,IF($A928&lt;VLOOKUP(T$5,NFI,5,0),1,0)*Table_NFI[[#This Row],[Winter Items Other]],Table_NFI[Winter Items Other])</f>
        <v>0</v>
      </c>
      <c r="AL928" s="436">
        <f>IF(NFI_Expiration=1,IF($A928&lt;VLOOKUP(M$5,NFI,5,0),1,0)*Table_NFI[[#This Row],[Winter Blanket]],Table_NFI[[#This Row],[Winter Blanket]])</f>
        <v>0</v>
      </c>
      <c r="AM928" s="436">
        <f>IF(Table_NFI[[#This Row],[Winter Clothes Adult]]+Table_NFI[[#This Row],[Winter Clothes Children]]+Table_NFI[[#This Row],[Winter Items Other]]+Table_NFI[[#This Row],[Winter Blanket]]&gt;0,1,0)</f>
        <v>0</v>
      </c>
      <c r="AN928" s="439">
        <f>IF(NFI_Expiration=1,IF($A928&lt;VLOOKUP(V$5,NFI,5,0),1,0)*Table_NFI[[#This Row],[Jerry Can]],Table_NFI[Jerry Can])</f>
        <v>0</v>
      </c>
      <c r="AO928" s="835" t="str">
        <f>IFERROR(VLOOKUP(Table_NFI[[#This Row],[Camp Name]],CL,2,0),"")</f>
        <v/>
      </c>
      <c r="AP928" s="836" t="str">
        <f ca="1">IF(Table_NFI[[#This Row],[Pcode]]="","",IF(OFFSET(CampList[Opening Date],MATCH(Table_NFI[[#This Row],[Pcode]],CampList[CP_Pcode],0)-1,0,1,1)&gt;=NFI_Monitor_Date,1,0))</f>
        <v/>
      </c>
      <c r="AQ928" s="835" t="str">
        <f>IFERROR(VLOOKUP(Table_NFI[[#This Row],[Camp Name]],CL,3,0),"")</f>
        <v/>
      </c>
      <c r="AR928" s="832" t="str">
        <f ca="1">IF(Table_NFI[[#This Row],[Pcode]]="","",OFFSET(CampList[Priority],MATCH(Table_NFI[[#This Row],[Pcode]],CampList[CP_Pcode],0)-1,0,1,1))</f>
        <v/>
      </c>
      <c r="AS928" s="837" t="str">
        <f>IFERROR(Table_NFI[[#This Row],[Kitchen Set]]/VLOOKUP(Table_NFI[[#This Row],[Camp Name]],CL,4,0),"")</f>
        <v/>
      </c>
      <c r="AT928" s="769" t="s">
        <v>1099</v>
      </c>
      <c r="AU928" s="838"/>
    </row>
    <row r="929" spans="1:47" s="798" customFormat="1" x14ac:dyDescent="0.25">
      <c r="A929" s="451" t="str">
        <f t="shared" si="14"/>
        <v/>
      </c>
      <c r="B929" s="829"/>
      <c r="C929" s="830"/>
      <c r="D929" s="830"/>
      <c r="E929" s="830"/>
      <c r="F929" s="830"/>
      <c r="G929" s="830"/>
      <c r="H929" s="831"/>
      <c r="I929" s="831"/>
      <c r="J929" s="831"/>
      <c r="K929" s="831"/>
      <c r="L929" s="831"/>
      <c r="M929" s="831"/>
      <c r="N929" s="831"/>
      <c r="O929" s="831"/>
      <c r="P929" s="832"/>
      <c r="Q929" s="832"/>
      <c r="R929" s="832"/>
      <c r="S929" s="832"/>
      <c r="T929" s="832"/>
      <c r="U929" s="832"/>
      <c r="V929" s="833"/>
      <c r="W929" s="834"/>
      <c r="X929" s="834"/>
      <c r="Y929" s="436">
        <f>IF(NFI_Expiration=1,IF($A929&lt;VLOOKUP(H$5,NFI,5,0),1,0)*Table_NFI[[#This Row],[Hygiene Kit]],Table_NFI[Hygiene Kit])</f>
        <v>0</v>
      </c>
      <c r="Z929" s="436">
        <f>IF(NFI_Expiration=1,IF($A929&lt;VLOOKUP(I$5,NFI,5,0),1,0)*Table_NFI[[#This Row],[NFI Core Kit]],Table_NFI[NFI Core Kit])</f>
        <v>0</v>
      </c>
      <c r="AA929" s="436">
        <f>IF(NFI_Expiration=1,IF($A929&lt;VLOOKUP(J$5,NFI,5,0),1,0)*Table_NFI[[#This Row],[Sanitary Kit]],Table_NFI[Sanitary Kit])</f>
        <v>0</v>
      </c>
      <c r="AB929" s="436">
        <f>IF(NFI_Expiration=1,IF($A929&lt;VLOOKUP(K$5,NFI,5,0),1,0)*Table_NFI[[#This Row],[Mosquito net]],Table_NFI[Mosquito net])</f>
        <v>0</v>
      </c>
      <c r="AC929" s="436">
        <f>IF(NFI_Expiration=1,IF($A929&lt;VLOOKUP(L$5,NFI,5,0),1,0)*Table_NFI[[#This Row],[Tarpaulin]],Table_NFI[[#This Row],[Tarpaulin]])</f>
        <v>0</v>
      </c>
      <c r="AD929" s="436">
        <f>IF(NFI_Expiration=1,IF($A929&lt;VLOOKUP(M$5,NFI,5,0),1,0)*Table_NFI[[#This Row],[Blanket]],Table_NFI[[#This Row],[Blanket]])</f>
        <v>0</v>
      </c>
      <c r="AE929" s="436">
        <f>IF(NFI_Expiration=1,IF($A929&lt;VLOOKUP(N$5,NFI,5,0),1,0)*Table_NFI[[#This Row],[Kitchen Set]],Table_NFI[Kitchen Set])</f>
        <v>0</v>
      </c>
      <c r="AF929" s="436">
        <f>IF(NFI_Expiration=1,IF($A929&lt;VLOOKUP(O$5,NFI,5,0),1,0)*Table_NFI[[#This Row],[Clothes Kit]],Table_NFI[Clothes Kit])</f>
        <v>0</v>
      </c>
      <c r="AG929" s="436">
        <f>IF(NFI_Expiration=1,IF($A929&lt;VLOOKUP(P$5,NFI,5,0),1,0)*Table_NFI[[#This Row],[Plastic Bucket]],Table_NFI[Plastic Bucket])</f>
        <v>0</v>
      </c>
      <c r="AH929" s="436">
        <f>IF(NFI_Expiration=1,IF($A929&lt;VLOOKUP(Q$5,NFI,5,0),1,0)*Table_NFI[[#This Row],[Plastic Mat]],Table_NFI[Plastic Mat])*IF(Table_NFI[[#This Row],[Distribution Date]]&gt;"2014-04-01",1,2.5)</f>
        <v>0</v>
      </c>
      <c r="AI929" s="436">
        <f>IF(NFI_Expiration=1,IF($A929&lt;VLOOKUP(R$5,NFI,5,0),1,0)*Table_NFI[[#This Row],[Winter Clothes Adult]],Table_NFI[Winter Clothes Adult])</f>
        <v>0</v>
      </c>
      <c r="AJ929" s="436">
        <f>IF(NFI_Expiration=1,IF($A929&lt;VLOOKUP(S$5,NFI,5,0),1,0)*Table_NFI[[#This Row],[Winter Clothes Children]],Table_NFI[Winter Clothes Children])</f>
        <v>0</v>
      </c>
      <c r="AK929" s="436">
        <f>IF(NFI_Expiration=1,IF($A929&lt;VLOOKUP(T$5,NFI,5,0),1,0)*Table_NFI[[#This Row],[Winter Items Other]],Table_NFI[Winter Items Other])</f>
        <v>0</v>
      </c>
      <c r="AL929" s="436">
        <f>IF(NFI_Expiration=1,IF($A929&lt;VLOOKUP(M$5,NFI,5,0),1,0)*Table_NFI[[#This Row],[Winter Blanket]],Table_NFI[[#This Row],[Winter Blanket]])</f>
        <v>0</v>
      </c>
      <c r="AM929" s="436">
        <f>IF(Table_NFI[[#This Row],[Winter Clothes Adult]]+Table_NFI[[#This Row],[Winter Clothes Children]]+Table_NFI[[#This Row],[Winter Items Other]]+Table_NFI[[#This Row],[Winter Blanket]]&gt;0,1,0)</f>
        <v>0</v>
      </c>
      <c r="AN929" s="439">
        <f>IF(NFI_Expiration=1,IF($A929&lt;VLOOKUP(V$5,NFI,5,0),1,0)*Table_NFI[[#This Row],[Jerry Can]],Table_NFI[Jerry Can])</f>
        <v>0</v>
      </c>
      <c r="AO929" s="835" t="str">
        <f>IFERROR(VLOOKUP(Table_NFI[[#This Row],[Camp Name]],CL,2,0),"")</f>
        <v/>
      </c>
      <c r="AP929" s="836" t="str">
        <f ca="1">IF(Table_NFI[[#This Row],[Pcode]]="","",IF(OFFSET(CampList[Opening Date],MATCH(Table_NFI[[#This Row],[Pcode]],CampList[CP_Pcode],0)-1,0,1,1)&gt;=NFI_Monitor_Date,1,0))</f>
        <v/>
      </c>
      <c r="AQ929" s="835" t="str">
        <f>IFERROR(VLOOKUP(Table_NFI[[#This Row],[Camp Name]],CL,3,0),"")</f>
        <v/>
      </c>
      <c r="AR929" s="832" t="str">
        <f ca="1">IF(Table_NFI[[#This Row],[Pcode]]="","",OFFSET(CampList[Priority],MATCH(Table_NFI[[#This Row],[Pcode]],CampList[CP_Pcode],0)-1,0,1,1))</f>
        <v/>
      </c>
      <c r="AS929" s="837" t="str">
        <f>IFERROR(Table_NFI[[#This Row],[Kitchen Set]]/VLOOKUP(Table_NFI[[#This Row],[Camp Name]],CL,4,0),"")</f>
        <v/>
      </c>
      <c r="AT929" s="769" t="s">
        <v>1099</v>
      </c>
      <c r="AU929" s="838"/>
    </row>
    <row r="930" spans="1:47" s="798" customFormat="1" ht="15.75" customHeight="1" x14ac:dyDescent="0.25">
      <c r="A930" s="451" t="str">
        <f t="shared" si="14"/>
        <v/>
      </c>
      <c r="B930" s="829"/>
      <c r="C930" s="830"/>
      <c r="D930" s="830"/>
      <c r="E930" s="830"/>
      <c r="F930" s="830"/>
      <c r="G930" s="830"/>
      <c r="H930" s="831"/>
      <c r="I930" s="831"/>
      <c r="J930" s="831"/>
      <c r="K930" s="831"/>
      <c r="L930" s="831"/>
      <c r="M930" s="831"/>
      <c r="N930" s="831"/>
      <c r="O930" s="831"/>
      <c r="P930" s="832"/>
      <c r="Q930" s="832"/>
      <c r="R930" s="832"/>
      <c r="S930" s="832"/>
      <c r="T930" s="832"/>
      <c r="U930" s="832"/>
      <c r="V930" s="833"/>
      <c r="W930" s="834"/>
      <c r="X930" s="834"/>
      <c r="Y930" s="436">
        <f>IF(NFI_Expiration=1,IF($A930&lt;VLOOKUP(H$5,NFI,5,0),1,0)*Table_NFI[[#This Row],[Hygiene Kit]],Table_NFI[Hygiene Kit])</f>
        <v>0</v>
      </c>
      <c r="Z930" s="436">
        <f>IF(NFI_Expiration=1,IF($A930&lt;VLOOKUP(I$5,NFI,5,0),1,0)*Table_NFI[[#This Row],[NFI Core Kit]],Table_NFI[NFI Core Kit])</f>
        <v>0</v>
      </c>
      <c r="AA930" s="436">
        <f>IF(NFI_Expiration=1,IF($A930&lt;VLOOKUP(J$5,NFI,5,0),1,0)*Table_NFI[[#This Row],[Sanitary Kit]],Table_NFI[Sanitary Kit])</f>
        <v>0</v>
      </c>
      <c r="AB930" s="436">
        <f>IF(NFI_Expiration=1,IF($A930&lt;VLOOKUP(K$5,NFI,5,0),1,0)*Table_NFI[[#This Row],[Mosquito net]],Table_NFI[Mosquito net])</f>
        <v>0</v>
      </c>
      <c r="AC930" s="436">
        <f>IF(NFI_Expiration=1,IF($A930&lt;VLOOKUP(L$5,NFI,5,0),1,0)*Table_NFI[[#This Row],[Tarpaulin]],Table_NFI[[#This Row],[Tarpaulin]])</f>
        <v>0</v>
      </c>
      <c r="AD930" s="436">
        <f>IF(NFI_Expiration=1,IF($A930&lt;VLOOKUP(M$5,NFI,5,0),1,0)*Table_NFI[[#This Row],[Blanket]],Table_NFI[[#This Row],[Blanket]])</f>
        <v>0</v>
      </c>
      <c r="AE930" s="436">
        <f>IF(NFI_Expiration=1,IF($A930&lt;VLOOKUP(N$5,NFI,5,0),1,0)*Table_NFI[[#This Row],[Kitchen Set]],Table_NFI[Kitchen Set])</f>
        <v>0</v>
      </c>
      <c r="AF930" s="436">
        <f>IF(NFI_Expiration=1,IF($A930&lt;VLOOKUP(O$5,NFI,5,0),1,0)*Table_NFI[[#This Row],[Clothes Kit]],Table_NFI[Clothes Kit])</f>
        <v>0</v>
      </c>
      <c r="AG930" s="436">
        <f>IF(NFI_Expiration=1,IF($A930&lt;VLOOKUP(P$5,NFI,5,0),1,0)*Table_NFI[[#This Row],[Plastic Bucket]],Table_NFI[Plastic Bucket])</f>
        <v>0</v>
      </c>
      <c r="AH930" s="436">
        <f>IF(NFI_Expiration=1,IF($A930&lt;VLOOKUP(Q$5,NFI,5,0),1,0)*Table_NFI[[#This Row],[Plastic Mat]],Table_NFI[Plastic Mat])*IF(Table_NFI[[#This Row],[Distribution Date]]&gt;"2014-04-01",1,2.5)</f>
        <v>0</v>
      </c>
      <c r="AI930" s="436">
        <f>IF(NFI_Expiration=1,IF($A930&lt;VLOOKUP(R$5,NFI,5,0),1,0)*Table_NFI[[#This Row],[Winter Clothes Adult]],Table_NFI[Winter Clothes Adult])</f>
        <v>0</v>
      </c>
      <c r="AJ930" s="436">
        <f>IF(NFI_Expiration=1,IF($A930&lt;VLOOKUP(S$5,NFI,5,0),1,0)*Table_NFI[[#This Row],[Winter Clothes Children]],Table_NFI[Winter Clothes Children])</f>
        <v>0</v>
      </c>
      <c r="AK930" s="436">
        <f>IF(NFI_Expiration=1,IF($A930&lt;VLOOKUP(T$5,NFI,5,0),1,0)*Table_NFI[[#This Row],[Winter Items Other]],Table_NFI[Winter Items Other])</f>
        <v>0</v>
      </c>
      <c r="AL930" s="436">
        <f>IF(NFI_Expiration=1,IF($A930&lt;VLOOKUP(M$5,NFI,5,0),1,0)*Table_NFI[[#This Row],[Winter Blanket]],Table_NFI[[#This Row],[Winter Blanket]])</f>
        <v>0</v>
      </c>
      <c r="AM930" s="436">
        <f>IF(Table_NFI[[#This Row],[Winter Clothes Adult]]+Table_NFI[[#This Row],[Winter Clothes Children]]+Table_NFI[[#This Row],[Winter Items Other]]+Table_NFI[[#This Row],[Winter Blanket]]&gt;0,1,0)</f>
        <v>0</v>
      </c>
      <c r="AN930" s="439">
        <f>IF(NFI_Expiration=1,IF($A930&lt;VLOOKUP(V$5,NFI,5,0),1,0)*Table_NFI[[#This Row],[Jerry Can]],Table_NFI[Jerry Can])</f>
        <v>0</v>
      </c>
      <c r="AO930" s="835" t="str">
        <f>IFERROR(VLOOKUP(Table_NFI[[#This Row],[Camp Name]],CL,2,0),"")</f>
        <v/>
      </c>
      <c r="AP930" s="836" t="str">
        <f ca="1">IF(Table_NFI[[#This Row],[Pcode]]="","",IF(OFFSET(CampList[Opening Date],MATCH(Table_NFI[[#This Row],[Pcode]],CampList[CP_Pcode],0)-1,0,1,1)&gt;=NFI_Monitor_Date,1,0))</f>
        <v/>
      </c>
      <c r="AQ930" s="835" t="str">
        <f>IFERROR(VLOOKUP(Table_NFI[[#This Row],[Camp Name]],CL,3,0),"")</f>
        <v/>
      </c>
      <c r="AR930" s="832" t="str">
        <f ca="1">IF(Table_NFI[[#This Row],[Pcode]]="","",OFFSET(CampList[Priority],MATCH(Table_NFI[[#This Row],[Pcode]],CampList[CP_Pcode],0)-1,0,1,1))</f>
        <v/>
      </c>
      <c r="AS930" s="837" t="str">
        <f>IFERROR(Table_NFI[[#This Row],[Kitchen Set]]/VLOOKUP(Table_NFI[[#This Row],[Camp Name]],CL,4,0),"")</f>
        <v/>
      </c>
      <c r="AT930" s="769" t="s">
        <v>1099</v>
      </c>
      <c r="AU930" s="838"/>
    </row>
    <row r="931" spans="1:47" s="798" customFormat="1" ht="15.75" customHeight="1" x14ac:dyDescent="0.25">
      <c r="A931" s="451" t="str">
        <f t="shared" si="14"/>
        <v/>
      </c>
      <c r="B931" s="829"/>
      <c r="C931" s="830"/>
      <c r="D931" s="830"/>
      <c r="E931" s="830"/>
      <c r="F931" s="830"/>
      <c r="G931" s="830"/>
      <c r="H931" s="831"/>
      <c r="I931" s="831"/>
      <c r="J931" s="831"/>
      <c r="K931" s="831"/>
      <c r="L931" s="831"/>
      <c r="M931" s="831"/>
      <c r="N931" s="831"/>
      <c r="O931" s="831"/>
      <c r="P931" s="832"/>
      <c r="Q931" s="832"/>
      <c r="R931" s="832"/>
      <c r="S931" s="832"/>
      <c r="T931" s="832"/>
      <c r="U931" s="832"/>
      <c r="V931" s="833"/>
      <c r="W931" s="834"/>
      <c r="X931" s="834"/>
      <c r="Y931" s="436">
        <f>IF(NFI_Expiration=1,IF($A931&lt;VLOOKUP(H$5,NFI,5,0),1,0)*Table_NFI[[#This Row],[Hygiene Kit]],Table_NFI[Hygiene Kit])</f>
        <v>0</v>
      </c>
      <c r="Z931" s="436">
        <f>IF(NFI_Expiration=1,IF($A931&lt;VLOOKUP(I$5,NFI,5,0),1,0)*Table_NFI[[#This Row],[NFI Core Kit]],Table_NFI[NFI Core Kit])</f>
        <v>0</v>
      </c>
      <c r="AA931" s="436">
        <f>IF(NFI_Expiration=1,IF($A931&lt;VLOOKUP(J$5,NFI,5,0),1,0)*Table_NFI[[#This Row],[Sanitary Kit]],Table_NFI[Sanitary Kit])</f>
        <v>0</v>
      </c>
      <c r="AB931" s="436">
        <f>IF(NFI_Expiration=1,IF($A931&lt;VLOOKUP(K$5,NFI,5,0),1,0)*Table_NFI[[#This Row],[Mosquito net]],Table_NFI[Mosquito net])</f>
        <v>0</v>
      </c>
      <c r="AC931" s="436">
        <f>IF(NFI_Expiration=1,IF($A931&lt;VLOOKUP(L$5,NFI,5,0),1,0)*Table_NFI[[#This Row],[Tarpaulin]],Table_NFI[[#This Row],[Tarpaulin]])</f>
        <v>0</v>
      </c>
      <c r="AD931" s="436">
        <f>IF(NFI_Expiration=1,IF($A931&lt;VLOOKUP(M$5,NFI,5,0),1,0)*Table_NFI[[#This Row],[Blanket]],Table_NFI[[#This Row],[Blanket]])</f>
        <v>0</v>
      </c>
      <c r="AE931" s="436">
        <f>IF(NFI_Expiration=1,IF($A931&lt;VLOOKUP(N$5,NFI,5,0),1,0)*Table_NFI[[#This Row],[Kitchen Set]],Table_NFI[Kitchen Set])</f>
        <v>0</v>
      </c>
      <c r="AF931" s="436">
        <f>IF(NFI_Expiration=1,IF($A931&lt;VLOOKUP(O$5,NFI,5,0),1,0)*Table_NFI[[#This Row],[Clothes Kit]],Table_NFI[Clothes Kit])</f>
        <v>0</v>
      </c>
      <c r="AG931" s="436">
        <f>IF(NFI_Expiration=1,IF($A931&lt;VLOOKUP(P$5,NFI,5,0),1,0)*Table_NFI[[#This Row],[Plastic Bucket]],Table_NFI[Plastic Bucket])</f>
        <v>0</v>
      </c>
      <c r="AH931" s="436">
        <f>IF(NFI_Expiration=1,IF($A931&lt;VLOOKUP(Q$5,NFI,5,0),1,0)*Table_NFI[[#This Row],[Plastic Mat]],Table_NFI[Plastic Mat])*IF(Table_NFI[[#This Row],[Distribution Date]]&gt;"2014-04-01",1,2.5)</f>
        <v>0</v>
      </c>
      <c r="AI931" s="436">
        <f>IF(NFI_Expiration=1,IF($A931&lt;VLOOKUP(R$5,NFI,5,0),1,0)*Table_NFI[[#This Row],[Winter Clothes Adult]],Table_NFI[Winter Clothes Adult])</f>
        <v>0</v>
      </c>
      <c r="AJ931" s="436">
        <f>IF(NFI_Expiration=1,IF($A931&lt;VLOOKUP(S$5,NFI,5,0),1,0)*Table_NFI[[#This Row],[Winter Clothes Children]],Table_NFI[Winter Clothes Children])</f>
        <v>0</v>
      </c>
      <c r="AK931" s="436">
        <f>IF(NFI_Expiration=1,IF($A931&lt;VLOOKUP(T$5,NFI,5,0),1,0)*Table_NFI[[#This Row],[Winter Items Other]],Table_NFI[Winter Items Other])</f>
        <v>0</v>
      </c>
      <c r="AL931" s="436">
        <f>IF(NFI_Expiration=1,IF($A931&lt;VLOOKUP(M$5,NFI,5,0),1,0)*Table_NFI[[#This Row],[Winter Blanket]],Table_NFI[[#This Row],[Winter Blanket]])</f>
        <v>0</v>
      </c>
      <c r="AM931" s="436">
        <f>IF(Table_NFI[[#This Row],[Winter Clothes Adult]]+Table_NFI[[#This Row],[Winter Clothes Children]]+Table_NFI[[#This Row],[Winter Items Other]]+Table_NFI[[#This Row],[Winter Blanket]]&gt;0,1,0)</f>
        <v>0</v>
      </c>
      <c r="AN931" s="439">
        <f>IF(NFI_Expiration=1,IF($A931&lt;VLOOKUP(V$5,NFI,5,0),1,0)*Table_NFI[[#This Row],[Jerry Can]],Table_NFI[Jerry Can])</f>
        <v>0</v>
      </c>
      <c r="AO931" s="835" t="str">
        <f>IFERROR(VLOOKUP(Table_NFI[[#This Row],[Camp Name]],CL,2,0),"")</f>
        <v/>
      </c>
      <c r="AP931" s="836" t="str">
        <f ca="1">IF(Table_NFI[[#This Row],[Pcode]]="","",IF(OFFSET(CampList[Opening Date],MATCH(Table_NFI[[#This Row],[Pcode]],CampList[CP_Pcode],0)-1,0,1,1)&gt;=NFI_Monitor_Date,1,0))</f>
        <v/>
      </c>
      <c r="AQ931" s="835" t="str">
        <f>IFERROR(VLOOKUP(Table_NFI[[#This Row],[Camp Name]],CL,3,0),"")</f>
        <v/>
      </c>
      <c r="AR931" s="832" t="str">
        <f ca="1">IF(Table_NFI[[#This Row],[Pcode]]="","",OFFSET(CampList[Priority],MATCH(Table_NFI[[#This Row],[Pcode]],CampList[CP_Pcode],0)-1,0,1,1))</f>
        <v/>
      </c>
      <c r="AS931" s="837" t="str">
        <f>IFERROR(Table_NFI[[#This Row],[Kitchen Set]]/VLOOKUP(Table_NFI[[#This Row],[Camp Name]],CL,4,0),"")</f>
        <v/>
      </c>
      <c r="AT931" s="769" t="s">
        <v>1099</v>
      </c>
      <c r="AU931" s="838"/>
    </row>
    <row r="932" spans="1:47" s="798" customFormat="1" ht="15.75" customHeight="1" x14ac:dyDescent="0.25">
      <c r="A932" s="451" t="str">
        <f t="shared" si="14"/>
        <v/>
      </c>
      <c r="B932" s="829"/>
      <c r="C932" s="830"/>
      <c r="D932" s="830"/>
      <c r="E932" s="830"/>
      <c r="F932" s="830"/>
      <c r="G932" s="830"/>
      <c r="H932" s="831"/>
      <c r="I932" s="831"/>
      <c r="J932" s="831"/>
      <c r="K932" s="831"/>
      <c r="L932" s="831"/>
      <c r="M932" s="831"/>
      <c r="N932" s="831"/>
      <c r="O932" s="831"/>
      <c r="P932" s="832"/>
      <c r="Q932" s="832"/>
      <c r="R932" s="832"/>
      <c r="S932" s="832"/>
      <c r="T932" s="832"/>
      <c r="U932" s="832"/>
      <c r="V932" s="833"/>
      <c r="W932" s="834"/>
      <c r="X932" s="834"/>
      <c r="Y932" s="436">
        <f>IF(NFI_Expiration=1,IF($A932&lt;VLOOKUP(H$5,NFI,5,0),1,0)*Table_NFI[[#This Row],[Hygiene Kit]],Table_NFI[Hygiene Kit])</f>
        <v>0</v>
      </c>
      <c r="Z932" s="436">
        <f>IF(NFI_Expiration=1,IF($A932&lt;VLOOKUP(I$5,NFI,5,0),1,0)*Table_NFI[[#This Row],[NFI Core Kit]],Table_NFI[NFI Core Kit])</f>
        <v>0</v>
      </c>
      <c r="AA932" s="436">
        <f>IF(NFI_Expiration=1,IF($A932&lt;VLOOKUP(J$5,NFI,5,0),1,0)*Table_NFI[[#This Row],[Sanitary Kit]],Table_NFI[Sanitary Kit])</f>
        <v>0</v>
      </c>
      <c r="AB932" s="436">
        <f>IF(NFI_Expiration=1,IF($A932&lt;VLOOKUP(K$5,NFI,5,0),1,0)*Table_NFI[[#This Row],[Mosquito net]],Table_NFI[Mosquito net])</f>
        <v>0</v>
      </c>
      <c r="AC932" s="436">
        <f>IF(NFI_Expiration=1,IF($A932&lt;VLOOKUP(L$5,NFI,5,0),1,0)*Table_NFI[[#This Row],[Tarpaulin]],Table_NFI[[#This Row],[Tarpaulin]])</f>
        <v>0</v>
      </c>
      <c r="AD932" s="436">
        <f>IF(NFI_Expiration=1,IF($A932&lt;VLOOKUP(M$5,NFI,5,0),1,0)*Table_NFI[[#This Row],[Blanket]],Table_NFI[[#This Row],[Blanket]])</f>
        <v>0</v>
      </c>
      <c r="AE932" s="436">
        <f>IF(NFI_Expiration=1,IF($A932&lt;VLOOKUP(N$5,NFI,5,0),1,0)*Table_NFI[[#This Row],[Kitchen Set]],Table_NFI[Kitchen Set])</f>
        <v>0</v>
      </c>
      <c r="AF932" s="436">
        <f>IF(NFI_Expiration=1,IF($A932&lt;VLOOKUP(O$5,NFI,5,0),1,0)*Table_NFI[[#This Row],[Clothes Kit]],Table_NFI[Clothes Kit])</f>
        <v>0</v>
      </c>
      <c r="AG932" s="436">
        <f>IF(NFI_Expiration=1,IF($A932&lt;VLOOKUP(P$5,NFI,5,0),1,0)*Table_NFI[[#This Row],[Plastic Bucket]],Table_NFI[Plastic Bucket])</f>
        <v>0</v>
      </c>
      <c r="AH932" s="436">
        <f>IF(NFI_Expiration=1,IF($A932&lt;VLOOKUP(Q$5,NFI,5,0),1,0)*Table_NFI[[#This Row],[Plastic Mat]],Table_NFI[Plastic Mat])*IF(Table_NFI[[#This Row],[Distribution Date]]&gt;"2014-04-01",1,2.5)</f>
        <v>0</v>
      </c>
      <c r="AI932" s="436">
        <f>IF(NFI_Expiration=1,IF($A932&lt;VLOOKUP(R$5,NFI,5,0),1,0)*Table_NFI[[#This Row],[Winter Clothes Adult]],Table_NFI[Winter Clothes Adult])</f>
        <v>0</v>
      </c>
      <c r="AJ932" s="436">
        <f>IF(NFI_Expiration=1,IF($A932&lt;VLOOKUP(S$5,NFI,5,0),1,0)*Table_NFI[[#This Row],[Winter Clothes Children]],Table_NFI[Winter Clothes Children])</f>
        <v>0</v>
      </c>
      <c r="AK932" s="436">
        <f>IF(NFI_Expiration=1,IF($A932&lt;VLOOKUP(T$5,NFI,5,0),1,0)*Table_NFI[[#This Row],[Winter Items Other]],Table_NFI[Winter Items Other])</f>
        <v>0</v>
      </c>
      <c r="AL932" s="436">
        <f>IF(NFI_Expiration=1,IF($A932&lt;VLOOKUP(M$5,NFI,5,0),1,0)*Table_NFI[[#This Row],[Winter Blanket]],Table_NFI[[#This Row],[Winter Blanket]])</f>
        <v>0</v>
      </c>
      <c r="AM932" s="436">
        <f>IF(Table_NFI[[#This Row],[Winter Clothes Adult]]+Table_NFI[[#This Row],[Winter Clothes Children]]+Table_NFI[[#This Row],[Winter Items Other]]+Table_NFI[[#This Row],[Winter Blanket]]&gt;0,1,0)</f>
        <v>0</v>
      </c>
      <c r="AN932" s="439">
        <f>IF(NFI_Expiration=1,IF($A932&lt;VLOOKUP(V$5,NFI,5,0),1,0)*Table_NFI[[#This Row],[Jerry Can]],Table_NFI[Jerry Can])</f>
        <v>0</v>
      </c>
      <c r="AO932" s="835" t="str">
        <f>IFERROR(VLOOKUP(Table_NFI[[#This Row],[Camp Name]],CL,2,0),"")</f>
        <v/>
      </c>
      <c r="AP932" s="836" t="str">
        <f ca="1">IF(Table_NFI[[#This Row],[Pcode]]="","",IF(OFFSET(CampList[Opening Date],MATCH(Table_NFI[[#This Row],[Pcode]],CampList[CP_Pcode],0)-1,0,1,1)&gt;=NFI_Monitor_Date,1,0))</f>
        <v/>
      </c>
      <c r="AQ932" s="835" t="str">
        <f>IFERROR(VLOOKUP(Table_NFI[[#This Row],[Camp Name]],CL,3,0),"")</f>
        <v/>
      </c>
      <c r="AR932" s="832" t="str">
        <f ca="1">IF(Table_NFI[[#This Row],[Pcode]]="","",OFFSET(CampList[Priority],MATCH(Table_NFI[[#This Row],[Pcode]],CampList[CP_Pcode],0)-1,0,1,1))</f>
        <v/>
      </c>
      <c r="AS932" s="837" t="str">
        <f>IFERROR(Table_NFI[[#This Row],[Kitchen Set]]/VLOOKUP(Table_NFI[[#This Row],[Camp Name]],CL,4,0),"")</f>
        <v/>
      </c>
      <c r="AT932" s="769" t="s">
        <v>1099</v>
      </c>
      <c r="AU932" s="838"/>
    </row>
    <row r="933" spans="1:47" s="798" customFormat="1" ht="15.75" customHeight="1" x14ac:dyDescent="0.25">
      <c r="A933" s="451" t="str">
        <f t="shared" si="14"/>
        <v/>
      </c>
      <c r="B933" s="829"/>
      <c r="C933" s="830"/>
      <c r="D933" s="830"/>
      <c r="E933" s="830"/>
      <c r="F933" s="830"/>
      <c r="G933" s="830"/>
      <c r="H933" s="831"/>
      <c r="I933" s="831"/>
      <c r="J933" s="831"/>
      <c r="K933" s="831"/>
      <c r="L933" s="831"/>
      <c r="M933" s="831"/>
      <c r="N933" s="831"/>
      <c r="O933" s="831"/>
      <c r="P933" s="832"/>
      <c r="Q933" s="832"/>
      <c r="R933" s="832"/>
      <c r="S933" s="832"/>
      <c r="T933" s="832"/>
      <c r="U933" s="832"/>
      <c r="V933" s="833"/>
      <c r="W933" s="834"/>
      <c r="X933" s="834"/>
      <c r="Y933" s="436">
        <f>IF(NFI_Expiration=1,IF($A933&lt;VLOOKUP(H$5,NFI,5,0),1,0)*Table_NFI[[#This Row],[Hygiene Kit]],Table_NFI[Hygiene Kit])</f>
        <v>0</v>
      </c>
      <c r="Z933" s="436">
        <f>IF(NFI_Expiration=1,IF($A933&lt;VLOOKUP(I$5,NFI,5,0),1,0)*Table_NFI[[#This Row],[NFI Core Kit]],Table_NFI[NFI Core Kit])</f>
        <v>0</v>
      </c>
      <c r="AA933" s="436">
        <f>IF(NFI_Expiration=1,IF($A933&lt;VLOOKUP(J$5,NFI,5,0),1,0)*Table_NFI[[#This Row],[Sanitary Kit]],Table_NFI[Sanitary Kit])</f>
        <v>0</v>
      </c>
      <c r="AB933" s="436">
        <f>IF(NFI_Expiration=1,IF($A933&lt;VLOOKUP(K$5,NFI,5,0),1,0)*Table_NFI[[#This Row],[Mosquito net]],Table_NFI[Mosquito net])</f>
        <v>0</v>
      </c>
      <c r="AC933" s="436">
        <f>IF(NFI_Expiration=1,IF($A933&lt;VLOOKUP(L$5,NFI,5,0),1,0)*Table_NFI[[#This Row],[Tarpaulin]],Table_NFI[[#This Row],[Tarpaulin]])</f>
        <v>0</v>
      </c>
      <c r="AD933" s="436">
        <f>IF(NFI_Expiration=1,IF($A933&lt;VLOOKUP(M$5,NFI,5,0),1,0)*Table_NFI[[#This Row],[Blanket]],Table_NFI[[#This Row],[Blanket]])</f>
        <v>0</v>
      </c>
      <c r="AE933" s="436">
        <f>IF(NFI_Expiration=1,IF($A933&lt;VLOOKUP(N$5,NFI,5,0),1,0)*Table_NFI[[#This Row],[Kitchen Set]],Table_NFI[Kitchen Set])</f>
        <v>0</v>
      </c>
      <c r="AF933" s="436">
        <f>IF(NFI_Expiration=1,IF($A933&lt;VLOOKUP(O$5,NFI,5,0),1,0)*Table_NFI[[#This Row],[Clothes Kit]],Table_NFI[Clothes Kit])</f>
        <v>0</v>
      </c>
      <c r="AG933" s="436">
        <f>IF(NFI_Expiration=1,IF($A933&lt;VLOOKUP(P$5,NFI,5,0),1,0)*Table_NFI[[#This Row],[Plastic Bucket]],Table_NFI[Plastic Bucket])</f>
        <v>0</v>
      </c>
      <c r="AH933" s="436">
        <f>IF(NFI_Expiration=1,IF($A933&lt;VLOOKUP(Q$5,NFI,5,0),1,0)*Table_NFI[[#This Row],[Plastic Mat]],Table_NFI[Plastic Mat])*IF(Table_NFI[[#This Row],[Distribution Date]]&gt;"2014-04-01",1,2.5)</f>
        <v>0</v>
      </c>
      <c r="AI933" s="436">
        <f>IF(NFI_Expiration=1,IF($A933&lt;VLOOKUP(R$5,NFI,5,0),1,0)*Table_NFI[[#This Row],[Winter Clothes Adult]],Table_NFI[Winter Clothes Adult])</f>
        <v>0</v>
      </c>
      <c r="AJ933" s="436">
        <f>IF(NFI_Expiration=1,IF($A933&lt;VLOOKUP(S$5,NFI,5,0),1,0)*Table_NFI[[#This Row],[Winter Clothes Children]],Table_NFI[Winter Clothes Children])</f>
        <v>0</v>
      </c>
      <c r="AK933" s="436">
        <f>IF(NFI_Expiration=1,IF($A933&lt;VLOOKUP(T$5,NFI,5,0),1,0)*Table_NFI[[#This Row],[Winter Items Other]],Table_NFI[Winter Items Other])</f>
        <v>0</v>
      </c>
      <c r="AL933" s="436">
        <f>IF(NFI_Expiration=1,IF($A933&lt;VLOOKUP(M$5,NFI,5,0),1,0)*Table_NFI[[#This Row],[Winter Blanket]],Table_NFI[[#This Row],[Winter Blanket]])</f>
        <v>0</v>
      </c>
      <c r="AM933" s="436">
        <f>IF(Table_NFI[[#This Row],[Winter Clothes Adult]]+Table_NFI[[#This Row],[Winter Clothes Children]]+Table_NFI[[#This Row],[Winter Items Other]]+Table_NFI[[#This Row],[Winter Blanket]]&gt;0,1,0)</f>
        <v>0</v>
      </c>
      <c r="AN933" s="439">
        <f>IF(NFI_Expiration=1,IF($A933&lt;VLOOKUP(V$5,NFI,5,0),1,0)*Table_NFI[[#This Row],[Jerry Can]],Table_NFI[Jerry Can])</f>
        <v>0</v>
      </c>
      <c r="AO933" s="835" t="str">
        <f>IFERROR(VLOOKUP(Table_NFI[[#This Row],[Camp Name]],CL,2,0),"")</f>
        <v/>
      </c>
      <c r="AP933" s="836" t="str">
        <f ca="1">IF(Table_NFI[[#This Row],[Pcode]]="","",IF(OFFSET(CampList[Opening Date],MATCH(Table_NFI[[#This Row],[Pcode]],CampList[CP_Pcode],0)-1,0,1,1)&gt;=NFI_Monitor_Date,1,0))</f>
        <v/>
      </c>
      <c r="AQ933" s="835" t="str">
        <f>IFERROR(VLOOKUP(Table_NFI[[#This Row],[Camp Name]],CL,3,0),"")</f>
        <v/>
      </c>
      <c r="AR933" s="832" t="str">
        <f ca="1">IF(Table_NFI[[#This Row],[Pcode]]="","",OFFSET(CampList[Priority],MATCH(Table_NFI[[#This Row],[Pcode]],CampList[CP_Pcode],0)-1,0,1,1))</f>
        <v/>
      </c>
      <c r="AS933" s="837" t="str">
        <f>IFERROR(Table_NFI[[#This Row],[Kitchen Set]]/VLOOKUP(Table_NFI[[#This Row],[Camp Name]],CL,4,0),"")</f>
        <v/>
      </c>
      <c r="AT933" s="769" t="s">
        <v>1099</v>
      </c>
      <c r="AU933" s="838"/>
    </row>
    <row r="934" spans="1:47" s="798" customFormat="1" ht="15.75" customHeight="1" x14ac:dyDescent="0.25">
      <c r="A934" s="451" t="str">
        <f t="shared" si="14"/>
        <v/>
      </c>
      <c r="B934" s="829"/>
      <c r="C934" s="830"/>
      <c r="D934" s="830"/>
      <c r="E934" s="830"/>
      <c r="F934" s="830"/>
      <c r="G934" s="830"/>
      <c r="H934" s="831"/>
      <c r="I934" s="831"/>
      <c r="J934" s="831"/>
      <c r="K934" s="831"/>
      <c r="L934" s="831"/>
      <c r="M934" s="831"/>
      <c r="N934" s="831"/>
      <c r="O934" s="831"/>
      <c r="P934" s="832"/>
      <c r="Q934" s="832"/>
      <c r="R934" s="832"/>
      <c r="S934" s="832"/>
      <c r="T934" s="832"/>
      <c r="U934" s="832"/>
      <c r="V934" s="833"/>
      <c r="W934" s="834"/>
      <c r="X934" s="834"/>
      <c r="Y934" s="436">
        <f>IF(NFI_Expiration=1,IF($A934&lt;VLOOKUP(H$5,NFI,5,0),1,0)*Table_NFI[[#This Row],[Hygiene Kit]],Table_NFI[Hygiene Kit])</f>
        <v>0</v>
      </c>
      <c r="Z934" s="436">
        <f>IF(NFI_Expiration=1,IF($A934&lt;VLOOKUP(I$5,NFI,5,0),1,0)*Table_NFI[[#This Row],[NFI Core Kit]],Table_NFI[NFI Core Kit])</f>
        <v>0</v>
      </c>
      <c r="AA934" s="436">
        <f>IF(NFI_Expiration=1,IF($A934&lt;VLOOKUP(J$5,NFI,5,0),1,0)*Table_NFI[[#This Row],[Sanitary Kit]],Table_NFI[Sanitary Kit])</f>
        <v>0</v>
      </c>
      <c r="AB934" s="436">
        <f>IF(NFI_Expiration=1,IF($A934&lt;VLOOKUP(K$5,NFI,5,0),1,0)*Table_NFI[[#This Row],[Mosquito net]],Table_NFI[Mosquito net])</f>
        <v>0</v>
      </c>
      <c r="AC934" s="436">
        <f>IF(NFI_Expiration=1,IF($A934&lt;VLOOKUP(L$5,NFI,5,0),1,0)*Table_NFI[[#This Row],[Tarpaulin]],Table_NFI[[#This Row],[Tarpaulin]])</f>
        <v>0</v>
      </c>
      <c r="AD934" s="436">
        <f>IF(NFI_Expiration=1,IF($A934&lt;VLOOKUP(M$5,NFI,5,0),1,0)*Table_NFI[[#This Row],[Blanket]],Table_NFI[[#This Row],[Blanket]])</f>
        <v>0</v>
      </c>
      <c r="AE934" s="436">
        <f>IF(NFI_Expiration=1,IF($A934&lt;VLOOKUP(N$5,NFI,5,0),1,0)*Table_NFI[[#This Row],[Kitchen Set]],Table_NFI[Kitchen Set])</f>
        <v>0</v>
      </c>
      <c r="AF934" s="436">
        <f>IF(NFI_Expiration=1,IF($A934&lt;VLOOKUP(O$5,NFI,5,0),1,0)*Table_NFI[[#This Row],[Clothes Kit]],Table_NFI[Clothes Kit])</f>
        <v>0</v>
      </c>
      <c r="AG934" s="436">
        <f>IF(NFI_Expiration=1,IF($A934&lt;VLOOKUP(P$5,NFI,5,0),1,0)*Table_NFI[[#This Row],[Plastic Bucket]],Table_NFI[Plastic Bucket])</f>
        <v>0</v>
      </c>
      <c r="AH934" s="436">
        <f>IF(NFI_Expiration=1,IF($A934&lt;VLOOKUP(Q$5,NFI,5,0),1,0)*Table_NFI[[#This Row],[Plastic Mat]],Table_NFI[Plastic Mat])*IF(Table_NFI[[#This Row],[Distribution Date]]&gt;"2014-04-01",1,2.5)</f>
        <v>0</v>
      </c>
      <c r="AI934" s="436">
        <f>IF(NFI_Expiration=1,IF($A934&lt;VLOOKUP(R$5,NFI,5,0),1,0)*Table_NFI[[#This Row],[Winter Clothes Adult]],Table_NFI[Winter Clothes Adult])</f>
        <v>0</v>
      </c>
      <c r="AJ934" s="436">
        <f>IF(NFI_Expiration=1,IF($A934&lt;VLOOKUP(S$5,NFI,5,0),1,0)*Table_NFI[[#This Row],[Winter Clothes Children]],Table_NFI[Winter Clothes Children])</f>
        <v>0</v>
      </c>
      <c r="AK934" s="436">
        <f>IF(NFI_Expiration=1,IF($A934&lt;VLOOKUP(T$5,NFI,5,0),1,0)*Table_NFI[[#This Row],[Winter Items Other]],Table_NFI[Winter Items Other])</f>
        <v>0</v>
      </c>
      <c r="AL934" s="436">
        <f>IF(NFI_Expiration=1,IF($A934&lt;VLOOKUP(M$5,NFI,5,0),1,0)*Table_NFI[[#This Row],[Winter Blanket]],Table_NFI[[#This Row],[Winter Blanket]])</f>
        <v>0</v>
      </c>
      <c r="AM934" s="436">
        <f>IF(Table_NFI[[#This Row],[Winter Clothes Adult]]+Table_NFI[[#This Row],[Winter Clothes Children]]+Table_NFI[[#This Row],[Winter Items Other]]+Table_NFI[[#This Row],[Winter Blanket]]&gt;0,1,0)</f>
        <v>0</v>
      </c>
      <c r="AN934" s="439">
        <f>IF(NFI_Expiration=1,IF($A934&lt;VLOOKUP(V$5,NFI,5,0),1,0)*Table_NFI[[#This Row],[Jerry Can]],Table_NFI[Jerry Can])</f>
        <v>0</v>
      </c>
      <c r="AO934" s="835" t="str">
        <f>IFERROR(VLOOKUP(Table_NFI[[#This Row],[Camp Name]],CL,2,0),"")</f>
        <v/>
      </c>
      <c r="AP934" s="836" t="str">
        <f ca="1">IF(Table_NFI[[#This Row],[Pcode]]="","",IF(OFFSET(CampList[Opening Date],MATCH(Table_NFI[[#This Row],[Pcode]],CampList[CP_Pcode],0)-1,0,1,1)&gt;=NFI_Monitor_Date,1,0))</f>
        <v/>
      </c>
      <c r="AQ934" s="835" t="str">
        <f>IFERROR(VLOOKUP(Table_NFI[[#This Row],[Camp Name]],CL,3,0),"")</f>
        <v/>
      </c>
      <c r="AR934" s="832" t="str">
        <f ca="1">IF(Table_NFI[[#This Row],[Pcode]]="","",OFFSET(CampList[Priority],MATCH(Table_NFI[[#This Row],[Pcode]],CampList[CP_Pcode],0)-1,0,1,1))</f>
        <v/>
      </c>
      <c r="AS934" s="837" t="str">
        <f>IFERROR(Table_NFI[[#This Row],[Kitchen Set]]/VLOOKUP(Table_NFI[[#This Row],[Camp Name]],CL,4,0),"")</f>
        <v/>
      </c>
      <c r="AT934" s="769" t="s">
        <v>1099</v>
      </c>
      <c r="AU934" s="838"/>
    </row>
    <row r="935" spans="1:47" s="798" customFormat="1" ht="15.75" customHeight="1" x14ac:dyDescent="0.25">
      <c r="A935" s="451" t="str">
        <f t="shared" si="14"/>
        <v/>
      </c>
      <c r="B935" s="829"/>
      <c r="C935" s="830"/>
      <c r="D935" s="830"/>
      <c r="E935" s="830"/>
      <c r="F935" s="830"/>
      <c r="G935" s="830"/>
      <c r="H935" s="831"/>
      <c r="I935" s="831"/>
      <c r="J935" s="831"/>
      <c r="K935" s="831"/>
      <c r="L935" s="831"/>
      <c r="M935" s="831"/>
      <c r="N935" s="831"/>
      <c r="O935" s="831"/>
      <c r="P935" s="832"/>
      <c r="Q935" s="832"/>
      <c r="R935" s="832"/>
      <c r="S935" s="832"/>
      <c r="T935" s="832"/>
      <c r="U935" s="832"/>
      <c r="V935" s="833"/>
      <c r="W935" s="834"/>
      <c r="X935" s="834"/>
      <c r="Y935" s="436">
        <f>IF(NFI_Expiration=1,IF($A935&lt;VLOOKUP(H$5,NFI,5,0),1,0)*Table_NFI[[#This Row],[Hygiene Kit]],Table_NFI[Hygiene Kit])</f>
        <v>0</v>
      </c>
      <c r="Z935" s="436">
        <f>IF(NFI_Expiration=1,IF($A935&lt;VLOOKUP(I$5,NFI,5,0),1,0)*Table_NFI[[#This Row],[NFI Core Kit]],Table_NFI[NFI Core Kit])</f>
        <v>0</v>
      </c>
      <c r="AA935" s="436">
        <f>IF(NFI_Expiration=1,IF($A935&lt;VLOOKUP(J$5,NFI,5,0),1,0)*Table_NFI[[#This Row],[Sanitary Kit]],Table_NFI[Sanitary Kit])</f>
        <v>0</v>
      </c>
      <c r="AB935" s="436">
        <f>IF(NFI_Expiration=1,IF($A935&lt;VLOOKUP(K$5,NFI,5,0),1,0)*Table_NFI[[#This Row],[Mosquito net]],Table_NFI[Mosquito net])</f>
        <v>0</v>
      </c>
      <c r="AC935" s="436">
        <f>IF(NFI_Expiration=1,IF($A935&lt;VLOOKUP(L$5,NFI,5,0),1,0)*Table_NFI[[#This Row],[Tarpaulin]],Table_NFI[[#This Row],[Tarpaulin]])</f>
        <v>0</v>
      </c>
      <c r="AD935" s="436">
        <f>IF(NFI_Expiration=1,IF($A935&lt;VLOOKUP(M$5,NFI,5,0),1,0)*Table_NFI[[#This Row],[Blanket]],Table_NFI[[#This Row],[Blanket]])</f>
        <v>0</v>
      </c>
      <c r="AE935" s="436">
        <f>IF(NFI_Expiration=1,IF($A935&lt;VLOOKUP(N$5,NFI,5,0),1,0)*Table_NFI[[#This Row],[Kitchen Set]],Table_NFI[Kitchen Set])</f>
        <v>0</v>
      </c>
      <c r="AF935" s="436">
        <f>IF(NFI_Expiration=1,IF($A935&lt;VLOOKUP(O$5,NFI,5,0),1,0)*Table_NFI[[#This Row],[Clothes Kit]],Table_NFI[Clothes Kit])</f>
        <v>0</v>
      </c>
      <c r="AG935" s="436">
        <f>IF(NFI_Expiration=1,IF($A935&lt;VLOOKUP(P$5,NFI,5,0),1,0)*Table_NFI[[#This Row],[Plastic Bucket]],Table_NFI[Plastic Bucket])</f>
        <v>0</v>
      </c>
      <c r="AH935" s="436">
        <f>IF(NFI_Expiration=1,IF($A935&lt;VLOOKUP(Q$5,NFI,5,0),1,0)*Table_NFI[[#This Row],[Plastic Mat]],Table_NFI[Plastic Mat])*IF(Table_NFI[[#This Row],[Distribution Date]]&gt;"2014-04-01",1,2.5)</f>
        <v>0</v>
      </c>
      <c r="AI935" s="436">
        <f>IF(NFI_Expiration=1,IF($A935&lt;VLOOKUP(R$5,NFI,5,0),1,0)*Table_NFI[[#This Row],[Winter Clothes Adult]],Table_NFI[Winter Clothes Adult])</f>
        <v>0</v>
      </c>
      <c r="AJ935" s="436">
        <f>IF(NFI_Expiration=1,IF($A935&lt;VLOOKUP(S$5,NFI,5,0),1,0)*Table_NFI[[#This Row],[Winter Clothes Children]],Table_NFI[Winter Clothes Children])</f>
        <v>0</v>
      </c>
      <c r="AK935" s="436">
        <f>IF(NFI_Expiration=1,IF($A935&lt;VLOOKUP(T$5,NFI,5,0),1,0)*Table_NFI[[#This Row],[Winter Items Other]],Table_NFI[Winter Items Other])</f>
        <v>0</v>
      </c>
      <c r="AL935" s="436">
        <f>IF(NFI_Expiration=1,IF($A935&lt;VLOOKUP(M$5,NFI,5,0),1,0)*Table_NFI[[#This Row],[Winter Blanket]],Table_NFI[[#This Row],[Winter Blanket]])</f>
        <v>0</v>
      </c>
      <c r="AM935" s="436">
        <f>IF(Table_NFI[[#This Row],[Winter Clothes Adult]]+Table_NFI[[#This Row],[Winter Clothes Children]]+Table_NFI[[#This Row],[Winter Items Other]]+Table_NFI[[#This Row],[Winter Blanket]]&gt;0,1,0)</f>
        <v>0</v>
      </c>
      <c r="AN935" s="439">
        <f>IF(NFI_Expiration=1,IF($A935&lt;VLOOKUP(V$5,NFI,5,0),1,0)*Table_NFI[[#This Row],[Jerry Can]],Table_NFI[Jerry Can])</f>
        <v>0</v>
      </c>
      <c r="AO935" s="835" t="str">
        <f>IFERROR(VLOOKUP(Table_NFI[[#This Row],[Camp Name]],CL,2,0),"")</f>
        <v/>
      </c>
      <c r="AP935" s="836" t="str">
        <f ca="1">IF(Table_NFI[[#This Row],[Pcode]]="","",IF(OFFSET(CampList[Opening Date],MATCH(Table_NFI[[#This Row],[Pcode]],CampList[CP_Pcode],0)-1,0,1,1)&gt;=NFI_Monitor_Date,1,0))</f>
        <v/>
      </c>
      <c r="AQ935" s="835" t="str">
        <f>IFERROR(VLOOKUP(Table_NFI[[#This Row],[Camp Name]],CL,3,0),"")</f>
        <v/>
      </c>
      <c r="AR935" s="832" t="str">
        <f ca="1">IF(Table_NFI[[#This Row],[Pcode]]="","",OFFSET(CampList[Priority],MATCH(Table_NFI[[#This Row],[Pcode]],CampList[CP_Pcode],0)-1,0,1,1))</f>
        <v/>
      </c>
      <c r="AS935" s="837" t="str">
        <f>IFERROR(Table_NFI[[#This Row],[Kitchen Set]]/VLOOKUP(Table_NFI[[#This Row],[Camp Name]],CL,4,0),"")</f>
        <v/>
      </c>
      <c r="AT935" s="769" t="s">
        <v>1099</v>
      </c>
      <c r="AU935" s="838"/>
    </row>
    <row r="936" spans="1:47" s="798" customFormat="1" ht="15.75" customHeight="1" x14ac:dyDescent="0.25">
      <c r="A936" s="451" t="str">
        <f t="shared" si="14"/>
        <v/>
      </c>
      <c r="B936" s="829"/>
      <c r="C936" s="830"/>
      <c r="D936" s="830"/>
      <c r="E936" s="830"/>
      <c r="F936" s="830"/>
      <c r="G936" s="830"/>
      <c r="H936" s="831"/>
      <c r="I936" s="831"/>
      <c r="J936" s="831"/>
      <c r="K936" s="831"/>
      <c r="L936" s="831"/>
      <c r="M936" s="831"/>
      <c r="N936" s="831"/>
      <c r="O936" s="831"/>
      <c r="P936" s="832"/>
      <c r="Q936" s="832"/>
      <c r="R936" s="832"/>
      <c r="S936" s="832"/>
      <c r="T936" s="832"/>
      <c r="U936" s="832"/>
      <c r="V936" s="833"/>
      <c r="W936" s="834"/>
      <c r="X936" s="834"/>
      <c r="Y936" s="436">
        <f>IF(NFI_Expiration=1,IF($A936&lt;VLOOKUP(H$5,NFI,5,0),1,0)*Table_NFI[[#This Row],[Hygiene Kit]],Table_NFI[Hygiene Kit])</f>
        <v>0</v>
      </c>
      <c r="Z936" s="436">
        <f>IF(NFI_Expiration=1,IF($A936&lt;VLOOKUP(I$5,NFI,5,0),1,0)*Table_NFI[[#This Row],[NFI Core Kit]],Table_NFI[NFI Core Kit])</f>
        <v>0</v>
      </c>
      <c r="AA936" s="436">
        <f>IF(NFI_Expiration=1,IF($A936&lt;VLOOKUP(J$5,NFI,5,0),1,0)*Table_NFI[[#This Row],[Sanitary Kit]],Table_NFI[Sanitary Kit])</f>
        <v>0</v>
      </c>
      <c r="AB936" s="436">
        <f>IF(NFI_Expiration=1,IF($A936&lt;VLOOKUP(K$5,NFI,5,0),1,0)*Table_NFI[[#This Row],[Mosquito net]],Table_NFI[Mosquito net])</f>
        <v>0</v>
      </c>
      <c r="AC936" s="436">
        <f>IF(NFI_Expiration=1,IF($A936&lt;VLOOKUP(L$5,NFI,5,0),1,0)*Table_NFI[[#This Row],[Tarpaulin]],Table_NFI[[#This Row],[Tarpaulin]])</f>
        <v>0</v>
      </c>
      <c r="AD936" s="436">
        <f>IF(NFI_Expiration=1,IF($A936&lt;VLOOKUP(M$5,NFI,5,0),1,0)*Table_NFI[[#This Row],[Blanket]],Table_NFI[[#This Row],[Blanket]])</f>
        <v>0</v>
      </c>
      <c r="AE936" s="436">
        <f>IF(NFI_Expiration=1,IF($A936&lt;VLOOKUP(N$5,NFI,5,0),1,0)*Table_NFI[[#This Row],[Kitchen Set]],Table_NFI[Kitchen Set])</f>
        <v>0</v>
      </c>
      <c r="AF936" s="436">
        <f>IF(NFI_Expiration=1,IF($A936&lt;VLOOKUP(O$5,NFI,5,0),1,0)*Table_NFI[[#This Row],[Clothes Kit]],Table_NFI[Clothes Kit])</f>
        <v>0</v>
      </c>
      <c r="AG936" s="436">
        <f>IF(NFI_Expiration=1,IF($A936&lt;VLOOKUP(P$5,NFI,5,0),1,0)*Table_NFI[[#This Row],[Plastic Bucket]],Table_NFI[Plastic Bucket])</f>
        <v>0</v>
      </c>
      <c r="AH936" s="436">
        <f>IF(NFI_Expiration=1,IF($A936&lt;VLOOKUP(Q$5,NFI,5,0),1,0)*Table_NFI[[#This Row],[Plastic Mat]],Table_NFI[Plastic Mat])*IF(Table_NFI[[#This Row],[Distribution Date]]&gt;"2014-04-01",1,2.5)</f>
        <v>0</v>
      </c>
      <c r="AI936" s="436">
        <f>IF(NFI_Expiration=1,IF($A936&lt;VLOOKUP(R$5,NFI,5,0),1,0)*Table_NFI[[#This Row],[Winter Clothes Adult]],Table_NFI[Winter Clothes Adult])</f>
        <v>0</v>
      </c>
      <c r="AJ936" s="436">
        <f>IF(NFI_Expiration=1,IF($A936&lt;VLOOKUP(S$5,NFI,5,0),1,0)*Table_NFI[[#This Row],[Winter Clothes Children]],Table_NFI[Winter Clothes Children])</f>
        <v>0</v>
      </c>
      <c r="AK936" s="436">
        <f>IF(NFI_Expiration=1,IF($A936&lt;VLOOKUP(T$5,NFI,5,0),1,0)*Table_NFI[[#This Row],[Winter Items Other]],Table_NFI[Winter Items Other])</f>
        <v>0</v>
      </c>
      <c r="AL936" s="436">
        <f>IF(NFI_Expiration=1,IF($A936&lt;VLOOKUP(M$5,NFI,5,0),1,0)*Table_NFI[[#This Row],[Winter Blanket]],Table_NFI[[#This Row],[Winter Blanket]])</f>
        <v>0</v>
      </c>
      <c r="AM936" s="436">
        <f>IF(Table_NFI[[#This Row],[Winter Clothes Adult]]+Table_NFI[[#This Row],[Winter Clothes Children]]+Table_NFI[[#This Row],[Winter Items Other]]+Table_NFI[[#This Row],[Winter Blanket]]&gt;0,1,0)</f>
        <v>0</v>
      </c>
      <c r="AN936" s="439">
        <f>IF(NFI_Expiration=1,IF($A936&lt;VLOOKUP(V$5,NFI,5,0),1,0)*Table_NFI[[#This Row],[Jerry Can]],Table_NFI[Jerry Can])</f>
        <v>0</v>
      </c>
      <c r="AO936" s="835" t="str">
        <f>IFERROR(VLOOKUP(Table_NFI[[#This Row],[Camp Name]],CL,2,0),"")</f>
        <v/>
      </c>
      <c r="AP936" s="836" t="str">
        <f ca="1">IF(Table_NFI[[#This Row],[Pcode]]="","",IF(OFFSET(CampList[Opening Date],MATCH(Table_NFI[[#This Row],[Pcode]],CampList[CP_Pcode],0)-1,0,1,1)&gt;=NFI_Monitor_Date,1,0))</f>
        <v/>
      </c>
      <c r="AQ936" s="835" t="str">
        <f>IFERROR(VLOOKUP(Table_NFI[[#This Row],[Camp Name]],CL,3,0),"")</f>
        <v/>
      </c>
      <c r="AR936" s="832" t="str">
        <f ca="1">IF(Table_NFI[[#This Row],[Pcode]]="","",OFFSET(CampList[Priority],MATCH(Table_NFI[[#This Row],[Pcode]],CampList[CP_Pcode],0)-1,0,1,1))</f>
        <v/>
      </c>
      <c r="AS936" s="837" t="str">
        <f>IFERROR(Table_NFI[[#This Row],[Kitchen Set]]/VLOOKUP(Table_NFI[[#This Row],[Camp Name]],CL,4,0),"")</f>
        <v/>
      </c>
      <c r="AT936" s="769" t="s">
        <v>1099</v>
      </c>
      <c r="AU936" s="838"/>
    </row>
    <row r="937" spans="1:47" s="798" customFormat="1" ht="15.75" customHeight="1" x14ac:dyDescent="0.25">
      <c r="A937" s="451" t="str">
        <f t="shared" si="14"/>
        <v/>
      </c>
      <c r="B937" s="829"/>
      <c r="C937" s="830"/>
      <c r="D937" s="830"/>
      <c r="E937" s="830"/>
      <c r="F937" s="830"/>
      <c r="G937" s="830"/>
      <c r="H937" s="831"/>
      <c r="I937" s="831"/>
      <c r="J937" s="831"/>
      <c r="K937" s="831"/>
      <c r="L937" s="831"/>
      <c r="M937" s="831"/>
      <c r="N937" s="831"/>
      <c r="O937" s="831"/>
      <c r="P937" s="832"/>
      <c r="Q937" s="832"/>
      <c r="R937" s="832"/>
      <c r="S937" s="832"/>
      <c r="T937" s="832"/>
      <c r="U937" s="832"/>
      <c r="V937" s="833"/>
      <c r="W937" s="834"/>
      <c r="X937" s="834"/>
      <c r="Y937" s="436">
        <f>IF(NFI_Expiration=1,IF($A937&lt;VLOOKUP(H$5,NFI,5,0),1,0)*Table_NFI[[#This Row],[Hygiene Kit]],Table_NFI[Hygiene Kit])</f>
        <v>0</v>
      </c>
      <c r="Z937" s="436">
        <f>IF(NFI_Expiration=1,IF($A937&lt;VLOOKUP(I$5,NFI,5,0),1,0)*Table_NFI[[#This Row],[NFI Core Kit]],Table_NFI[NFI Core Kit])</f>
        <v>0</v>
      </c>
      <c r="AA937" s="436">
        <f>IF(NFI_Expiration=1,IF($A937&lt;VLOOKUP(J$5,NFI,5,0),1,0)*Table_NFI[[#This Row],[Sanitary Kit]],Table_NFI[Sanitary Kit])</f>
        <v>0</v>
      </c>
      <c r="AB937" s="436">
        <f>IF(NFI_Expiration=1,IF($A937&lt;VLOOKUP(K$5,NFI,5,0),1,0)*Table_NFI[[#This Row],[Mosquito net]],Table_NFI[Mosquito net])</f>
        <v>0</v>
      </c>
      <c r="AC937" s="436">
        <f>IF(NFI_Expiration=1,IF($A937&lt;VLOOKUP(L$5,NFI,5,0),1,0)*Table_NFI[[#This Row],[Tarpaulin]],Table_NFI[[#This Row],[Tarpaulin]])</f>
        <v>0</v>
      </c>
      <c r="AD937" s="436">
        <f>IF(NFI_Expiration=1,IF($A937&lt;VLOOKUP(M$5,NFI,5,0),1,0)*Table_NFI[[#This Row],[Blanket]],Table_NFI[[#This Row],[Blanket]])</f>
        <v>0</v>
      </c>
      <c r="AE937" s="436">
        <f>IF(NFI_Expiration=1,IF($A937&lt;VLOOKUP(N$5,NFI,5,0),1,0)*Table_NFI[[#This Row],[Kitchen Set]],Table_NFI[Kitchen Set])</f>
        <v>0</v>
      </c>
      <c r="AF937" s="436">
        <f>IF(NFI_Expiration=1,IF($A937&lt;VLOOKUP(O$5,NFI,5,0),1,0)*Table_NFI[[#This Row],[Clothes Kit]],Table_NFI[Clothes Kit])</f>
        <v>0</v>
      </c>
      <c r="AG937" s="436">
        <f>IF(NFI_Expiration=1,IF($A937&lt;VLOOKUP(P$5,NFI,5,0),1,0)*Table_NFI[[#This Row],[Plastic Bucket]],Table_NFI[Plastic Bucket])</f>
        <v>0</v>
      </c>
      <c r="AH937" s="436">
        <f>IF(NFI_Expiration=1,IF($A937&lt;VLOOKUP(Q$5,NFI,5,0),1,0)*Table_NFI[[#This Row],[Plastic Mat]],Table_NFI[Plastic Mat])*IF(Table_NFI[[#This Row],[Distribution Date]]&gt;"2014-04-01",1,2.5)</f>
        <v>0</v>
      </c>
      <c r="AI937" s="436">
        <f>IF(NFI_Expiration=1,IF($A937&lt;VLOOKUP(R$5,NFI,5,0),1,0)*Table_NFI[[#This Row],[Winter Clothes Adult]],Table_NFI[Winter Clothes Adult])</f>
        <v>0</v>
      </c>
      <c r="AJ937" s="436">
        <f>IF(NFI_Expiration=1,IF($A937&lt;VLOOKUP(S$5,NFI,5,0),1,0)*Table_NFI[[#This Row],[Winter Clothes Children]],Table_NFI[Winter Clothes Children])</f>
        <v>0</v>
      </c>
      <c r="AK937" s="436">
        <f>IF(NFI_Expiration=1,IF($A937&lt;VLOOKUP(T$5,NFI,5,0),1,0)*Table_NFI[[#This Row],[Winter Items Other]],Table_NFI[Winter Items Other])</f>
        <v>0</v>
      </c>
      <c r="AL937" s="436">
        <f>IF(NFI_Expiration=1,IF($A937&lt;VLOOKUP(M$5,NFI,5,0),1,0)*Table_NFI[[#This Row],[Winter Blanket]],Table_NFI[[#This Row],[Winter Blanket]])</f>
        <v>0</v>
      </c>
      <c r="AM937" s="436">
        <f>IF(Table_NFI[[#This Row],[Winter Clothes Adult]]+Table_NFI[[#This Row],[Winter Clothes Children]]+Table_NFI[[#This Row],[Winter Items Other]]+Table_NFI[[#This Row],[Winter Blanket]]&gt;0,1,0)</f>
        <v>0</v>
      </c>
      <c r="AN937" s="439">
        <f>IF(NFI_Expiration=1,IF($A937&lt;VLOOKUP(V$5,NFI,5,0),1,0)*Table_NFI[[#This Row],[Jerry Can]],Table_NFI[Jerry Can])</f>
        <v>0</v>
      </c>
      <c r="AO937" s="835" t="str">
        <f>IFERROR(VLOOKUP(Table_NFI[[#This Row],[Camp Name]],CL,2,0),"")</f>
        <v/>
      </c>
      <c r="AP937" s="836" t="str">
        <f ca="1">IF(Table_NFI[[#This Row],[Pcode]]="","",IF(OFFSET(CampList[Opening Date],MATCH(Table_NFI[[#This Row],[Pcode]],CampList[CP_Pcode],0)-1,0,1,1)&gt;=NFI_Monitor_Date,1,0))</f>
        <v/>
      </c>
      <c r="AQ937" s="835" t="str">
        <f>IFERROR(VLOOKUP(Table_NFI[[#This Row],[Camp Name]],CL,3,0),"")</f>
        <v/>
      </c>
      <c r="AR937" s="832" t="str">
        <f ca="1">IF(Table_NFI[[#This Row],[Pcode]]="","",OFFSET(CampList[Priority],MATCH(Table_NFI[[#This Row],[Pcode]],CampList[CP_Pcode],0)-1,0,1,1))</f>
        <v/>
      </c>
      <c r="AS937" s="837" t="str">
        <f>IFERROR(Table_NFI[[#This Row],[Kitchen Set]]/VLOOKUP(Table_NFI[[#This Row],[Camp Name]],CL,4,0),"")</f>
        <v/>
      </c>
      <c r="AT937" s="769" t="s">
        <v>1099</v>
      </c>
      <c r="AU937" s="838"/>
    </row>
    <row r="938" spans="1:47" s="798" customFormat="1" ht="15.75" customHeight="1" x14ac:dyDescent="0.25">
      <c r="A938" s="451" t="str">
        <f t="shared" si="14"/>
        <v/>
      </c>
      <c r="B938" s="829"/>
      <c r="C938" s="830"/>
      <c r="D938" s="830"/>
      <c r="E938" s="830"/>
      <c r="F938" s="830"/>
      <c r="G938" s="830"/>
      <c r="H938" s="831"/>
      <c r="I938" s="831"/>
      <c r="J938" s="831"/>
      <c r="K938" s="831"/>
      <c r="L938" s="831"/>
      <c r="M938" s="831"/>
      <c r="N938" s="831"/>
      <c r="O938" s="831"/>
      <c r="P938" s="832"/>
      <c r="Q938" s="832"/>
      <c r="R938" s="832"/>
      <c r="S938" s="832"/>
      <c r="T938" s="832"/>
      <c r="U938" s="832"/>
      <c r="V938" s="833"/>
      <c r="W938" s="834"/>
      <c r="X938" s="834"/>
      <c r="Y938" s="436">
        <f>IF(NFI_Expiration=1,IF($A938&lt;VLOOKUP(H$5,NFI,5,0),1,0)*Table_NFI[[#This Row],[Hygiene Kit]],Table_NFI[Hygiene Kit])</f>
        <v>0</v>
      </c>
      <c r="Z938" s="436">
        <f>IF(NFI_Expiration=1,IF($A938&lt;VLOOKUP(I$5,NFI,5,0),1,0)*Table_NFI[[#This Row],[NFI Core Kit]],Table_NFI[NFI Core Kit])</f>
        <v>0</v>
      </c>
      <c r="AA938" s="436">
        <f>IF(NFI_Expiration=1,IF($A938&lt;VLOOKUP(J$5,NFI,5,0),1,0)*Table_NFI[[#This Row],[Sanitary Kit]],Table_NFI[Sanitary Kit])</f>
        <v>0</v>
      </c>
      <c r="AB938" s="436">
        <f>IF(NFI_Expiration=1,IF($A938&lt;VLOOKUP(K$5,NFI,5,0),1,0)*Table_NFI[[#This Row],[Mosquito net]],Table_NFI[Mosquito net])</f>
        <v>0</v>
      </c>
      <c r="AC938" s="436">
        <f>IF(NFI_Expiration=1,IF($A938&lt;VLOOKUP(L$5,NFI,5,0),1,0)*Table_NFI[[#This Row],[Tarpaulin]],Table_NFI[[#This Row],[Tarpaulin]])</f>
        <v>0</v>
      </c>
      <c r="AD938" s="436">
        <f>IF(NFI_Expiration=1,IF($A938&lt;VLOOKUP(M$5,NFI,5,0),1,0)*Table_NFI[[#This Row],[Blanket]],Table_NFI[[#This Row],[Blanket]])</f>
        <v>0</v>
      </c>
      <c r="AE938" s="436">
        <f>IF(NFI_Expiration=1,IF($A938&lt;VLOOKUP(N$5,NFI,5,0),1,0)*Table_NFI[[#This Row],[Kitchen Set]],Table_NFI[Kitchen Set])</f>
        <v>0</v>
      </c>
      <c r="AF938" s="436">
        <f>IF(NFI_Expiration=1,IF($A938&lt;VLOOKUP(O$5,NFI,5,0),1,0)*Table_NFI[[#This Row],[Clothes Kit]],Table_NFI[Clothes Kit])</f>
        <v>0</v>
      </c>
      <c r="AG938" s="436">
        <f>IF(NFI_Expiration=1,IF($A938&lt;VLOOKUP(P$5,NFI,5,0),1,0)*Table_NFI[[#This Row],[Plastic Bucket]],Table_NFI[Plastic Bucket])</f>
        <v>0</v>
      </c>
      <c r="AH938" s="436">
        <f>IF(NFI_Expiration=1,IF($A938&lt;VLOOKUP(Q$5,NFI,5,0),1,0)*Table_NFI[[#This Row],[Plastic Mat]],Table_NFI[Plastic Mat])*IF(Table_NFI[[#This Row],[Distribution Date]]&gt;"2014-04-01",1,2.5)</f>
        <v>0</v>
      </c>
      <c r="AI938" s="436">
        <f>IF(NFI_Expiration=1,IF($A938&lt;VLOOKUP(R$5,NFI,5,0),1,0)*Table_NFI[[#This Row],[Winter Clothes Adult]],Table_NFI[Winter Clothes Adult])</f>
        <v>0</v>
      </c>
      <c r="AJ938" s="436">
        <f>IF(NFI_Expiration=1,IF($A938&lt;VLOOKUP(S$5,NFI,5,0),1,0)*Table_NFI[[#This Row],[Winter Clothes Children]],Table_NFI[Winter Clothes Children])</f>
        <v>0</v>
      </c>
      <c r="AK938" s="436">
        <f>IF(NFI_Expiration=1,IF($A938&lt;VLOOKUP(T$5,NFI,5,0),1,0)*Table_NFI[[#This Row],[Winter Items Other]],Table_NFI[Winter Items Other])</f>
        <v>0</v>
      </c>
      <c r="AL938" s="436">
        <f>IF(NFI_Expiration=1,IF($A938&lt;VLOOKUP(M$5,NFI,5,0),1,0)*Table_NFI[[#This Row],[Winter Blanket]],Table_NFI[[#This Row],[Winter Blanket]])</f>
        <v>0</v>
      </c>
      <c r="AM938" s="436">
        <f>IF(Table_NFI[[#This Row],[Winter Clothes Adult]]+Table_NFI[[#This Row],[Winter Clothes Children]]+Table_NFI[[#This Row],[Winter Items Other]]+Table_NFI[[#This Row],[Winter Blanket]]&gt;0,1,0)</f>
        <v>0</v>
      </c>
      <c r="AN938" s="439">
        <f>IF(NFI_Expiration=1,IF($A938&lt;VLOOKUP(V$5,NFI,5,0),1,0)*Table_NFI[[#This Row],[Jerry Can]],Table_NFI[Jerry Can])</f>
        <v>0</v>
      </c>
      <c r="AO938" s="835" t="str">
        <f>IFERROR(VLOOKUP(Table_NFI[[#This Row],[Camp Name]],CL,2,0),"")</f>
        <v/>
      </c>
      <c r="AP938" s="836" t="str">
        <f ca="1">IF(Table_NFI[[#This Row],[Pcode]]="","",IF(OFFSET(CampList[Opening Date],MATCH(Table_NFI[[#This Row],[Pcode]],CampList[CP_Pcode],0)-1,0,1,1)&gt;=NFI_Monitor_Date,1,0))</f>
        <v/>
      </c>
      <c r="AQ938" s="835" t="str">
        <f>IFERROR(VLOOKUP(Table_NFI[[#This Row],[Camp Name]],CL,3,0),"")</f>
        <v/>
      </c>
      <c r="AR938" s="832" t="str">
        <f ca="1">IF(Table_NFI[[#This Row],[Pcode]]="","",OFFSET(CampList[Priority],MATCH(Table_NFI[[#This Row],[Pcode]],CampList[CP_Pcode],0)-1,0,1,1))</f>
        <v/>
      </c>
      <c r="AS938" s="837" t="str">
        <f>IFERROR(Table_NFI[[#This Row],[Kitchen Set]]/VLOOKUP(Table_NFI[[#This Row],[Camp Name]],CL,4,0),"")</f>
        <v/>
      </c>
      <c r="AT938" s="769" t="s">
        <v>1099</v>
      </c>
      <c r="AU938" s="838"/>
    </row>
    <row r="939" spans="1:47" s="798" customFormat="1" ht="15.75" customHeight="1" x14ac:dyDescent="0.25">
      <c r="A939" s="451" t="str">
        <f t="shared" si="14"/>
        <v/>
      </c>
      <c r="B939" s="829"/>
      <c r="C939" s="830"/>
      <c r="D939" s="830"/>
      <c r="E939" s="830"/>
      <c r="F939" s="830"/>
      <c r="G939" s="830"/>
      <c r="H939" s="831"/>
      <c r="I939" s="831"/>
      <c r="J939" s="831"/>
      <c r="K939" s="831"/>
      <c r="L939" s="831"/>
      <c r="M939" s="831"/>
      <c r="N939" s="831"/>
      <c r="O939" s="831"/>
      <c r="P939" s="832"/>
      <c r="Q939" s="832"/>
      <c r="R939" s="832"/>
      <c r="S939" s="832"/>
      <c r="T939" s="832"/>
      <c r="U939" s="832"/>
      <c r="V939" s="833"/>
      <c r="W939" s="834"/>
      <c r="X939" s="834"/>
      <c r="Y939" s="436">
        <f>IF(NFI_Expiration=1,IF($A939&lt;VLOOKUP(H$5,NFI,5,0),1,0)*Table_NFI[[#This Row],[Hygiene Kit]],Table_NFI[Hygiene Kit])</f>
        <v>0</v>
      </c>
      <c r="Z939" s="436">
        <f>IF(NFI_Expiration=1,IF($A939&lt;VLOOKUP(I$5,NFI,5,0),1,0)*Table_NFI[[#This Row],[NFI Core Kit]],Table_NFI[NFI Core Kit])</f>
        <v>0</v>
      </c>
      <c r="AA939" s="436">
        <f>IF(NFI_Expiration=1,IF($A939&lt;VLOOKUP(J$5,NFI,5,0),1,0)*Table_NFI[[#This Row],[Sanitary Kit]],Table_NFI[Sanitary Kit])</f>
        <v>0</v>
      </c>
      <c r="AB939" s="436">
        <f>IF(NFI_Expiration=1,IF($A939&lt;VLOOKUP(K$5,NFI,5,0),1,0)*Table_NFI[[#This Row],[Mosquito net]],Table_NFI[Mosquito net])</f>
        <v>0</v>
      </c>
      <c r="AC939" s="436">
        <f>IF(NFI_Expiration=1,IF($A939&lt;VLOOKUP(L$5,NFI,5,0),1,0)*Table_NFI[[#This Row],[Tarpaulin]],Table_NFI[[#This Row],[Tarpaulin]])</f>
        <v>0</v>
      </c>
      <c r="AD939" s="436">
        <f>IF(NFI_Expiration=1,IF($A939&lt;VLOOKUP(M$5,NFI,5,0),1,0)*Table_NFI[[#This Row],[Blanket]],Table_NFI[[#This Row],[Blanket]])</f>
        <v>0</v>
      </c>
      <c r="AE939" s="436">
        <f>IF(NFI_Expiration=1,IF($A939&lt;VLOOKUP(N$5,NFI,5,0),1,0)*Table_NFI[[#This Row],[Kitchen Set]],Table_NFI[Kitchen Set])</f>
        <v>0</v>
      </c>
      <c r="AF939" s="436">
        <f>IF(NFI_Expiration=1,IF($A939&lt;VLOOKUP(O$5,NFI,5,0),1,0)*Table_NFI[[#This Row],[Clothes Kit]],Table_NFI[Clothes Kit])</f>
        <v>0</v>
      </c>
      <c r="AG939" s="436">
        <f>IF(NFI_Expiration=1,IF($A939&lt;VLOOKUP(P$5,NFI,5,0),1,0)*Table_NFI[[#This Row],[Plastic Bucket]],Table_NFI[Plastic Bucket])</f>
        <v>0</v>
      </c>
      <c r="AH939" s="436">
        <f>IF(NFI_Expiration=1,IF($A939&lt;VLOOKUP(Q$5,NFI,5,0),1,0)*Table_NFI[[#This Row],[Plastic Mat]],Table_NFI[Plastic Mat])*IF(Table_NFI[[#This Row],[Distribution Date]]&gt;"2014-04-01",1,2.5)</f>
        <v>0</v>
      </c>
      <c r="AI939" s="436">
        <f>IF(NFI_Expiration=1,IF($A939&lt;VLOOKUP(R$5,NFI,5,0),1,0)*Table_NFI[[#This Row],[Winter Clothes Adult]],Table_NFI[Winter Clothes Adult])</f>
        <v>0</v>
      </c>
      <c r="AJ939" s="436">
        <f>IF(NFI_Expiration=1,IF($A939&lt;VLOOKUP(S$5,NFI,5,0),1,0)*Table_NFI[[#This Row],[Winter Clothes Children]],Table_NFI[Winter Clothes Children])</f>
        <v>0</v>
      </c>
      <c r="AK939" s="436">
        <f>IF(NFI_Expiration=1,IF($A939&lt;VLOOKUP(T$5,NFI,5,0),1,0)*Table_NFI[[#This Row],[Winter Items Other]],Table_NFI[Winter Items Other])</f>
        <v>0</v>
      </c>
      <c r="AL939" s="436">
        <f>IF(NFI_Expiration=1,IF($A939&lt;VLOOKUP(M$5,NFI,5,0),1,0)*Table_NFI[[#This Row],[Winter Blanket]],Table_NFI[[#This Row],[Winter Blanket]])</f>
        <v>0</v>
      </c>
      <c r="AM939" s="436">
        <f>IF(Table_NFI[[#This Row],[Winter Clothes Adult]]+Table_NFI[[#This Row],[Winter Clothes Children]]+Table_NFI[[#This Row],[Winter Items Other]]+Table_NFI[[#This Row],[Winter Blanket]]&gt;0,1,0)</f>
        <v>0</v>
      </c>
      <c r="AN939" s="439">
        <f>IF(NFI_Expiration=1,IF($A939&lt;VLOOKUP(V$5,NFI,5,0),1,0)*Table_NFI[[#This Row],[Jerry Can]],Table_NFI[Jerry Can])</f>
        <v>0</v>
      </c>
      <c r="AO939" s="835" t="str">
        <f>IFERROR(VLOOKUP(Table_NFI[[#This Row],[Camp Name]],CL,2,0),"")</f>
        <v/>
      </c>
      <c r="AP939" s="836" t="str">
        <f ca="1">IF(Table_NFI[[#This Row],[Pcode]]="","",IF(OFFSET(CampList[Opening Date],MATCH(Table_NFI[[#This Row],[Pcode]],CampList[CP_Pcode],0)-1,0,1,1)&gt;=NFI_Monitor_Date,1,0))</f>
        <v/>
      </c>
      <c r="AQ939" s="835" t="str">
        <f>IFERROR(VLOOKUP(Table_NFI[[#This Row],[Camp Name]],CL,3,0),"")</f>
        <v/>
      </c>
      <c r="AR939" s="832" t="str">
        <f ca="1">IF(Table_NFI[[#This Row],[Pcode]]="","",OFFSET(CampList[Priority],MATCH(Table_NFI[[#This Row],[Pcode]],CampList[CP_Pcode],0)-1,0,1,1))</f>
        <v/>
      </c>
      <c r="AS939" s="837" t="str">
        <f>IFERROR(Table_NFI[[#This Row],[Kitchen Set]]/VLOOKUP(Table_NFI[[#This Row],[Camp Name]],CL,4,0),"")</f>
        <v/>
      </c>
      <c r="AT939" s="769" t="s">
        <v>1099</v>
      </c>
      <c r="AU939" s="838"/>
    </row>
    <row r="940" spans="1:47" s="798" customFormat="1" ht="15.75" customHeight="1" x14ac:dyDescent="0.25">
      <c r="A940" s="451" t="str">
        <f t="shared" si="14"/>
        <v/>
      </c>
      <c r="B940" s="829"/>
      <c r="C940" s="830"/>
      <c r="D940" s="830"/>
      <c r="E940" s="830"/>
      <c r="F940" s="830"/>
      <c r="G940" s="830"/>
      <c r="H940" s="831"/>
      <c r="I940" s="831"/>
      <c r="J940" s="831"/>
      <c r="K940" s="831"/>
      <c r="L940" s="831"/>
      <c r="M940" s="831"/>
      <c r="N940" s="831"/>
      <c r="O940" s="831"/>
      <c r="P940" s="832"/>
      <c r="Q940" s="832"/>
      <c r="R940" s="832"/>
      <c r="S940" s="832"/>
      <c r="T940" s="832"/>
      <c r="U940" s="832"/>
      <c r="V940" s="833"/>
      <c r="W940" s="834"/>
      <c r="X940" s="834"/>
      <c r="Y940" s="436">
        <f>IF(NFI_Expiration=1,IF($A940&lt;VLOOKUP(H$5,NFI,5,0),1,0)*Table_NFI[[#This Row],[Hygiene Kit]],Table_NFI[Hygiene Kit])</f>
        <v>0</v>
      </c>
      <c r="Z940" s="436">
        <f>IF(NFI_Expiration=1,IF($A940&lt;VLOOKUP(I$5,NFI,5,0),1,0)*Table_NFI[[#This Row],[NFI Core Kit]],Table_NFI[NFI Core Kit])</f>
        <v>0</v>
      </c>
      <c r="AA940" s="436">
        <f>IF(NFI_Expiration=1,IF($A940&lt;VLOOKUP(J$5,NFI,5,0),1,0)*Table_NFI[[#This Row],[Sanitary Kit]],Table_NFI[Sanitary Kit])</f>
        <v>0</v>
      </c>
      <c r="AB940" s="436">
        <f>IF(NFI_Expiration=1,IF($A940&lt;VLOOKUP(K$5,NFI,5,0),1,0)*Table_NFI[[#This Row],[Mosquito net]],Table_NFI[Mosquito net])</f>
        <v>0</v>
      </c>
      <c r="AC940" s="436">
        <f>IF(NFI_Expiration=1,IF($A940&lt;VLOOKUP(L$5,NFI,5,0),1,0)*Table_NFI[[#This Row],[Tarpaulin]],Table_NFI[[#This Row],[Tarpaulin]])</f>
        <v>0</v>
      </c>
      <c r="AD940" s="436">
        <f>IF(NFI_Expiration=1,IF($A940&lt;VLOOKUP(M$5,NFI,5,0),1,0)*Table_NFI[[#This Row],[Blanket]],Table_NFI[[#This Row],[Blanket]])</f>
        <v>0</v>
      </c>
      <c r="AE940" s="436">
        <f>IF(NFI_Expiration=1,IF($A940&lt;VLOOKUP(N$5,NFI,5,0),1,0)*Table_NFI[[#This Row],[Kitchen Set]],Table_NFI[Kitchen Set])</f>
        <v>0</v>
      </c>
      <c r="AF940" s="436">
        <f>IF(NFI_Expiration=1,IF($A940&lt;VLOOKUP(O$5,NFI,5,0),1,0)*Table_NFI[[#This Row],[Clothes Kit]],Table_NFI[Clothes Kit])</f>
        <v>0</v>
      </c>
      <c r="AG940" s="436">
        <f>IF(NFI_Expiration=1,IF($A940&lt;VLOOKUP(P$5,NFI,5,0),1,0)*Table_NFI[[#This Row],[Plastic Bucket]],Table_NFI[Plastic Bucket])</f>
        <v>0</v>
      </c>
      <c r="AH940" s="436">
        <f>IF(NFI_Expiration=1,IF($A940&lt;VLOOKUP(Q$5,NFI,5,0),1,0)*Table_NFI[[#This Row],[Plastic Mat]],Table_NFI[Plastic Mat])*IF(Table_NFI[[#This Row],[Distribution Date]]&gt;"2014-04-01",1,2.5)</f>
        <v>0</v>
      </c>
      <c r="AI940" s="436">
        <f>IF(NFI_Expiration=1,IF($A940&lt;VLOOKUP(R$5,NFI,5,0),1,0)*Table_NFI[[#This Row],[Winter Clothes Adult]],Table_NFI[Winter Clothes Adult])</f>
        <v>0</v>
      </c>
      <c r="AJ940" s="436">
        <f>IF(NFI_Expiration=1,IF($A940&lt;VLOOKUP(S$5,NFI,5,0),1,0)*Table_NFI[[#This Row],[Winter Clothes Children]],Table_NFI[Winter Clothes Children])</f>
        <v>0</v>
      </c>
      <c r="AK940" s="436">
        <f>IF(NFI_Expiration=1,IF($A940&lt;VLOOKUP(T$5,NFI,5,0),1,0)*Table_NFI[[#This Row],[Winter Items Other]],Table_NFI[Winter Items Other])</f>
        <v>0</v>
      </c>
      <c r="AL940" s="436">
        <f>IF(NFI_Expiration=1,IF($A940&lt;VLOOKUP(M$5,NFI,5,0),1,0)*Table_NFI[[#This Row],[Winter Blanket]],Table_NFI[[#This Row],[Winter Blanket]])</f>
        <v>0</v>
      </c>
      <c r="AM940" s="436">
        <f>IF(Table_NFI[[#This Row],[Winter Clothes Adult]]+Table_NFI[[#This Row],[Winter Clothes Children]]+Table_NFI[[#This Row],[Winter Items Other]]+Table_NFI[[#This Row],[Winter Blanket]]&gt;0,1,0)</f>
        <v>0</v>
      </c>
      <c r="AN940" s="439">
        <f>IF(NFI_Expiration=1,IF($A940&lt;VLOOKUP(V$5,NFI,5,0),1,0)*Table_NFI[[#This Row],[Jerry Can]],Table_NFI[Jerry Can])</f>
        <v>0</v>
      </c>
      <c r="AO940" s="835" t="str">
        <f>IFERROR(VLOOKUP(Table_NFI[[#This Row],[Camp Name]],CL,2,0),"")</f>
        <v/>
      </c>
      <c r="AP940" s="836" t="str">
        <f ca="1">IF(Table_NFI[[#This Row],[Pcode]]="","",IF(OFFSET(CampList[Opening Date],MATCH(Table_NFI[[#This Row],[Pcode]],CampList[CP_Pcode],0)-1,0,1,1)&gt;=NFI_Monitor_Date,1,0))</f>
        <v/>
      </c>
      <c r="AQ940" s="835" t="str">
        <f>IFERROR(VLOOKUP(Table_NFI[[#This Row],[Camp Name]],CL,3,0),"")</f>
        <v/>
      </c>
      <c r="AR940" s="832" t="str">
        <f ca="1">IF(Table_NFI[[#This Row],[Pcode]]="","",OFFSET(CampList[Priority],MATCH(Table_NFI[[#This Row],[Pcode]],CampList[CP_Pcode],0)-1,0,1,1))</f>
        <v/>
      </c>
      <c r="AS940" s="837" t="str">
        <f>IFERROR(Table_NFI[[#This Row],[Kitchen Set]]/VLOOKUP(Table_NFI[[#This Row],[Camp Name]],CL,4,0),"")</f>
        <v/>
      </c>
      <c r="AT940" s="769" t="s">
        <v>1099</v>
      </c>
      <c r="AU940" s="838"/>
    </row>
    <row r="941" spans="1:47" s="798" customFormat="1" x14ac:dyDescent="0.25">
      <c r="A941" s="451" t="str">
        <f t="shared" si="14"/>
        <v/>
      </c>
      <c r="B941" s="829"/>
      <c r="C941" s="830"/>
      <c r="D941" s="830"/>
      <c r="E941" s="830"/>
      <c r="F941" s="830"/>
      <c r="G941" s="830"/>
      <c r="H941" s="831"/>
      <c r="I941" s="831"/>
      <c r="J941" s="831"/>
      <c r="K941" s="831"/>
      <c r="L941" s="831"/>
      <c r="M941" s="831"/>
      <c r="N941" s="831"/>
      <c r="O941" s="831"/>
      <c r="P941" s="832"/>
      <c r="Q941" s="832"/>
      <c r="R941" s="832"/>
      <c r="S941" s="832"/>
      <c r="T941" s="832"/>
      <c r="U941" s="832"/>
      <c r="V941" s="833"/>
      <c r="W941" s="834"/>
      <c r="X941" s="834"/>
      <c r="Y941" s="436">
        <f>IF(NFI_Expiration=1,IF($A941&lt;VLOOKUP(H$5,NFI,5,0),1,0)*Table_NFI[[#This Row],[Hygiene Kit]],Table_NFI[Hygiene Kit])</f>
        <v>0</v>
      </c>
      <c r="Z941" s="436">
        <f>IF(NFI_Expiration=1,IF($A941&lt;VLOOKUP(I$5,NFI,5,0),1,0)*Table_NFI[[#This Row],[NFI Core Kit]],Table_NFI[NFI Core Kit])</f>
        <v>0</v>
      </c>
      <c r="AA941" s="436">
        <f>IF(NFI_Expiration=1,IF($A941&lt;VLOOKUP(J$5,NFI,5,0),1,0)*Table_NFI[[#This Row],[Sanitary Kit]],Table_NFI[Sanitary Kit])</f>
        <v>0</v>
      </c>
      <c r="AB941" s="436">
        <f>IF(NFI_Expiration=1,IF($A941&lt;VLOOKUP(K$5,NFI,5,0),1,0)*Table_NFI[[#This Row],[Mosquito net]],Table_NFI[Mosquito net])</f>
        <v>0</v>
      </c>
      <c r="AC941" s="436">
        <f>IF(NFI_Expiration=1,IF($A941&lt;VLOOKUP(L$5,NFI,5,0),1,0)*Table_NFI[[#This Row],[Tarpaulin]],Table_NFI[[#This Row],[Tarpaulin]])</f>
        <v>0</v>
      </c>
      <c r="AD941" s="436">
        <f>IF(NFI_Expiration=1,IF($A941&lt;VLOOKUP(M$5,NFI,5,0),1,0)*Table_NFI[[#This Row],[Blanket]],Table_NFI[[#This Row],[Blanket]])</f>
        <v>0</v>
      </c>
      <c r="AE941" s="436">
        <f>IF(NFI_Expiration=1,IF($A941&lt;VLOOKUP(N$5,NFI,5,0),1,0)*Table_NFI[[#This Row],[Kitchen Set]],Table_NFI[Kitchen Set])</f>
        <v>0</v>
      </c>
      <c r="AF941" s="436">
        <f>IF(NFI_Expiration=1,IF($A941&lt;VLOOKUP(O$5,NFI,5,0),1,0)*Table_NFI[[#This Row],[Clothes Kit]],Table_NFI[Clothes Kit])</f>
        <v>0</v>
      </c>
      <c r="AG941" s="436">
        <f>IF(NFI_Expiration=1,IF($A941&lt;VLOOKUP(P$5,NFI,5,0),1,0)*Table_NFI[[#This Row],[Plastic Bucket]],Table_NFI[Plastic Bucket])</f>
        <v>0</v>
      </c>
      <c r="AH941" s="436">
        <f>IF(NFI_Expiration=1,IF($A941&lt;VLOOKUP(Q$5,NFI,5,0),1,0)*Table_NFI[[#This Row],[Plastic Mat]],Table_NFI[Plastic Mat])*IF(Table_NFI[[#This Row],[Distribution Date]]&gt;"2014-04-01",1,2.5)</f>
        <v>0</v>
      </c>
      <c r="AI941" s="436">
        <f>IF(NFI_Expiration=1,IF($A941&lt;VLOOKUP(R$5,NFI,5,0),1,0)*Table_NFI[[#This Row],[Winter Clothes Adult]],Table_NFI[Winter Clothes Adult])</f>
        <v>0</v>
      </c>
      <c r="AJ941" s="436">
        <f>IF(NFI_Expiration=1,IF($A941&lt;VLOOKUP(S$5,NFI,5,0),1,0)*Table_NFI[[#This Row],[Winter Clothes Children]],Table_NFI[Winter Clothes Children])</f>
        <v>0</v>
      </c>
      <c r="AK941" s="436">
        <f>IF(NFI_Expiration=1,IF($A941&lt;VLOOKUP(T$5,NFI,5,0),1,0)*Table_NFI[[#This Row],[Winter Items Other]],Table_NFI[Winter Items Other])</f>
        <v>0</v>
      </c>
      <c r="AL941" s="436">
        <f>IF(NFI_Expiration=1,IF($A941&lt;VLOOKUP(M$5,NFI,5,0),1,0)*Table_NFI[[#This Row],[Winter Blanket]],Table_NFI[[#This Row],[Winter Blanket]])</f>
        <v>0</v>
      </c>
      <c r="AM941" s="436">
        <f>IF(Table_NFI[[#This Row],[Winter Clothes Adult]]+Table_NFI[[#This Row],[Winter Clothes Children]]+Table_NFI[[#This Row],[Winter Items Other]]+Table_NFI[[#This Row],[Winter Blanket]]&gt;0,1,0)</f>
        <v>0</v>
      </c>
      <c r="AN941" s="439">
        <f>IF(NFI_Expiration=1,IF($A941&lt;VLOOKUP(V$5,NFI,5,0),1,0)*Table_NFI[[#This Row],[Jerry Can]],Table_NFI[Jerry Can])</f>
        <v>0</v>
      </c>
      <c r="AO941" s="835" t="str">
        <f>IFERROR(VLOOKUP(Table_NFI[[#This Row],[Camp Name]],CL,2,0),"")</f>
        <v/>
      </c>
      <c r="AP941" s="836" t="str">
        <f ca="1">IF(Table_NFI[[#This Row],[Pcode]]="","",IF(OFFSET(CampList[Opening Date],MATCH(Table_NFI[[#This Row],[Pcode]],CampList[CP_Pcode],0)-1,0,1,1)&gt;=NFI_Monitor_Date,1,0))</f>
        <v/>
      </c>
      <c r="AQ941" s="835" t="str">
        <f>IFERROR(VLOOKUP(Table_NFI[[#This Row],[Camp Name]],CL,3,0),"")</f>
        <v/>
      </c>
      <c r="AR941" s="832" t="str">
        <f ca="1">IF(Table_NFI[[#This Row],[Pcode]]="","",OFFSET(CampList[Priority],MATCH(Table_NFI[[#This Row],[Pcode]],CampList[CP_Pcode],0)-1,0,1,1))</f>
        <v/>
      </c>
      <c r="AS941" s="837" t="str">
        <f>IFERROR(Table_NFI[[#This Row],[Kitchen Set]]/VLOOKUP(Table_NFI[[#This Row],[Camp Name]],CL,4,0),"")</f>
        <v/>
      </c>
      <c r="AT941" s="769" t="s">
        <v>1099</v>
      </c>
      <c r="AU941" s="838"/>
    </row>
    <row r="942" spans="1:47" s="798" customFormat="1" ht="15.75" customHeight="1" x14ac:dyDescent="0.25">
      <c r="A942" s="451" t="str">
        <f t="shared" si="14"/>
        <v/>
      </c>
      <c r="B942" s="829"/>
      <c r="C942" s="830"/>
      <c r="D942" s="830"/>
      <c r="E942" s="830"/>
      <c r="F942" s="830"/>
      <c r="G942" s="830"/>
      <c r="H942" s="831"/>
      <c r="I942" s="831"/>
      <c r="J942" s="831"/>
      <c r="K942" s="831"/>
      <c r="L942" s="831"/>
      <c r="M942" s="831"/>
      <c r="N942" s="831"/>
      <c r="O942" s="831"/>
      <c r="P942" s="832"/>
      <c r="Q942" s="832"/>
      <c r="R942" s="832"/>
      <c r="S942" s="832"/>
      <c r="T942" s="832"/>
      <c r="U942" s="832"/>
      <c r="V942" s="833"/>
      <c r="W942" s="834"/>
      <c r="X942" s="834"/>
      <c r="Y942" s="436">
        <f>IF(NFI_Expiration=1,IF($A942&lt;VLOOKUP(H$5,NFI,5,0),1,0)*Table_NFI[[#This Row],[Hygiene Kit]],Table_NFI[Hygiene Kit])</f>
        <v>0</v>
      </c>
      <c r="Z942" s="436">
        <f>IF(NFI_Expiration=1,IF($A942&lt;VLOOKUP(I$5,NFI,5,0),1,0)*Table_NFI[[#This Row],[NFI Core Kit]],Table_NFI[NFI Core Kit])</f>
        <v>0</v>
      </c>
      <c r="AA942" s="436">
        <f>IF(NFI_Expiration=1,IF($A942&lt;VLOOKUP(J$5,NFI,5,0),1,0)*Table_NFI[[#This Row],[Sanitary Kit]],Table_NFI[Sanitary Kit])</f>
        <v>0</v>
      </c>
      <c r="AB942" s="436">
        <f>IF(NFI_Expiration=1,IF($A942&lt;VLOOKUP(K$5,NFI,5,0),1,0)*Table_NFI[[#This Row],[Mosquito net]],Table_NFI[Mosquito net])</f>
        <v>0</v>
      </c>
      <c r="AC942" s="436">
        <f>IF(NFI_Expiration=1,IF($A942&lt;VLOOKUP(L$5,NFI,5,0),1,0)*Table_NFI[[#This Row],[Tarpaulin]],Table_NFI[[#This Row],[Tarpaulin]])</f>
        <v>0</v>
      </c>
      <c r="AD942" s="436">
        <f>IF(NFI_Expiration=1,IF($A942&lt;VLOOKUP(M$5,NFI,5,0),1,0)*Table_NFI[[#This Row],[Blanket]],Table_NFI[[#This Row],[Blanket]])</f>
        <v>0</v>
      </c>
      <c r="AE942" s="436">
        <f>IF(NFI_Expiration=1,IF($A942&lt;VLOOKUP(N$5,NFI,5,0),1,0)*Table_NFI[[#This Row],[Kitchen Set]],Table_NFI[Kitchen Set])</f>
        <v>0</v>
      </c>
      <c r="AF942" s="436">
        <f>IF(NFI_Expiration=1,IF($A942&lt;VLOOKUP(O$5,NFI,5,0),1,0)*Table_NFI[[#This Row],[Clothes Kit]],Table_NFI[Clothes Kit])</f>
        <v>0</v>
      </c>
      <c r="AG942" s="436">
        <f>IF(NFI_Expiration=1,IF($A942&lt;VLOOKUP(P$5,NFI,5,0),1,0)*Table_NFI[[#This Row],[Plastic Bucket]],Table_NFI[Plastic Bucket])</f>
        <v>0</v>
      </c>
      <c r="AH942" s="436">
        <f>IF(NFI_Expiration=1,IF($A942&lt;VLOOKUP(Q$5,NFI,5,0),1,0)*Table_NFI[[#This Row],[Plastic Mat]],Table_NFI[Plastic Mat])*IF(Table_NFI[[#This Row],[Distribution Date]]&gt;"2014-04-01",1,2.5)</f>
        <v>0</v>
      </c>
      <c r="AI942" s="436">
        <f>IF(NFI_Expiration=1,IF($A942&lt;VLOOKUP(R$5,NFI,5,0),1,0)*Table_NFI[[#This Row],[Winter Clothes Adult]],Table_NFI[Winter Clothes Adult])</f>
        <v>0</v>
      </c>
      <c r="AJ942" s="436">
        <f>IF(NFI_Expiration=1,IF($A942&lt;VLOOKUP(S$5,NFI,5,0),1,0)*Table_NFI[[#This Row],[Winter Clothes Children]],Table_NFI[Winter Clothes Children])</f>
        <v>0</v>
      </c>
      <c r="AK942" s="436">
        <f>IF(NFI_Expiration=1,IF($A942&lt;VLOOKUP(T$5,NFI,5,0),1,0)*Table_NFI[[#This Row],[Winter Items Other]],Table_NFI[Winter Items Other])</f>
        <v>0</v>
      </c>
      <c r="AL942" s="436">
        <f>IF(NFI_Expiration=1,IF($A942&lt;VLOOKUP(M$5,NFI,5,0),1,0)*Table_NFI[[#This Row],[Winter Blanket]],Table_NFI[[#This Row],[Winter Blanket]])</f>
        <v>0</v>
      </c>
      <c r="AM942" s="436">
        <f>IF(Table_NFI[[#This Row],[Winter Clothes Adult]]+Table_NFI[[#This Row],[Winter Clothes Children]]+Table_NFI[[#This Row],[Winter Items Other]]+Table_NFI[[#This Row],[Winter Blanket]]&gt;0,1,0)</f>
        <v>0</v>
      </c>
      <c r="AN942" s="439">
        <f>IF(NFI_Expiration=1,IF($A942&lt;VLOOKUP(V$5,NFI,5,0),1,0)*Table_NFI[[#This Row],[Jerry Can]],Table_NFI[Jerry Can])</f>
        <v>0</v>
      </c>
      <c r="AO942" s="835" t="str">
        <f>IFERROR(VLOOKUP(Table_NFI[[#This Row],[Camp Name]],CL,2,0),"")</f>
        <v/>
      </c>
      <c r="AP942" s="836" t="str">
        <f ca="1">IF(Table_NFI[[#This Row],[Pcode]]="","",IF(OFFSET(CampList[Opening Date],MATCH(Table_NFI[[#This Row],[Pcode]],CampList[CP_Pcode],0)-1,0,1,1)&gt;=NFI_Monitor_Date,1,0))</f>
        <v/>
      </c>
      <c r="AQ942" s="835" t="str">
        <f>IFERROR(VLOOKUP(Table_NFI[[#This Row],[Camp Name]],CL,3,0),"")</f>
        <v/>
      </c>
      <c r="AR942" s="832" t="str">
        <f ca="1">IF(Table_NFI[[#This Row],[Pcode]]="","",OFFSET(CampList[Priority],MATCH(Table_NFI[[#This Row],[Pcode]],CampList[CP_Pcode],0)-1,0,1,1))</f>
        <v/>
      </c>
      <c r="AS942" s="837" t="str">
        <f>IFERROR(Table_NFI[[#This Row],[Kitchen Set]]/VLOOKUP(Table_NFI[[#This Row],[Camp Name]],CL,4,0),"")</f>
        <v/>
      </c>
      <c r="AT942" s="769" t="s">
        <v>1099</v>
      </c>
      <c r="AU942" s="838"/>
    </row>
    <row r="943" spans="1:47" s="798" customFormat="1" ht="15.75" customHeight="1" x14ac:dyDescent="0.25">
      <c r="A943" s="451" t="str">
        <f t="shared" si="14"/>
        <v/>
      </c>
      <c r="B943" s="829"/>
      <c r="C943" s="830"/>
      <c r="D943" s="830"/>
      <c r="E943" s="830"/>
      <c r="F943" s="830"/>
      <c r="G943" s="830"/>
      <c r="H943" s="831"/>
      <c r="I943" s="831"/>
      <c r="J943" s="831"/>
      <c r="K943" s="831"/>
      <c r="L943" s="831"/>
      <c r="M943" s="831"/>
      <c r="N943" s="831"/>
      <c r="O943" s="831"/>
      <c r="P943" s="832"/>
      <c r="Q943" s="832"/>
      <c r="R943" s="832"/>
      <c r="S943" s="832"/>
      <c r="T943" s="832"/>
      <c r="U943" s="832"/>
      <c r="V943" s="833"/>
      <c r="W943" s="834"/>
      <c r="X943" s="834"/>
      <c r="Y943" s="436">
        <f>IF(NFI_Expiration=1,IF($A943&lt;VLOOKUP(H$5,NFI,5,0),1,0)*Table_NFI[[#This Row],[Hygiene Kit]],Table_NFI[Hygiene Kit])</f>
        <v>0</v>
      </c>
      <c r="Z943" s="436">
        <f>IF(NFI_Expiration=1,IF($A943&lt;VLOOKUP(I$5,NFI,5,0),1,0)*Table_NFI[[#This Row],[NFI Core Kit]],Table_NFI[NFI Core Kit])</f>
        <v>0</v>
      </c>
      <c r="AA943" s="436">
        <f>IF(NFI_Expiration=1,IF($A943&lt;VLOOKUP(J$5,NFI,5,0),1,0)*Table_NFI[[#This Row],[Sanitary Kit]],Table_NFI[Sanitary Kit])</f>
        <v>0</v>
      </c>
      <c r="AB943" s="436">
        <f>IF(NFI_Expiration=1,IF($A943&lt;VLOOKUP(K$5,NFI,5,0),1,0)*Table_NFI[[#This Row],[Mosquito net]],Table_NFI[Mosquito net])</f>
        <v>0</v>
      </c>
      <c r="AC943" s="436">
        <f>IF(NFI_Expiration=1,IF($A943&lt;VLOOKUP(L$5,NFI,5,0),1,0)*Table_NFI[[#This Row],[Tarpaulin]],Table_NFI[[#This Row],[Tarpaulin]])</f>
        <v>0</v>
      </c>
      <c r="AD943" s="436">
        <f>IF(NFI_Expiration=1,IF($A943&lt;VLOOKUP(M$5,NFI,5,0),1,0)*Table_NFI[[#This Row],[Blanket]],Table_NFI[[#This Row],[Blanket]])</f>
        <v>0</v>
      </c>
      <c r="AE943" s="436">
        <f>IF(NFI_Expiration=1,IF($A943&lt;VLOOKUP(N$5,NFI,5,0),1,0)*Table_NFI[[#This Row],[Kitchen Set]],Table_NFI[Kitchen Set])</f>
        <v>0</v>
      </c>
      <c r="AF943" s="436">
        <f>IF(NFI_Expiration=1,IF($A943&lt;VLOOKUP(O$5,NFI,5,0),1,0)*Table_NFI[[#This Row],[Clothes Kit]],Table_NFI[Clothes Kit])</f>
        <v>0</v>
      </c>
      <c r="AG943" s="436">
        <f>IF(NFI_Expiration=1,IF($A943&lt;VLOOKUP(P$5,NFI,5,0),1,0)*Table_NFI[[#This Row],[Plastic Bucket]],Table_NFI[Plastic Bucket])</f>
        <v>0</v>
      </c>
      <c r="AH943" s="436">
        <f>IF(NFI_Expiration=1,IF($A943&lt;VLOOKUP(Q$5,NFI,5,0),1,0)*Table_NFI[[#This Row],[Plastic Mat]],Table_NFI[Plastic Mat])*IF(Table_NFI[[#This Row],[Distribution Date]]&gt;"2014-04-01",1,2.5)</f>
        <v>0</v>
      </c>
      <c r="AI943" s="436">
        <f>IF(NFI_Expiration=1,IF($A943&lt;VLOOKUP(R$5,NFI,5,0),1,0)*Table_NFI[[#This Row],[Winter Clothes Adult]],Table_NFI[Winter Clothes Adult])</f>
        <v>0</v>
      </c>
      <c r="AJ943" s="436">
        <f>IF(NFI_Expiration=1,IF($A943&lt;VLOOKUP(S$5,NFI,5,0),1,0)*Table_NFI[[#This Row],[Winter Clothes Children]],Table_NFI[Winter Clothes Children])</f>
        <v>0</v>
      </c>
      <c r="AK943" s="436">
        <f>IF(NFI_Expiration=1,IF($A943&lt;VLOOKUP(T$5,NFI,5,0),1,0)*Table_NFI[[#This Row],[Winter Items Other]],Table_NFI[Winter Items Other])</f>
        <v>0</v>
      </c>
      <c r="AL943" s="436">
        <f>IF(NFI_Expiration=1,IF($A943&lt;VLOOKUP(M$5,NFI,5,0),1,0)*Table_NFI[[#This Row],[Winter Blanket]],Table_NFI[[#This Row],[Winter Blanket]])</f>
        <v>0</v>
      </c>
      <c r="AM943" s="436">
        <f>IF(Table_NFI[[#This Row],[Winter Clothes Adult]]+Table_NFI[[#This Row],[Winter Clothes Children]]+Table_NFI[[#This Row],[Winter Items Other]]+Table_NFI[[#This Row],[Winter Blanket]]&gt;0,1,0)</f>
        <v>0</v>
      </c>
      <c r="AN943" s="439">
        <f>IF(NFI_Expiration=1,IF($A943&lt;VLOOKUP(V$5,NFI,5,0),1,0)*Table_NFI[[#This Row],[Jerry Can]],Table_NFI[Jerry Can])</f>
        <v>0</v>
      </c>
      <c r="AO943" s="835" t="str">
        <f>IFERROR(VLOOKUP(Table_NFI[[#This Row],[Camp Name]],CL,2,0),"")</f>
        <v/>
      </c>
      <c r="AP943" s="836" t="str">
        <f ca="1">IF(Table_NFI[[#This Row],[Pcode]]="","",IF(OFFSET(CampList[Opening Date],MATCH(Table_NFI[[#This Row],[Pcode]],CampList[CP_Pcode],0)-1,0,1,1)&gt;=NFI_Monitor_Date,1,0))</f>
        <v/>
      </c>
      <c r="AQ943" s="835" t="str">
        <f>IFERROR(VLOOKUP(Table_NFI[[#This Row],[Camp Name]],CL,3,0),"")</f>
        <v/>
      </c>
      <c r="AR943" s="832" t="str">
        <f ca="1">IF(Table_NFI[[#This Row],[Pcode]]="","",OFFSET(CampList[Priority],MATCH(Table_NFI[[#This Row],[Pcode]],CampList[CP_Pcode],0)-1,0,1,1))</f>
        <v/>
      </c>
      <c r="AS943" s="837" t="str">
        <f>IFERROR(Table_NFI[[#This Row],[Kitchen Set]]/VLOOKUP(Table_NFI[[#This Row],[Camp Name]],CL,4,0),"")</f>
        <v/>
      </c>
      <c r="AT943" s="769" t="s">
        <v>1099</v>
      </c>
      <c r="AU943" s="838"/>
    </row>
    <row r="944" spans="1:47" s="798" customFormat="1" ht="15.75" customHeight="1" x14ac:dyDescent="0.25">
      <c r="A944" s="451" t="str">
        <f t="shared" si="14"/>
        <v/>
      </c>
      <c r="B944" s="829"/>
      <c r="C944" s="830"/>
      <c r="D944" s="830"/>
      <c r="E944" s="830"/>
      <c r="F944" s="830"/>
      <c r="G944" s="830"/>
      <c r="H944" s="831"/>
      <c r="I944" s="831"/>
      <c r="J944" s="831"/>
      <c r="K944" s="831"/>
      <c r="L944" s="831"/>
      <c r="M944" s="831"/>
      <c r="N944" s="831"/>
      <c r="O944" s="831"/>
      <c r="P944" s="832"/>
      <c r="Q944" s="832"/>
      <c r="R944" s="832"/>
      <c r="S944" s="832"/>
      <c r="T944" s="832"/>
      <c r="U944" s="832"/>
      <c r="V944" s="833"/>
      <c r="W944" s="834"/>
      <c r="X944" s="834"/>
      <c r="Y944" s="436">
        <f>IF(NFI_Expiration=1,IF($A944&lt;VLOOKUP(H$5,NFI,5,0),1,0)*Table_NFI[[#This Row],[Hygiene Kit]],Table_NFI[Hygiene Kit])</f>
        <v>0</v>
      </c>
      <c r="Z944" s="436">
        <f>IF(NFI_Expiration=1,IF($A944&lt;VLOOKUP(I$5,NFI,5,0),1,0)*Table_NFI[[#This Row],[NFI Core Kit]],Table_NFI[NFI Core Kit])</f>
        <v>0</v>
      </c>
      <c r="AA944" s="436">
        <f>IF(NFI_Expiration=1,IF($A944&lt;VLOOKUP(J$5,NFI,5,0),1,0)*Table_NFI[[#This Row],[Sanitary Kit]],Table_NFI[Sanitary Kit])</f>
        <v>0</v>
      </c>
      <c r="AB944" s="436">
        <f>IF(NFI_Expiration=1,IF($A944&lt;VLOOKUP(K$5,NFI,5,0),1,0)*Table_NFI[[#This Row],[Mosquito net]],Table_NFI[Mosquito net])</f>
        <v>0</v>
      </c>
      <c r="AC944" s="436">
        <f>IF(NFI_Expiration=1,IF($A944&lt;VLOOKUP(L$5,NFI,5,0),1,0)*Table_NFI[[#This Row],[Tarpaulin]],Table_NFI[[#This Row],[Tarpaulin]])</f>
        <v>0</v>
      </c>
      <c r="AD944" s="436">
        <f>IF(NFI_Expiration=1,IF($A944&lt;VLOOKUP(M$5,NFI,5,0),1,0)*Table_NFI[[#This Row],[Blanket]],Table_NFI[[#This Row],[Blanket]])</f>
        <v>0</v>
      </c>
      <c r="AE944" s="436">
        <f>IF(NFI_Expiration=1,IF($A944&lt;VLOOKUP(N$5,NFI,5,0),1,0)*Table_NFI[[#This Row],[Kitchen Set]],Table_NFI[Kitchen Set])</f>
        <v>0</v>
      </c>
      <c r="AF944" s="436">
        <f>IF(NFI_Expiration=1,IF($A944&lt;VLOOKUP(O$5,NFI,5,0),1,0)*Table_NFI[[#This Row],[Clothes Kit]],Table_NFI[Clothes Kit])</f>
        <v>0</v>
      </c>
      <c r="AG944" s="436">
        <f>IF(NFI_Expiration=1,IF($A944&lt;VLOOKUP(P$5,NFI,5,0),1,0)*Table_NFI[[#This Row],[Plastic Bucket]],Table_NFI[Plastic Bucket])</f>
        <v>0</v>
      </c>
      <c r="AH944" s="436">
        <f>IF(NFI_Expiration=1,IF($A944&lt;VLOOKUP(Q$5,NFI,5,0),1,0)*Table_NFI[[#This Row],[Plastic Mat]],Table_NFI[Plastic Mat])*IF(Table_NFI[[#This Row],[Distribution Date]]&gt;"2014-04-01",1,2.5)</f>
        <v>0</v>
      </c>
      <c r="AI944" s="436">
        <f>IF(NFI_Expiration=1,IF($A944&lt;VLOOKUP(R$5,NFI,5,0),1,0)*Table_NFI[[#This Row],[Winter Clothes Adult]],Table_NFI[Winter Clothes Adult])</f>
        <v>0</v>
      </c>
      <c r="AJ944" s="436">
        <f>IF(NFI_Expiration=1,IF($A944&lt;VLOOKUP(S$5,NFI,5,0),1,0)*Table_NFI[[#This Row],[Winter Clothes Children]],Table_NFI[Winter Clothes Children])</f>
        <v>0</v>
      </c>
      <c r="AK944" s="436">
        <f>IF(NFI_Expiration=1,IF($A944&lt;VLOOKUP(T$5,NFI,5,0),1,0)*Table_NFI[[#This Row],[Winter Items Other]],Table_NFI[Winter Items Other])</f>
        <v>0</v>
      </c>
      <c r="AL944" s="436">
        <f>IF(NFI_Expiration=1,IF($A944&lt;VLOOKUP(M$5,NFI,5,0),1,0)*Table_NFI[[#This Row],[Winter Blanket]],Table_NFI[[#This Row],[Winter Blanket]])</f>
        <v>0</v>
      </c>
      <c r="AM944" s="436">
        <f>IF(Table_NFI[[#This Row],[Winter Clothes Adult]]+Table_NFI[[#This Row],[Winter Clothes Children]]+Table_NFI[[#This Row],[Winter Items Other]]+Table_NFI[[#This Row],[Winter Blanket]]&gt;0,1,0)</f>
        <v>0</v>
      </c>
      <c r="AN944" s="439">
        <f>IF(NFI_Expiration=1,IF($A944&lt;VLOOKUP(V$5,NFI,5,0),1,0)*Table_NFI[[#This Row],[Jerry Can]],Table_NFI[Jerry Can])</f>
        <v>0</v>
      </c>
      <c r="AO944" s="835" t="str">
        <f>IFERROR(VLOOKUP(Table_NFI[[#This Row],[Camp Name]],CL,2,0),"")</f>
        <v/>
      </c>
      <c r="AP944" s="836" t="str">
        <f ca="1">IF(Table_NFI[[#This Row],[Pcode]]="","",IF(OFFSET(CampList[Opening Date],MATCH(Table_NFI[[#This Row],[Pcode]],CampList[CP_Pcode],0)-1,0,1,1)&gt;=NFI_Monitor_Date,1,0))</f>
        <v/>
      </c>
      <c r="AQ944" s="835" t="str">
        <f>IFERROR(VLOOKUP(Table_NFI[[#This Row],[Camp Name]],CL,3,0),"")</f>
        <v/>
      </c>
      <c r="AR944" s="832" t="str">
        <f ca="1">IF(Table_NFI[[#This Row],[Pcode]]="","",OFFSET(CampList[Priority],MATCH(Table_NFI[[#This Row],[Pcode]],CampList[CP_Pcode],0)-1,0,1,1))</f>
        <v/>
      </c>
      <c r="AS944" s="837" t="str">
        <f>IFERROR(Table_NFI[[#This Row],[Kitchen Set]]/VLOOKUP(Table_NFI[[#This Row],[Camp Name]],CL,4,0),"")</f>
        <v/>
      </c>
      <c r="AT944" s="769" t="s">
        <v>1099</v>
      </c>
      <c r="AU944" s="838"/>
    </row>
    <row r="945" spans="1:47" s="798" customFormat="1" ht="15.75" customHeight="1" x14ac:dyDescent="0.25">
      <c r="A945" s="451" t="str">
        <f t="shared" si="14"/>
        <v/>
      </c>
      <c r="B945" s="829"/>
      <c r="C945" s="830"/>
      <c r="D945" s="830"/>
      <c r="E945" s="830"/>
      <c r="F945" s="830"/>
      <c r="G945" s="830"/>
      <c r="H945" s="831"/>
      <c r="I945" s="831"/>
      <c r="J945" s="831"/>
      <c r="K945" s="831"/>
      <c r="L945" s="831"/>
      <c r="M945" s="831"/>
      <c r="N945" s="831"/>
      <c r="O945" s="831"/>
      <c r="P945" s="832"/>
      <c r="Q945" s="832"/>
      <c r="R945" s="832"/>
      <c r="S945" s="832"/>
      <c r="T945" s="832"/>
      <c r="U945" s="832"/>
      <c r="V945" s="833"/>
      <c r="W945" s="834"/>
      <c r="X945" s="834"/>
      <c r="Y945" s="436">
        <f>IF(NFI_Expiration=1,IF($A945&lt;VLOOKUP(H$5,NFI,5,0),1,0)*Table_NFI[[#This Row],[Hygiene Kit]],Table_NFI[Hygiene Kit])</f>
        <v>0</v>
      </c>
      <c r="Z945" s="436">
        <f>IF(NFI_Expiration=1,IF($A945&lt;VLOOKUP(I$5,NFI,5,0),1,0)*Table_NFI[[#This Row],[NFI Core Kit]],Table_NFI[NFI Core Kit])</f>
        <v>0</v>
      </c>
      <c r="AA945" s="436">
        <f>IF(NFI_Expiration=1,IF($A945&lt;VLOOKUP(J$5,NFI,5,0),1,0)*Table_NFI[[#This Row],[Sanitary Kit]],Table_NFI[Sanitary Kit])</f>
        <v>0</v>
      </c>
      <c r="AB945" s="436">
        <f>IF(NFI_Expiration=1,IF($A945&lt;VLOOKUP(K$5,NFI,5,0),1,0)*Table_NFI[[#This Row],[Mosquito net]],Table_NFI[Mosquito net])</f>
        <v>0</v>
      </c>
      <c r="AC945" s="436">
        <f>IF(NFI_Expiration=1,IF($A945&lt;VLOOKUP(L$5,NFI,5,0),1,0)*Table_NFI[[#This Row],[Tarpaulin]],Table_NFI[[#This Row],[Tarpaulin]])</f>
        <v>0</v>
      </c>
      <c r="AD945" s="436">
        <f>IF(NFI_Expiration=1,IF($A945&lt;VLOOKUP(M$5,NFI,5,0),1,0)*Table_NFI[[#This Row],[Blanket]],Table_NFI[[#This Row],[Blanket]])</f>
        <v>0</v>
      </c>
      <c r="AE945" s="436">
        <f>IF(NFI_Expiration=1,IF($A945&lt;VLOOKUP(N$5,NFI,5,0),1,0)*Table_NFI[[#This Row],[Kitchen Set]],Table_NFI[Kitchen Set])</f>
        <v>0</v>
      </c>
      <c r="AF945" s="436">
        <f>IF(NFI_Expiration=1,IF($A945&lt;VLOOKUP(O$5,NFI,5,0),1,0)*Table_NFI[[#This Row],[Clothes Kit]],Table_NFI[Clothes Kit])</f>
        <v>0</v>
      </c>
      <c r="AG945" s="436">
        <f>IF(NFI_Expiration=1,IF($A945&lt;VLOOKUP(P$5,NFI,5,0),1,0)*Table_NFI[[#This Row],[Plastic Bucket]],Table_NFI[Plastic Bucket])</f>
        <v>0</v>
      </c>
      <c r="AH945" s="436">
        <f>IF(NFI_Expiration=1,IF($A945&lt;VLOOKUP(Q$5,NFI,5,0),1,0)*Table_NFI[[#This Row],[Plastic Mat]],Table_NFI[Plastic Mat])*IF(Table_NFI[[#This Row],[Distribution Date]]&gt;"2014-04-01",1,2.5)</f>
        <v>0</v>
      </c>
      <c r="AI945" s="436">
        <f>IF(NFI_Expiration=1,IF($A945&lt;VLOOKUP(R$5,NFI,5,0),1,0)*Table_NFI[[#This Row],[Winter Clothes Adult]],Table_NFI[Winter Clothes Adult])</f>
        <v>0</v>
      </c>
      <c r="AJ945" s="436">
        <f>IF(NFI_Expiration=1,IF($A945&lt;VLOOKUP(S$5,NFI,5,0),1,0)*Table_NFI[[#This Row],[Winter Clothes Children]],Table_NFI[Winter Clothes Children])</f>
        <v>0</v>
      </c>
      <c r="AK945" s="436">
        <f>IF(NFI_Expiration=1,IF($A945&lt;VLOOKUP(T$5,NFI,5,0),1,0)*Table_NFI[[#This Row],[Winter Items Other]],Table_NFI[Winter Items Other])</f>
        <v>0</v>
      </c>
      <c r="AL945" s="436">
        <f>IF(NFI_Expiration=1,IF($A945&lt;VLOOKUP(M$5,NFI,5,0),1,0)*Table_NFI[[#This Row],[Winter Blanket]],Table_NFI[[#This Row],[Winter Blanket]])</f>
        <v>0</v>
      </c>
      <c r="AM945" s="436">
        <f>IF(Table_NFI[[#This Row],[Winter Clothes Adult]]+Table_NFI[[#This Row],[Winter Clothes Children]]+Table_NFI[[#This Row],[Winter Items Other]]+Table_NFI[[#This Row],[Winter Blanket]]&gt;0,1,0)</f>
        <v>0</v>
      </c>
      <c r="AN945" s="439">
        <f>IF(NFI_Expiration=1,IF($A945&lt;VLOOKUP(V$5,NFI,5,0),1,0)*Table_NFI[[#This Row],[Jerry Can]],Table_NFI[Jerry Can])</f>
        <v>0</v>
      </c>
      <c r="AO945" s="835" t="str">
        <f>IFERROR(VLOOKUP(Table_NFI[[#This Row],[Camp Name]],CL,2,0),"")</f>
        <v/>
      </c>
      <c r="AP945" s="836" t="str">
        <f ca="1">IF(Table_NFI[[#This Row],[Pcode]]="","",IF(OFFSET(CampList[Opening Date],MATCH(Table_NFI[[#This Row],[Pcode]],CampList[CP_Pcode],0)-1,0,1,1)&gt;=NFI_Monitor_Date,1,0))</f>
        <v/>
      </c>
      <c r="AQ945" s="835" t="str">
        <f>IFERROR(VLOOKUP(Table_NFI[[#This Row],[Camp Name]],CL,3,0),"")</f>
        <v/>
      </c>
      <c r="AR945" s="832" t="str">
        <f ca="1">IF(Table_NFI[[#This Row],[Pcode]]="","",OFFSET(CampList[Priority],MATCH(Table_NFI[[#This Row],[Pcode]],CampList[CP_Pcode],0)-1,0,1,1))</f>
        <v/>
      </c>
      <c r="AS945" s="837" t="str">
        <f>IFERROR(Table_NFI[[#This Row],[Kitchen Set]]/VLOOKUP(Table_NFI[[#This Row],[Camp Name]],CL,4,0),"")</f>
        <v/>
      </c>
      <c r="AT945" s="769" t="s">
        <v>1099</v>
      </c>
      <c r="AU945" s="838"/>
    </row>
    <row r="946" spans="1:47" s="798" customFormat="1" ht="15.75" customHeight="1" x14ac:dyDescent="0.25">
      <c r="A946" s="451" t="str">
        <f t="shared" si="14"/>
        <v/>
      </c>
      <c r="B946" s="829"/>
      <c r="C946" s="830"/>
      <c r="D946" s="830"/>
      <c r="E946" s="830"/>
      <c r="F946" s="830"/>
      <c r="G946" s="830"/>
      <c r="H946" s="831"/>
      <c r="I946" s="831"/>
      <c r="J946" s="831"/>
      <c r="K946" s="831"/>
      <c r="L946" s="831"/>
      <c r="M946" s="831"/>
      <c r="N946" s="831"/>
      <c r="O946" s="831"/>
      <c r="P946" s="832"/>
      <c r="Q946" s="832"/>
      <c r="R946" s="832"/>
      <c r="S946" s="832"/>
      <c r="T946" s="832"/>
      <c r="U946" s="832"/>
      <c r="V946" s="833"/>
      <c r="W946" s="834"/>
      <c r="X946" s="834"/>
      <c r="Y946" s="436">
        <f>IF(NFI_Expiration=1,IF($A946&lt;VLOOKUP(H$5,NFI,5,0),1,0)*Table_NFI[[#This Row],[Hygiene Kit]],Table_NFI[Hygiene Kit])</f>
        <v>0</v>
      </c>
      <c r="Z946" s="436">
        <f>IF(NFI_Expiration=1,IF($A946&lt;VLOOKUP(I$5,NFI,5,0),1,0)*Table_NFI[[#This Row],[NFI Core Kit]],Table_NFI[NFI Core Kit])</f>
        <v>0</v>
      </c>
      <c r="AA946" s="436">
        <f>IF(NFI_Expiration=1,IF($A946&lt;VLOOKUP(J$5,NFI,5,0),1,0)*Table_NFI[[#This Row],[Sanitary Kit]],Table_NFI[Sanitary Kit])</f>
        <v>0</v>
      </c>
      <c r="AB946" s="436">
        <f>IF(NFI_Expiration=1,IF($A946&lt;VLOOKUP(K$5,NFI,5,0),1,0)*Table_NFI[[#This Row],[Mosquito net]],Table_NFI[Mosquito net])</f>
        <v>0</v>
      </c>
      <c r="AC946" s="436">
        <f>IF(NFI_Expiration=1,IF($A946&lt;VLOOKUP(L$5,NFI,5,0),1,0)*Table_NFI[[#This Row],[Tarpaulin]],Table_NFI[[#This Row],[Tarpaulin]])</f>
        <v>0</v>
      </c>
      <c r="AD946" s="436">
        <f>IF(NFI_Expiration=1,IF($A946&lt;VLOOKUP(M$5,NFI,5,0),1,0)*Table_NFI[[#This Row],[Blanket]],Table_NFI[[#This Row],[Blanket]])</f>
        <v>0</v>
      </c>
      <c r="AE946" s="436">
        <f>IF(NFI_Expiration=1,IF($A946&lt;VLOOKUP(N$5,NFI,5,0),1,0)*Table_NFI[[#This Row],[Kitchen Set]],Table_NFI[Kitchen Set])</f>
        <v>0</v>
      </c>
      <c r="AF946" s="436">
        <f>IF(NFI_Expiration=1,IF($A946&lt;VLOOKUP(O$5,NFI,5,0),1,0)*Table_NFI[[#This Row],[Clothes Kit]],Table_NFI[Clothes Kit])</f>
        <v>0</v>
      </c>
      <c r="AG946" s="436">
        <f>IF(NFI_Expiration=1,IF($A946&lt;VLOOKUP(P$5,NFI,5,0),1,0)*Table_NFI[[#This Row],[Plastic Bucket]],Table_NFI[Plastic Bucket])</f>
        <v>0</v>
      </c>
      <c r="AH946" s="436">
        <f>IF(NFI_Expiration=1,IF($A946&lt;VLOOKUP(Q$5,NFI,5,0),1,0)*Table_NFI[[#This Row],[Plastic Mat]],Table_NFI[Plastic Mat])*IF(Table_NFI[[#This Row],[Distribution Date]]&gt;"2014-04-01",1,2.5)</f>
        <v>0</v>
      </c>
      <c r="AI946" s="436">
        <f>IF(NFI_Expiration=1,IF($A946&lt;VLOOKUP(R$5,NFI,5,0),1,0)*Table_NFI[[#This Row],[Winter Clothes Adult]],Table_NFI[Winter Clothes Adult])</f>
        <v>0</v>
      </c>
      <c r="AJ946" s="436">
        <f>IF(NFI_Expiration=1,IF($A946&lt;VLOOKUP(S$5,NFI,5,0),1,0)*Table_NFI[[#This Row],[Winter Clothes Children]],Table_NFI[Winter Clothes Children])</f>
        <v>0</v>
      </c>
      <c r="AK946" s="436">
        <f>IF(NFI_Expiration=1,IF($A946&lt;VLOOKUP(T$5,NFI,5,0),1,0)*Table_NFI[[#This Row],[Winter Items Other]],Table_NFI[Winter Items Other])</f>
        <v>0</v>
      </c>
      <c r="AL946" s="436">
        <f>IF(NFI_Expiration=1,IF($A946&lt;VLOOKUP(M$5,NFI,5,0),1,0)*Table_NFI[[#This Row],[Winter Blanket]],Table_NFI[[#This Row],[Winter Blanket]])</f>
        <v>0</v>
      </c>
      <c r="AM946" s="436">
        <f>IF(Table_NFI[[#This Row],[Winter Clothes Adult]]+Table_NFI[[#This Row],[Winter Clothes Children]]+Table_NFI[[#This Row],[Winter Items Other]]+Table_NFI[[#This Row],[Winter Blanket]]&gt;0,1,0)</f>
        <v>0</v>
      </c>
      <c r="AN946" s="439">
        <f>IF(NFI_Expiration=1,IF($A946&lt;VLOOKUP(V$5,NFI,5,0),1,0)*Table_NFI[[#This Row],[Jerry Can]],Table_NFI[Jerry Can])</f>
        <v>0</v>
      </c>
      <c r="AO946" s="835" t="str">
        <f>IFERROR(VLOOKUP(Table_NFI[[#This Row],[Camp Name]],CL,2,0),"")</f>
        <v/>
      </c>
      <c r="AP946" s="836" t="str">
        <f ca="1">IF(Table_NFI[[#This Row],[Pcode]]="","",IF(OFFSET(CampList[Opening Date],MATCH(Table_NFI[[#This Row],[Pcode]],CampList[CP_Pcode],0)-1,0,1,1)&gt;=NFI_Monitor_Date,1,0))</f>
        <v/>
      </c>
      <c r="AQ946" s="835" t="str">
        <f>IFERROR(VLOOKUP(Table_NFI[[#This Row],[Camp Name]],CL,3,0),"")</f>
        <v/>
      </c>
      <c r="AR946" s="832" t="str">
        <f ca="1">IF(Table_NFI[[#This Row],[Pcode]]="","",OFFSET(CampList[Priority],MATCH(Table_NFI[[#This Row],[Pcode]],CampList[CP_Pcode],0)-1,0,1,1))</f>
        <v/>
      </c>
      <c r="AS946" s="837" t="str">
        <f>IFERROR(Table_NFI[[#This Row],[Kitchen Set]]/VLOOKUP(Table_NFI[[#This Row],[Camp Name]],CL,4,0),"")</f>
        <v/>
      </c>
      <c r="AT946" s="769" t="s">
        <v>1099</v>
      </c>
      <c r="AU946" s="838"/>
    </row>
    <row r="947" spans="1:47" s="798" customFormat="1" ht="15.75" customHeight="1" x14ac:dyDescent="0.25">
      <c r="A947" s="451" t="str">
        <f t="shared" si="14"/>
        <v/>
      </c>
      <c r="B947" s="829"/>
      <c r="C947" s="830"/>
      <c r="D947" s="830"/>
      <c r="E947" s="830"/>
      <c r="F947" s="830"/>
      <c r="G947" s="830"/>
      <c r="H947" s="831"/>
      <c r="I947" s="831"/>
      <c r="J947" s="831"/>
      <c r="K947" s="831"/>
      <c r="L947" s="831"/>
      <c r="M947" s="831"/>
      <c r="N947" s="831"/>
      <c r="O947" s="831"/>
      <c r="P947" s="832"/>
      <c r="Q947" s="832"/>
      <c r="R947" s="832"/>
      <c r="S947" s="832"/>
      <c r="T947" s="832"/>
      <c r="U947" s="832"/>
      <c r="V947" s="833"/>
      <c r="W947" s="834"/>
      <c r="X947" s="834"/>
      <c r="Y947" s="436">
        <f>IF(NFI_Expiration=1,IF($A947&lt;VLOOKUP(H$5,NFI,5,0),1,0)*Table_NFI[[#This Row],[Hygiene Kit]],Table_NFI[Hygiene Kit])</f>
        <v>0</v>
      </c>
      <c r="Z947" s="436">
        <f>IF(NFI_Expiration=1,IF($A947&lt;VLOOKUP(I$5,NFI,5,0),1,0)*Table_NFI[[#This Row],[NFI Core Kit]],Table_NFI[NFI Core Kit])</f>
        <v>0</v>
      </c>
      <c r="AA947" s="436">
        <f>IF(NFI_Expiration=1,IF($A947&lt;VLOOKUP(J$5,NFI,5,0),1,0)*Table_NFI[[#This Row],[Sanitary Kit]],Table_NFI[Sanitary Kit])</f>
        <v>0</v>
      </c>
      <c r="AB947" s="436">
        <f>IF(NFI_Expiration=1,IF($A947&lt;VLOOKUP(K$5,NFI,5,0),1,0)*Table_NFI[[#This Row],[Mosquito net]],Table_NFI[Mosquito net])</f>
        <v>0</v>
      </c>
      <c r="AC947" s="436">
        <f>IF(NFI_Expiration=1,IF($A947&lt;VLOOKUP(L$5,NFI,5,0),1,0)*Table_NFI[[#This Row],[Tarpaulin]],Table_NFI[[#This Row],[Tarpaulin]])</f>
        <v>0</v>
      </c>
      <c r="AD947" s="436">
        <f>IF(NFI_Expiration=1,IF($A947&lt;VLOOKUP(M$5,NFI,5,0),1,0)*Table_NFI[[#This Row],[Blanket]],Table_NFI[[#This Row],[Blanket]])</f>
        <v>0</v>
      </c>
      <c r="AE947" s="436">
        <f>IF(NFI_Expiration=1,IF($A947&lt;VLOOKUP(N$5,NFI,5,0),1,0)*Table_NFI[[#This Row],[Kitchen Set]],Table_NFI[Kitchen Set])</f>
        <v>0</v>
      </c>
      <c r="AF947" s="436">
        <f>IF(NFI_Expiration=1,IF($A947&lt;VLOOKUP(O$5,NFI,5,0),1,0)*Table_NFI[[#This Row],[Clothes Kit]],Table_NFI[Clothes Kit])</f>
        <v>0</v>
      </c>
      <c r="AG947" s="436">
        <f>IF(NFI_Expiration=1,IF($A947&lt;VLOOKUP(P$5,NFI,5,0),1,0)*Table_NFI[[#This Row],[Plastic Bucket]],Table_NFI[Plastic Bucket])</f>
        <v>0</v>
      </c>
      <c r="AH947" s="436">
        <f>IF(NFI_Expiration=1,IF($A947&lt;VLOOKUP(Q$5,NFI,5,0),1,0)*Table_NFI[[#This Row],[Plastic Mat]],Table_NFI[Plastic Mat])*IF(Table_NFI[[#This Row],[Distribution Date]]&gt;"2014-04-01",1,2.5)</f>
        <v>0</v>
      </c>
      <c r="AI947" s="436">
        <f>IF(NFI_Expiration=1,IF($A947&lt;VLOOKUP(R$5,NFI,5,0),1,0)*Table_NFI[[#This Row],[Winter Clothes Adult]],Table_NFI[Winter Clothes Adult])</f>
        <v>0</v>
      </c>
      <c r="AJ947" s="436">
        <f>IF(NFI_Expiration=1,IF($A947&lt;VLOOKUP(S$5,NFI,5,0),1,0)*Table_NFI[[#This Row],[Winter Clothes Children]],Table_NFI[Winter Clothes Children])</f>
        <v>0</v>
      </c>
      <c r="AK947" s="436">
        <f>IF(NFI_Expiration=1,IF($A947&lt;VLOOKUP(T$5,NFI,5,0),1,0)*Table_NFI[[#This Row],[Winter Items Other]],Table_NFI[Winter Items Other])</f>
        <v>0</v>
      </c>
      <c r="AL947" s="436">
        <f>IF(NFI_Expiration=1,IF($A947&lt;VLOOKUP(M$5,NFI,5,0),1,0)*Table_NFI[[#This Row],[Winter Blanket]],Table_NFI[[#This Row],[Winter Blanket]])</f>
        <v>0</v>
      </c>
      <c r="AM947" s="436">
        <f>IF(Table_NFI[[#This Row],[Winter Clothes Adult]]+Table_NFI[[#This Row],[Winter Clothes Children]]+Table_NFI[[#This Row],[Winter Items Other]]+Table_NFI[[#This Row],[Winter Blanket]]&gt;0,1,0)</f>
        <v>0</v>
      </c>
      <c r="AN947" s="439">
        <f>IF(NFI_Expiration=1,IF($A947&lt;VLOOKUP(V$5,NFI,5,0),1,0)*Table_NFI[[#This Row],[Jerry Can]],Table_NFI[Jerry Can])</f>
        <v>0</v>
      </c>
      <c r="AO947" s="835" t="str">
        <f>IFERROR(VLOOKUP(Table_NFI[[#This Row],[Camp Name]],CL,2,0),"")</f>
        <v/>
      </c>
      <c r="AP947" s="836" t="str">
        <f ca="1">IF(Table_NFI[[#This Row],[Pcode]]="","",IF(OFFSET(CampList[Opening Date],MATCH(Table_NFI[[#This Row],[Pcode]],CampList[CP_Pcode],0)-1,0,1,1)&gt;=NFI_Monitor_Date,1,0))</f>
        <v/>
      </c>
      <c r="AQ947" s="835" t="str">
        <f>IFERROR(VLOOKUP(Table_NFI[[#This Row],[Camp Name]],CL,3,0),"")</f>
        <v/>
      </c>
      <c r="AR947" s="832" t="str">
        <f ca="1">IF(Table_NFI[[#This Row],[Pcode]]="","",OFFSET(CampList[Priority],MATCH(Table_NFI[[#This Row],[Pcode]],CampList[CP_Pcode],0)-1,0,1,1))</f>
        <v/>
      </c>
      <c r="AS947" s="837" t="str">
        <f>IFERROR(Table_NFI[[#This Row],[Kitchen Set]]/VLOOKUP(Table_NFI[[#This Row],[Camp Name]],CL,4,0),"")</f>
        <v/>
      </c>
      <c r="AT947" s="769" t="s">
        <v>1099</v>
      </c>
      <c r="AU947" s="838"/>
    </row>
    <row r="948" spans="1:47" s="798" customFormat="1" ht="15.75" customHeight="1" x14ac:dyDescent="0.25">
      <c r="A948" s="451" t="str">
        <f t="shared" si="14"/>
        <v/>
      </c>
      <c r="B948" s="829"/>
      <c r="C948" s="830"/>
      <c r="D948" s="830"/>
      <c r="E948" s="830"/>
      <c r="F948" s="830"/>
      <c r="G948" s="830"/>
      <c r="H948" s="831"/>
      <c r="I948" s="831"/>
      <c r="J948" s="831"/>
      <c r="K948" s="831"/>
      <c r="L948" s="831"/>
      <c r="M948" s="831"/>
      <c r="N948" s="831"/>
      <c r="O948" s="831"/>
      <c r="P948" s="832"/>
      <c r="Q948" s="832"/>
      <c r="R948" s="832"/>
      <c r="S948" s="832"/>
      <c r="T948" s="832"/>
      <c r="U948" s="832"/>
      <c r="V948" s="833"/>
      <c r="W948" s="834"/>
      <c r="X948" s="834"/>
      <c r="Y948" s="436">
        <f>IF(NFI_Expiration=1,IF($A948&lt;VLOOKUP(H$5,NFI,5,0),1,0)*Table_NFI[[#This Row],[Hygiene Kit]],Table_NFI[Hygiene Kit])</f>
        <v>0</v>
      </c>
      <c r="Z948" s="436">
        <f>IF(NFI_Expiration=1,IF($A948&lt;VLOOKUP(I$5,NFI,5,0),1,0)*Table_NFI[[#This Row],[NFI Core Kit]],Table_NFI[NFI Core Kit])</f>
        <v>0</v>
      </c>
      <c r="AA948" s="436">
        <f>IF(NFI_Expiration=1,IF($A948&lt;VLOOKUP(J$5,NFI,5,0),1,0)*Table_NFI[[#This Row],[Sanitary Kit]],Table_NFI[Sanitary Kit])</f>
        <v>0</v>
      </c>
      <c r="AB948" s="436">
        <f>IF(NFI_Expiration=1,IF($A948&lt;VLOOKUP(K$5,NFI,5,0),1,0)*Table_NFI[[#This Row],[Mosquito net]],Table_NFI[Mosquito net])</f>
        <v>0</v>
      </c>
      <c r="AC948" s="436">
        <f>IF(NFI_Expiration=1,IF($A948&lt;VLOOKUP(L$5,NFI,5,0),1,0)*Table_NFI[[#This Row],[Tarpaulin]],Table_NFI[[#This Row],[Tarpaulin]])</f>
        <v>0</v>
      </c>
      <c r="AD948" s="436">
        <f>IF(NFI_Expiration=1,IF($A948&lt;VLOOKUP(M$5,NFI,5,0),1,0)*Table_NFI[[#This Row],[Blanket]],Table_NFI[[#This Row],[Blanket]])</f>
        <v>0</v>
      </c>
      <c r="AE948" s="436">
        <f>IF(NFI_Expiration=1,IF($A948&lt;VLOOKUP(N$5,NFI,5,0),1,0)*Table_NFI[[#This Row],[Kitchen Set]],Table_NFI[Kitchen Set])</f>
        <v>0</v>
      </c>
      <c r="AF948" s="436">
        <f>IF(NFI_Expiration=1,IF($A948&lt;VLOOKUP(O$5,NFI,5,0),1,0)*Table_NFI[[#This Row],[Clothes Kit]],Table_NFI[Clothes Kit])</f>
        <v>0</v>
      </c>
      <c r="AG948" s="436">
        <f>IF(NFI_Expiration=1,IF($A948&lt;VLOOKUP(P$5,NFI,5,0),1,0)*Table_NFI[[#This Row],[Plastic Bucket]],Table_NFI[Plastic Bucket])</f>
        <v>0</v>
      </c>
      <c r="AH948" s="436">
        <f>IF(NFI_Expiration=1,IF($A948&lt;VLOOKUP(Q$5,NFI,5,0),1,0)*Table_NFI[[#This Row],[Plastic Mat]],Table_NFI[Plastic Mat])*IF(Table_NFI[[#This Row],[Distribution Date]]&gt;"2014-04-01",1,2.5)</f>
        <v>0</v>
      </c>
      <c r="AI948" s="436">
        <f>IF(NFI_Expiration=1,IF($A948&lt;VLOOKUP(R$5,NFI,5,0),1,0)*Table_NFI[[#This Row],[Winter Clothes Adult]],Table_NFI[Winter Clothes Adult])</f>
        <v>0</v>
      </c>
      <c r="AJ948" s="436">
        <f>IF(NFI_Expiration=1,IF($A948&lt;VLOOKUP(S$5,NFI,5,0),1,0)*Table_NFI[[#This Row],[Winter Clothes Children]],Table_NFI[Winter Clothes Children])</f>
        <v>0</v>
      </c>
      <c r="AK948" s="436">
        <f>IF(NFI_Expiration=1,IF($A948&lt;VLOOKUP(T$5,NFI,5,0),1,0)*Table_NFI[[#This Row],[Winter Items Other]],Table_NFI[Winter Items Other])</f>
        <v>0</v>
      </c>
      <c r="AL948" s="436">
        <f>IF(NFI_Expiration=1,IF($A948&lt;VLOOKUP(M$5,NFI,5,0),1,0)*Table_NFI[[#This Row],[Winter Blanket]],Table_NFI[[#This Row],[Winter Blanket]])</f>
        <v>0</v>
      </c>
      <c r="AM948" s="436">
        <f>IF(Table_NFI[[#This Row],[Winter Clothes Adult]]+Table_NFI[[#This Row],[Winter Clothes Children]]+Table_NFI[[#This Row],[Winter Items Other]]+Table_NFI[[#This Row],[Winter Blanket]]&gt;0,1,0)</f>
        <v>0</v>
      </c>
      <c r="AN948" s="439">
        <f>IF(NFI_Expiration=1,IF($A948&lt;VLOOKUP(V$5,NFI,5,0),1,0)*Table_NFI[[#This Row],[Jerry Can]],Table_NFI[Jerry Can])</f>
        <v>0</v>
      </c>
      <c r="AO948" s="835" t="str">
        <f>IFERROR(VLOOKUP(Table_NFI[[#This Row],[Camp Name]],CL,2,0),"")</f>
        <v/>
      </c>
      <c r="AP948" s="836" t="str">
        <f ca="1">IF(Table_NFI[[#This Row],[Pcode]]="","",IF(OFFSET(CampList[Opening Date],MATCH(Table_NFI[[#This Row],[Pcode]],CampList[CP_Pcode],0)-1,0,1,1)&gt;=NFI_Monitor_Date,1,0))</f>
        <v/>
      </c>
      <c r="AQ948" s="835" t="str">
        <f>IFERROR(VLOOKUP(Table_NFI[[#This Row],[Camp Name]],CL,3,0),"")</f>
        <v/>
      </c>
      <c r="AR948" s="832" t="str">
        <f ca="1">IF(Table_NFI[[#This Row],[Pcode]]="","",OFFSET(CampList[Priority],MATCH(Table_NFI[[#This Row],[Pcode]],CampList[CP_Pcode],0)-1,0,1,1))</f>
        <v/>
      </c>
      <c r="AS948" s="837" t="str">
        <f>IFERROR(Table_NFI[[#This Row],[Kitchen Set]]/VLOOKUP(Table_NFI[[#This Row],[Camp Name]],CL,4,0),"")</f>
        <v/>
      </c>
      <c r="AT948" s="769" t="s">
        <v>1099</v>
      </c>
      <c r="AU948" s="838"/>
    </row>
    <row r="949" spans="1:47" s="798" customFormat="1" ht="15.75" customHeight="1" x14ac:dyDescent="0.25">
      <c r="A949" s="451" t="str">
        <f t="shared" si="14"/>
        <v/>
      </c>
      <c r="B949" s="829"/>
      <c r="C949" s="830"/>
      <c r="D949" s="830"/>
      <c r="E949" s="830"/>
      <c r="F949" s="830"/>
      <c r="G949" s="830"/>
      <c r="H949" s="831"/>
      <c r="I949" s="831"/>
      <c r="J949" s="831"/>
      <c r="K949" s="831"/>
      <c r="L949" s="831"/>
      <c r="M949" s="831"/>
      <c r="N949" s="831"/>
      <c r="O949" s="831"/>
      <c r="P949" s="832"/>
      <c r="Q949" s="832"/>
      <c r="R949" s="832"/>
      <c r="S949" s="832"/>
      <c r="T949" s="832"/>
      <c r="U949" s="832"/>
      <c r="V949" s="833"/>
      <c r="W949" s="834"/>
      <c r="X949" s="834"/>
      <c r="Y949" s="436">
        <f>IF(NFI_Expiration=1,IF($A949&lt;VLOOKUP(H$5,NFI,5,0),1,0)*Table_NFI[[#This Row],[Hygiene Kit]],Table_NFI[Hygiene Kit])</f>
        <v>0</v>
      </c>
      <c r="Z949" s="436">
        <f>IF(NFI_Expiration=1,IF($A949&lt;VLOOKUP(I$5,NFI,5,0),1,0)*Table_NFI[[#This Row],[NFI Core Kit]],Table_NFI[NFI Core Kit])</f>
        <v>0</v>
      </c>
      <c r="AA949" s="436">
        <f>IF(NFI_Expiration=1,IF($A949&lt;VLOOKUP(J$5,NFI,5,0),1,0)*Table_NFI[[#This Row],[Sanitary Kit]],Table_NFI[Sanitary Kit])</f>
        <v>0</v>
      </c>
      <c r="AB949" s="436">
        <f>IF(NFI_Expiration=1,IF($A949&lt;VLOOKUP(K$5,NFI,5,0),1,0)*Table_NFI[[#This Row],[Mosquito net]],Table_NFI[Mosquito net])</f>
        <v>0</v>
      </c>
      <c r="AC949" s="436">
        <f>IF(NFI_Expiration=1,IF($A949&lt;VLOOKUP(L$5,NFI,5,0),1,0)*Table_NFI[[#This Row],[Tarpaulin]],Table_NFI[[#This Row],[Tarpaulin]])</f>
        <v>0</v>
      </c>
      <c r="AD949" s="436">
        <f>IF(NFI_Expiration=1,IF($A949&lt;VLOOKUP(M$5,NFI,5,0),1,0)*Table_NFI[[#This Row],[Blanket]],Table_NFI[[#This Row],[Blanket]])</f>
        <v>0</v>
      </c>
      <c r="AE949" s="436">
        <f>IF(NFI_Expiration=1,IF($A949&lt;VLOOKUP(N$5,NFI,5,0),1,0)*Table_NFI[[#This Row],[Kitchen Set]],Table_NFI[Kitchen Set])</f>
        <v>0</v>
      </c>
      <c r="AF949" s="436">
        <f>IF(NFI_Expiration=1,IF($A949&lt;VLOOKUP(O$5,NFI,5,0),1,0)*Table_NFI[[#This Row],[Clothes Kit]],Table_NFI[Clothes Kit])</f>
        <v>0</v>
      </c>
      <c r="AG949" s="436">
        <f>IF(NFI_Expiration=1,IF($A949&lt;VLOOKUP(P$5,NFI,5,0),1,0)*Table_NFI[[#This Row],[Plastic Bucket]],Table_NFI[Plastic Bucket])</f>
        <v>0</v>
      </c>
      <c r="AH949" s="436">
        <f>IF(NFI_Expiration=1,IF($A949&lt;VLOOKUP(Q$5,NFI,5,0),1,0)*Table_NFI[[#This Row],[Plastic Mat]],Table_NFI[Plastic Mat])*IF(Table_NFI[[#This Row],[Distribution Date]]&gt;"2014-04-01",1,2.5)</f>
        <v>0</v>
      </c>
      <c r="AI949" s="436">
        <f>IF(NFI_Expiration=1,IF($A949&lt;VLOOKUP(R$5,NFI,5,0),1,0)*Table_NFI[[#This Row],[Winter Clothes Adult]],Table_NFI[Winter Clothes Adult])</f>
        <v>0</v>
      </c>
      <c r="AJ949" s="436">
        <f>IF(NFI_Expiration=1,IF($A949&lt;VLOOKUP(S$5,NFI,5,0),1,0)*Table_NFI[[#This Row],[Winter Clothes Children]],Table_NFI[Winter Clothes Children])</f>
        <v>0</v>
      </c>
      <c r="AK949" s="436">
        <f>IF(NFI_Expiration=1,IF($A949&lt;VLOOKUP(T$5,NFI,5,0),1,0)*Table_NFI[[#This Row],[Winter Items Other]],Table_NFI[Winter Items Other])</f>
        <v>0</v>
      </c>
      <c r="AL949" s="436">
        <f>IF(NFI_Expiration=1,IF($A949&lt;VLOOKUP(M$5,NFI,5,0),1,0)*Table_NFI[[#This Row],[Winter Blanket]],Table_NFI[[#This Row],[Winter Blanket]])</f>
        <v>0</v>
      </c>
      <c r="AM949" s="436">
        <f>IF(Table_NFI[[#This Row],[Winter Clothes Adult]]+Table_NFI[[#This Row],[Winter Clothes Children]]+Table_NFI[[#This Row],[Winter Items Other]]+Table_NFI[[#This Row],[Winter Blanket]]&gt;0,1,0)</f>
        <v>0</v>
      </c>
      <c r="AN949" s="439">
        <f>IF(NFI_Expiration=1,IF($A949&lt;VLOOKUP(V$5,NFI,5,0),1,0)*Table_NFI[[#This Row],[Jerry Can]],Table_NFI[Jerry Can])</f>
        <v>0</v>
      </c>
      <c r="AO949" s="835" t="str">
        <f>IFERROR(VLOOKUP(Table_NFI[[#This Row],[Camp Name]],CL,2,0),"")</f>
        <v/>
      </c>
      <c r="AP949" s="836" t="str">
        <f ca="1">IF(Table_NFI[[#This Row],[Pcode]]="","",IF(OFFSET(CampList[Opening Date],MATCH(Table_NFI[[#This Row],[Pcode]],CampList[CP_Pcode],0)-1,0,1,1)&gt;=NFI_Monitor_Date,1,0))</f>
        <v/>
      </c>
      <c r="AQ949" s="835" t="str">
        <f>IFERROR(VLOOKUP(Table_NFI[[#This Row],[Camp Name]],CL,3,0),"")</f>
        <v/>
      </c>
      <c r="AR949" s="832" t="str">
        <f ca="1">IF(Table_NFI[[#This Row],[Pcode]]="","",OFFSET(CampList[Priority],MATCH(Table_NFI[[#This Row],[Pcode]],CampList[CP_Pcode],0)-1,0,1,1))</f>
        <v/>
      </c>
      <c r="AS949" s="837" t="str">
        <f>IFERROR(Table_NFI[[#This Row],[Kitchen Set]]/VLOOKUP(Table_NFI[[#This Row],[Camp Name]],CL,4,0),"")</f>
        <v/>
      </c>
      <c r="AT949" s="769" t="s">
        <v>1099</v>
      </c>
      <c r="AU949" s="838"/>
    </row>
    <row r="950" spans="1:47" s="798" customFormat="1" ht="15.75" customHeight="1" x14ac:dyDescent="0.25">
      <c r="A950" s="451" t="str">
        <f t="shared" si="14"/>
        <v/>
      </c>
      <c r="B950" s="829"/>
      <c r="C950" s="830"/>
      <c r="D950" s="830"/>
      <c r="E950" s="830"/>
      <c r="F950" s="830"/>
      <c r="G950" s="830"/>
      <c r="H950" s="831"/>
      <c r="I950" s="831"/>
      <c r="J950" s="831"/>
      <c r="K950" s="831"/>
      <c r="L950" s="831"/>
      <c r="M950" s="831"/>
      <c r="N950" s="831"/>
      <c r="O950" s="831"/>
      <c r="P950" s="832"/>
      <c r="Q950" s="832"/>
      <c r="R950" s="832"/>
      <c r="S950" s="832"/>
      <c r="T950" s="832"/>
      <c r="U950" s="832"/>
      <c r="V950" s="833"/>
      <c r="W950" s="834"/>
      <c r="X950" s="834"/>
      <c r="Y950" s="436">
        <f>IF(NFI_Expiration=1,IF($A950&lt;VLOOKUP(H$5,NFI,5,0),1,0)*Table_NFI[[#This Row],[Hygiene Kit]],Table_NFI[Hygiene Kit])</f>
        <v>0</v>
      </c>
      <c r="Z950" s="436">
        <f>IF(NFI_Expiration=1,IF($A950&lt;VLOOKUP(I$5,NFI,5,0),1,0)*Table_NFI[[#This Row],[NFI Core Kit]],Table_NFI[NFI Core Kit])</f>
        <v>0</v>
      </c>
      <c r="AA950" s="436">
        <f>IF(NFI_Expiration=1,IF($A950&lt;VLOOKUP(J$5,NFI,5,0),1,0)*Table_NFI[[#This Row],[Sanitary Kit]],Table_NFI[Sanitary Kit])</f>
        <v>0</v>
      </c>
      <c r="AB950" s="436">
        <f>IF(NFI_Expiration=1,IF($A950&lt;VLOOKUP(K$5,NFI,5,0),1,0)*Table_NFI[[#This Row],[Mosquito net]],Table_NFI[Mosquito net])</f>
        <v>0</v>
      </c>
      <c r="AC950" s="436">
        <f>IF(NFI_Expiration=1,IF($A950&lt;VLOOKUP(L$5,NFI,5,0),1,0)*Table_NFI[[#This Row],[Tarpaulin]],Table_NFI[[#This Row],[Tarpaulin]])</f>
        <v>0</v>
      </c>
      <c r="AD950" s="436">
        <f>IF(NFI_Expiration=1,IF($A950&lt;VLOOKUP(M$5,NFI,5,0),1,0)*Table_NFI[[#This Row],[Blanket]],Table_NFI[[#This Row],[Blanket]])</f>
        <v>0</v>
      </c>
      <c r="AE950" s="436">
        <f>IF(NFI_Expiration=1,IF($A950&lt;VLOOKUP(N$5,NFI,5,0),1,0)*Table_NFI[[#This Row],[Kitchen Set]],Table_NFI[Kitchen Set])</f>
        <v>0</v>
      </c>
      <c r="AF950" s="436">
        <f>IF(NFI_Expiration=1,IF($A950&lt;VLOOKUP(O$5,NFI,5,0),1,0)*Table_NFI[[#This Row],[Clothes Kit]],Table_NFI[Clothes Kit])</f>
        <v>0</v>
      </c>
      <c r="AG950" s="436">
        <f>IF(NFI_Expiration=1,IF($A950&lt;VLOOKUP(P$5,NFI,5,0),1,0)*Table_NFI[[#This Row],[Plastic Bucket]],Table_NFI[Plastic Bucket])</f>
        <v>0</v>
      </c>
      <c r="AH950" s="436">
        <f>IF(NFI_Expiration=1,IF($A950&lt;VLOOKUP(Q$5,NFI,5,0),1,0)*Table_NFI[[#This Row],[Plastic Mat]],Table_NFI[Plastic Mat])*IF(Table_NFI[[#This Row],[Distribution Date]]&gt;"2014-04-01",1,2.5)</f>
        <v>0</v>
      </c>
      <c r="AI950" s="436">
        <f>IF(NFI_Expiration=1,IF($A950&lt;VLOOKUP(R$5,NFI,5,0),1,0)*Table_NFI[[#This Row],[Winter Clothes Adult]],Table_NFI[Winter Clothes Adult])</f>
        <v>0</v>
      </c>
      <c r="AJ950" s="436">
        <f>IF(NFI_Expiration=1,IF($A950&lt;VLOOKUP(S$5,NFI,5,0),1,0)*Table_NFI[[#This Row],[Winter Clothes Children]],Table_NFI[Winter Clothes Children])</f>
        <v>0</v>
      </c>
      <c r="AK950" s="436">
        <f>IF(NFI_Expiration=1,IF($A950&lt;VLOOKUP(T$5,NFI,5,0),1,0)*Table_NFI[[#This Row],[Winter Items Other]],Table_NFI[Winter Items Other])</f>
        <v>0</v>
      </c>
      <c r="AL950" s="436">
        <f>IF(NFI_Expiration=1,IF($A950&lt;VLOOKUP(M$5,NFI,5,0),1,0)*Table_NFI[[#This Row],[Winter Blanket]],Table_NFI[[#This Row],[Winter Blanket]])</f>
        <v>0</v>
      </c>
      <c r="AM950" s="436">
        <f>IF(Table_NFI[[#This Row],[Winter Clothes Adult]]+Table_NFI[[#This Row],[Winter Clothes Children]]+Table_NFI[[#This Row],[Winter Items Other]]+Table_NFI[[#This Row],[Winter Blanket]]&gt;0,1,0)</f>
        <v>0</v>
      </c>
      <c r="AN950" s="439">
        <f>IF(NFI_Expiration=1,IF($A950&lt;VLOOKUP(V$5,NFI,5,0),1,0)*Table_NFI[[#This Row],[Jerry Can]],Table_NFI[Jerry Can])</f>
        <v>0</v>
      </c>
      <c r="AO950" s="835" t="str">
        <f>IFERROR(VLOOKUP(Table_NFI[[#This Row],[Camp Name]],CL,2,0),"")</f>
        <v/>
      </c>
      <c r="AP950" s="836" t="str">
        <f ca="1">IF(Table_NFI[[#This Row],[Pcode]]="","",IF(OFFSET(CampList[Opening Date],MATCH(Table_NFI[[#This Row],[Pcode]],CampList[CP_Pcode],0)-1,0,1,1)&gt;=NFI_Monitor_Date,1,0))</f>
        <v/>
      </c>
      <c r="AQ950" s="835" t="str">
        <f>IFERROR(VLOOKUP(Table_NFI[[#This Row],[Camp Name]],CL,3,0),"")</f>
        <v/>
      </c>
      <c r="AR950" s="832" t="str">
        <f ca="1">IF(Table_NFI[[#This Row],[Pcode]]="","",OFFSET(CampList[Priority],MATCH(Table_NFI[[#This Row],[Pcode]],CampList[CP_Pcode],0)-1,0,1,1))</f>
        <v/>
      </c>
      <c r="AS950" s="837" t="str">
        <f>IFERROR(Table_NFI[[#This Row],[Kitchen Set]]/VLOOKUP(Table_NFI[[#This Row],[Camp Name]],CL,4,0),"")</f>
        <v/>
      </c>
      <c r="AT950" s="769" t="s">
        <v>1099</v>
      </c>
      <c r="AU950" s="838"/>
    </row>
    <row r="951" spans="1:47" s="798" customFormat="1" ht="15.75" customHeight="1" x14ac:dyDescent="0.25">
      <c r="A951" s="451" t="str">
        <f t="shared" si="14"/>
        <v/>
      </c>
      <c r="B951" s="829"/>
      <c r="C951" s="830"/>
      <c r="D951" s="830"/>
      <c r="E951" s="830"/>
      <c r="F951" s="830"/>
      <c r="G951" s="830"/>
      <c r="H951" s="831"/>
      <c r="I951" s="831"/>
      <c r="J951" s="831"/>
      <c r="K951" s="831"/>
      <c r="L951" s="831"/>
      <c r="M951" s="831"/>
      <c r="N951" s="831"/>
      <c r="O951" s="831"/>
      <c r="P951" s="832"/>
      <c r="Q951" s="832"/>
      <c r="R951" s="832"/>
      <c r="S951" s="832"/>
      <c r="T951" s="832"/>
      <c r="U951" s="832"/>
      <c r="V951" s="833"/>
      <c r="W951" s="834"/>
      <c r="X951" s="834"/>
      <c r="Y951" s="436">
        <f>IF(NFI_Expiration=1,IF($A951&lt;VLOOKUP(H$5,NFI,5,0),1,0)*Table_NFI[[#This Row],[Hygiene Kit]],Table_NFI[Hygiene Kit])</f>
        <v>0</v>
      </c>
      <c r="Z951" s="436">
        <f>IF(NFI_Expiration=1,IF($A951&lt;VLOOKUP(I$5,NFI,5,0),1,0)*Table_NFI[[#This Row],[NFI Core Kit]],Table_NFI[NFI Core Kit])</f>
        <v>0</v>
      </c>
      <c r="AA951" s="436">
        <f>IF(NFI_Expiration=1,IF($A951&lt;VLOOKUP(J$5,NFI,5,0),1,0)*Table_NFI[[#This Row],[Sanitary Kit]],Table_NFI[Sanitary Kit])</f>
        <v>0</v>
      </c>
      <c r="AB951" s="436">
        <f>IF(NFI_Expiration=1,IF($A951&lt;VLOOKUP(K$5,NFI,5,0),1,0)*Table_NFI[[#This Row],[Mosquito net]],Table_NFI[Mosquito net])</f>
        <v>0</v>
      </c>
      <c r="AC951" s="436">
        <f>IF(NFI_Expiration=1,IF($A951&lt;VLOOKUP(L$5,NFI,5,0),1,0)*Table_NFI[[#This Row],[Tarpaulin]],Table_NFI[[#This Row],[Tarpaulin]])</f>
        <v>0</v>
      </c>
      <c r="AD951" s="436">
        <f>IF(NFI_Expiration=1,IF($A951&lt;VLOOKUP(M$5,NFI,5,0),1,0)*Table_NFI[[#This Row],[Blanket]],Table_NFI[[#This Row],[Blanket]])</f>
        <v>0</v>
      </c>
      <c r="AE951" s="436">
        <f>IF(NFI_Expiration=1,IF($A951&lt;VLOOKUP(N$5,NFI,5,0),1,0)*Table_NFI[[#This Row],[Kitchen Set]],Table_NFI[Kitchen Set])</f>
        <v>0</v>
      </c>
      <c r="AF951" s="436">
        <f>IF(NFI_Expiration=1,IF($A951&lt;VLOOKUP(O$5,NFI,5,0),1,0)*Table_NFI[[#This Row],[Clothes Kit]],Table_NFI[Clothes Kit])</f>
        <v>0</v>
      </c>
      <c r="AG951" s="436">
        <f>IF(NFI_Expiration=1,IF($A951&lt;VLOOKUP(P$5,NFI,5,0),1,0)*Table_NFI[[#This Row],[Plastic Bucket]],Table_NFI[Plastic Bucket])</f>
        <v>0</v>
      </c>
      <c r="AH951" s="436">
        <f>IF(NFI_Expiration=1,IF($A951&lt;VLOOKUP(Q$5,NFI,5,0),1,0)*Table_NFI[[#This Row],[Plastic Mat]],Table_NFI[Plastic Mat])*IF(Table_NFI[[#This Row],[Distribution Date]]&gt;"2014-04-01",1,2.5)</f>
        <v>0</v>
      </c>
      <c r="AI951" s="436">
        <f>IF(NFI_Expiration=1,IF($A951&lt;VLOOKUP(R$5,NFI,5,0),1,0)*Table_NFI[[#This Row],[Winter Clothes Adult]],Table_NFI[Winter Clothes Adult])</f>
        <v>0</v>
      </c>
      <c r="AJ951" s="436">
        <f>IF(NFI_Expiration=1,IF($A951&lt;VLOOKUP(S$5,NFI,5,0),1,0)*Table_NFI[[#This Row],[Winter Clothes Children]],Table_NFI[Winter Clothes Children])</f>
        <v>0</v>
      </c>
      <c r="AK951" s="436">
        <f>IF(NFI_Expiration=1,IF($A951&lt;VLOOKUP(T$5,NFI,5,0),1,0)*Table_NFI[[#This Row],[Winter Items Other]],Table_NFI[Winter Items Other])</f>
        <v>0</v>
      </c>
      <c r="AL951" s="436">
        <f>IF(NFI_Expiration=1,IF($A951&lt;VLOOKUP(M$5,NFI,5,0),1,0)*Table_NFI[[#This Row],[Winter Blanket]],Table_NFI[[#This Row],[Winter Blanket]])</f>
        <v>0</v>
      </c>
      <c r="AM951" s="436">
        <f>IF(Table_NFI[[#This Row],[Winter Clothes Adult]]+Table_NFI[[#This Row],[Winter Clothes Children]]+Table_NFI[[#This Row],[Winter Items Other]]+Table_NFI[[#This Row],[Winter Blanket]]&gt;0,1,0)</f>
        <v>0</v>
      </c>
      <c r="AN951" s="439">
        <f>IF(NFI_Expiration=1,IF($A951&lt;VLOOKUP(V$5,NFI,5,0),1,0)*Table_NFI[[#This Row],[Jerry Can]],Table_NFI[Jerry Can])</f>
        <v>0</v>
      </c>
      <c r="AO951" s="835" t="str">
        <f>IFERROR(VLOOKUP(Table_NFI[[#This Row],[Camp Name]],CL,2,0),"")</f>
        <v/>
      </c>
      <c r="AP951" s="836" t="str">
        <f ca="1">IF(Table_NFI[[#This Row],[Pcode]]="","",IF(OFFSET(CampList[Opening Date],MATCH(Table_NFI[[#This Row],[Pcode]],CampList[CP_Pcode],0)-1,0,1,1)&gt;=NFI_Monitor_Date,1,0))</f>
        <v/>
      </c>
      <c r="AQ951" s="835" t="str">
        <f>IFERROR(VLOOKUP(Table_NFI[[#This Row],[Camp Name]],CL,3,0),"")</f>
        <v/>
      </c>
      <c r="AR951" s="832" t="str">
        <f ca="1">IF(Table_NFI[[#This Row],[Pcode]]="","",OFFSET(CampList[Priority],MATCH(Table_NFI[[#This Row],[Pcode]],CampList[CP_Pcode],0)-1,0,1,1))</f>
        <v/>
      </c>
      <c r="AS951" s="837" t="str">
        <f>IFERROR(Table_NFI[[#This Row],[Kitchen Set]]/VLOOKUP(Table_NFI[[#This Row],[Camp Name]],CL,4,0),"")</f>
        <v/>
      </c>
      <c r="AT951" s="769" t="s">
        <v>1099</v>
      </c>
      <c r="AU951" s="838"/>
    </row>
    <row r="952" spans="1:47" s="798" customFormat="1" ht="15.75" customHeight="1" x14ac:dyDescent="0.25">
      <c r="A952" s="451" t="str">
        <f t="shared" si="14"/>
        <v/>
      </c>
      <c r="B952" s="829"/>
      <c r="C952" s="830"/>
      <c r="D952" s="830"/>
      <c r="E952" s="830"/>
      <c r="F952" s="830"/>
      <c r="G952" s="830"/>
      <c r="H952" s="831"/>
      <c r="I952" s="831"/>
      <c r="J952" s="831"/>
      <c r="K952" s="831"/>
      <c r="L952" s="831"/>
      <c r="M952" s="831"/>
      <c r="N952" s="831"/>
      <c r="O952" s="831"/>
      <c r="P952" s="832"/>
      <c r="Q952" s="832"/>
      <c r="R952" s="832"/>
      <c r="S952" s="832"/>
      <c r="T952" s="832"/>
      <c r="U952" s="832"/>
      <c r="V952" s="833"/>
      <c r="W952" s="834"/>
      <c r="X952" s="834"/>
      <c r="Y952" s="436">
        <f>IF(NFI_Expiration=1,IF($A952&lt;VLOOKUP(H$5,NFI,5,0),1,0)*Table_NFI[[#This Row],[Hygiene Kit]],Table_NFI[Hygiene Kit])</f>
        <v>0</v>
      </c>
      <c r="Z952" s="436">
        <f>IF(NFI_Expiration=1,IF($A952&lt;VLOOKUP(I$5,NFI,5,0),1,0)*Table_NFI[[#This Row],[NFI Core Kit]],Table_NFI[NFI Core Kit])</f>
        <v>0</v>
      </c>
      <c r="AA952" s="436">
        <f>IF(NFI_Expiration=1,IF($A952&lt;VLOOKUP(J$5,NFI,5,0),1,0)*Table_NFI[[#This Row],[Sanitary Kit]],Table_NFI[Sanitary Kit])</f>
        <v>0</v>
      </c>
      <c r="AB952" s="436">
        <f>IF(NFI_Expiration=1,IF($A952&lt;VLOOKUP(K$5,NFI,5,0),1,0)*Table_NFI[[#This Row],[Mosquito net]],Table_NFI[Mosquito net])</f>
        <v>0</v>
      </c>
      <c r="AC952" s="436">
        <f>IF(NFI_Expiration=1,IF($A952&lt;VLOOKUP(L$5,NFI,5,0),1,0)*Table_NFI[[#This Row],[Tarpaulin]],Table_NFI[[#This Row],[Tarpaulin]])</f>
        <v>0</v>
      </c>
      <c r="AD952" s="436">
        <f>IF(NFI_Expiration=1,IF($A952&lt;VLOOKUP(M$5,NFI,5,0),1,0)*Table_NFI[[#This Row],[Blanket]],Table_NFI[[#This Row],[Blanket]])</f>
        <v>0</v>
      </c>
      <c r="AE952" s="436">
        <f>IF(NFI_Expiration=1,IF($A952&lt;VLOOKUP(N$5,NFI,5,0),1,0)*Table_NFI[[#This Row],[Kitchen Set]],Table_NFI[Kitchen Set])</f>
        <v>0</v>
      </c>
      <c r="AF952" s="436">
        <f>IF(NFI_Expiration=1,IF($A952&lt;VLOOKUP(O$5,NFI,5,0),1,0)*Table_NFI[[#This Row],[Clothes Kit]],Table_NFI[Clothes Kit])</f>
        <v>0</v>
      </c>
      <c r="AG952" s="436">
        <f>IF(NFI_Expiration=1,IF($A952&lt;VLOOKUP(P$5,NFI,5,0),1,0)*Table_NFI[[#This Row],[Plastic Bucket]],Table_NFI[Plastic Bucket])</f>
        <v>0</v>
      </c>
      <c r="AH952" s="436">
        <f>IF(NFI_Expiration=1,IF($A952&lt;VLOOKUP(Q$5,NFI,5,0),1,0)*Table_NFI[[#This Row],[Plastic Mat]],Table_NFI[Plastic Mat])*IF(Table_NFI[[#This Row],[Distribution Date]]&gt;"2014-04-01",1,2.5)</f>
        <v>0</v>
      </c>
      <c r="AI952" s="436">
        <f>IF(NFI_Expiration=1,IF($A952&lt;VLOOKUP(R$5,NFI,5,0),1,0)*Table_NFI[[#This Row],[Winter Clothes Adult]],Table_NFI[Winter Clothes Adult])</f>
        <v>0</v>
      </c>
      <c r="AJ952" s="436">
        <f>IF(NFI_Expiration=1,IF($A952&lt;VLOOKUP(S$5,NFI,5,0),1,0)*Table_NFI[[#This Row],[Winter Clothes Children]],Table_NFI[Winter Clothes Children])</f>
        <v>0</v>
      </c>
      <c r="AK952" s="436">
        <f>IF(NFI_Expiration=1,IF($A952&lt;VLOOKUP(T$5,NFI,5,0),1,0)*Table_NFI[[#This Row],[Winter Items Other]],Table_NFI[Winter Items Other])</f>
        <v>0</v>
      </c>
      <c r="AL952" s="436">
        <f>IF(NFI_Expiration=1,IF($A952&lt;VLOOKUP(M$5,NFI,5,0),1,0)*Table_NFI[[#This Row],[Winter Blanket]],Table_NFI[[#This Row],[Winter Blanket]])</f>
        <v>0</v>
      </c>
      <c r="AM952" s="436">
        <f>IF(Table_NFI[[#This Row],[Winter Clothes Adult]]+Table_NFI[[#This Row],[Winter Clothes Children]]+Table_NFI[[#This Row],[Winter Items Other]]+Table_NFI[[#This Row],[Winter Blanket]]&gt;0,1,0)</f>
        <v>0</v>
      </c>
      <c r="AN952" s="439">
        <f>IF(NFI_Expiration=1,IF($A952&lt;VLOOKUP(V$5,NFI,5,0),1,0)*Table_NFI[[#This Row],[Jerry Can]],Table_NFI[Jerry Can])</f>
        <v>0</v>
      </c>
      <c r="AO952" s="835" t="str">
        <f>IFERROR(VLOOKUP(Table_NFI[[#This Row],[Camp Name]],CL,2,0),"")</f>
        <v/>
      </c>
      <c r="AP952" s="836" t="str">
        <f ca="1">IF(Table_NFI[[#This Row],[Pcode]]="","",IF(OFFSET(CampList[Opening Date],MATCH(Table_NFI[[#This Row],[Pcode]],CampList[CP_Pcode],0)-1,0,1,1)&gt;=NFI_Monitor_Date,1,0))</f>
        <v/>
      </c>
      <c r="AQ952" s="835" t="str">
        <f>IFERROR(VLOOKUP(Table_NFI[[#This Row],[Camp Name]],CL,3,0),"")</f>
        <v/>
      </c>
      <c r="AR952" s="832" t="str">
        <f ca="1">IF(Table_NFI[[#This Row],[Pcode]]="","",OFFSET(CampList[Priority],MATCH(Table_NFI[[#This Row],[Pcode]],CampList[CP_Pcode],0)-1,0,1,1))</f>
        <v/>
      </c>
      <c r="AS952" s="837" t="str">
        <f>IFERROR(Table_NFI[[#This Row],[Kitchen Set]]/VLOOKUP(Table_NFI[[#This Row],[Camp Name]],CL,4,0),"")</f>
        <v/>
      </c>
      <c r="AT952" s="769" t="s">
        <v>1099</v>
      </c>
      <c r="AU952" s="838"/>
    </row>
    <row r="953" spans="1:47" s="798" customFormat="1" x14ac:dyDescent="0.25">
      <c r="A953" s="451" t="str">
        <f t="shared" si="14"/>
        <v/>
      </c>
      <c r="B953" s="829"/>
      <c r="C953" s="830"/>
      <c r="D953" s="830"/>
      <c r="E953" s="830"/>
      <c r="F953" s="830"/>
      <c r="G953" s="830"/>
      <c r="H953" s="831"/>
      <c r="I953" s="831"/>
      <c r="J953" s="831"/>
      <c r="K953" s="831"/>
      <c r="L953" s="831"/>
      <c r="M953" s="831"/>
      <c r="N953" s="831"/>
      <c r="O953" s="831"/>
      <c r="P953" s="832"/>
      <c r="Q953" s="832"/>
      <c r="R953" s="832"/>
      <c r="S953" s="832"/>
      <c r="T953" s="832"/>
      <c r="U953" s="832"/>
      <c r="V953" s="833"/>
      <c r="W953" s="834"/>
      <c r="X953" s="834"/>
      <c r="Y953" s="436">
        <f>IF(NFI_Expiration=1,IF($A953&lt;VLOOKUP(H$5,NFI,5,0),1,0)*Table_NFI[[#This Row],[Hygiene Kit]],Table_NFI[Hygiene Kit])</f>
        <v>0</v>
      </c>
      <c r="Z953" s="436">
        <f>IF(NFI_Expiration=1,IF($A953&lt;VLOOKUP(I$5,NFI,5,0),1,0)*Table_NFI[[#This Row],[NFI Core Kit]],Table_NFI[NFI Core Kit])</f>
        <v>0</v>
      </c>
      <c r="AA953" s="436">
        <f>IF(NFI_Expiration=1,IF($A953&lt;VLOOKUP(J$5,NFI,5,0),1,0)*Table_NFI[[#This Row],[Sanitary Kit]],Table_NFI[Sanitary Kit])</f>
        <v>0</v>
      </c>
      <c r="AB953" s="436">
        <f>IF(NFI_Expiration=1,IF($A953&lt;VLOOKUP(K$5,NFI,5,0),1,0)*Table_NFI[[#This Row],[Mosquito net]],Table_NFI[Mosquito net])</f>
        <v>0</v>
      </c>
      <c r="AC953" s="436">
        <f>IF(NFI_Expiration=1,IF($A953&lt;VLOOKUP(L$5,NFI,5,0),1,0)*Table_NFI[[#This Row],[Tarpaulin]],Table_NFI[[#This Row],[Tarpaulin]])</f>
        <v>0</v>
      </c>
      <c r="AD953" s="436">
        <f>IF(NFI_Expiration=1,IF($A953&lt;VLOOKUP(M$5,NFI,5,0),1,0)*Table_NFI[[#This Row],[Blanket]],Table_NFI[[#This Row],[Blanket]])</f>
        <v>0</v>
      </c>
      <c r="AE953" s="436">
        <f>IF(NFI_Expiration=1,IF($A953&lt;VLOOKUP(N$5,NFI,5,0),1,0)*Table_NFI[[#This Row],[Kitchen Set]],Table_NFI[Kitchen Set])</f>
        <v>0</v>
      </c>
      <c r="AF953" s="436">
        <f>IF(NFI_Expiration=1,IF($A953&lt;VLOOKUP(O$5,NFI,5,0),1,0)*Table_NFI[[#This Row],[Clothes Kit]],Table_NFI[Clothes Kit])</f>
        <v>0</v>
      </c>
      <c r="AG953" s="436">
        <f>IF(NFI_Expiration=1,IF($A953&lt;VLOOKUP(P$5,NFI,5,0),1,0)*Table_NFI[[#This Row],[Plastic Bucket]],Table_NFI[Plastic Bucket])</f>
        <v>0</v>
      </c>
      <c r="AH953" s="436">
        <f>IF(NFI_Expiration=1,IF($A953&lt;VLOOKUP(Q$5,NFI,5,0),1,0)*Table_NFI[[#This Row],[Plastic Mat]],Table_NFI[Plastic Mat])*IF(Table_NFI[[#This Row],[Distribution Date]]&gt;"2014-04-01",1,2.5)</f>
        <v>0</v>
      </c>
      <c r="AI953" s="436">
        <f>IF(NFI_Expiration=1,IF($A953&lt;VLOOKUP(R$5,NFI,5,0),1,0)*Table_NFI[[#This Row],[Winter Clothes Adult]],Table_NFI[Winter Clothes Adult])</f>
        <v>0</v>
      </c>
      <c r="AJ953" s="436">
        <f>IF(NFI_Expiration=1,IF($A953&lt;VLOOKUP(S$5,NFI,5,0),1,0)*Table_NFI[[#This Row],[Winter Clothes Children]],Table_NFI[Winter Clothes Children])</f>
        <v>0</v>
      </c>
      <c r="AK953" s="436">
        <f>IF(NFI_Expiration=1,IF($A953&lt;VLOOKUP(T$5,NFI,5,0),1,0)*Table_NFI[[#This Row],[Winter Items Other]],Table_NFI[Winter Items Other])</f>
        <v>0</v>
      </c>
      <c r="AL953" s="436">
        <f>IF(NFI_Expiration=1,IF($A953&lt;VLOOKUP(M$5,NFI,5,0),1,0)*Table_NFI[[#This Row],[Winter Blanket]],Table_NFI[[#This Row],[Winter Blanket]])</f>
        <v>0</v>
      </c>
      <c r="AM953" s="436">
        <f>IF(Table_NFI[[#This Row],[Winter Clothes Adult]]+Table_NFI[[#This Row],[Winter Clothes Children]]+Table_NFI[[#This Row],[Winter Items Other]]+Table_NFI[[#This Row],[Winter Blanket]]&gt;0,1,0)</f>
        <v>0</v>
      </c>
      <c r="AN953" s="439">
        <f>IF(NFI_Expiration=1,IF($A953&lt;VLOOKUP(V$5,NFI,5,0),1,0)*Table_NFI[[#This Row],[Jerry Can]],Table_NFI[Jerry Can])</f>
        <v>0</v>
      </c>
      <c r="AO953" s="835" t="str">
        <f>IFERROR(VLOOKUP(Table_NFI[[#This Row],[Camp Name]],CL,2,0),"")</f>
        <v/>
      </c>
      <c r="AP953" s="836" t="str">
        <f ca="1">IF(Table_NFI[[#This Row],[Pcode]]="","",IF(OFFSET(CampList[Opening Date],MATCH(Table_NFI[[#This Row],[Pcode]],CampList[CP_Pcode],0)-1,0,1,1)&gt;=NFI_Monitor_Date,1,0))</f>
        <v/>
      </c>
      <c r="AQ953" s="835" t="str">
        <f>IFERROR(VLOOKUP(Table_NFI[[#This Row],[Camp Name]],CL,3,0),"")</f>
        <v/>
      </c>
      <c r="AR953" s="832" t="str">
        <f ca="1">IF(Table_NFI[[#This Row],[Pcode]]="","",OFFSET(CampList[Priority],MATCH(Table_NFI[[#This Row],[Pcode]],CampList[CP_Pcode],0)-1,0,1,1))</f>
        <v/>
      </c>
      <c r="AS953" s="837" t="str">
        <f>IFERROR(Table_NFI[[#This Row],[Kitchen Set]]/VLOOKUP(Table_NFI[[#This Row],[Camp Name]],CL,4,0),"")</f>
        <v/>
      </c>
      <c r="AT953" s="769" t="s">
        <v>1099</v>
      </c>
      <c r="AU953" s="838"/>
    </row>
    <row r="954" spans="1:47" s="798" customFormat="1" ht="15.75" customHeight="1" x14ac:dyDescent="0.25">
      <c r="A954" s="451" t="str">
        <f t="shared" si="14"/>
        <v/>
      </c>
      <c r="B954" s="829"/>
      <c r="C954" s="830"/>
      <c r="D954" s="830"/>
      <c r="E954" s="830"/>
      <c r="F954" s="830"/>
      <c r="G954" s="830"/>
      <c r="H954" s="831"/>
      <c r="I954" s="831"/>
      <c r="J954" s="831"/>
      <c r="K954" s="831"/>
      <c r="L954" s="831"/>
      <c r="M954" s="831"/>
      <c r="N954" s="831"/>
      <c r="O954" s="831"/>
      <c r="P954" s="832"/>
      <c r="Q954" s="832"/>
      <c r="R954" s="832"/>
      <c r="S954" s="832"/>
      <c r="T954" s="832"/>
      <c r="U954" s="832"/>
      <c r="V954" s="833"/>
      <c r="W954" s="834"/>
      <c r="X954" s="834"/>
      <c r="Y954" s="436">
        <f>IF(NFI_Expiration=1,IF($A954&lt;VLOOKUP(H$5,NFI,5,0),1,0)*Table_NFI[[#This Row],[Hygiene Kit]],Table_NFI[Hygiene Kit])</f>
        <v>0</v>
      </c>
      <c r="Z954" s="436">
        <f>IF(NFI_Expiration=1,IF($A954&lt;VLOOKUP(I$5,NFI,5,0),1,0)*Table_NFI[[#This Row],[NFI Core Kit]],Table_NFI[NFI Core Kit])</f>
        <v>0</v>
      </c>
      <c r="AA954" s="436">
        <f>IF(NFI_Expiration=1,IF($A954&lt;VLOOKUP(J$5,NFI,5,0),1,0)*Table_NFI[[#This Row],[Sanitary Kit]],Table_NFI[Sanitary Kit])</f>
        <v>0</v>
      </c>
      <c r="AB954" s="436">
        <f>IF(NFI_Expiration=1,IF($A954&lt;VLOOKUP(K$5,NFI,5,0),1,0)*Table_NFI[[#This Row],[Mosquito net]],Table_NFI[Mosquito net])</f>
        <v>0</v>
      </c>
      <c r="AC954" s="436">
        <f>IF(NFI_Expiration=1,IF($A954&lt;VLOOKUP(L$5,NFI,5,0),1,0)*Table_NFI[[#This Row],[Tarpaulin]],Table_NFI[[#This Row],[Tarpaulin]])</f>
        <v>0</v>
      </c>
      <c r="AD954" s="436">
        <f>IF(NFI_Expiration=1,IF($A954&lt;VLOOKUP(M$5,NFI,5,0),1,0)*Table_NFI[[#This Row],[Blanket]],Table_NFI[[#This Row],[Blanket]])</f>
        <v>0</v>
      </c>
      <c r="AE954" s="436">
        <f>IF(NFI_Expiration=1,IF($A954&lt;VLOOKUP(N$5,NFI,5,0),1,0)*Table_NFI[[#This Row],[Kitchen Set]],Table_NFI[Kitchen Set])</f>
        <v>0</v>
      </c>
      <c r="AF954" s="436">
        <f>IF(NFI_Expiration=1,IF($A954&lt;VLOOKUP(O$5,NFI,5,0),1,0)*Table_NFI[[#This Row],[Clothes Kit]],Table_NFI[Clothes Kit])</f>
        <v>0</v>
      </c>
      <c r="AG954" s="436">
        <f>IF(NFI_Expiration=1,IF($A954&lt;VLOOKUP(P$5,NFI,5,0),1,0)*Table_NFI[[#This Row],[Plastic Bucket]],Table_NFI[Plastic Bucket])</f>
        <v>0</v>
      </c>
      <c r="AH954" s="436">
        <f>IF(NFI_Expiration=1,IF($A954&lt;VLOOKUP(Q$5,NFI,5,0),1,0)*Table_NFI[[#This Row],[Plastic Mat]],Table_NFI[Plastic Mat])*IF(Table_NFI[[#This Row],[Distribution Date]]&gt;"2014-04-01",1,2.5)</f>
        <v>0</v>
      </c>
      <c r="AI954" s="436">
        <f>IF(NFI_Expiration=1,IF($A954&lt;VLOOKUP(R$5,NFI,5,0),1,0)*Table_NFI[[#This Row],[Winter Clothes Adult]],Table_NFI[Winter Clothes Adult])</f>
        <v>0</v>
      </c>
      <c r="AJ954" s="436">
        <f>IF(NFI_Expiration=1,IF($A954&lt;VLOOKUP(S$5,NFI,5,0),1,0)*Table_NFI[[#This Row],[Winter Clothes Children]],Table_NFI[Winter Clothes Children])</f>
        <v>0</v>
      </c>
      <c r="AK954" s="436">
        <f>IF(NFI_Expiration=1,IF($A954&lt;VLOOKUP(T$5,NFI,5,0),1,0)*Table_NFI[[#This Row],[Winter Items Other]],Table_NFI[Winter Items Other])</f>
        <v>0</v>
      </c>
      <c r="AL954" s="436">
        <f>IF(NFI_Expiration=1,IF($A954&lt;VLOOKUP(M$5,NFI,5,0),1,0)*Table_NFI[[#This Row],[Winter Blanket]],Table_NFI[[#This Row],[Winter Blanket]])</f>
        <v>0</v>
      </c>
      <c r="AM954" s="436">
        <f>IF(Table_NFI[[#This Row],[Winter Clothes Adult]]+Table_NFI[[#This Row],[Winter Clothes Children]]+Table_NFI[[#This Row],[Winter Items Other]]+Table_NFI[[#This Row],[Winter Blanket]]&gt;0,1,0)</f>
        <v>0</v>
      </c>
      <c r="AN954" s="439">
        <f>IF(NFI_Expiration=1,IF($A954&lt;VLOOKUP(V$5,NFI,5,0),1,0)*Table_NFI[[#This Row],[Jerry Can]],Table_NFI[Jerry Can])</f>
        <v>0</v>
      </c>
      <c r="AO954" s="835" t="str">
        <f>IFERROR(VLOOKUP(Table_NFI[[#This Row],[Camp Name]],CL,2,0),"")</f>
        <v/>
      </c>
      <c r="AP954" s="836" t="str">
        <f ca="1">IF(Table_NFI[[#This Row],[Pcode]]="","",IF(OFFSET(CampList[Opening Date],MATCH(Table_NFI[[#This Row],[Pcode]],CampList[CP_Pcode],0)-1,0,1,1)&gt;=NFI_Monitor_Date,1,0))</f>
        <v/>
      </c>
      <c r="AQ954" s="835" t="str">
        <f>IFERROR(VLOOKUP(Table_NFI[[#This Row],[Camp Name]],CL,3,0),"")</f>
        <v/>
      </c>
      <c r="AR954" s="832" t="str">
        <f ca="1">IF(Table_NFI[[#This Row],[Pcode]]="","",OFFSET(CampList[Priority],MATCH(Table_NFI[[#This Row],[Pcode]],CampList[CP_Pcode],0)-1,0,1,1))</f>
        <v/>
      </c>
      <c r="AS954" s="837" t="str">
        <f>IFERROR(Table_NFI[[#This Row],[Kitchen Set]]/VLOOKUP(Table_NFI[[#This Row],[Camp Name]],CL,4,0),"")</f>
        <v/>
      </c>
      <c r="AT954" s="769" t="s">
        <v>1099</v>
      </c>
      <c r="AU954" s="838"/>
    </row>
    <row r="955" spans="1:47" s="798" customFormat="1" ht="15.75" customHeight="1" x14ac:dyDescent="0.25">
      <c r="A955" s="451" t="str">
        <f t="shared" si="14"/>
        <v/>
      </c>
      <c r="B955" s="829"/>
      <c r="C955" s="830"/>
      <c r="D955" s="830"/>
      <c r="E955" s="830"/>
      <c r="F955" s="830"/>
      <c r="G955" s="830"/>
      <c r="H955" s="831"/>
      <c r="I955" s="831"/>
      <c r="J955" s="831"/>
      <c r="K955" s="831"/>
      <c r="L955" s="831"/>
      <c r="M955" s="831"/>
      <c r="N955" s="831"/>
      <c r="O955" s="831"/>
      <c r="P955" s="832"/>
      <c r="Q955" s="832"/>
      <c r="R955" s="832"/>
      <c r="S955" s="832"/>
      <c r="T955" s="832"/>
      <c r="U955" s="832"/>
      <c r="V955" s="833"/>
      <c r="W955" s="834"/>
      <c r="X955" s="834"/>
      <c r="Y955" s="436">
        <f>IF(NFI_Expiration=1,IF($A955&lt;VLOOKUP(H$5,NFI,5,0),1,0)*Table_NFI[[#This Row],[Hygiene Kit]],Table_NFI[Hygiene Kit])</f>
        <v>0</v>
      </c>
      <c r="Z955" s="436">
        <f>IF(NFI_Expiration=1,IF($A955&lt;VLOOKUP(I$5,NFI,5,0),1,0)*Table_NFI[[#This Row],[NFI Core Kit]],Table_NFI[NFI Core Kit])</f>
        <v>0</v>
      </c>
      <c r="AA955" s="436">
        <f>IF(NFI_Expiration=1,IF($A955&lt;VLOOKUP(J$5,NFI,5,0),1,0)*Table_NFI[[#This Row],[Sanitary Kit]],Table_NFI[Sanitary Kit])</f>
        <v>0</v>
      </c>
      <c r="AB955" s="436">
        <f>IF(NFI_Expiration=1,IF($A955&lt;VLOOKUP(K$5,NFI,5,0),1,0)*Table_NFI[[#This Row],[Mosquito net]],Table_NFI[Mosquito net])</f>
        <v>0</v>
      </c>
      <c r="AC955" s="436">
        <f>IF(NFI_Expiration=1,IF($A955&lt;VLOOKUP(L$5,NFI,5,0),1,0)*Table_NFI[[#This Row],[Tarpaulin]],Table_NFI[[#This Row],[Tarpaulin]])</f>
        <v>0</v>
      </c>
      <c r="AD955" s="436">
        <f>IF(NFI_Expiration=1,IF($A955&lt;VLOOKUP(M$5,NFI,5,0),1,0)*Table_NFI[[#This Row],[Blanket]],Table_NFI[[#This Row],[Blanket]])</f>
        <v>0</v>
      </c>
      <c r="AE955" s="436">
        <f>IF(NFI_Expiration=1,IF($A955&lt;VLOOKUP(N$5,NFI,5,0),1,0)*Table_NFI[[#This Row],[Kitchen Set]],Table_NFI[Kitchen Set])</f>
        <v>0</v>
      </c>
      <c r="AF955" s="436">
        <f>IF(NFI_Expiration=1,IF($A955&lt;VLOOKUP(O$5,NFI,5,0),1,0)*Table_NFI[[#This Row],[Clothes Kit]],Table_NFI[Clothes Kit])</f>
        <v>0</v>
      </c>
      <c r="AG955" s="436">
        <f>IF(NFI_Expiration=1,IF($A955&lt;VLOOKUP(P$5,NFI,5,0),1,0)*Table_NFI[[#This Row],[Plastic Bucket]],Table_NFI[Plastic Bucket])</f>
        <v>0</v>
      </c>
      <c r="AH955" s="436">
        <f>IF(NFI_Expiration=1,IF($A955&lt;VLOOKUP(Q$5,NFI,5,0),1,0)*Table_NFI[[#This Row],[Plastic Mat]],Table_NFI[Plastic Mat])*IF(Table_NFI[[#This Row],[Distribution Date]]&gt;"2014-04-01",1,2.5)</f>
        <v>0</v>
      </c>
      <c r="AI955" s="436">
        <f>IF(NFI_Expiration=1,IF($A955&lt;VLOOKUP(R$5,NFI,5,0),1,0)*Table_NFI[[#This Row],[Winter Clothes Adult]],Table_NFI[Winter Clothes Adult])</f>
        <v>0</v>
      </c>
      <c r="AJ955" s="436">
        <f>IF(NFI_Expiration=1,IF($A955&lt;VLOOKUP(S$5,NFI,5,0),1,0)*Table_NFI[[#This Row],[Winter Clothes Children]],Table_NFI[Winter Clothes Children])</f>
        <v>0</v>
      </c>
      <c r="AK955" s="436">
        <f>IF(NFI_Expiration=1,IF($A955&lt;VLOOKUP(T$5,NFI,5,0),1,0)*Table_NFI[[#This Row],[Winter Items Other]],Table_NFI[Winter Items Other])</f>
        <v>0</v>
      </c>
      <c r="AL955" s="436">
        <f>IF(NFI_Expiration=1,IF($A955&lt;VLOOKUP(M$5,NFI,5,0),1,0)*Table_NFI[[#This Row],[Winter Blanket]],Table_NFI[[#This Row],[Winter Blanket]])</f>
        <v>0</v>
      </c>
      <c r="AM955" s="436">
        <f>IF(Table_NFI[[#This Row],[Winter Clothes Adult]]+Table_NFI[[#This Row],[Winter Clothes Children]]+Table_NFI[[#This Row],[Winter Items Other]]+Table_NFI[[#This Row],[Winter Blanket]]&gt;0,1,0)</f>
        <v>0</v>
      </c>
      <c r="AN955" s="439">
        <f>IF(NFI_Expiration=1,IF($A955&lt;VLOOKUP(V$5,NFI,5,0),1,0)*Table_NFI[[#This Row],[Jerry Can]],Table_NFI[Jerry Can])</f>
        <v>0</v>
      </c>
      <c r="AO955" s="835" t="str">
        <f>IFERROR(VLOOKUP(Table_NFI[[#This Row],[Camp Name]],CL,2,0),"")</f>
        <v/>
      </c>
      <c r="AP955" s="836" t="str">
        <f ca="1">IF(Table_NFI[[#This Row],[Pcode]]="","",IF(OFFSET(CampList[Opening Date],MATCH(Table_NFI[[#This Row],[Pcode]],CampList[CP_Pcode],0)-1,0,1,1)&gt;=NFI_Monitor_Date,1,0))</f>
        <v/>
      </c>
      <c r="AQ955" s="835" t="str">
        <f>IFERROR(VLOOKUP(Table_NFI[[#This Row],[Camp Name]],CL,3,0),"")</f>
        <v/>
      </c>
      <c r="AR955" s="832" t="str">
        <f ca="1">IF(Table_NFI[[#This Row],[Pcode]]="","",OFFSET(CampList[Priority],MATCH(Table_NFI[[#This Row],[Pcode]],CampList[CP_Pcode],0)-1,0,1,1))</f>
        <v/>
      </c>
      <c r="AS955" s="837" t="str">
        <f>IFERROR(Table_NFI[[#This Row],[Kitchen Set]]/VLOOKUP(Table_NFI[[#This Row],[Camp Name]],CL,4,0),"")</f>
        <v/>
      </c>
      <c r="AT955" s="769" t="s">
        <v>1099</v>
      </c>
      <c r="AU955" s="838"/>
    </row>
    <row r="956" spans="1:47" s="798" customFormat="1" ht="15.75" customHeight="1" x14ac:dyDescent="0.25">
      <c r="A956" s="451" t="str">
        <f t="shared" si="14"/>
        <v/>
      </c>
      <c r="B956" s="829"/>
      <c r="C956" s="830"/>
      <c r="D956" s="830"/>
      <c r="E956" s="830"/>
      <c r="F956" s="830"/>
      <c r="G956" s="830"/>
      <c r="H956" s="831"/>
      <c r="I956" s="831"/>
      <c r="J956" s="831"/>
      <c r="K956" s="831"/>
      <c r="L956" s="831"/>
      <c r="M956" s="831"/>
      <c r="N956" s="831"/>
      <c r="O956" s="831"/>
      <c r="P956" s="832"/>
      <c r="Q956" s="832"/>
      <c r="R956" s="832"/>
      <c r="S956" s="832"/>
      <c r="T956" s="832"/>
      <c r="U956" s="832"/>
      <c r="V956" s="833"/>
      <c r="W956" s="834"/>
      <c r="X956" s="834"/>
      <c r="Y956" s="436">
        <f>IF(NFI_Expiration=1,IF($A956&lt;VLOOKUP(H$5,NFI,5,0),1,0)*Table_NFI[[#This Row],[Hygiene Kit]],Table_NFI[Hygiene Kit])</f>
        <v>0</v>
      </c>
      <c r="Z956" s="436">
        <f>IF(NFI_Expiration=1,IF($A956&lt;VLOOKUP(I$5,NFI,5,0),1,0)*Table_NFI[[#This Row],[NFI Core Kit]],Table_NFI[NFI Core Kit])</f>
        <v>0</v>
      </c>
      <c r="AA956" s="436">
        <f>IF(NFI_Expiration=1,IF($A956&lt;VLOOKUP(J$5,NFI,5,0),1,0)*Table_NFI[[#This Row],[Sanitary Kit]],Table_NFI[Sanitary Kit])</f>
        <v>0</v>
      </c>
      <c r="AB956" s="436">
        <f>IF(NFI_Expiration=1,IF($A956&lt;VLOOKUP(K$5,NFI,5,0),1,0)*Table_NFI[[#This Row],[Mosquito net]],Table_NFI[Mosquito net])</f>
        <v>0</v>
      </c>
      <c r="AC956" s="436">
        <f>IF(NFI_Expiration=1,IF($A956&lt;VLOOKUP(L$5,NFI,5,0),1,0)*Table_NFI[[#This Row],[Tarpaulin]],Table_NFI[[#This Row],[Tarpaulin]])</f>
        <v>0</v>
      </c>
      <c r="AD956" s="436">
        <f>IF(NFI_Expiration=1,IF($A956&lt;VLOOKUP(M$5,NFI,5,0),1,0)*Table_NFI[[#This Row],[Blanket]],Table_NFI[[#This Row],[Blanket]])</f>
        <v>0</v>
      </c>
      <c r="AE956" s="436">
        <f>IF(NFI_Expiration=1,IF($A956&lt;VLOOKUP(N$5,NFI,5,0),1,0)*Table_NFI[[#This Row],[Kitchen Set]],Table_NFI[Kitchen Set])</f>
        <v>0</v>
      </c>
      <c r="AF956" s="436">
        <f>IF(NFI_Expiration=1,IF($A956&lt;VLOOKUP(O$5,NFI,5,0),1,0)*Table_NFI[[#This Row],[Clothes Kit]],Table_NFI[Clothes Kit])</f>
        <v>0</v>
      </c>
      <c r="AG956" s="436">
        <f>IF(NFI_Expiration=1,IF($A956&lt;VLOOKUP(P$5,NFI,5,0),1,0)*Table_NFI[[#This Row],[Plastic Bucket]],Table_NFI[Plastic Bucket])</f>
        <v>0</v>
      </c>
      <c r="AH956" s="436">
        <f>IF(NFI_Expiration=1,IF($A956&lt;VLOOKUP(Q$5,NFI,5,0),1,0)*Table_NFI[[#This Row],[Plastic Mat]],Table_NFI[Plastic Mat])*IF(Table_NFI[[#This Row],[Distribution Date]]&gt;"2014-04-01",1,2.5)</f>
        <v>0</v>
      </c>
      <c r="AI956" s="436">
        <f>IF(NFI_Expiration=1,IF($A956&lt;VLOOKUP(R$5,NFI,5,0),1,0)*Table_NFI[[#This Row],[Winter Clothes Adult]],Table_NFI[Winter Clothes Adult])</f>
        <v>0</v>
      </c>
      <c r="AJ956" s="436">
        <f>IF(NFI_Expiration=1,IF($A956&lt;VLOOKUP(S$5,NFI,5,0),1,0)*Table_NFI[[#This Row],[Winter Clothes Children]],Table_NFI[Winter Clothes Children])</f>
        <v>0</v>
      </c>
      <c r="AK956" s="436">
        <f>IF(NFI_Expiration=1,IF($A956&lt;VLOOKUP(T$5,NFI,5,0),1,0)*Table_NFI[[#This Row],[Winter Items Other]],Table_NFI[Winter Items Other])</f>
        <v>0</v>
      </c>
      <c r="AL956" s="436">
        <f>IF(NFI_Expiration=1,IF($A956&lt;VLOOKUP(M$5,NFI,5,0),1,0)*Table_NFI[[#This Row],[Winter Blanket]],Table_NFI[[#This Row],[Winter Blanket]])</f>
        <v>0</v>
      </c>
      <c r="AM956" s="436">
        <f>IF(Table_NFI[[#This Row],[Winter Clothes Adult]]+Table_NFI[[#This Row],[Winter Clothes Children]]+Table_NFI[[#This Row],[Winter Items Other]]+Table_NFI[[#This Row],[Winter Blanket]]&gt;0,1,0)</f>
        <v>0</v>
      </c>
      <c r="AN956" s="439">
        <f>IF(NFI_Expiration=1,IF($A956&lt;VLOOKUP(V$5,NFI,5,0),1,0)*Table_NFI[[#This Row],[Jerry Can]],Table_NFI[Jerry Can])</f>
        <v>0</v>
      </c>
      <c r="AO956" s="835" t="str">
        <f>IFERROR(VLOOKUP(Table_NFI[[#This Row],[Camp Name]],CL,2,0),"")</f>
        <v/>
      </c>
      <c r="AP956" s="836" t="str">
        <f ca="1">IF(Table_NFI[[#This Row],[Pcode]]="","",IF(OFFSET(CampList[Opening Date],MATCH(Table_NFI[[#This Row],[Pcode]],CampList[CP_Pcode],0)-1,0,1,1)&gt;=NFI_Monitor_Date,1,0))</f>
        <v/>
      </c>
      <c r="AQ956" s="835" t="str">
        <f>IFERROR(VLOOKUP(Table_NFI[[#This Row],[Camp Name]],CL,3,0),"")</f>
        <v/>
      </c>
      <c r="AR956" s="832" t="str">
        <f ca="1">IF(Table_NFI[[#This Row],[Pcode]]="","",OFFSET(CampList[Priority],MATCH(Table_NFI[[#This Row],[Pcode]],CampList[CP_Pcode],0)-1,0,1,1))</f>
        <v/>
      </c>
      <c r="AS956" s="837" t="str">
        <f>IFERROR(Table_NFI[[#This Row],[Kitchen Set]]/VLOOKUP(Table_NFI[[#This Row],[Camp Name]],CL,4,0),"")</f>
        <v/>
      </c>
      <c r="AT956" s="769" t="s">
        <v>1099</v>
      </c>
      <c r="AU956" s="838"/>
    </row>
    <row r="957" spans="1:47" s="798" customFormat="1" x14ac:dyDescent="0.25">
      <c r="A957" s="451" t="str">
        <f t="shared" si="14"/>
        <v/>
      </c>
      <c r="B957" s="829"/>
      <c r="C957" s="830"/>
      <c r="D957" s="830"/>
      <c r="E957" s="830"/>
      <c r="F957" s="830"/>
      <c r="G957" s="830"/>
      <c r="H957" s="831"/>
      <c r="I957" s="831"/>
      <c r="J957" s="831"/>
      <c r="K957" s="831"/>
      <c r="L957" s="831"/>
      <c r="M957" s="831"/>
      <c r="N957" s="831"/>
      <c r="O957" s="831"/>
      <c r="P957" s="832"/>
      <c r="Q957" s="832"/>
      <c r="R957" s="832"/>
      <c r="S957" s="832"/>
      <c r="T957" s="832"/>
      <c r="U957" s="832"/>
      <c r="V957" s="833"/>
      <c r="W957" s="834"/>
      <c r="X957" s="834"/>
      <c r="Y957" s="436">
        <f>IF(NFI_Expiration=1,IF($A957&lt;VLOOKUP(H$5,NFI,5,0),1,0)*Table_NFI[[#This Row],[Hygiene Kit]],Table_NFI[Hygiene Kit])</f>
        <v>0</v>
      </c>
      <c r="Z957" s="436">
        <f>IF(NFI_Expiration=1,IF($A957&lt;VLOOKUP(I$5,NFI,5,0),1,0)*Table_NFI[[#This Row],[NFI Core Kit]],Table_NFI[NFI Core Kit])</f>
        <v>0</v>
      </c>
      <c r="AA957" s="436">
        <f>IF(NFI_Expiration=1,IF($A957&lt;VLOOKUP(J$5,NFI,5,0),1,0)*Table_NFI[[#This Row],[Sanitary Kit]],Table_NFI[Sanitary Kit])</f>
        <v>0</v>
      </c>
      <c r="AB957" s="436">
        <f>IF(NFI_Expiration=1,IF($A957&lt;VLOOKUP(K$5,NFI,5,0),1,0)*Table_NFI[[#This Row],[Mosquito net]],Table_NFI[Mosquito net])</f>
        <v>0</v>
      </c>
      <c r="AC957" s="436">
        <f>IF(NFI_Expiration=1,IF($A957&lt;VLOOKUP(L$5,NFI,5,0),1,0)*Table_NFI[[#This Row],[Tarpaulin]],Table_NFI[[#This Row],[Tarpaulin]])</f>
        <v>0</v>
      </c>
      <c r="AD957" s="436">
        <f>IF(NFI_Expiration=1,IF($A957&lt;VLOOKUP(M$5,NFI,5,0),1,0)*Table_NFI[[#This Row],[Blanket]],Table_NFI[[#This Row],[Blanket]])</f>
        <v>0</v>
      </c>
      <c r="AE957" s="436">
        <f>IF(NFI_Expiration=1,IF($A957&lt;VLOOKUP(N$5,NFI,5,0),1,0)*Table_NFI[[#This Row],[Kitchen Set]],Table_NFI[Kitchen Set])</f>
        <v>0</v>
      </c>
      <c r="AF957" s="436">
        <f>IF(NFI_Expiration=1,IF($A957&lt;VLOOKUP(O$5,NFI,5,0),1,0)*Table_NFI[[#This Row],[Clothes Kit]],Table_NFI[Clothes Kit])</f>
        <v>0</v>
      </c>
      <c r="AG957" s="436">
        <f>IF(NFI_Expiration=1,IF($A957&lt;VLOOKUP(P$5,NFI,5,0),1,0)*Table_NFI[[#This Row],[Plastic Bucket]],Table_NFI[Plastic Bucket])</f>
        <v>0</v>
      </c>
      <c r="AH957" s="436">
        <f>IF(NFI_Expiration=1,IF($A957&lt;VLOOKUP(Q$5,NFI,5,0),1,0)*Table_NFI[[#This Row],[Plastic Mat]],Table_NFI[Plastic Mat])*IF(Table_NFI[[#This Row],[Distribution Date]]&gt;"2014-04-01",1,2.5)</f>
        <v>0</v>
      </c>
      <c r="AI957" s="436">
        <f>IF(NFI_Expiration=1,IF($A957&lt;VLOOKUP(R$5,NFI,5,0),1,0)*Table_NFI[[#This Row],[Winter Clothes Adult]],Table_NFI[Winter Clothes Adult])</f>
        <v>0</v>
      </c>
      <c r="AJ957" s="436">
        <f>IF(NFI_Expiration=1,IF($A957&lt;VLOOKUP(S$5,NFI,5,0),1,0)*Table_NFI[[#This Row],[Winter Clothes Children]],Table_NFI[Winter Clothes Children])</f>
        <v>0</v>
      </c>
      <c r="AK957" s="436">
        <f>IF(NFI_Expiration=1,IF($A957&lt;VLOOKUP(T$5,NFI,5,0),1,0)*Table_NFI[[#This Row],[Winter Items Other]],Table_NFI[Winter Items Other])</f>
        <v>0</v>
      </c>
      <c r="AL957" s="436">
        <f>IF(NFI_Expiration=1,IF($A957&lt;VLOOKUP(M$5,NFI,5,0),1,0)*Table_NFI[[#This Row],[Winter Blanket]],Table_NFI[[#This Row],[Winter Blanket]])</f>
        <v>0</v>
      </c>
      <c r="AM957" s="436">
        <f>IF(Table_NFI[[#This Row],[Winter Clothes Adult]]+Table_NFI[[#This Row],[Winter Clothes Children]]+Table_NFI[[#This Row],[Winter Items Other]]+Table_NFI[[#This Row],[Winter Blanket]]&gt;0,1,0)</f>
        <v>0</v>
      </c>
      <c r="AN957" s="439">
        <f>IF(NFI_Expiration=1,IF($A957&lt;VLOOKUP(V$5,NFI,5,0),1,0)*Table_NFI[[#This Row],[Jerry Can]],Table_NFI[Jerry Can])</f>
        <v>0</v>
      </c>
      <c r="AO957" s="835" t="str">
        <f>IFERROR(VLOOKUP(Table_NFI[[#This Row],[Camp Name]],CL,2,0),"")</f>
        <v/>
      </c>
      <c r="AP957" s="836" t="str">
        <f ca="1">IF(Table_NFI[[#This Row],[Pcode]]="","",IF(OFFSET(CampList[Opening Date],MATCH(Table_NFI[[#This Row],[Pcode]],CampList[CP_Pcode],0)-1,0,1,1)&gt;=NFI_Monitor_Date,1,0))</f>
        <v/>
      </c>
      <c r="AQ957" s="835" t="str">
        <f>IFERROR(VLOOKUP(Table_NFI[[#This Row],[Camp Name]],CL,3,0),"")</f>
        <v/>
      </c>
      <c r="AR957" s="832" t="str">
        <f ca="1">IF(Table_NFI[[#This Row],[Pcode]]="","",OFFSET(CampList[Priority],MATCH(Table_NFI[[#This Row],[Pcode]],CampList[CP_Pcode],0)-1,0,1,1))</f>
        <v/>
      </c>
      <c r="AS957" s="837" t="str">
        <f>IFERROR(Table_NFI[[#This Row],[Kitchen Set]]/VLOOKUP(Table_NFI[[#This Row],[Camp Name]],CL,4,0),"")</f>
        <v/>
      </c>
      <c r="AT957" s="769" t="s">
        <v>1099</v>
      </c>
      <c r="AU957" s="838"/>
    </row>
    <row r="958" spans="1:47" x14ac:dyDescent="0.25">
      <c r="A958" s="451" t="str">
        <f t="shared" si="14"/>
        <v/>
      </c>
      <c r="B958" s="829"/>
      <c r="C958" s="830"/>
      <c r="D958" s="830"/>
      <c r="E958" s="830"/>
      <c r="F958" s="830"/>
      <c r="G958" s="830"/>
      <c r="H958" s="831"/>
      <c r="I958" s="831"/>
      <c r="J958" s="831"/>
      <c r="K958" s="831"/>
      <c r="L958" s="831"/>
      <c r="M958" s="831"/>
      <c r="N958" s="831"/>
      <c r="O958" s="831"/>
      <c r="P958" s="832"/>
      <c r="Q958" s="832"/>
      <c r="R958" s="832"/>
      <c r="S958" s="832"/>
      <c r="T958" s="832"/>
      <c r="U958" s="832"/>
      <c r="V958" s="833"/>
      <c r="W958" s="834"/>
      <c r="X958" s="834"/>
      <c r="Y958" s="436">
        <f>IF(NFI_Expiration=1,IF($A958&lt;VLOOKUP(H$5,NFI,5,0),1,0)*Table_NFI[[#This Row],[Hygiene Kit]],Table_NFI[Hygiene Kit])</f>
        <v>0</v>
      </c>
      <c r="Z958" s="436">
        <f>IF(NFI_Expiration=1,IF($A958&lt;VLOOKUP(I$5,NFI,5,0),1,0)*Table_NFI[[#This Row],[NFI Core Kit]],Table_NFI[NFI Core Kit])</f>
        <v>0</v>
      </c>
      <c r="AA958" s="436">
        <f>IF(NFI_Expiration=1,IF($A958&lt;VLOOKUP(J$5,NFI,5,0),1,0)*Table_NFI[[#This Row],[Sanitary Kit]],Table_NFI[Sanitary Kit])</f>
        <v>0</v>
      </c>
      <c r="AB958" s="436">
        <f>IF(NFI_Expiration=1,IF($A958&lt;VLOOKUP(K$5,NFI,5,0),1,0)*Table_NFI[[#This Row],[Mosquito net]],Table_NFI[Mosquito net])</f>
        <v>0</v>
      </c>
      <c r="AC958" s="436">
        <f>IF(NFI_Expiration=1,IF($A958&lt;VLOOKUP(L$5,NFI,5,0),1,0)*Table_NFI[[#This Row],[Tarpaulin]],Table_NFI[[#This Row],[Tarpaulin]])</f>
        <v>0</v>
      </c>
      <c r="AD958" s="436">
        <f>IF(NFI_Expiration=1,IF($A958&lt;VLOOKUP(M$5,NFI,5,0),1,0)*Table_NFI[[#This Row],[Blanket]],Table_NFI[[#This Row],[Blanket]])</f>
        <v>0</v>
      </c>
      <c r="AE958" s="436">
        <f>IF(NFI_Expiration=1,IF($A958&lt;VLOOKUP(N$5,NFI,5,0),1,0)*Table_NFI[[#This Row],[Kitchen Set]],Table_NFI[Kitchen Set])</f>
        <v>0</v>
      </c>
      <c r="AF958" s="436">
        <f>IF(NFI_Expiration=1,IF($A958&lt;VLOOKUP(O$5,NFI,5,0),1,0)*Table_NFI[[#This Row],[Clothes Kit]],Table_NFI[Clothes Kit])</f>
        <v>0</v>
      </c>
      <c r="AG958" s="436">
        <f>IF(NFI_Expiration=1,IF($A958&lt;VLOOKUP(P$5,NFI,5,0),1,0)*Table_NFI[[#This Row],[Plastic Bucket]],Table_NFI[Plastic Bucket])</f>
        <v>0</v>
      </c>
      <c r="AH958" s="436">
        <f>IF(NFI_Expiration=1,IF($A958&lt;VLOOKUP(Q$5,NFI,5,0),1,0)*Table_NFI[[#This Row],[Plastic Mat]],Table_NFI[Plastic Mat])*IF(Table_NFI[[#This Row],[Distribution Date]]&gt;"2014-04-01",1,2.5)</f>
        <v>0</v>
      </c>
      <c r="AI958" s="436">
        <f>IF(NFI_Expiration=1,IF($A958&lt;VLOOKUP(R$5,NFI,5,0),1,0)*Table_NFI[[#This Row],[Winter Clothes Adult]],Table_NFI[Winter Clothes Adult])</f>
        <v>0</v>
      </c>
      <c r="AJ958" s="436">
        <f>IF(NFI_Expiration=1,IF($A958&lt;VLOOKUP(S$5,NFI,5,0),1,0)*Table_NFI[[#This Row],[Winter Clothes Children]],Table_NFI[Winter Clothes Children])</f>
        <v>0</v>
      </c>
      <c r="AK958" s="436">
        <f>IF(NFI_Expiration=1,IF($A958&lt;VLOOKUP(T$5,NFI,5,0),1,0)*Table_NFI[[#This Row],[Winter Items Other]],Table_NFI[Winter Items Other])</f>
        <v>0</v>
      </c>
      <c r="AL958" s="436">
        <f>IF(NFI_Expiration=1,IF($A958&lt;VLOOKUP(M$5,NFI,5,0),1,0)*Table_NFI[[#This Row],[Winter Blanket]],Table_NFI[[#This Row],[Winter Blanket]])</f>
        <v>0</v>
      </c>
      <c r="AM958" s="436">
        <f>IF(Table_NFI[[#This Row],[Winter Clothes Adult]]+Table_NFI[[#This Row],[Winter Clothes Children]]+Table_NFI[[#This Row],[Winter Items Other]]+Table_NFI[[#This Row],[Winter Blanket]]&gt;0,1,0)</f>
        <v>0</v>
      </c>
      <c r="AN958" s="439">
        <f>IF(NFI_Expiration=1,IF($A958&lt;VLOOKUP(V$5,NFI,5,0),1,0)*Table_NFI[[#This Row],[Jerry Can]],Table_NFI[Jerry Can])</f>
        <v>0</v>
      </c>
      <c r="AO958" s="835" t="str">
        <f>IFERROR(VLOOKUP(Table_NFI[[#This Row],[Camp Name]],CL,2,0),"")</f>
        <v/>
      </c>
      <c r="AP958" s="836" t="str">
        <f ca="1">IF(Table_NFI[[#This Row],[Pcode]]="","",IF(OFFSET(CampList[Opening Date],MATCH(Table_NFI[[#This Row],[Pcode]],CampList[CP_Pcode],0)-1,0,1,1)&gt;=NFI_Monitor_Date,1,0))</f>
        <v/>
      </c>
      <c r="AQ958" s="835" t="str">
        <f>IFERROR(VLOOKUP(Table_NFI[[#This Row],[Camp Name]],CL,3,0),"")</f>
        <v/>
      </c>
      <c r="AR958" s="832" t="str">
        <f ca="1">IF(Table_NFI[[#This Row],[Pcode]]="","",OFFSET(CampList[Priority],MATCH(Table_NFI[[#This Row],[Pcode]],CampList[CP_Pcode],0)-1,0,1,1))</f>
        <v/>
      </c>
      <c r="AS958" s="837" t="str">
        <f>IFERROR(Table_NFI[[#This Row],[Kitchen Set]]/VLOOKUP(Table_NFI[[#This Row],[Camp Name]],CL,4,0),"")</f>
        <v/>
      </c>
      <c r="AT958" s="769" t="s">
        <v>1099</v>
      </c>
      <c r="AU958" s="838"/>
    </row>
    <row r="959" spans="1:47" x14ac:dyDescent="0.25">
      <c r="A959" s="451" t="str">
        <f t="shared" si="14"/>
        <v/>
      </c>
      <c r="B959" s="829"/>
      <c r="C959" s="830"/>
      <c r="D959" s="830"/>
      <c r="E959" s="830"/>
      <c r="F959" s="830"/>
      <c r="G959" s="830"/>
      <c r="H959" s="831"/>
      <c r="I959" s="831"/>
      <c r="J959" s="831"/>
      <c r="K959" s="831"/>
      <c r="L959" s="831"/>
      <c r="M959" s="831"/>
      <c r="N959" s="831"/>
      <c r="O959" s="831"/>
      <c r="P959" s="832"/>
      <c r="Q959" s="832"/>
      <c r="R959" s="832"/>
      <c r="S959" s="832"/>
      <c r="T959" s="832"/>
      <c r="U959" s="832"/>
      <c r="V959" s="833"/>
      <c r="W959" s="834"/>
      <c r="X959" s="834"/>
      <c r="Y959" s="436">
        <f>IF(NFI_Expiration=1,IF($A959&lt;VLOOKUP(H$5,NFI,5,0),1,0)*Table_NFI[[#This Row],[Hygiene Kit]],Table_NFI[Hygiene Kit])</f>
        <v>0</v>
      </c>
      <c r="Z959" s="436">
        <f>IF(NFI_Expiration=1,IF($A959&lt;VLOOKUP(I$5,NFI,5,0),1,0)*Table_NFI[[#This Row],[NFI Core Kit]],Table_NFI[NFI Core Kit])</f>
        <v>0</v>
      </c>
      <c r="AA959" s="436">
        <f>IF(NFI_Expiration=1,IF($A959&lt;VLOOKUP(J$5,NFI,5,0),1,0)*Table_NFI[[#This Row],[Sanitary Kit]],Table_NFI[Sanitary Kit])</f>
        <v>0</v>
      </c>
      <c r="AB959" s="436">
        <f>IF(NFI_Expiration=1,IF($A959&lt;VLOOKUP(K$5,NFI,5,0),1,0)*Table_NFI[[#This Row],[Mosquito net]],Table_NFI[Mosquito net])</f>
        <v>0</v>
      </c>
      <c r="AC959" s="436">
        <f>IF(NFI_Expiration=1,IF($A959&lt;VLOOKUP(L$5,NFI,5,0),1,0)*Table_NFI[[#This Row],[Tarpaulin]],Table_NFI[[#This Row],[Tarpaulin]])</f>
        <v>0</v>
      </c>
      <c r="AD959" s="436">
        <f>IF(NFI_Expiration=1,IF($A959&lt;VLOOKUP(M$5,NFI,5,0),1,0)*Table_NFI[[#This Row],[Blanket]],Table_NFI[[#This Row],[Blanket]])</f>
        <v>0</v>
      </c>
      <c r="AE959" s="436">
        <f>IF(NFI_Expiration=1,IF($A959&lt;VLOOKUP(N$5,NFI,5,0),1,0)*Table_NFI[[#This Row],[Kitchen Set]],Table_NFI[Kitchen Set])</f>
        <v>0</v>
      </c>
      <c r="AF959" s="436">
        <f>IF(NFI_Expiration=1,IF($A959&lt;VLOOKUP(O$5,NFI,5,0),1,0)*Table_NFI[[#This Row],[Clothes Kit]],Table_NFI[Clothes Kit])</f>
        <v>0</v>
      </c>
      <c r="AG959" s="436">
        <f>IF(NFI_Expiration=1,IF($A959&lt;VLOOKUP(P$5,NFI,5,0),1,0)*Table_NFI[[#This Row],[Plastic Bucket]],Table_NFI[Plastic Bucket])</f>
        <v>0</v>
      </c>
      <c r="AH959" s="436">
        <f>IF(NFI_Expiration=1,IF($A959&lt;VLOOKUP(Q$5,NFI,5,0),1,0)*Table_NFI[[#This Row],[Plastic Mat]],Table_NFI[Plastic Mat])*IF(Table_NFI[[#This Row],[Distribution Date]]&gt;"2014-04-01",1,2.5)</f>
        <v>0</v>
      </c>
      <c r="AI959" s="436">
        <f>IF(NFI_Expiration=1,IF($A959&lt;VLOOKUP(R$5,NFI,5,0),1,0)*Table_NFI[[#This Row],[Winter Clothes Adult]],Table_NFI[Winter Clothes Adult])</f>
        <v>0</v>
      </c>
      <c r="AJ959" s="436">
        <f>IF(NFI_Expiration=1,IF($A959&lt;VLOOKUP(S$5,NFI,5,0),1,0)*Table_NFI[[#This Row],[Winter Clothes Children]],Table_NFI[Winter Clothes Children])</f>
        <v>0</v>
      </c>
      <c r="AK959" s="436">
        <f>IF(NFI_Expiration=1,IF($A959&lt;VLOOKUP(T$5,NFI,5,0),1,0)*Table_NFI[[#This Row],[Winter Items Other]],Table_NFI[Winter Items Other])</f>
        <v>0</v>
      </c>
      <c r="AL959" s="436">
        <f>IF(NFI_Expiration=1,IF($A959&lt;VLOOKUP(M$5,NFI,5,0),1,0)*Table_NFI[[#This Row],[Winter Blanket]],Table_NFI[[#This Row],[Winter Blanket]])</f>
        <v>0</v>
      </c>
      <c r="AM959" s="436">
        <f>IF(Table_NFI[[#This Row],[Winter Clothes Adult]]+Table_NFI[[#This Row],[Winter Clothes Children]]+Table_NFI[[#This Row],[Winter Items Other]]+Table_NFI[[#This Row],[Winter Blanket]]&gt;0,1,0)</f>
        <v>0</v>
      </c>
      <c r="AN959" s="439">
        <f>IF(NFI_Expiration=1,IF($A959&lt;VLOOKUP(V$5,NFI,5,0),1,0)*Table_NFI[[#This Row],[Jerry Can]],Table_NFI[Jerry Can])</f>
        <v>0</v>
      </c>
      <c r="AO959" s="835" t="str">
        <f>IFERROR(VLOOKUP(Table_NFI[[#This Row],[Camp Name]],CL,2,0),"")</f>
        <v/>
      </c>
      <c r="AP959" s="836" t="str">
        <f ca="1">IF(Table_NFI[[#This Row],[Pcode]]="","",IF(OFFSET(CampList[Opening Date],MATCH(Table_NFI[[#This Row],[Pcode]],CampList[CP_Pcode],0)-1,0,1,1)&gt;=NFI_Monitor_Date,1,0))</f>
        <v/>
      </c>
      <c r="AQ959" s="835" t="str">
        <f>IFERROR(VLOOKUP(Table_NFI[[#This Row],[Camp Name]],CL,3,0),"")</f>
        <v/>
      </c>
      <c r="AR959" s="832" t="str">
        <f ca="1">IF(Table_NFI[[#This Row],[Pcode]]="","",OFFSET(CampList[Priority],MATCH(Table_NFI[[#This Row],[Pcode]],CampList[CP_Pcode],0)-1,0,1,1))</f>
        <v/>
      </c>
      <c r="AS959" s="837" t="str">
        <f>IFERROR(Table_NFI[[#This Row],[Kitchen Set]]/VLOOKUP(Table_NFI[[#This Row],[Camp Name]],CL,4,0),"")</f>
        <v/>
      </c>
      <c r="AT959" s="769" t="s">
        <v>1099</v>
      </c>
      <c r="AU959" s="838"/>
    </row>
    <row r="960" spans="1:47" x14ac:dyDescent="0.25">
      <c r="A960" s="451" t="str">
        <f t="shared" si="14"/>
        <v/>
      </c>
      <c r="B960" s="829"/>
      <c r="C960" s="830"/>
      <c r="D960" s="830"/>
      <c r="E960" s="830"/>
      <c r="F960" s="830"/>
      <c r="G960" s="830"/>
      <c r="H960" s="831"/>
      <c r="I960" s="831"/>
      <c r="J960" s="831"/>
      <c r="K960" s="831"/>
      <c r="L960" s="831"/>
      <c r="M960" s="831"/>
      <c r="N960" s="831"/>
      <c r="O960" s="831"/>
      <c r="P960" s="832"/>
      <c r="Q960" s="832"/>
      <c r="R960" s="832"/>
      <c r="S960" s="832"/>
      <c r="T960" s="832"/>
      <c r="U960" s="832"/>
      <c r="V960" s="833"/>
      <c r="W960" s="834"/>
      <c r="X960" s="834"/>
      <c r="Y960" s="436">
        <f>IF(NFI_Expiration=1,IF($A960&lt;VLOOKUP(H$5,NFI,5,0),1,0)*Table_NFI[[#This Row],[Hygiene Kit]],Table_NFI[Hygiene Kit])</f>
        <v>0</v>
      </c>
      <c r="Z960" s="436">
        <f>IF(NFI_Expiration=1,IF($A960&lt;VLOOKUP(I$5,NFI,5,0),1,0)*Table_NFI[[#This Row],[NFI Core Kit]],Table_NFI[NFI Core Kit])</f>
        <v>0</v>
      </c>
      <c r="AA960" s="436">
        <f>IF(NFI_Expiration=1,IF($A960&lt;VLOOKUP(J$5,NFI,5,0),1,0)*Table_NFI[[#This Row],[Sanitary Kit]],Table_NFI[Sanitary Kit])</f>
        <v>0</v>
      </c>
      <c r="AB960" s="436">
        <f>IF(NFI_Expiration=1,IF($A960&lt;VLOOKUP(K$5,NFI,5,0),1,0)*Table_NFI[[#This Row],[Mosquito net]],Table_NFI[Mosquito net])</f>
        <v>0</v>
      </c>
      <c r="AC960" s="436">
        <f>IF(NFI_Expiration=1,IF($A960&lt;VLOOKUP(L$5,NFI,5,0),1,0)*Table_NFI[[#This Row],[Tarpaulin]],Table_NFI[[#This Row],[Tarpaulin]])</f>
        <v>0</v>
      </c>
      <c r="AD960" s="436">
        <f>IF(NFI_Expiration=1,IF($A960&lt;VLOOKUP(M$5,NFI,5,0),1,0)*Table_NFI[[#This Row],[Blanket]],Table_NFI[[#This Row],[Blanket]])</f>
        <v>0</v>
      </c>
      <c r="AE960" s="436">
        <f>IF(NFI_Expiration=1,IF($A960&lt;VLOOKUP(N$5,NFI,5,0),1,0)*Table_NFI[[#This Row],[Kitchen Set]],Table_NFI[Kitchen Set])</f>
        <v>0</v>
      </c>
      <c r="AF960" s="436">
        <f>IF(NFI_Expiration=1,IF($A960&lt;VLOOKUP(O$5,NFI,5,0),1,0)*Table_NFI[[#This Row],[Clothes Kit]],Table_NFI[Clothes Kit])</f>
        <v>0</v>
      </c>
      <c r="AG960" s="436">
        <f>IF(NFI_Expiration=1,IF($A960&lt;VLOOKUP(P$5,NFI,5,0),1,0)*Table_NFI[[#This Row],[Plastic Bucket]],Table_NFI[Plastic Bucket])</f>
        <v>0</v>
      </c>
      <c r="AH960" s="436">
        <f>IF(NFI_Expiration=1,IF($A960&lt;VLOOKUP(Q$5,NFI,5,0),1,0)*Table_NFI[[#This Row],[Plastic Mat]],Table_NFI[Plastic Mat])*IF(Table_NFI[[#This Row],[Distribution Date]]&gt;"2014-04-01",1,2.5)</f>
        <v>0</v>
      </c>
      <c r="AI960" s="436">
        <f>IF(NFI_Expiration=1,IF($A960&lt;VLOOKUP(R$5,NFI,5,0),1,0)*Table_NFI[[#This Row],[Winter Clothes Adult]],Table_NFI[Winter Clothes Adult])</f>
        <v>0</v>
      </c>
      <c r="AJ960" s="436">
        <f>IF(NFI_Expiration=1,IF($A960&lt;VLOOKUP(S$5,NFI,5,0),1,0)*Table_NFI[[#This Row],[Winter Clothes Children]],Table_NFI[Winter Clothes Children])</f>
        <v>0</v>
      </c>
      <c r="AK960" s="436">
        <f>IF(NFI_Expiration=1,IF($A960&lt;VLOOKUP(T$5,NFI,5,0),1,0)*Table_NFI[[#This Row],[Winter Items Other]],Table_NFI[Winter Items Other])</f>
        <v>0</v>
      </c>
      <c r="AL960" s="436">
        <f>IF(NFI_Expiration=1,IF($A960&lt;VLOOKUP(M$5,NFI,5,0),1,0)*Table_NFI[[#This Row],[Winter Blanket]],Table_NFI[[#This Row],[Winter Blanket]])</f>
        <v>0</v>
      </c>
      <c r="AM960" s="436">
        <f>IF(Table_NFI[[#This Row],[Winter Clothes Adult]]+Table_NFI[[#This Row],[Winter Clothes Children]]+Table_NFI[[#This Row],[Winter Items Other]]+Table_NFI[[#This Row],[Winter Blanket]]&gt;0,1,0)</f>
        <v>0</v>
      </c>
      <c r="AN960" s="439">
        <f>IF(NFI_Expiration=1,IF($A960&lt;VLOOKUP(V$5,NFI,5,0),1,0)*Table_NFI[[#This Row],[Jerry Can]],Table_NFI[Jerry Can])</f>
        <v>0</v>
      </c>
      <c r="AO960" s="835" t="str">
        <f>IFERROR(VLOOKUP(Table_NFI[[#This Row],[Camp Name]],CL,2,0),"")</f>
        <v/>
      </c>
      <c r="AP960" s="836" t="str">
        <f ca="1">IF(Table_NFI[[#This Row],[Pcode]]="","",IF(OFFSET(CampList[Opening Date],MATCH(Table_NFI[[#This Row],[Pcode]],CampList[CP_Pcode],0)-1,0,1,1)&gt;=NFI_Monitor_Date,1,0))</f>
        <v/>
      </c>
      <c r="AQ960" s="835" t="str">
        <f>IFERROR(VLOOKUP(Table_NFI[[#This Row],[Camp Name]],CL,3,0),"")</f>
        <v/>
      </c>
      <c r="AR960" s="832" t="str">
        <f ca="1">IF(Table_NFI[[#This Row],[Pcode]]="","",OFFSET(CampList[Priority],MATCH(Table_NFI[[#This Row],[Pcode]],CampList[CP_Pcode],0)-1,0,1,1))</f>
        <v/>
      </c>
      <c r="AS960" s="837" t="str">
        <f>IFERROR(Table_NFI[[#This Row],[Kitchen Set]]/VLOOKUP(Table_NFI[[#This Row],[Camp Name]],CL,4,0),"")</f>
        <v/>
      </c>
      <c r="AT960" s="769" t="s">
        <v>1099</v>
      </c>
      <c r="AU960" s="838"/>
    </row>
    <row r="961" spans="1:47" x14ac:dyDescent="0.25">
      <c r="A961" s="451" t="str">
        <f t="shared" si="14"/>
        <v/>
      </c>
      <c r="B961" s="829"/>
      <c r="C961" s="830"/>
      <c r="D961" s="830"/>
      <c r="E961" s="830"/>
      <c r="F961" s="830"/>
      <c r="G961" s="830"/>
      <c r="H961" s="831"/>
      <c r="I961" s="831"/>
      <c r="J961" s="831"/>
      <c r="K961" s="831"/>
      <c r="L961" s="831"/>
      <c r="M961" s="831"/>
      <c r="N961" s="831"/>
      <c r="O961" s="831"/>
      <c r="P961" s="832"/>
      <c r="Q961" s="832"/>
      <c r="R961" s="832"/>
      <c r="S961" s="832"/>
      <c r="T961" s="832"/>
      <c r="U961" s="832"/>
      <c r="V961" s="833"/>
      <c r="W961" s="834"/>
      <c r="X961" s="834"/>
      <c r="Y961" s="436">
        <f>IF(NFI_Expiration=1,IF($A961&lt;VLOOKUP(H$5,NFI,5,0),1,0)*Table_NFI[[#This Row],[Hygiene Kit]],Table_NFI[Hygiene Kit])</f>
        <v>0</v>
      </c>
      <c r="Z961" s="436">
        <f>IF(NFI_Expiration=1,IF($A961&lt;VLOOKUP(I$5,NFI,5,0),1,0)*Table_NFI[[#This Row],[NFI Core Kit]],Table_NFI[NFI Core Kit])</f>
        <v>0</v>
      </c>
      <c r="AA961" s="436">
        <f>IF(NFI_Expiration=1,IF($A961&lt;VLOOKUP(J$5,NFI,5,0),1,0)*Table_NFI[[#This Row],[Sanitary Kit]],Table_NFI[Sanitary Kit])</f>
        <v>0</v>
      </c>
      <c r="AB961" s="436">
        <f>IF(NFI_Expiration=1,IF($A961&lt;VLOOKUP(K$5,NFI,5,0),1,0)*Table_NFI[[#This Row],[Mosquito net]],Table_NFI[Mosquito net])</f>
        <v>0</v>
      </c>
      <c r="AC961" s="436">
        <f>IF(NFI_Expiration=1,IF($A961&lt;VLOOKUP(L$5,NFI,5,0),1,0)*Table_NFI[[#This Row],[Tarpaulin]],Table_NFI[[#This Row],[Tarpaulin]])</f>
        <v>0</v>
      </c>
      <c r="AD961" s="436">
        <f>IF(NFI_Expiration=1,IF($A961&lt;VLOOKUP(M$5,NFI,5,0),1,0)*Table_NFI[[#This Row],[Blanket]],Table_NFI[[#This Row],[Blanket]])</f>
        <v>0</v>
      </c>
      <c r="AE961" s="436">
        <f>IF(NFI_Expiration=1,IF($A961&lt;VLOOKUP(N$5,NFI,5,0),1,0)*Table_NFI[[#This Row],[Kitchen Set]],Table_NFI[Kitchen Set])</f>
        <v>0</v>
      </c>
      <c r="AF961" s="436">
        <f>IF(NFI_Expiration=1,IF($A961&lt;VLOOKUP(O$5,NFI,5,0),1,0)*Table_NFI[[#This Row],[Clothes Kit]],Table_NFI[Clothes Kit])</f>
        <v>0</v>
      </c>
      <c r="AG961" s="436">
        <f>IF(NFI_Expiration=1,IF($A961&lt;VLOOKUP(P$5,NFI,5,0),1,0)*Table_NFI[[#This Row],[Plastic Bucket]],Table_NFI[Plastic Bucket])</f>
        <v>0</v>
      </c>
      <c r="AH961" s="436">
        <f>IF(NFI_Expiration=1,IF($A961&lt;VLOOKUP(Q$5,NFI,5,0),1,0)*Table_NFI[[#This Row],[Plastic Mat]],Table_NFI[Plastic Mat])*IF(Table_NFI[[#This Row],[Distribution Date]]&gt;"2014-04-01",1,2.5)</f>
        <v>0</v>
      </c>
      <c r="AI961" s="436">
        <f>IF(NFI_Expiration=1,IF($A961&lt;VLOOKUP(R$5,NFI,5,0),1,0)*Table_NFI[[#This Row],[Winter Clothes Adult]],Table_NFI[Winter Clothes Adult])</f>
        <v>0</v>
      </c>
      <c r="AJ961" s="436">
        <f>IF(NFI_Expiration=1,IF($A961&lt;VLOOKUP(S$5,NFI,5,0),1,0)*Table_NFI[[#This Row],[Winter Clothes Children]],Table_NFI[Winter Clothes Children])</f>
        <v>0</v>
      </c>
      <c r="AK961" s="436">
        <f>IF(NFI_Expiration=1,IF($A961&lt;VLOOKUP(T$5,NFI,5,0),1,0)*Table_NFI[[#This Row],[Winter Items Other]],Table_NFI[Winter Items Other])</f>
        <v>0</v>
      </c>
      <c r="AL961" s="436">
        <f>IF(NFI_Expiration=1,IF($A961&lt;VLOOKUP(M$5,NFI,5,0),1,0)*Table_NFI[[#This Row],[Winter Blanket]],Table_NFI[[#This Row],[Winter Blanket]])</f>
        <v>0</v>
      </c>
      <c r="AM961" s="436">
        <f>IF(Table_NFI[[#This Row],[Winter Clothes Adult]]+Table_NFI[[#This Row],[Winter Clothes Children]]+Table_NFI[[#This Row],[Winter Items Other]]+Table_NFI[[#This Row],[Winter Blanket]]&gt;0,1,0)</f>
        <v>0</v>
      </c>
      <c r="AN961" s="439">
        <f>IF(NFI_Expiration=1,IF($A961&lt;VLOOKUP(V$5,NFI,5,0),1,0)*Table_NFI[[#This Row],[Jerry Can]],Table_NFI[Jerry Can])</f>
        <v>0</v>
      </c>
      <c r="AO961" s="835" t="str">
        <f>IFERROR(VLOOKUP(Table_NFI[[#This Row],[Camp Name]],CL,2,0),"")</f>
        <v/>
      </c>
      <c r="AP961" s="836" t="str">
        <f ca="1">IF(Table_NFI[[#This Row],[Pcode]]="","",IF(OFFSET(CampList[Opening Date],MATCH(Table_NFI[[#This Row],[Pcode]],CampList[CP_Pcode],0)-1,0,1,1)&gt;=NFI_Monitor_Date,1,0))</f>
        <v/>
      </c>
      <c r="AQ961" s="835" t="str">
        <f>IFERROR(VLOOKUP(Table_NFI[[#This Row],[Camp Name]],CL,3,0),"")</f>
        <v/>
      </c>
      <c r="AR961" s="832" t="str">
        <f ca="1">IF(Table_NFI[[#This Row],[Pcode]]="","",OFFSET(CampList[Priority],MATCH(Table_NFI[[#This Row],[Pcode]],CampList[CP_Pcode],0)-1,0,1,1))</f>
        <v/>
      </c>
      <c r="AS961" s="837" t="str">
        <f>IFERROR(Table_NFI[[#This Row],[Kitchen Set]]/VLOOKUP(Table_NFI[[#This Row],[Camp Name]],CL,4,0),"")</f>
        <v/>
      </c>
      <c r="AT961" s="769" t="s">
        <v>1099</v>
      </c>
      <c r="AU961" s="838"/>
    </row>
    <row r="962" spans="1:47" x14ac:dyDescent="0.25">
      <c r="A962" s="451" t="str">
        <f t="shared" si="14"/>
        <v/>
      </c>
      <c r="B962" s="829"/>
      <c r="C962" s="830"/>
      <c r="D962" s="830"/>
      <c r="E962" s="830"/>
      <c r="F962" s="830"/>
      <c r="G962" s="830"/>
      <c r="H962" s="831"/>
      <c r="I962" s="831"/>
      <c r="J962" s="831"/>
      <c r="K962" s="831"/>
      <c r="L962" s="831"/>
      <c r="M962" s="831"/>
      <c r="N962" s="831"/>
      <c r="O962" s="831"/>
      <c r="P962" s="832"/>
      <c r="Q962" s="832"/>
      <c r="R962" s="832"/>
      <c r="S962" s="832"/>
      <c r="T962" s="832"/>
      <c r="U962" s="832"/>
      <c r="V962" s="833"/>
      <c r="W962" s="834"/>
      <c r="X962" s="834"/>
      <c r="Y962" s="436">
        <f>IF(NFI_Expiration=1,IF($A962&lt;VLOOKUP(H$5,NFI,5,0),1,0)*Table_NFI[[#This Row],[Hygiene Kit]],Table_NFI[Hygiene Kit])</f>
        <v>0</v>
      </c>
      <c r="Z962" s="436">
        <f>IF(NFI_Expiration=1,IF($A962&lt;VLOOKUP(I$5,NFI,5,0),1,0)*Table_NFI[[#This Row],[NFI Core Kit]],Table_NFI[NFI Core Kit])</f>
        <v>0</v>
      </c>
      <c r="AA962" s="436">
        <f>IF(NFI_Expiration=1,IF($A962&lt;VLOOKUP(J$5,NFI,5,0),1,0)*Table_NFI[[#This Row],[Sanitary Kit]],Table_NFI[Sanitary Kit])</f>
        <v>0</v>
      </c>
      <c r="AB962" s="436">
        <f>IF(NFI_Expiration=1,IF($A962&lt;VLOOKUP(K$5,NFI,5,0),1,0)*Table_NFI[[#This Row],[Mosquito net]],Table_NFI[Mosquito net])</f>
        <v>0</v>
      </c>
      <c r="AC962" s="436">
        <f>IF(NFI_Expiration=1,IF($A962&lt;VLOOKUP(L$5,NFI,5,0),1,0)*Table_NFI[[#This Row],[Tarpaulin]],Table_NFI[[#This Row],[Tarpaulin]])</f>
        <v>0</v>
      </c>
      <c r="AD962" s="436">
        <f>IF(NFI_Expiration=1,IF($A962&lt;VLOOKUP(M$5,NFI,5,0),1,0)*Table_NFI[[#This Row],[Blanket]],Table_NFI[[#This Row],[Blanket]])</f>
        <v>0</v>
      </c>
      <c r="AE962" s="436">
        <f>IF(NFI_Expiration=1,IF($A962&lt;VLOOKUP(N$5,NFI,5,0),1,0)*Table_NFI[[#This Row],[Kitchen Set]],Table_NFI[Kitchen Set])</f>
        <v>0</v>
      </c>
      <c r="AF962" s="436">
        <f>IF(NFI_Expiration=1,IF($A962&lt;VLOOKUP(O$5,NFI,5,0),1,0)*Table_NFI[[#This Row],[Clothes Kit]],Table_NFI[Clothes Kit])</f>
        <v>0</v>
      </c>
      <c r="AG962" s="436">
        <f>IF(NFI_Expiration=1,IF($A962&lt;VLOOKUP(P$5,NFI,5,0),1,0)*Table_NFI[[#This Row],[Plastic Bucket]],Table_NFI[Plastic Bucket])</f>
        <v>0</v>
      </c>
      <c r="AH962" s="436">
        <f>IF(NFI_Expiration=1,IF($A962&lt;VLOOKUP(Q$5,NFI,5,0),1,0)*Table_NFI[[#This Row],[Plastic Mat]],Table_NFI[Plastic Mat])*IF(Table_NFI[[#This Row],[Distribution Date]]&gt;"2014-04-01",1,2.5)</f>
        <v>0</v>
      </c>
      <c r="AI962" s="436">
        <f>IF(NFI_Expiration=1,IF($A962&lt;VLOOKUP(R$5,NFI,5,0),1,0)*Table_NFI[[#This Row],[Winter Clothes Adult]],Table_NFI[Winter Clothes Adult])</f>
        <v>0</v>
      </c>
      <c r="AJ962" s="436">
        <f>IF(NFI_Expiration=1,IF($A962&lt;VLOOKUP(S$5,NFI,5,0),1,0)*Table_NFI[[#This Row],[Winter Clothes Children]],Table_NFI[Winter Clothes Children])</f>
        <v>0</v>
      </c>
      <c r="AK962" s="436">
        <f>IF(NFI_Expiration=1,IF($A962&lt;VLOOKUP(T$5,NFI,5,0),1,0)*Table_NFI[[#This Row],[Winter Items Other]],Table_NFI[Winter Items Other])</f>
        <v>0</v>
      </c>
      <c r="AL962" s="436">
        <f>IF(NFI_Expiration=1,IF($A962&lt;VLOOKUP(M$5,NFI,5,0),1,0)*Table_NFI[[#This Row],[Winter Blanket]],Table_NFI[[#This Row],[Winter Blanket]])</f>
        <v>0</v>
      </c>
      <c r="AM962" s="436">
        <f>IF(Table_NFI[[#This Row],[Winter Clothes Adult]]+Table_NFI[[#This Row],[Winter Clothes Children]]+Table_NFI[[#This Row],[Winter Items Other]]+Table_NFI[[#This Row],[Winter Blanket]]&gt;0,1,0)</f>
        <v>0</v>
      </c>
      <c r="AN962" s="439">
        <f>IF(NFI_Expiration=1,IF($A962&lt;VLOOKUP(V$5,NFI,5,0),1,0)*Table_NFI[[#This Row],[Jerry Can]],Table_NFI[Jerry Can])</f>
        <v>0</v>
      </c>
      <c r="AO962" s="835" t="str">
        <f>IFERROR(VLOOKUP(Table_NFI[[#This Row],[Camp Name]],CL,2,0),"")</f>
        <v/>
      </c>
      <c r="AP962" s="836" t="str">
        <f ca="1">IF(Table_NFI[[#This Row],[Pcode]]="","",IF(OFFSET(CampList[Opening Date],MATCH(Table_NFI[[#This Row],[Pcode]],CampList[CP_Pcode],0)-1,0,1,1)&gt;=NFI_Monitor_Date,1,0))</f>
        <v/>
      </c>
      <c r="AQ962" s="835" t="str">
        <f>IFERROR(VLOOKUP(Table_NFI[[#This Row],[Camp Name]],CL,3,0),"")</f>
        <v/>
      </c>
      <c r="AR962" s="832" t="str">
        <f ca="1">IF(Table_NFI[[#This Row],[Pcode]]="","",OFFSET(CampList[Priority],MATCH(Table_NFI[[#This Row],[Pcode]],CampList[CP_Pcode],0)-1,0,1,1))</f>
        <v/>
      </c>
      <c r="AS962" s="837" t="str">
        <f>IFERROR(Table_NFI[[#This Row],[Kitchen Set]]/VLOOKUP(Table_NFI[[#This Row],[Camp Name]],CL,4,0),"")</f>
        <v/>
      </c>
      <c r="AT962" s="769" t="s">
        <v>1099</v>
      </c>
      <c r="AU962" s="838"/>
    </row>
    <row r="963" spans="1:47" x14ac:dyDescent="0.25">
      <c r="A963" s="451" t="str">
        <f t="shared" si="14"/>
        <v/>
      </c>
      <c r="B963" s="829"/>
      <c r="C963" s="830"/>
      <c r="D963" s="830"/>
      <c r="E963" s="830"/>
      <c r="F963" s="830"/>
      <c r="G963" s="830"/>
      <c r="H963" s="831"/>
      <c r="I963" s="831"/>
      <c r="J963" s="831"/>
      <c r="K963" s="831"/>
      <c r="L963" s="831"/>
      <c r="M963" s="831"/>
      <c r="N963" s="831"/>
      <c r="O963" s="831"/>
      <c r="P963" s="832"/>
      <c r="Q963" s="832"/>
      <c r="R963" s="832"/>
      <c r="S963" s="832"/>
      <c r="T963" s="832"/>
      <c r="U963" s="832"/>
      <c r="V963" s="833"/>
      <c r="W963" s="834"/>
      <c r="X963" s="834"/>
      <c r="Y963" s="436">
        <f>IF(NFI_Expiration=1,IF($A963&lt;VLOOKUP(H$5,NFI,5,0),1,0)*Table_NFI[[#This Row],[Hygiene Kit]],Table_NFI[Hygiene Kit])</f>
        <v>0</v>
      </c>
      <c r="Z963" s="436">
        <f>IF(NFI_Expiration=1,IF($A963&lt;VLOOKUP(I$5,NFI,5,0),1,0)*Table_NFI[[#This Row],[NFI Core Kit]],Table_NFI[NFI Core Kit])</f>
        <v>0</v>
      </c>
      <c r="AA963" s="436">
        <f>IF(NFI_Expiration=1,IF($A963&lt;VLOOKUP(J$5,NFI,5,0),1,0)*Table_NFI[[#This Row],[Sanitary Kit]],Table_NFI[Sanitary Kit])</f>
        <v>0</v>
      </c>
      <c r="AB963" s="436">
        <f>IF(NFI_Expiration=1,IF($A963&lt;VLOOKUP(K$5,NFI,5,0),1,0)*Table_NFI[[#This Row],[Mosquito net]],Table_NFI[Mosquito net])</f>
        <v>0</v>
      </c>
      <c r="AC963" s="436">
        <f>IF(NFI_Expiration=1,IF($A963&lt;VLOOKUP(L$5,NFI,5,0),1,0)*Table_NFI[[#This Row],[Tarpaulin]],Table_NFI[[#This Row],[Tarpaulin]])</f>
        <v>0</v>
      </c>
      <c r="AD963" s="436">
        <f>IF(NFI_Expiration=1,IF($A963&lt;VLOOKUP(M$5,NFI,5,0),1,0)*Table_NFI[[#This Row],[Blanket]],Table_NFI[[#This Row],[Blanket]])</f>
        <v>0</v>
      </c>
      <c r="AE963" s="436">
        <f>IF(NFI_Expiration=1,IF($A963&lt;VLOOKUP(N$5,NFI,5,0),1,0)*Table_NFI[[#This Row],[Kitchen Set]],Table_NFI[Kitchen Set])</f>
        <v>0</v>
      </c>
      <c r="AF963" s="436">
        <f>IF(NFI_Expiration=1,IF($A963&lt;VLOOKUP(O$5,NFI,5,0),1,0)*Table_NFI[[#This Row],[Clothes Kit]],Table_NFI[Clothes Kit])</f>
        <v>0</v>
      </c>
      <c r="AG963" s="436">
        <f>IF(NFI_Expiration=1,IF($A963&lt;VLOOKUP(P$5,NFI,5,0),1,0)*Table_NFI[[#This Row],[Plastic Bucket]],Table_NFI[Plastic Bucket])</f>
        <v>0</v>
      </c>
      <c r="AH963" s="436">
        <f>IF(NFI_Expiration=1,IF($A963&lt;VLOOKUP(Q$5,NFI,5,0),1,0)*Table_NFI[[#This Row],[Plastic Mat]],Table_NFI[Plastic Mat])*IF(Table_NFI[[#This Row],[Distribution Date]]&gt;"2014-04-01",1,2.5)</f>
        <v>0</v>
      </c>
      <c r="AI963" s="436">
        <f>IF(NFI_Expiration=1,IF($A963&lt;VLOOKUP(R$5,NFI,5,0),1,0)*Table_NFI[[#This Row],[Winter Clothes Adult]],Table_NFI[Winter Clothes Adult])</f>
        <v>0</v>
      </c>
      <c r="AJ963" s="436">
        <f>IF(NFI_Expiration=1,IF($A963&lt;VLOOKUP(S$5,NFI,5,0),1,0)*Table_NFI[[#This Row],[Winter Clothes Children]],Table_NFI[Winter Clothes Children])</f>
        <v>0</v>
      </c>
      <c r="AK963" s="436">
        <f>IF(NFI_Expiration=1,IF($A963&lt;VLOOKUP(T$5,NFI,5,0),1,0)*Table_NFI[[#This Row],[Winter Items Other]],Table_NFI[Winter Items Other])</f>
        <v>0</v>
      </c>
      <c r="AL963" s="436">
        <f>IF(NFI_Expiration=1,IF($A963&lt;VLOOKUP(M$5,NFI,5,0),1,0)*Table_NFI[[#This Row],[Winter Blanket]],Table_NFI[[#This Row],[Winter Blanket]])</f>
        <v>0</v>
      </c>
      <c r="AM963" s="436">
        <f>IF(Table_NFI[[#This Row],[Winter Clothes Adult]]+Table_NFI[[#This Row],[Winter Clothes Children]]+Table_NFI[[#This Row],[Winter Items Other]]+Table_NFI[[#This Row],[Winter Blanket]]&gt;0,1,0)</f>
        <v>0</v>
      </c>
      <c r="AN963" s="439">
        <f>IF(NFI_Expiration=1,IF($A963&lt;VLOOKUP(V$5,NFI,5,0),1,0)*Table_NFI[[#This Row],[Jerry Can]],Table_NFI[Jerry Can])</f>
        <v>0</v>
      </c>
      <c r="AO963" s="835" t="str">
        <f>IFERROR(VLOOKUP(Table_NFI[[#This Row],[Camp Name]],CL,2,0),"")</f>
        <v/>
      </c>
      <c r="AP963" s="836" t="str">
        <f ca="1">IF(Table_NFI[[#This Row],[Pcode]]="","",IF(OFFSET(CampList[Opening Date],MATCH(Table_NFI[[#This Row],[Pcode]],CampList[CP_Pcode],0)-1,0,1,1)&gt;=NFI_Monitor_Date,1,0))</f>
        <v/>
      </c>
      <c r="AQ963" s="835" t="str">
        <f>IFERROR(VLOOKUP(Table_NFI[[#This Row],[Camp Name]],CL,3,0),"")</f>
        <v/>
      </c>
      <c r="AR963" s="832" t="str">
        <f ca="1">IF(Table_NFI[[#This Row],[Pcode]]="","",OFFSET(CampList[Priority],MATCH(Table_NFI[[#This Row],[Pcode]],CampList[CP_Pcode],0)-1,0,1,1))</f>
        <v/>
      </c>
      <c r="AS963" s="837" t="str">
        <f>IFERROR(Table_NFI[[#This Row],[Kitchen Set]]/VLOOKUP(Table_NFI[[#This Row],[Camp Name]],CL,4,0),"")</f>
        <v/>
      </c>
      <c r="AT963" s="769" t="s">
        <v>1099</v>
      </c>
      <c r="AU963" s="838"/>
    </row>
    <row r="964" spans="1:47" x14ac:dyDescent="0.25">
      <c r="A964" s="451" t="str">
        <f t="shared" si="14"/>
        <v/>
      </c>
      <c r="B964" s="829"/>
      <c r="C964" s="830"/>
      <c r="D964" s="830"/>
      <c r="E964" s="830"/>
      <c r="F964" s="830"/>
      <c r="G964" s="830"/>
      <c r="H964" s="831"/>
      <c r="I964" s="831"/>
      <c r="J964" s="831"/>
      <c r="K964" s="831"/>
      <c r="L964" s="831"/>
      <c r="M964" s="831"/>
      <c r="N964" s="831"/>
      <c r="O964" s="831"/>
      <c r="P964" s="832"/>
      <c r="Q964" s="832"/>
      <c r="R964" s="832"/>
      <c r="S964" s="832"/>
      <c r="T964" s="832"/>
      <c r="U964" s="832"/>
      <c r="V964" s="833"/>
      <c r="W964" s="834"/>
      <c r="X964" s="834"/>
      <c r="Y964" s="436">
        <f>IF(NFI_Expiration=1,IF($A964&lt;VLOOKUP(H$5,NFI,5,0),1,0)*Table_NFI[[#This Row],[Hygiene Kit]],Table_NFI[Hygiene Kit])</f>
        <v>0</v>
      </c>
      <c r="Z964" s="436">
        <f>IF(NFI_Expiration=1,IF($A964&lt;VLOOKUP(I$5,NFI,5,0),1,0)*Table_NFI[[#This Row],[NFI Core Kit]],Table_NFI[NFI Core Kit])</f>
        <v>0</v>
      </c>
      <c r="AA964" s="436">
        <f>IF(NFI_Expiration=1,IF($A964&lt;VLOOKUP(J$5,NFI,5,0),1,0)*Table_NFI[[#This Row],[Sanitary Kit]],Table_NFI[Sanitary Kit])</f>
        <v>0</v>
      </c>
      <c r="AB964" s="436">
        <f>IF(NFI_Expiration=1,IF($A964&lt;VLOOKUP(K$5,NFI,5,0),1,0)*Table_NFI[[#This Row],[Mosquito net]],Table_NFI[Mosquito net])</f>
        <v>0</v>
      </c>
      <c r="AC964" s="436">
        <f>IF(NFI_Expiration=1,IF($A964&lt;VLOOKUP(L$5,NFI,5,0),1,0)*Table_NFI[[#This Row],[Tarpaulin]],Table_NFI[[#This Row],[Tarpaulin]])</f>
        <v>0</v>
      </c>
      <c r="AD964" s="436">
        <f>IF(NFI_Expiration=1,IF($A964&lt;VLOOKUP(M$5,NFI,5,0),1,0)*Table_NFI[[#This Row],[Blanket]],Table_NFI[[#This Row],[Blanket]])</f>
        <v>0</v>
      </c>
      <c r="AE964" s="436">
        <f>IF(NFI_Expiration=1,IF($A964&lt;VLOOKUP(N$5,NFI,5,0),1,0)*Table_NFI[[#This Row],[Kitchen Set]],Table_NFI[Kitchen Set])</f>
        <v>0</v>
      </c>
      <c r="AF964" s="436">
        <f>IF(NFI_Expiration=1,IF($A964&lt;VLOOKUP(O$5,NFI,5,0),1,0)*Table_NFI[[#This Row],[Clothes Kit]],Table_NFI[Clothes Kit])</f>
        <v>0</v>
      </c>
      <c r="AG964" s="436">
        <f>IF(NFI_Expiration=1,IF($A964&lt;VLOOKUP(P$5,NFI,5,0),1,0)*Table_NFI[[#This Row],[Plastic Bucket]],Table_NFI[Plastic Bucket])</f>
        <v>0</v>
      </c>
      <c r="AH964" s="436">
        <f>IF(NFI_Expiration=1,IF($A964&lt;VLOOKUP(Q$5,NFI,5,0),1,0)*Table_NFI[[#This Row],[Plastic Mat]],Table_NFI[Plastic Mat])*IF(Table_NFI[[#This Row],[Distribution Date]]&gt;"2014-04-01",1,2.5)</f>
        <v>0</v>
      </c>
      <c r="AI964" s="436">
        <f>IF(NFI_Expiration=1,IF($A964&lt;VLOOKUP(R$5,NFI,5,0),1,0)*Table_NFI[[#This Row],[Winter Clothes Adult]],Table_NFI[Winter Clothes Adult])</f>
        <v>0</v>
      </c>
      <c r="AJ964" s="436">
        <f>IF(NFI_Expiration=1,IF($A964&lt;VLOOKUP(S$5,NFI,5,0),1,0)*Table_NFI[[#This Row],[Winter Clothes Children]],Table_NFI[Winter Clothes Children])</f>
        <v>0</v>
      </c>
      <c r="AK964" s="436">
        <f>IF(NFI_Expiration=1,IF($A964&lt;VLOOKUP(T$5,NFI,5,0),1,0)*Table_NFI[[#This Row],[Winter Items Other]],Table_NFI[Winter Items Other])</f>
        <v>0</v>
      </c>
      <c r="AL964" s="436">
        <f>IF(NFI_Expiration=1,IF($A964&lt;VLOOKUP(M$5,NFI,5,0),1,0)*Table_NFI[[#This Row],[Winter Blanket]],Table_NFI[[#This Row],[Winter Blanket]])</f>
        <v>0</v>
      </c>
      <c r="AM964" s="436">
        <f>IF(Table_NFI[[#This Row],[Winter Clothes Adult]]+Table_NFI[[#This Row],[Winter Clothes Children]]+Table_NFI[[#This Row],[Winter Items Other]]+Table_NFI[[#This Row],[Winter Blanket]]&gt;0,1,0)</f>
        <v>0</v>
      </c>
      <c r="AN964" s="439">
        <f>IF(NFI_Expiration=1,IF($A964&lt;VLOOKUP(V$5,NFI,5,0),1,0)*Table_NFI[[#This Row],[Jerry Can]],Table_NFI[Jerry Can])</f>
        <v>0</v>
      </c>
      <c r="AO964" s="835" t="str">
        <f>IFERROR(VLOOKUP(Table_NFI[[#This Row],[Camp Name]],CL,2,0),"")</f>
        <v/>
      </c>
      <c r="AP964" s="836" t="str">
        <f ca="1">IF(Table_NFI[[#This Row],[Pcode]]="","",IF(OFFSET(CampList[Opening Date],MATCH(Table_NFI[[#This Row],[Pcode]],CampList[CP_Pcode],0)-1,0,1,1)&gt;=NFI_Monitor_Date,1,0))</f>
        <v/>
      </c>
      <c r="AQ964" s="835" t="str">
        <f>IFERROR(VLOOKUP(Table_NFI[[#This Row],[Camp Name]],CL,3,0),"")</f>
        <v/>
      </c>
      <c r="AR964" s="832" t="str">
        <f ca="1">IF(Table_NFI[[#This Row],[Pcode]]="","",OFFSET(CampList[Priority],MATCH(Table_NFI[[#This Row],[Pcode]],CampList[CP_Pcode],0)-1,0,1,1))</f>
        <v/>
      </c>
      <c r="AS964" s="837" t="str">
        <f>IFERROR(Table_NFI[[#This Row],[Kitchen Set]]/VLOOKUP(Table_NFI[[#This Row],[Camp Name]],CL,4,0),"")</f>
        <v/>
      </c>
      <c r="AT964" s="769" t="s">
        <v>1099</v>
      </c>
      <c r="AU964" s="838"/>
    </row>
    <row r="965" spans="1:47" x14ac:dyDescent="0.25">
      <c r="A965" s="451" t="str">
        <f t="shared" si="14"/>
        <v/>
      </c>
      <c r="B965" s="829"/>
      <c r="C965" s="830"/>
      <c r="D965" s="830"/>
      <c r="E965" s="830"/>
      <c r="F965" s="830"/>
      <c r="G965" s="830"/>
      <c r="H965" s="831"/>
      <c r="I965" s="831"/>
      <c r="J965" s="831"/>
      <c r="K965" s="831"/>
      <c r="L965" s="831"/>
      <c r="M965" s="831"/>
      <c r="N965" s="831"/>
      <c r="O965" s="831"/>
      <c r="P965" s="832"/>
      <c r="Q965" s="832"/>
      <c r="R965" s="832"/>
      <c r="S965" s="832"/>
      <c r="T965" s="832"/>
      <c r="U965" s="832"/>
      <c r="V965" s="833"/>
      <c r="W965" s="834"/>
      <c r="X965" s="834"/>
      <c r="Y965" s="436">
        <f>IF(NFI_Expiration=1,IF($A965&lt;VLOOKUP(H$5,NFI,5,0),1,0)*Table_NFI[[#This Row],[Hygiene Kit]],Table_NFI[Hygiene Kit])</f>
        <v>0</v>
      </c>
      <c r="Z965" s="436">
        <f>IF(NFI_Expiration=1,IF($A965&lt;VLOOKUP(I$5,NFI,5,0),1,0)*Table_NFI[[#This Row],[NFI Core Kit]],Table_NFI[NFI Core Kit])</f>
        <v>0</v>
      </c>
      <c r="AA965" s="436">
        <f>IF(NFI_Expiration=1,IF($A965&lt;VLOOKUP(J$5,NFI,5,0),1,0)*Table_NFI[[#This Row],[Sanitary Kit]],Table_NFI[Sanitary Kit])</f>
        <v>0</v>
      </c>
      <c r="AB965" s="436">
        <f>IF(NFI_Expiration=1,IF($A965&lt;VLOOKUP(K$5,NFI,5,0),1,0)*Table_NFI[[#This Row],[Mosquito net]],Table_NFI[Mosquito net])</f>
        <v>0</v>
      </c>
      <c r="AC965" s="436">
        <f>IF(NFI_Expiration=1,IF($A965&lt;VLOOKUP(L$5,NFI,5,0),1,0)*Table_NFI[[#This Row],[Tarpaulin]],Table_NFI[[#This Row],[Tarpaulin]])</f>
        <v>0</v>
      </c>
      <c r="AD965" s="436">
        <f>IF(NFI_Expiration=1,IF($A965&lt;VLOOKUP(M$5,NFI,5,0),1,0)*Table_NFI[[#This Row],[Blanket]],Table_NFI[[#This Row],[Blanket]])</f>
        <v>0</v>
      </c>
      <c r="AE965" s="436">
        <f>IF(NFI_Expiration=1,IF($A965&lt;VLOOKUP(N$5,NFI,5,0),1,0)*Table_NFI[[#This Row],[Kitchen Set]],Table_NFI[Kitchen Set])</f>
        <v>0</v>
      </c>
      <c r="AF965" s="436">
        <f>IF(NFI_Expiration=1,IF($A965&lt;VLOOKUP(O$5,NFI,5,0),1,0)*Table_NFI[[#This Row],[Clothes Kit]],Table_NFI[Clothes Kit])</f>
        <v>0</v>
      </c>
      <c r="AG965" s="436">
        <f>IF(NFI_Expiration=1,IF($A965&lt;VLOOKUP(P$5,NFI,5,0),1,0)*Table_NFI[[#This Row],[Plastic Bucket]],Table_NFI[Plastic Bucket])</f>
        <v>0</v>
      </c>
      <c r="AH965" s="436">
        <f>IF(NFI_Expiration=1,IF($A965&lt;VLOOKUP(Q$5,NFI,5,0),1,0)*Table_NFI[[#This Row],[Plastic Mat]],Table_NFI[Plastic Mat])*IF(Table_NFI[[#This Row],[Distribution Date]]&gt;"2014-04-01",1,2.5)</f>
        <v>0</v>
      </c>
      <c r="AI965" s="436">
        <f>IF(NFI_Expiration=1,IF($A965&lt;VLOOKUP(R$5,NFI,5,0),1,0)*Table_NFI[[#This Row],[Winter Clothes Adult]],Table_NFI[Winter Clothes Adult])</f>
        <v>0</v>
      </c>
      <c r="AJ965" s="436">
        <f>IF(NFI_Expiration=1,IF($A965&lt;VLOOKUP(S$5,NFI,5,0),1,0)*Table_NFI[[#This Row],[Winter Clothes Children]],Table_NFI[Winter Clothes Children])</f>
        <v>0</v>
      </c>
      <c r="AK965" s="436">
        <f>IF(NFI_Expiration=1,IF($A965&lt;VLOOKUP(T$5,NFI,5,0),1,0)*Table_NFI[[#This Row],[Winter Items Other]],Table_NFI[Winter Items Other])</f>
        <v>0</v>
      </c>
      <c r="AL965" s="436">
        <f>IF(NFI_Expiration=1,IF($A965&lt;VLOOKUP(M$5,NFI,5,0),1,0)*Table_NFI[[#This Row],[Winter Blanket]],Table_NFI[[#This Row],[Winter Blanket]])</f>
        <v>0</v>
      </c>
      <c r="AM965" s="436">
        <f>IF(Table_NFI[[#This Row],[Winter Clothes Adult]]+Table_NFI[[#This Row],[Winter Clothes Children]]+Table_NFI[[#This Row],[Winter Items Other]]+Table_NFI[[#This Row],[Winter Blanket]]&gt;0,1,0)</f>
        <v>0</v>
      </c>
      <c r="AN965" s="439">
        <f>IF(NFI_Expiration=1,IF($A965&lt;VLOOKUP(V$5,NFI,5,0),1,0)*Table_NFI[[#This Row],[Jerry Can]],Table_NFI[Jerry Can])</f>
        <v>0</v>
      </c>
      <c r="AO965" s="835" t="str">
        <f>IFERROR(VLOOKUP(Table_NFI[[#This Row],[Camp Name]],CL,2,0),"")</f>
        <v/>
      </c>
      <c r="AP965" s="836" t="str">
        <f ca="1">IF(Table_NFI[[#This Row],[Pcode]]="","",IF(OFFSET(CampList[Opening Date],MATCH(Table_NFI[[#This Row],[Pcode]],CampList[CP_Pcode],0)-1,0,1,1)&gt;=NFI_Monitor_Date,1,0))</f>
        <v/>
      </c>
      <c r="AQ965" s="835" t="str">
        <f>IFERROR(VLOOKUP(Table_NFI[[#This Row],[Camp Name]],CL,3,0),"")</f>
        <v/>
      </c>
      <c r="AR965" s="832" t="str">
        <f ca="1">IF(Table_NFI[[#This Row],[Pcode]]="","",OFFSET(CampList[Priority],MATCH(Table_NFI[[#This Row],[Pcode]],CampList[CP_Pcode],0)-1,0,1,1))</f>
        <v/>
      </c>
      <c r="AS965" s="837" t="str">
        <f>IFERROR(Table_NFI[[#This Row],[Kitchen Set]]/VLOOKUP(Table_NFI[[#This Row],[Camp Name]],CL,4,0),"")</f>
        <v/>
      </c>
      <c r="AT965" s="769" t="s">
        <v>1099</v>
      </c>
      <c r="AU965" s="838"/>
    </row>
    <row r="966" spans="1:47" x14ac:dyDescent="0.25">
      <c r="A966" s="451" t="str">
        <f t="shared" ref="A966:A989" si="15">IF(ISBLANK(B966),"",(Report_Date-B966)/30)</f>
        <v/>
      </c>
      <c r="B966" s="829"/>
      <c r="C966" s="830"/>
      <c r="D966" s="830"/>
      <c r="E966" s="830"/>
      <c r="F966" s="830"/>
      <c r="G966" s="830"/>
      <c r="H966" s="831"/>
      <c r="I966" s="831"/>
      <c r="J966" s="831"/>
      <c r="K966" s="831"/>
      <c r="L966" s="831"/>
      <c r="M966" s="831"/>
      <c r="N966" s="831"/>
      <c r="O966" s="831"/>
      <c r="P966" s="832"/>
      <c r="Q966" s="832"/>
      <c r="R966" s="832"/>
      <c r="S966" s="832"/>
      <c r="T966" s="832"/>
      <c r="U966" s="832"/>
      <c r="V966" s="833"/>
      <c r="W966" s="834"/>
      <c r="X966" s="834"/>
      <c r="Y966" s="436">
        <f>IF(NFI_Expiration=1,IF($A966&lt;VLOOKUP(H$5,NFI,5,0),1,0)*Table_NFI[[#This Row],[Hygiene Kit]],Table_NFI[Hygiene Kit])</f>
        <v>0</v>
      </c>
      <c r="Z966" s="436">
        <f>IF(NFI_Expiration=1,IF($A966&lt;VLOOKUP(I$5,NFI,5,0),1,0)*Table_NFI[[#This Row],[NFI Core Kit]],Table_NFI[NFI Core Kit])</f>
        <v>0</v>
      </c>
      <c r="AA966" s="436">
        <f>IF(NFI_Expiration=1,IF($A966&lt;VLOOKUP(J$5,NFI,5,0),1,0)*Table_NFI[[#This Row],[Sanitary Kit]],Table_NFI[Sanitary Kit])</f>
        <v>0</v>
      </c>
      <c r="AB966" s="436">
        <f>IF(NFI_Expiration=1,IF($A966&lt;VLOOKUP(K$5,NFI,5,0),1,0)*Table_NFI[[#This Row],[Mosquito net]],Table_NFI[Mosquito net])</f>
        <v>0</v>
      </c>
      <c r="AC966" s="436">
        <f>IF(NFI_Expiration=1,IF($A966&lt;VLOOKUP(L$5,NFI,5,0),1,0)*Table_NFI[[#This Row],[Tarpaulin]],Table_NFI[[#This Row],[Tarpaulin]])</f>
        <v>0</v>
      </c>
      <c r="AD966" s="436">
        <f>IF(NFI_Expiration=1,IF($A966&lt;VLOOKUP(M$5,NFI,5,0),1,0)*Table_NFI[[#This Row],[Blanket]],Table_NFI[[#This Row],[Blanket]])</f>
        <v>0</v>
      </c>
      <c r="AE966" s="436">
        <f>IF(NFI_Expiration=1,IF($A966&lt;VLOOKUP(N$5,NFI,5,0),1,0)*Table_NFI[[#This Row],[Kitchen Set]],Table_NFI[Kitchen Set])</f>
        <v>0</v>
      </c>
      <c r="AF966" s="436">
        <f>IF(NFI_Expiration=1,IF($A966&lt;VLOOKUP(O$5,NFI,5,0),1,0)*Table_NFI[[#This Row],[Clothes Kit]],Table_NFI[Clothes Kit])</f>
        <v>0</v>
      </c>
      <c r="AG966" s="436">
        <f>IF(NFI_Expiration=1,IF($A966&lt;VLOOKUP(P$5,NFI,5,0),1,0)*Table_NFI[[#This Row],[Plastic Bucket]],Table_NFI[Plastic Bucket])</f>
        <v>0</v>
      </c>
      <c r="AH966" s="436">
        <f>IF(NFI_Expiration=1,IF($A966&lt;VLOOKUP(Q$5,NFI,5,0),1,0)*Table_NFI[[#This Row],[Plastic Mat]],Table_NFI[Plastic Mat])*IF(Table_NFI[[#This Row],[Distribution Date]]&gt;"2014-04-01",1,2.5)</f>
        <v>0</v>
      </c>
      <c r="AI966" s="436">
        <f>IF(NFI_Expiration=1,IF($A966&lt;VLOOKUP(R$5,NFI,5,0),1,0)*Table_NFI[[#This Row],[Winter Clothes Adult]],Table_NFI[Winter Clothes Adult])</f>
        <v>0</v>
      </c>
      <c r="AJ966" s="436">
        <f>IF(NFI_Expiration=1,IF($A966&lt;VLOOKUP(S$5,NFI,5,0),1,0)*Table_NFI[[#This Row],[Winter Clothes Children]],Table_NFI[Winter Clothes Children])</f>
        <v>0</v>
      </c>
      <c r="AK966" s="436">
        <f>IF(NFI_Expiration=1,IF($A966&lt;VLOOKUP(T$5,NFI,5,0),1,0)*Table_NFI[[#This Row],[Winter Items Other]],Table_NFI[Winter Items Other])</f>
        <v>0</v>
      </c>
      <c r="AL966" s="436">
        <f>IF(NFI_Expiration=1,IF($A966&lt;VLOOKUP(M$5,NFI,5,0),1,0)*Table_NFI[[#This Row],[Winter Blanket]],Table_NFI[[#This Row],[Winter Blanket]])</f>
        <v>0</v>
      </c>
      <c r="AM966" s="436">
        <f>IF(Table_NFI[[#This Row],[Winter Clothes Adult]]+Table_NFI[[#This Row],[Winter Clothes Children]]+Table_NFI[[#This Row],[Winter Items Other]]+Table_NFI[[#This Row],[Winter Blanket]]&gt;0,1,0)</f>
        <v>0</v>
      </c>
      <c r="AN966" s="439">
        <f>IF(NFI_Expiration=1,IF($A966&lt;VLOOKUP(V$5,NFI,5,0),1,0)*Table_NFI[[#This Row],[Jerry Can]],Table_NFI[Jerry Can])</f>
        <v>0</v>
      </c>
      <c r="AO966" s="835" t="str">
        <f>IFERROR(VLOOKUP(Table_NFI[[#This Row],[Camp Name]],CL,2,0),"")</f>
        <v/>
      </c>
      <c r="AP966" s="836" t="str">
        <f ca="1">IF(Table_NFI[[#This Row],[Pcode]]="","",IF(OFFSET(CampList[Opening Date],MATCH(Table_NFI[[#This Row],[Pcode]],CampList[CP_Pcode],0)-1,0,1,1)&gt;=NFI_Monitor_Date,1,0))</f>
        <v/>
      </c>
      <c r="AQ966" s="835" t="str">
        <f>IFERROR(VLOOKUP(Table_NFI[[#This Row],[Camp Name]],CL,3,0),"")</f>
        <v/>
      </c>
      <c r="AR966" s="832" t="str">
        <f ca="1">IF(Table_NFI[[#This Row],[Pcode]]="","",OFFSET(CampList[Priority],MATCH(Table_NFI[[#This Row],[Pcode]],CampList[CP_Pcode],0)-1,0,1,1))</f>
        <v/>
      </c>
      <c r="AS966" s="837" t="str">
        <f>IFERROR(Table_NFI[[#This Row],[Kitchen Set]]/VLOOKUP(Table_NFI[[#This Row],[Camp Name]],CL,4,0),"")</f>
        <v/>
      </c>
      <c r="AT966" s="769" t="s">
        <v>1099</v>
      </c>
      <c r="AU966" s="838"/>
    </row>
    <row r="967" spans="1:47" x14ac:dyDescent="0.25">
      <c r="A967" s="451" t="str">
        <f t="shared" si="15"/>
        <v/>
      </c>
      <c r="B967" s="829"/>
      <c r="C967" s="830"/>
      <c r="D967" s="830"/>
      <c r="E967" s="830"/>
      <c r="F967" s="830"/>
      <c r="G967" s="830"/>
      <c r="H967" s="831"/>
      <c r="I967" s="831"/>
      <c r="J967" s="831"/>
      <c r="K967" s="831"/>
      <c r="L967" s="831"/>
      <c r="M967" s="831"/>
      <c r="N967" s="831"/>
      <c r="O967" s="831"/>
      <c r="P967" s="832"/>
      <c r="Q967" s="832"/>
      <c r="R967" s="832"/>
      <c r="S967" s="832"/>
      <c r="T967" s="832"/>
      <c r="U967" s="832"/>
      <c r="V967" s="833"/>
      <c r="W967" s="834"/>
      <c r="X967" s="834"/>
      <c r="Y967" s="436">
        <f>IF(NFI_Expiration=1,IF($A967&lt;VLOOKUP(H$5,NFI,5,0),1,0)*Table_NFI[[#This Row],[Hygiene Kit]],Table_NFI[Hygiene Kit])</f>
        <v>0</v>
      </c>
      <c r="Z967" s="436">
        <f>IF(NFI_Expiration=1,IF($A967&lt;VLOOKUP(I$5,NFI,5,0),1,0)*Table_NFI[[#This Row],[NFI Core Kit]],Table_NFI[NFI Core Kit])</f>
        <v>0</v>
      </c>
      <c r="AA967" s="436">
        <f>IF(NFI_Expiration=1,IF($A967&lt;VLOOKUP(J$5,NFI,5,0),1,0)*Table_NFI[[#This Row],[Sanitary Kit]],Table_NFI[Sanitary Kit])</f>
        <v>0</v>
      </c>
      <c r="AB967" s="436">
        <f>IF(NFI_Expiration=1,IF($A967&lt;VLOOKUP(K$5,NFI,5,0),1,0)*Table_NFI[[#This Row],[Mosquito net]],Table_NFI[Mosquito net])</f>
        <v>0</v>
      </c>
      <c r="AC967" s="436">
        <f>IF(NFI_Expiration=1,IF($A967&lt;VLOOKUP(L$5,NFI,5,0),1,0)*Table_NFI[[#This Row],[Tarpaulin]],Table_NFI[[#This Row],[Tarpaulin]])</f>
        <v>0</v>
      </c>
      <c r="AD967" s="436">
        <f>IF(NFI_Expiration=1,IF($A967&lt;VLOOKUP(M$5,NFI,5,0),1,0)*Table_NFI[[#This Row],[Blanket]],Table_NFI[[#This Row],[Blanket]])</f>
        <v>0</v>
      </c>
      <c r="AE967" s="436">
        <f>IF(NFI_Expiration=1,IF($A967&lt;VLOOKUP(N$5,NFI,5,0),1,0)*Table_NFI[[#This Row],[Kitchen Set]],Table_NFI[Kitchen Set])</f>
        <v>0</v>
      </c>
      <c r="AF967" s="436">
        <f>IF(NFI_Expiration=1,IF($A967&lt;VLOOKUP(O$5,NFI,5,0),1,0)*Table_NFI[[#This Row],[Clothes Kit]],Table_NFI[Clothes Kit])</f>
        <v>0</v>
      </c>
      <c r="AG967" s="436">
        <f>IF(NFI_Expiration=1,IF($A967&lt;VLOOKUP(P$5,NFI,5,0),1,0)*Table_NFI[[#This Row],[Plastic Bucket]],Table_NFI[Plastic Bucket])</f>
        <v>0</v>
      </c>
      <c r="AH967" s="436">
        <f>IF(NFI_Expiration=1,IF($A967&lt;VLOOKUP(Q$5,NFI,5,0),1,0)*Table_NFI[[#This Row],[Plastic Mat]],Table_NFI[Plastic Mat])*IF(Table_NFI[[#This Row],[Distribution Date]]&gt;"2014-04-01",1,2.5)</f>
        <v>0</v>
      </c>
      <c r="AI967" s="436">
        <f>IF(NFI_Expiration=1,IF($A967&lt;VLOOKUP(R$5,NFI,5,0),1,0)*Table_NFI[[#This Row],[Winter Clothes Adult]],Table_NFI[Winter Clothes Adult])</f>
        <v>0</v>
      </c>
      <c r="AJ967" s="436">
        <f>IF(NFI_Expiration=1,IF($A967&lt;VLOOKUP(S$5,NFI,5,0),1,0)*Table_NFI[[#This Row],[Winter Clothes Children]],Table_NFI[Winter Clothes Children])</f>
        <v>0</v>
      </c>
      <c r="AK967" s="436">
        <f>IF(NFI_Expiration=1,IF($A967&lt;VLOOKUP(T$5,NFI,5,0),1,0)*Table_NFI[[#This Row],[Winter Items Other]],Table_NFI[Winter Items Other])</f>
        <v>0</v>
      </c>
      <c r="AL967" s="436">
        <f>IF(NFI_Expiration=1,IF($A967&lt;VLOOKUP(M$5,NFI,5,0),1,0)*Table_NFI[[#This Row],[Winter Blanket]],Table_NFI[[#This Row],[Winter Blanket]])</f>
        <v>0</v>
      </c>
      <c r="AM967" s="436">
        <f>IF(Table_NFI[[#This Row],[Winter Clothes Adult]]+Table_NFI[[#This Row],[Winter Clothes Children]]+Table_NFI[[#This Row],[Winter Items Other]]+Table_NFI[[#This Row],[Winter Blanket]]&gt;0,1,0)</f>
        <v>0</v>
      </c>
      <c r="AN967" s="439">
        <f>IF(NFI_Expiration=1,IF($A967&lt;VLOOKUP(V$5,NFI,5,0),1,0)*Table_NFI[[#This Row],[Jerry Can]],Table_NFI[Jerry Can])</f>
        <v>0</v>
      </c>
      <c r="AO967" s="835" t="str">
        <f>IFERROR(VLOOKUP(Table_NFI[[#This Row],[Camp Name]],CL,2,0),"")</f>
        <v/>
      </c>
      <c r="AP967" s="836" t="str">
        <f ca="1">IF(Table_NFI[[#This Row],[Pcode]]="","",IF(OFFSET(CampList[Opening Date],MATCH(Table_NFI[[#This Row],[Pcode]],CampList[CP_Pcode],0)-1,0,1,1)&gt;=NFI_Monitor_Date,1,0))</f>
        <v/>
      </c>
      <c r="AQ967" s="835" t="str">
        <f>IFERROR(VLOOKUP(Table_NFI[[#This Row],[Camp Name]],CL,3,0),"")</f>
        <v/>
      </c>
      <c r="AR967" s="832" t="str">
        <f ca="1">IF(Table_NFI[[#This Row],[Pcode]]="","",OFFSET(CampList[Priority],MATCH(Table_NFI[[#This Row],[Pcode]],CampList[CP_Pcode],0)-1,0,1,1))</f>
        <v/>
      </c>
      <c r="AS967" s="837" t="str">
        <f>IFERROR(Table_NFI[[#This Row],[Kitchen Set]]/VLOOKUP(Table_NFI[[#This Row],[Camp Name]],CL,4,0),"")</f>
        <v/>
      </c>
      <c r="AT967" s="769" t="s">
        <v>1099</v>
      </c>
      <c r="AU967" s="838"/>
    </row>
    <row r="968" spans="1:47" x14ac:dyDescent="0.25">
      <c r="A968" s="451" t="str">
        <f t="shared" si="15"/>
        <v/>
      </c>
      <c r="B968" s="829"/>
      <c r="C968" s="830"/>
      <c r="D968" s="830"/>
      <c r="E968" s="830"/>
      <c r="F968" s="830"/>
      <c r="G968" s="830"/>
      <c r="H968" s="831"/>
      <c r="I968" s="831"/>
      <c r="J968" s="831"/>
      <c r="K968" s="831"/>
      <c r="L968" s="831"/>
      <c r="M968" s="831"/>
      <c r="N968" s="831"/>
      <c r="O968" s="831"/>
      <c r="P968" s="832"/>
      <c r="Q968" s="832"/>
      <c r="R968" s="832"/>
      <c r="S968" s="832"/>
      <c r="T968" s="832"/>
      <c r="U968" s="832"/>
      <c r="V968" s="833"/>
      <c r="W968" s="834"/>
      <c r="X968" s="834"/>
      <c r="Y968" s="436">
        <f>IF(NFI_Expiration=1,IF($A968&lt;VLOOKUP(H$5,NFI,5,0),1,0)*Table_NFI[[#This Row],[Hygiene Kit]],Table_NFI[Hygiene Kit])</f>
        <v>0</v>
      </c>
      <c r="Z968" s="436">
        <f>IF(NFI_Expiration=1,IF($A968&lt;VLOOKUP(I$5,NFI,5,0),1,0)*Table_NFI[[#This Row],[NFI Core Kit]],Table_NFI[NFI Core Kit])</f>
        <v>0</v>
      </c>
      <c r="AA968" s="436">
        <f>IF(NFI_Expiration=1,IF($A968&lt;VLOOKUP(J$5,NFI,5,0),1,0)*Table_NFI[[#This Row],[Sanitary Kit]],Table_NFI[Sanitary Kit])</f>
        <v>0</v>
      </c>
      <c r="AB968" s="436">
        <f>IF(NFI_Expiration=1,IF($A968&lt;VLOOKUP(K$5,NFI,5,0),1,0)*Table_NFI[[#This Row],[Mosquito net]],Table_NFI[Mosquito net])</f>
        <v>0</v>
      </c>
      <c r="AC968" s="436">
        <f>IF(NFI_Expiration=1,IF($A968&lt;VLOOKUP(L$5,NFI,5,0),1,0)*Table_NFI[[#This Row],[Tarpaulin]],Table_NFI[[#This Row],[Tarpaulin]])</f>
        <v>0</v>
      </c>
      <c r="AD968" s="436">
        <f>IF(NFI_Expiration=1,IF($A968&lt;VLOOKUP(M$5,NFI,5,0),1,0)*Table_NFI[[#This Row],[Blanket]],Table_NFI[[#This Row],[Blanket]])</f>
        <v>0</v>
      </c>
      <c r="AE968" s="436">
        <f>IF(NFI_Expiration=1,IF($A968&lt;VLOOKUP(N$5,NFI,5,0),1,0)*Table_NFI[[#This Row],[Kitchen Set]],Table_NFI[Kitchen Set])</f>
        <v>0</v>
      </c>
      <c r="AF968" s="436">
        <f>IF(NFI_Expiration=1,IF($A968&lt;VLOOKUP(O$5,NFI,5,0),1,0)*Table_NFI[[#This Row],[Clothes Kit]],Table_NFI[Clothes Kit])</f>
        <v>0</v>
      </c>
      <c r="AG968" s="436">
        <f>IF(NFI_Expiration=1,IF($A968&lt;VLOOKUP(P$5,NFI,5,0),1,0)*Table_NFI[[#This Row],[Plastic Bucket]],Table_NFI[Plastic Bucket])</f>
        <v>0</v>
      </c>
      <c r="AH968" s="436">
        <f>IF(NFI_Expiration=1,IF($A968&lt;VLOOKUP(Q$5,NFI,5,0),1,0)*Table_NFI[[#This Row],[Plastic Mat]],Table_NFI[Plastic Mat])*IF(Table_NFI[[#This Row],[Distribution Date]]&gt;"2014-04-01",1,2.5)</f>
        <v>0</v>
      </c>
      <c r="AI968" s="436">
        <f>IF(NFI_Expiration=1,IF($A968&lt;VLOOKUP(R$5,NFI,5,0),1,0)*Table_NFI[[#This Row],[Winter Clothes Adult]],Table_NFI[Winter Clothes Adult])</f>
        <v>0</v>
      </c>
      <c r="AJ968" s="436">
        <f>IF(NFI_Expiration=1,IF($A968&lt;VLOOKUP(S$5,NFI,5,0),1,0)*Table_NFI[[#This Row],[Winter Clothes Children]],Table_NFI[Winter Clothes Children])</f>
        <v>0</v>
      </c>
      <c r="AK968" s="436">
        <f>IF(NFI_Expiration=1,IF($A968&lt;VLOOKUP(T$5,NFI,5,0),1,0)*Table_NFI[[#This Row],[Winter Items Other]],Table_NFI[Winter Items Other])</f>
        <v>0</v>
      </c>
      <c r="AL968" s="436">
        <f>IF(NFI_Expiration=1,IF($A968&lt;VLOOKUP(M$5,NFI,5,0),1,0)*Table_NFI[[#This Row],[Winter Blanket]],Table_NFI[[#This Row],[Winter Blanket]])</f>
        <v>0</v>
      </c>
      <c r="AM968" s="436">
        <f>IF(Table_NFI[[#This Row],[Winter Clothes Adult]]+Table_NFI[[#This Row],[Winter Clothes Children]]+Table_NFI[[#This Row],[Winter Items Other]]+Table_NFI[[#This Row],[Winter Blanket]]&gt;0,1,0)</f>
        <v>0</v>
      </c>
      <c r="AN968" s="439">
        <f>IF(NFI_Expiration=1,IF($A968&lt;VLOOKUP(V$5,NFI,5,0),1,0)*Table_NFI[[#This Row],[Jerry Can]],Table_NFI[Jerry Can])</f>
        <v>0</v>
      </c>
      <c r="AO968" s="835" t="str">
        <f>IFERROR(VLOOKUP(Table_NFI[[#This Row],[Camp Name]],CL,2,0),"")</f>
        <v/>
      </c>
      <c r="AP968" s="836" t="str">
        <f ca="1">IF(Table_NFI[[#This Row],[Pcode]]="","",IF(OFFSET(CampList[Opening Date],MATCH(Table_NFI[[#This Row],[Pcode]],CampList[CP_Pcode],0)-1,0,1,1)&gt;=NFI_Monitor_Date,1,0))</f>
        <v/>
      </c>
      <c r="AQ968" s="835" t="str">
        <f>IFERROR(VLOOKUP(Table_NFI[[#This Row],[Camp Name]],CL,3,0),"")</f>
        <v/>
      </c>
      <c r="AR968" s="832" t="str">
        <f ca="1">IF(Table_NFI[[#This Row],[Pcode]]="","",OFFSET(CampList[Priority],MATCH(Table_NFI[[#This Row],[Pcode]],CampList[CP_Pcode],0)-1,0,1,1))</f>
        <v/>
      </c>
      <c r="AS968" s="837" t="str">
        <f>IFERROR(Table_NFI[[#This Row],[Kitchen Set]]/VLOOKUP(Table_NFI[[#This Row],[Camp Name]],CL,4,0),"")</f>
        <v/>
      </c>
      <c r="AT968" s="769" t="s">
        <v>1099</v>
      </c>
      <c r="AU968" s="838"/>
    </row>
    <row r="969" spans="1:47" x14ac:dyDescent="0.25">
      <c r="A969" s="451" t="str">
        <f t="shared" si="15"/>
        <v/>
      </c>
      <c r="B969" s="829"/>
      <c r="C969" s="830"/>
      <c r="D969" s="830"/>
      <c r="E969" s="830"/>
      <c r="F969" s="830"/>
      <c r="G969" s="830"/>
      <c r="H969" s="831"/>
      <c r="I969" s="831"/>
      <c r="J969" s="831"/>
      <c r="K969" s="831"/>
      <c r="L969" s="831"/>
      <c r="M969" s="831"/>
      <c r="N969" s="831"/>
      <c r="O969" s="831"/>
      <c r="P969" s="832"/>
      <c r="Q969" s="832"/>
      <c r="R969" s="832"/>
      <c r="S969" s="832"/>
      <c r="T969" s="832"/>
      <c r="U969" s="832"/>
      <c r="V969" s="833"/>
      <c r="W969" s="834"/>
      <c r="X969" s="834"/>
      <c r="Y969" s="436">
        <f>IF(NFI_Expiration=1,IF($A969&lt;VLOOKUP(H$5,NFI,5,0),1,0)*Table_NFI[[#This Row],[Hygiene Kit]],Table_NFI[Hygiene Kit])</f>
        <v>0</v>
      </c>
      <c r="Z969" s="436">
        <f>IF(NFI_Expiration=1,IF($A969&lt;VLOOKUP(I$5,NFI,5,0),1,0)*Table_NFI[[#This Row],[NFI Core Kit]],Table_NFI[NFI Core Kit])</f>
        <v>0</v>
      </c>
      <c r="AA969" s="436">
        <f>IF(NFI_Expiration=1,IF($A969&lt;VLOOKUP(J$5,NFI,5,0),1,0)*Table_NFI[[#This Row],[Sanitary Kit]],Table_NFI[Sanitary Kit])</f>
        <v>0</v>
      </c>
      <c r="AB969" s="436">
        <f>IF(NFI_Expiration=1,IF($A969&lt;VLOOKUP(K$5,NFI,5,0),1,0)*Table_NFI[[#This Row],[Mosquito net]],Table_NFI[Mosquito net])</f>
        <v>0</v>
      </c>
      <c r="AC969" s="436">
        <f>IF(NFI_Expiration=1,IF($A969&lt;VLOOKUP(L$5,NFI,5,0),1,0)*Table_NFI[[#This Row],[Tarpaulin]],Table_NFI[[#This Row],[Tarpaulin]])</f>
        <v>0</v>
      </c>
      <c r="AD969" s="436">
        <f>IF(NFI_Expiration=1,IF($A969&lt;VLOOKUP(M$5,NFI,5,0),1,0)*Table_NFI[[#This Row],[Blanket]],Table_NFI[[#This Row],[Blanket]])</f>
        <v>0</v>
      </c>
      <c r="AE969" s="436">
        <f>IF(NFI_Expiration=1,IF($A969&lt;VLOOKUP(N$5,NFI,5,0),1,0)*Table_NFI[[#This Row],[Kitchen Set]],Table_NFI[Kitchen Set])</f>
        <v>0</v>
      </c>
      <c r="AF969" s="436">
        <f>IF(NFI_Expiration=1,IF($A969&lt;VLOOKUP(O$5,NFI,5,0),1,0)*Table_NFI[[#This Row],[Clothes Kit]],Table_NFI[Clothes Kit])</f>
        <v>0</v>
      </c>
      <c r="AG969" s="436">
        <f>IF(NFI_Expiration=1,IF($A969&lt;VLOOKUP(P$5,NFI,5,0),1,0)*Table_NFI[[#This Row],[Plastic Bucket]],Table_NFI[Plastic Bucket])</f>
        <v>0</v>
      </c>
      <c r="AH969" s="436">
        <f>IF(NFI_Expiration=1,IF($A969&lt;VLOOKUP(Q$5,NFI,5,0),1,0)*Table_NFI[[#This Row],[Plastic Mat]],Table_NFI[Plastic Mat])*IF(Table_NFI[[#This Row],[Distribution Date]]&gt;"2014-04-01",1,2.5)</f>
        <v>0</v>
      </c>
      <c r="AI969" s="436">
        <f>IF(NFI_Expiration=1,IF($A969&lt;VLOOKUP(R$5,NFI,5,0),1,0)*Table_NFI[[#This Row],[Winter Clothes Adult]],Table_NFI[Winter Clothes Adult])</f>
        <v>0</v>
      </c>
      <c r="AJ969" s="436">
        <f>IF(NFI_Expiration=1,IF($A969&lt;VLOOKUP(S$5,NFI,5,0),1,0)*Table_NFI[[#This Row],[Winter Clothes Children]],Table_NFI[Winter Clothes Children])</f>
        <v>0</v>
      </c>
      <c r="AK969" s="436">
        <f>IF(NFI_Expiration=1,IF($A969&lt;VLOOKUP(T$5,NFI,5,0),1,0)*Table_NFI[[#This Row],[Winter Items Other]],Table_NFI[Winter Items Other])</f>
        <v>0</v>
      </c>
      <c r="AL969" s="436">
        <f>IF(NFI_Expiration=1,IF($A969&lt;VLOOKUP(M$5,NFI,5,0),1,0)*Table_NFI[[#This Row],[Winter Blanket]],Table_NFI[[#This Row],[Winter Blanket]])</f>
        <v>0</v>
      </c>
      <c r="AM969" s="436">
        <f>IF(Table_NFI[[#This Row],[Winter Clothes Adult]]+Table_NFI[[#This Row],[Winter Clothes Children]]+Table_NFI[[#This Row],[Winter Items Other]]+Table_NFI[[#This Row],[Winter Blanket]]&gt;0,1,0)</f>
        <v>0</v>
      </c>
      <c r="AN969" s="439">
        <f>IF(NFI_Expiration=1,IF($A969&lt;VLOOKUP(V$5,NFI,5,0),1,0)*Table_NFI[[#This Row],[Jerry Can]],Table_NFI[Jerry Can])</f>
        <v>0</v>
      </c>
      <c r="AO969" s="835" t="str">
        <f>IFERROR(VLOOKUP(Table_NFI[[#This Row],[Camp Name]],CL,2,0),"")</f>
        <v/>
      </c>
      <c r="AP969" s="836" t="str">
        <f ca="1">IF(Table_NFI[[#This Row],[Pcode]]="","",IF(OFFSET(CampList[Opening Date],MATCH(Table_NFI[[#This Row],[Pcode]],CampList[CP_Pcode],0)-1,0,1,1)&gt;=NFI_Monitor_Date,1,0))</f>
        <v/>
      </c>
      <c r="AQ969" s="835" t="str">
        <f>IFERROR(VLOOKUP(Table_NFI[[#This Row],[Camp Name]],CL,3,0),"")</f>
        <v/>
      </c>
      <c r="AR969" s="832" t="str">
        <f ca="1">IF(Table_NFI[[#This Row],[Pcode]]="","",OFFSET(CampList[Priority],MATCH(Table_NFI[[#This Row],[Pcode]],CampList[CP_Pcode],0)-1,0,1,1))</f>
        <v/>
      </c>
      <c r="AS969" s="837" t="str">
        <f>IFERROR(Table_NFI[[#This Row],[Kitchen Set]]/VLOOKUP(Table_NFI[[#This Row],[Camp Name]],CL,4,0),"")</f>
        <v/>
      </c>
      <c r="AT969" s="769" t="s">
        <v>1099</v>
      </c>
      <c r="AU969" s="838"/>
    </row>
    <row r="970" spans="1:47" x14ac:dyDescent="0.25">
      <c r="A970" s="451" t="str">
        <f t="shared" si="15"/>
        <v/>
      </c>
      <c r="B970" s="829"/>
      <c r="C970" s="830"/>
      <c r="D970" s="830"/>
      <c r="E970" s="830"/>
      <c r="F970" s="830"/>
      <c r="G970" s="830"/>
      <c r="H970" s="831"/>
      <c r="I970" s="831"/>
      <c r="J970" s="831"/>
      <c r="K970" s="831"/>
      <c r="L970" s="831"/>
      <c r="M970" s="831"/>
      <c r="N970" s="831"/>
      <c r="O970" s="831"/>
      <c r="P970" s="832"/>
      <c r="Q970" s="832"/>
      <c r="R970" s="832"/>
      <c r="S970" s="832"/>
      <c r="T970" s="832"/>
      <c r="U970" s="832"/>
      <c r="V970" s="833"/>
      <c r="W970" s="834"/>
      <c r="X970" s="834"/>
      <c r="Y970" s="436">
        <f>IF(NFI_Expiration=1,IF($A970&lt;VLOOKUP(H$5,NFI,5,0),1,0)*Table_NFI[[#This Row],[Hygiene Kit]],Table_NFI[Hygiene Kit])</f>
        <v>0</v>
      </c>
      <c r="Z970" s="436">
        <f>IF(NFI_Expiration=1,IF($A970&lt;VLOOKUP(I$5,NFI,5,0),1,0)*Table_NFI[[#This Row],[NFI Core Kit]],Table_NFI[NFI Core Kit])</f>
        <v>0</v>
      </c>
      <c r="AA970" s="436">
        <f>IF(NFI_Expiration=1,IF($A970&lt;VLOOKUP(J$5,NFI,5,0),1,0)*Table_NFI[[#This Row],[Sanitary Kit]],Table_NFI[Sanitary Kit])</f>
        <v>0</v>
      </c>
      <c r="AB970" s="436">
        <f>IF(NFI_Expiration=1,IF($A970&lt;VLOOKUP(K$5,NFI,5,0),1,0)*Table_NFI[[#This Row],[Mosquito net]],Table_NFI[Mosquito net])</f>
        <v>0</v>
      </c>
      <c r="AC970" s="436">
        <f>IF(NFI_Expiration=1,IF($A970&lt;VLOOKUP(L$5,NFI,5,0),1,0)*Table_NFI[[#This Row],[Tarpaulin]],Table_NFI[[#This Row],[Tarpaulin]])</f>
        <v>0</v>
      </c>
      <c r="AD970" s="436">
        <f>IF(NFI_Expiration=1,IF($A970&lt;VLOOKUP(M$5,NFI,5,0),1,0)*Table_NFI[[#This Row],[Blanket]],Table_NFI[[#This Row],[Blanket]])</f>
        <v>0</v>
      </c>
      <c r="AE970" s="436">
        <f>IF(NFI_Expiration=1,IF($A970&lt;VLOOKUP(N$5,NFI,5,0),1,0)*Table_NFI[[#This Row],[Kitchen Set]],Table_NFI[Kitchen Set])</f>
        <v>0</v>
      </c>
      <c r="AF970" s="436">
        <f>IF(NFI_Expiration=1,IF($A970&lt;VLOOKUP(O$5,NFI,5,0),1,0)*Table_NFI[[#This Row],[Clothes Kit]],Table_NFI[Clothes Kit])</f>
        <v>0</v>
      </c>
      <c r="AG970" s="436">
        <f>IF(NFI_Expiration=1,IF($A970&lt;VLOOKUP(P$5,NFI,5,0),1,0)*Table_NFI[[#This Row],[Plastic Bucket]],Table_NFI[Plastic Bucket])</f>
        <v>0</v>
      </c>
      <c r="AH970" s="436">
        <f>IF(NFI_Expiration=1,IF($A970&lt;VLOOKUP(Q$5,NFI,5,0),1,0)*Table_NFI[[#This Row],[Plastic Mat]],Table_NFI[Plastic Mat])*IF(Table_NFI[[#This Row],[Distribution Date]]&gt;"2014-04-01",1,2.5)</f>
        <v>0</v>
      </c>
      <c r="AI970" s="436">
        <f>IF(NFI_Expiration=1,IF($A970&lt;VLOOKUP(R$5,NFI,5,0),1,0)*Table_NFI[[#This Row],[Winter Clothes Adult]],Table_NFI[Winter Clothes Adult])</f>
        <v>0</v>
      </c>
      <c r="AJ970" s="436">
        <f>IF(NFI_Expiration=1,IF($A970&lt;VLOOKUP(S$5,NFI,5,0),1,0)*Table_NFI[[#This Row],[Winter Clothes Children]],Table_NFI[Winter Clothes Children])</f>
        <v>0</v>
      </c>
      <c r="AK970" s="436">
        <f>IF(NFI_Expiration=1,IF($A970&lt;VLOOKUP(T$5,NFI,5,0),1,0)*Table_NFI[[#This Row],[Winter Items Other]],Table_NFI[Winter Items Other])</f>
        <v>0</v>
      </c>
      <c r="AL970" s="436">
        <f>IF(NFI_Expiration=1,IF($A970&lt;VLOOKUP(M$5,NFI,5,0),1,0)*Table_NFI[[#This Row],[Winter Blanket]],Table_NFI[[#This Row],[Winter Blanket]])</f>
        <v>0</v>
      </c>
      <c r="AM970" s="436">
        <f>IF(Table_NFI[[#This Row],[Winter Clothes Adult]]+Table_NFI[[#This Row],[Winter Clothes Children]]+Table_NFI[[#This Row],[Winter Items Other]]+Table_NFI[[#This Row],[Winter Blanket]]&gt;0,1,0)</f>
        <v>0</v>
      </c>
      <c r="AN970" s="439">
        <f>IF(NFI_Expiration=1,IF($A970&lt;VLOOKUP(V$5,NFI,5,0),1,0)*Table_NFI[[#This Row],[Jerry Can]],Table_NFI[Jerry Can])</f>
        <v>0</v>
      </c>
      <c r="AO970" s="835" t="str">
        <f>IFERROR(VLOOKUP(Table_NFI[[#This Row],[Camp Name]],CL,2,0),"")</f>
        <v/>
      </c>
      <c r="AP970" s="836" t="str">
        <f ca="1">IF(Table_NFI[[#This Row],[Pcode]]="","",IF(OFFSET(CampList[Opening Date],MATCH(Table_NFI[[#This Row],[Pcode]],CampList[CP_Pcode],0)-1,0,1,1)&gt;=NFI_Monitor_Date,1,0))</f>
        <v/>
      </c>
      <c r="AQ970" s="835" t="str">
        <f>IFERROR(VLOOKUP(Table_NFI[[#This Row],[Camp Name]],CL,3,0),"")</f>
        <v/>
      </c>
      <c r="AR970" s="832" t="str">
        <f ca="1">IF(Table_NFI[[#This Row],[Pcode]]="","",OFFSET(CampList[Priority],MATCH(Table_NFI[[#This Row],[Pcode]],CampList[CP_Pcode],0)-1,0,1,1))</f>
        <v/>
      </c>
      <c r="AS970" s="837" t="str">
        <f>IFERROR(Table_NFI[[#This Row],[Kitchen Set]]/VLOOKUP(Table_NFI[[#This Row],[Camp Name]],CL,4,0),"")</f>
        <v/>
      </c>
      <c r="AT970" s="769" t="s">
        <v>1099</v>
      </c>
      <c r="AU970" s="838"/>
    </row>
    <row r="971" spans="1:47" x14ac:dyDescent="0.25">
      <c r="A971" s="451" t="str">
        <f t="shared" si="15"/>
        <v/>
      </c>
      <c r="B971" s="829"/>
      <c r="C971" s="830"/>
      <c r="D971" s="830"/>
      <c r="E971" s="830"/>
      <c r="F971" s="830"/>
      <c r="G971" s="830"/>
      <c r="H971" s="831"/>
      <c r="I971" s="831"/>
      <c r="J971" s="831"/>
      <c r="K971" s="831"/>
      <c r="L971" s="831"/>
      <c r="M971" s="831"/>
      <c r="N971" s="831"/>
      <c r="O971" s="831"/>
      <c r="P971" s="832"/>
      <c r="Q971" s="832"/>
      <c r="R971" s="832"/>
      <c r="S971" s="832"/>
      <c r="T971" s="832"/>
      <c r="U971" s="832"/>
      <c r="V971" s="833"/>
      <c r="W971" s="834"/>
      <c r="X971" s="834"/>
      <c r="Y971" s="436">
        <f>IF(NFI_Expiration=1,IF($A971&lt;VLOOKUP(H$5,NFI,5,0),1,0)*Table_NFI[[#This Row],[Hygiene Kit]],Table_NFI[Hygiene Kit])</f>
        <v>0</v>
      </c>
      <c r="Z971" s="436">
        <f>IF(NFI_Expiration=1,IF($A971&lt;VLOOKUP(I$5,NFI,5,0),1,0)*Table_NFI[[#This Row],[NFI Core Kit]],Table_NFI[NFI Core Kit])</f>
        <v>0</v>
      </c>
      <c r="AA971" s="436">
        <f>IF(NFI_Expiration=1,IF($A971&lt;VLOOKUP(J$5,NFI,5,0),1,0)*Table_NFI[[#This Row],[Sanitary Kit]],Table_NFI[Sanitary Kit])</f>
        <v>0</v>
      </c>
      <c r="AB971" s="436">
        <f>IF(NFI_Expiration=1,IF($A971&lt;VLOOKUP(K$5,NFI,5,0),1,0)*Table_NFI[[#This Row],[Mosquito net]],Table_NFI[Mosquito net])</f>
        <v>0</v>
      </c>
      <c r="AC971" s="436">
        <f>IF(NFI_Expiration=1,IF($A971&lt;VLOOKUP(L$5,NFI,5,0),1,0)*Table_NFI[[#This Row],[Tarpaulin]],Table_NFI[[#This Row],[Tarpaulin]])</f>
        <v>0</v>
      </c>
      <c r="AD971" s="436">
        <f>IF(NFI_Expiration=1,IF($A971&lt;VLOOKUP(M$5,NFI,5,0),1,0)*Table_NFI[[#This Row],[Blanket]],Table_NFI[[#This Row],[Blanket]])</f>
        <v>0</v>
      </c>
      <c r="AE971" s="436">
        <f>IF(NFI_Expiration=1,IF($A971&lt;VLOOKUP(N$5,NFI,5,0),1,0)*Table_NFI[[#This Row],[Kitchen Set]],Table_NFI[Kitchen Set])</f>
        <v>0</v>
      </c>
      <c r="AF971" s="436">
        <f>IF(NFI_Expiration=1,IF($A971&lt;VLOOKUP(O$5,NFI,5,0),1,0)*Table_NFI[[#This Row],[Clothes Kit]],Table_NFI[Clothes Kit])</f>
        <v>0</v>
      </c>
      <c r="AG971" s="436">
        <f>IF(NFI_Expiration=1,IF($A971&lt;VLOOKUP(P$5,NFI,5,0),1,0)*Table_NFI[[#This Row],[Plastic Bucket]],Table_NFI[Plastic Bucket])</f>
        <v>0</v>
      </c>
      <c r="AH971" s="436">
        <f>IF(NFI_Expiration=1,IF($A971&lt;VLOOKUP(Q$5,NFI,5,0),1,0)*Table_NFI[[#This Row],[Plastic Mat]],Table_NFI[Plastic Mat])*IF(Table_NFI[[#This Row],[Distribution Date]]&gt;"2014-04-01",1,2.5)</f>
        <v>0</v>
      </c>
      <c r="AI971" s="436">
        <f>IF(NFI_Expiration=1,IF($A971&lt;VLOOKUP(R$5,NFI,5,0),1,0)*Table_NFI[[#This Row],[Winter Clothes Adult]],Table_NFI[Winter Clothes Adult])</f>
        <v>0</v>
      </c>
      <c r="AJ971" s="436">
        <f>IF(NFI_Expiration=1,IF($A971&lt;VLOOKUP(S$5,NFI,5,0),1,0)*Table_NFI[[#This Row],[Winter Clothes Children]],Table_NFI[Winter Clothes Children])</f>
        <v>0</v>
      </c>
      <c r="AK971" s="436">
        <f>IF(NFI_Expiration=1,IF($A971&lt;VLOOKUP(T$5,NFI,5,0),1,0)*Table_NFI[[#This Row],[Winter Items Other]],Table_NFI[Winter Items Other])</f>
        <v>0</v>
      </c>
      <c r="AL971" s="436">
        <f>IF(NFI_Expiration=1,IF($A971&lt;VLOOKUP(M$5,NFI,5,0),1,0)*Table_NFI[[#This Row],[Winter Blanket]],Table_NFI[[#This Row],[Winter Blanket]])</f>
        <v>0</v>
      </c>
      <c r="AM971" s="436">
        <f>IF(Table_NFI[[#This Row],[Winter Clothes Adult]]+Table_NFI[[#This Row],[Winter Clothes Children]]+Table_NFI[[#This Row],[Winter Items Other]]+Table_NFI[[#This Row],[Winter Blanket]]&gt;0,1,0)</f>
        <v>0</v>
      </c>
      <c r="AN971" s="439">
        <f>IF(NFI_Expiration=1,IF($A971&lt;VLOOKUP(V$5,NFI,5,0),1,0)*Table_NFI[[#This Row],[Jerry Can]],Table_NFI[Jerry Can])</f>
        <v>0</v>
      </c>
      <c r="AO971" s="835" t="str">
        <f>IFERROR(VLOOKUP(Table_NFI[[#This Row],[Camp Name]],CL,2,0),"")</f>
        <v/>
      </c>
      <c r="AP971" s="836" t="str">
        <f ca="1">IF(Table_NFI[[#This Row],[Pcode]]="","",IF(OFFSET(CampList[Opening Date],MATCH(Table_NFI[[#This Row],[Pcode]],CampList[CP_Pcode],0)-1,0,1,1)&gt;=NFI_Monitor_Date,1,0))</f>
        <v/>
      </c>
      <c r="AQ971" s="835" t="str">
        <f>IFERROR(VLOOKUP(Table_NFI[[#This Row],[Camp Name]],CL,3,0),"")</f>
        <v/>
      </c>
      <c r="AR971" s="832" t="str">
        <f ca="1">IF(Table_NFI[[#This Row],[Pcode]]="","",OFFSET(CampList[Priority],MATCH(Table_NFI[[#This Row],[Pcode]],CampList[CP_Pcode],0)-1,0,1,1))</f>
        <v/>
      </c>
      <c r="AS971" s="837" t="str">
        <f>IFERROR(Table_NFI[[#This Row],[Kitchen Set]]/VLOOKUP(Table_NFI[[#This Row],[Camp Name]],CL,4,0),"")</f>
        <v/>
      </c>
      <c r="AT971" s="769" t="s">
        <v>1099</v>
      </c>
      <c r="AU971" s="838"/>
    </row>
    <row r="972" spans="1:47" x14ac:dyDescent="0.25">
      <c r="A972" s="451" t="str">
        <f t="shared" si="15"/>
        <v/>
      </c>
      <c r="B972" s="829"/>
      <c r="C972" s="830"/>
      <c r="D972" s="830"/>
      <c r="E972" s="830"/>
      <c r="F972" s="830"/>
      <c r="G972" s="830"/>
      <c r="H972" s="831"/>
      <c r="I972" s="831"/>
      <c r="J972" s="831"/>
      <c r="K972" s="831"/>
      <c r="L972" s="831"/>
      <c r="M972" s="831"/>
      <c r="N972" s="831"/>
      <c r="O972" s="831"/>
      <c r="P972" s="832"/>
      <c r="Q972" s="832"/>
      <c r="R972" s="832"/>
      <c r="S972" s="832"/>
      <c r="T972" s="832"/>
      <c r="U972" s="832"/>
      <c r="V972" s="833"/>
      <c r="W972" s="834"/>
      <c r="X972" s="834"/>
      <c r="Y972" s="436">
        <f>IF(NFI_Expiration=1,IF($A972&lt;VLOOKUP(H$5,NFI,5,0),1,0)*Table_NFI[[#This Row],[Hygiene Kit]],Table_NFI[Hygiene Kit])</f>
        <v>0</v>
      </c>
      <c r="Z972" s="436">
        <f>IF(NFI_Expiration=1,IF($A972&lt;VLOOKUP(I$5,NFI,5,0),1,0)*Table_NFI[[#This Row],[NFI Core Kit]],Table_NFI[NFI Core Kit])</f>
        <v>0</v>
      </c>
      <c r="AA972" s="436">
        <f>IF(NFI_Expiration=1,IF($A972&lt;VLOOKUP(J$5,NFI,5,0),1,0)*Table_NFI[[#This Row],[Sanitary Kit]],Table_NFI[Sanitary Kit])</f>
        <v>0</v>
      </c>
      <c r="AB972" s="436">
        <f>IF(NFI_Expiration=1,IF($A972&lt;VLOOKUP(K$5,NFI,5,0),1,0)*Table_NFI[[#This Row],[Mosquito net]],Table_NFI[Mosquito net])</f>
        <v>0</v>
      </c>
      <c r="AC972" s="436">
        <f>IF(NFI_Expiration=1,IF($A972&lt;VLOOKUP(L$5,NFI,5,0),1,0)*Table_NFI[[#This Row],[Tarpaulin]],Table_NFI[[#This Row],[Tarpaulin]])</f>
        <v>0</v>
      </c>
      <c r="AD972" s="436">
        <f>IF(NFI_Expiration=1,IF($A972&lt;VLOOKUP(M$5,NFI,5,0),1,0)*Table_NFI[[#This Row],[Blanket]],Table_NFI[[#This Row],[Blanket]])</f>
        <v>0</v>
      </c>
      <c r="AE972" s="436">
        <f>IF(NFI_Expiration=1,IF($A972&lt;VLOOKUP(N$5,NFI,5,0),1,0)*Table_NFI[[#This Row],[Kitchen Set]],Table_NFI[Kitchen Set])</f>
        <v>0</v>
      </c>
      <c r="AF972" s="436">
        <f>IF(NFI_Expiration=1,IF($A972&lt;VLOOKUP(O$5,NFI,5,0),1,0)*Table_NFI[[#This Row],[Clothes Kit]],Table_NFI[Clothes Kit])</f>
        <v>0</v>
      </c>
      <c r="AG972" s="436">
        <f>IF(NFI_Expiration=1,IF($A972&lt;VLOOKUP(P$5,NFI,5,0),1,0)*Table_NFI[[#This Row],[Plastic Bucket]],Table_NFI[Plastic Bucket])</f>
        <v>0</v>
      </c>
      <c r="AH972" s="436">
        <f>IF(NFI_Expiration=1,IF($A972&lt;VLOOKUP(Q$5,NFI,5,0),1,0)*Table_NFI[[#This Row],[Plastic Mat]],Table_NFI[Plastic Mat])*IF(Table_NFI[[#This Row],[Distribution Date]]&gt;"2014-04-01",1,2.5)</f>
        <v>0</v>
      </c>
      <c r="AI972" s="436">
        <f>IF(NFI_Expiration=1,IF($A972&lt;VLOOKUP(R$5,NFI,5,0),1,0)*Table_NFI[[#This Row],[Winter Clothes Adult]],Table_NFI[Winter Clothes Adult])</f>
        <v>0</v>
      </c>
      <c r="AJ972" s="436">
        <f>IF(NFI_Expiration=1,IF($A972&lt;VLOOKUP(S$5,NFI,5,0),1,0)*Table_NFI[[#This Row],[Winter Clothes Children]],Table_NFI[Winter Clothes Children])</f>
        <v>0</v>
      </c>
      <c r="AK972" s="436">
        <f>IF(NFI_Expiration=1,IF($A972&lt;VLOOKUP(T$5,NFI,5,0),1,0)*Table_NFI[[#This Row],[Winter Items Other]],Table_NFI[Winter Items Other])</f>
        <v>0</v>
      </c>
      <c r="AL972" s="436">
        <f>IF(NFI_Expiration=1,IF($A972&lt;VLOOKUP(M$5,NFI,5,0),1,0)*Table_NFI[[#This Row],[Winter Blanket]],Table_NFI[[#This Row],[Winter Blanket]])</f>
        <v>0</v>
      </c>
      <c r="AM972" s="436">
        <f>IF(Table_NFI[[#This Row],[Winter Clothes Adult]]+Table_NFI[[#This Row],[Winter Clothes Children]]+Table_NFI[[#This Row],[Winter Items Other]]+Table_NFI[[#This Row],[Winter Blanket]]&gt;0,1,0)</f>
        <v>0</v>
      </c>
      <c r="AN972" s="439">
        <f>IF(NFI_Expiration=1,IF($A972&lt;VLOOKUP(V$5,NFI,5,0),1,0)*Table_NFI[[#This Row],[Jerry Can]],Table_NFI[Jerry Can])</f>
        <v>0</v>
      </c>
      <c r="AO972" s="835" t="str">
        <f>IFERROR(VLOOKUP(Table_NFI[[#This Row],[Camp Name]],CL,2,0),"")</f>
        <v/>
      </c>
      <c r="AP972" s="836" t="str">
        <f ca="1">IF(Table_NFI[[#This Row],[Pcode]]="","",IF(OFFSET(CampList[Opening Date],MATCH(Table_NFI[[#This Row],[Pcode]],CampList[CP_Pcode],0)-1,0,1,1)&gt;=NFI_Monitor_Date,1,0))</f>
        <v/>
      </c>
      <c r="AQ972" s="835" t="str">
        <f>IFERROR(VLOOKUP(Table_NFI[[#This Row],[Camp Name]],CL,3,0),"")</f>
        <v/>
      </c>
      <c r="AR972" s="832" t="str">
        <f ca="1">IF(Table_NFI[[#This Row],[Pcode]]="","",OFFSET(CampList[Priority],MATCH(Table_NFI[[#This Row],[Pcode]],CampList[CP_Pcode],0)-1,0,1,1))</f>
        <v/>
      </c>
      <c r="AS972" s="837" t="str">
        <f>IFERROR(Table_NFI[[#This Row],[Kitchen Set]]/VLOOKUP(Table_NFI[[#This Row],[Camp Name]],CL,4,0),"")</f>
        <v/>
      </c>
      <c r="AT972" s="769" t="s">
        <v>1099</v>
      </c>
      <c r="AU972" s="838"/>
    </row>
    <row r="973" spans="1:47" x14ac:dyDescent="0.25">
      <c r="A973" s="451" t="str">
        <f t="shared" si="15"/>
        <v/>
      </c>
      <c r="B973" s="829"/>
      <c r="C973" s="830"/>
      <c r="D973" s="830"/>
      <c r="E973" s="830"/>
      <c r="F973" s="830"/>
      <c r="G973" s="830"/>
      <c r="H973" s="831"/>
      <c r="I973" s="831"/>
      <c r="J973" s="831"/>
      <c r="K973" s="831"/>
      <c r="L973" s="831"/>
      <c r="M973" s="831"/>
      <c r="N973" s="831"/>
      <c r="O973" s="831"/>
      <c r="P973" s="832"/>
      <c r="Q973" s="832"/>
      <c r="R973" s="832"/>
      <c r="S973" s="832"/>
      <c r="T973" s="832"/>
      <c r="U973" s="832"/>
      <c r="V973" s="833"/>
      <c r="W973" s="834"/>
      <c r="X973" s="834"/>
      <c r="Y973" s="436">
        <f>IF(NFI_Expiration=1,IF($A973&lt;VLOOKUP(H$5,NFI,5,0),1,0)*Table_NFI[[#This Row],[Hygiene Kit]],Table_NFI[Hygiene Kit])</f>
        <v>0</v>
      </c>
      <c r="Z973" s="436">
        <f>IF(NFI_Expiration=1,IF($A973&lt;VLOOKUP(I$5,NFI,5,0),1,0)*Table_NFI[[#This Row],[NFI Core Kit]],Table_NFI[NFI Core Kit])</f>
        <v>0</v>
      </c>
      <c r="AA973" s="436">
        <f>IF(NFI_Expiration=1,IF($A973&lt;VLOOKUP(J$5,NFI,5,0),1,0)*Table_NFI[[#This Row],[Sanitary Kit]],Table_NFI[Sanitary Kit])</f>
        <v>0</v>
      </c>
      <c r="AB973" s="436">
        <f>IF(NFI_Expiration=1,IF($A973&lt;VLOOKUP(K$5,NFI,5,0),1,0)*Table_NFI[[#This Row],[Mosquito net]],Table_NFI[Mosquito net])</f>
        <v>0</v>
      </c>
      <c r="AC973" s="436">
        <f>IF(NFI_Expiration=1,IF($A973&lt;VLOOKUP(L$5,NFI,5,0),1,0)*Table_NFI[[#This Row],[Tarpaulin]],Table_NFI[[#This Row],[Tarpaulin]])</f>
        <v>0</v>
      </c>
      <c r="AD973" s="436">
        <f>IF(NFI_Expiration=1,IF($A973&lt;VLOOKUP(M$5,NFI,5,0),1,0)*Table_NFI[[#This Row],[Blanket]],Table_NFI[[#This Row],[Blanket]])</f>
        <v>0</v>
      </c>
      <c r="AE973" s="436">
        <f>IF(NFI_Expiration=1,IF($A973&lt;VLOOKUP(N$5,NFI,5,0),1,0)*Table_NFI[[#This Row],[Kitchen Set]],Table_NFI[Kitchen Set])</f>
        <v>0</v>
      </c>
      <c r="AF973" s="436">
        <f>IF(NFI_Expiration=1,IF($A973&lt;VLOOKUP(O$5,NFI,5,0),1,0)*Table_NFI[[#This Row],[Clothes Kit]],Table_NFI[Clothes Kit])</f>
        <v>0</v>
      </c>
      <c r="AG973" s="436">
        <f>IF(NFI_Expiration=1,IF($A973&lt;VLOOKUP(P$5,NFI,5,0),1,0)*Table_NFI[[#This Row],[Plastic Bucket]],Table_NFI[Plastic Bucket])</f>
        <v>0</v>
      </c>
      <c r="AH973" s="436">
        <f>IF(NFI_Expiration=1,IF($A973&lt;VLOOKUP(Q$5,NFI,5,0),1,0)*Table_NFI[[#This Row],[Plastic Mat]],Table_NFI[Plastic Mat])*IF(Table_NFI[[#This Row],[Distribution Date]]&gt;"2014-04-01",1,2.5)</f>
        <v>0</v>
      </c>
      <c r="AI973" s="436">
        <f>IF(NFI_Expiration=1,IF($A973&lt;VLOOKUP(R$5,NFI,5,0),1,0)*Table_NFI[[#This Row],[Winter Clothes Adult]],Table_NFI[Winter Clothes Adult])</f>
        <v>0</v>
      </c>
      <c r="AJ973" s="436">
        <f>IF(NFI_Expiration=1,IF($A973&lt;VLOOKUP(S$5,NFI,5,0),1,0)*Table_NFI[[#This Row],[Winter Clothes Children]],Table_NFI[Winter Clothes Children])</f>
        <v>0</v>
      </c>
      <c r="AK973" s="436">
        <f>IF(NFI_Expiration=1,IF($A973&lt;VLOOKUP(T$5,NFI,5,0),1,0)*Table_NFI[[#This Row],[Winter Items Other]],Table_NFI[Winter Items Other])</f>
        <v>0</v>
      </c>
      <c r="AL973" s="436">
        <f>IF(NFI_Expiration=1,IF($A973&lt;VLOOKUP(M$5,NFI,5,0),1,0)*Table_NFI[[#This Row],[Winter Blanket]],Table_NFI[[#This Row],[Winter Blanket]])</f>
        <v>0</v>
      </c>
      <c r="AM973" s="436">
        <f>IF(Table_NFI[[#This Row],[Winter Clothes Adult]]+Table_NFI[[#This Row],[Winter Clothes Children]]+Table_NFI[[#This Row],[Winter Items Other]]+Table_NFI[[#This Row],[Winter Blanket]]&gt;0,1,0)</f>
        <v>0</v>
      </c>
      <c r="AN973" s="439">
        <f>IF(NFI_Expiration=1,IF($A973&lt;VLOOKUP(V$5,NFI,5,0),1,0)*Table_NFI[[#This Row],[Jerry Can]],Table_NFI[Jerry Can])</f>
        <v>0</v>
      </c>
      <c r="AO973" s="835" t="str">
        <f>IFERROR(VLOOKUP(Table_NFI[[#This Row],[Camp Name]],CL,2,0),"")</f>
        <v/>
      </c>
      <c r="AP973" s="836" t="str">
        <f ca="1">IF(Table_NFI[[#This Row],[Pcode]]="","",IF(OFFSET(CampList[Opening Date],MATCH(Table_NFI[[#This Row],[Pcode]],CampList[CP_Pcode],0)-1,0,1,1)&gt;=NFI_Monitor_Date,1,0))</f>
        <v/>
      </c>
      <c r="AQ973" s="835" t="str">
        <f>IFERROR(VLOOKUP(Table_NFI[[#This Row],[Camp Name]],CL,3,0),"")</f>
        <v/>
      </c>
      <c r="AR973" s="832" t="str">
        <f ca="1">IF(Table_NFI[[#This Row],[Pcode]]="","",OFFSET(CampList[Priority],MATCH(Table_NFI[[#This Row],[Pcode]],CampList[CP_Pcode],0)-1,0,1,1))</f>
        <v/>
      </c>
      <c r="AS973" s="837" t="str">
        <f>IFERROR(Table_NFI[[#This Row],[Kitchen Set]]/VLOOKUP(Table_NFI[[#This Row],[Camp Name]],CL,4,0),"")</f>
        <v/>
      </c>
      <c r="AT973" s="769" t="s">
        <v>1099</v>
      </c>
      <c r="AU973" s="838"/>
    </row>
    <row r="974" spans="1:47" x14ac:dyDescent="0.25">
      <c r="A974" s="451" t="str">
        <f t="shared" si="15"/>
        <v/>
      </c>
      <c r="B974" s="829"/>
      <c r="C974" s="830"/>
      <c r="D974" s="830"/>
      <c r="E974" s="830"/>
      <c r="F974" s="830"/>
      <c r="G974" s="830"/>
      <c r="H974" s="831"/>
      <c r="I974" s="831"/>
      <c r="J974" s="831"/>
      <c r="K974" s="831"/>
      <c r="L974" s="831"/>
      <c r="M974" s="831"/>
      <c r="N974" s="831"/>
      <c r="O974" s="831"/>
      <c r="P974" s="832"/>
      <c r="Q974" s="832"/>
      <c r="R974" s="832"/>
      <c r="S974" s="832"/>
      <c r="T974" s="832"/>
      <c r="U974" s="832"/>
      <c r="V974" s="833"/>
      <c r="W974" s="834"/>
      <c r="X974" s="834"/>
      <c r="Y974" s="436">
        <f>IF(NFI_Expiration=1,IF($A974&lt;VLOOKUP(H$5,NFI,5,0),1,0)*Table_NFI[[#This Row],[Hygiene Kit]],Table_NFI[Hygiene Kit])</f>
        <v>0</v>
      </c>
      <c r="Z974" s="436">
        <f>IF(NFI_Expiration=1,IF($A974&lt;VLOOKUP(I$5,NFI,5,0),1,0)*Table_NFI[[#This Row],[NFI Core Kit]],Table_NFI[NFI Core Kit])</f>
        <v>0</v>
      </c>
      <c r="AA974" s="436">
        <f>IF(NFI_Expiration=1,IF($A974&lt;VLOOKUP(J$5,NFI,5,0),1,0)*Table_NFI[[#This Row],[Sanitary Kit]],Table_NFI[Sanitary Kit])</f>
        <v>0</v>
      </c>
      <c r="AB974" s="436">
        <f>IF(NFI_Expiration=1,IF($A974&lt;VLOOKUP(K$5,NFI,5,0),1,0)*Table_NFI[[#This Row],[Mosquito net]],Table_NFI[Mosquito net])</f>
        <v>0</v>
      </c>
      <c r="AC974" s="436">
        <f>IF(NFI_Expiration=1,IF($A974&lt;VLOOKUP(L$5,NFI,5,0),1,0)*Table_NFI[[#This Row],[Tarpaulin]],Table_NFI[[#This Row],[Tarpaulin]])</f>
        <v>0</v>
      </c>
      <c r="AD974" s="436">
        <f>IF(NFI_Expiration=1,IF($A974&lt;VLOOKUP(M$5,NFI,5,0),1,0)*Table_NFI[[#This Row],[Blanket]],Table_NFI[[#This Row],[Blanket]])</f>
        <v>0</v>
      </c>
      <c r="AE974" s="436">
        <f>IF(NFI_Expiration=1,IF($A974&lt;VLOOKUP(N$5,NFI,5,0),1,0)*Table_NFI[[#This Row],[Kitchen Set]],Table_NFI[Kitchen Set])</f>
        <v>0</v>
      </c>
      <c r="AF974" s="436">
        <f>IF(NFI_Expiration=1,IF($A974&lt;VLOOKUP(O$5,NFI,5,0),1,0)*Table_NFI[[#This Row],[Clothes Kit]],Table_NFI[Clothes Kit])</f>
        <v>0</v>
      </c>
      <c r="AG974" s="436">
        <f>IF(NFI_Expiration=1,IF($A974&lt;VLOOKUP(P$5,NFI,5,0),1,0)*Table_NFI[[#This Row],[Plastic Bucket]],Table_NFI[Plastic Bucket])</f>
        <v>0</v>
      </c>
      <c r="AH974" s="436">
        <f>IF(NFI_Expiration=1,IF($A974&lt;VLOOKUP(Q$5,NFI,5,0),1,0)*Table_NFI[[#This Row],[Plastic Mat]],Table_NFI[Plastic Mat])*IF(Table_NFI[[#This Row],[Distribution Date]]&gt;"2014-04-01",1,2.5)</f>
        <v>0</v>
      </c>
      <c r="AI974" s="436">
        <f>IF(NFI_Expiration=1,IF($A974&lt;VLOOKUP(R$5,NFI,5,0),1,0)*Table_NFI[[#This Row],[Winter Clothes Adult]],Table_NFI[Winter Clothes Adult])</f>
        <v>0</v>
      </c>
      <c r="AJ974" s="436">
        <f>IF(NFI_Expiration=1,IF($A974&lt;VLOOKUP(S$5,NFI,5,0),1,0)*Table_NFI[[#This Row],[Winter Clothes Children]],Table_NFI[Winter Clothes Children])</f>
        <v>0</v>
      </c>
      <c r="AK974" s="436">
        <f>IF(NFI_Expiration=1,IF($A974&lt;VLOOKUP(T$5,NFI,5,0),1,0)*Table_NFI[[#This Row],[Winter Items Other]],Table_NFI[Winter Items Other])</f>
        <v>0</v>
      </c>
      <c r="AL974" s="436">
        <f>IF(NFI_Expiration=1,IF($A974&lt;VLOOKUP(M$5,NFI,5,0),1,0)*Table_NFI[[#This Row],[Winter Blanket]],Table_NFI[[#This Row],[Winter Blanket]])</f>
        <v>0</v>
      </c>
      <c r="AM974" s="436">
        <f>IF(Table_NFI[[#This Row],[Winter Clothes Adult]]+Table_NFI[[#This Row],[Winter Clothes Children]]+Table_NFI[[#This Row],[Winter Items Other]]+Table_NFI[[#This Row],[Winter Blanket]]&gt;0,1,0)</f>
        <v>0</v>
      </c>
      <c r="AN974" s="439">
        <f>IF(NFI_Expiration=1,IF($A974&lt;VLOOKUP(V$5,NFI,5,0),1,0)*Table_NFI[[#This Row],[Jerry Can]],Table_NFI[Jerry Can])</f>
        <v>0</v>
      </c>
      <c r="AO974" s="835" t="str">
        <f>IFERROR(VLOOKUP(Table_NFI[[#This Row],[Camp Name]],CL,2,0),"")</f>
        <v/>
      </c>
      <c r="AP974" s="836" t="str">
        <f ca="1">IF(Table_NFI[[#This Row],[Pcode]]="","",IF(OFFSET(CampList[Opening Date],MATCH(Table_NFI[[#This Row],[Pcode]],CampList[CP_Pcode],0)-1,0,1,1)&gt;=NFI_Monitor_Date,1,0))</f>
        <v/>
      </c>
      <c r="AQ974" s="835" t="str">
        <f>IFERROR(VLOOKUP(Table_NFI[[#This Row],[Camp Name]],CL,3,0),"")</f>
        <v/>
      </c>
      <c r="AR974" s="832" t="str">
        <f ca="1">IF(Table_NFI[[#This Row],[Pcode]]="","",OFFSET(CampList[Priority],MATCH(Table_NFI[[#This Row],[Pcode]],CampList[CP_Pcode],0)-1,0,1,1))</f>
        <v/>
      </c>
      <c r="AS974" s="837" t="str">
        <f>IFERROR(Table_NFI[[#This Row],[Kitchen Set]]/VLOOKUP(Table_NFI[[#This Row],[Camp Name]],CL,4,0),"")</f>
        <v/>
      </c>
      <c r="AT974" s="769" t="s">
        <v>1099</v>
      </c>
      <c r="AU974" s="838"/>
    </row>
    <row r="975" spans="1:47" x14ac:dyDescent="0.25">
      <c r="A975" s="451" t="str">
        <f t="shared" si="15"/>
        <v/>
      </c>
      <c r="B975" s="829"/>
      <c r="C975" s="830"/>
      <c r="D975" s="830"/>
      <c r="E975" s="830"/>
      <c r="F975" s="830"/>
      <c r="G975" s="830"/>
      <c r="H975" s="831"/>
      <c r="I975" s="831"/>
      <c r="J975" s="831"/>
      <c r="K975" s="831"/>
      <c r="L975" s="831"/>
      <c r="M975" s="831"/>
      <c r="N975" s="831"/>
      <c r="O975" s="831"/>
      <c r="P975" s="832"/>
      <c r="Q975" s="832"/>
      <c r="R975" s="832"/>
      <c r="S975" s="832"/>
      <c r="T975" s="832"/>
      <c r="U975" s="832"/>
      <c r="V975" s="833"/>
      <c r="W975" s="834"/>
      <c r="X975" s="834"/>
      <c r="Y975" s="436">
        <f>IF(NFI_Expiration=1,IF($A975&lt;VLOOKUP(H$5,NFI,5,0),1,0)*Table_NFI[[#This Row],[Hygiene Kit]],Table_NFI[Hygiene Kit])</f>
        <v>0</v>
      </c>
      <c r="Z975" s="436">
        <f>IF(NFI_Expiration=1,IF($A975&lt;VLOOKUP(I$5,NFI,5,0),1,0)*Table_NFI[[#This Row],[NFI Core Kit]],Table_NFI[NFI Core Kit])</f>
        <v>0</v>
      </c>
      <c r="AA975" s="436">
        <f>IF(NFI_Expiration=1,IF($A975&lt;VLOOKUP(J$5,NFI,5,0),1,0)*Table_NFI[[#This Row],[Sanitary Kit]],Table_NFI[Sanitary Kit])</f>
        <v>0</v>
      </c>
      <c r="AB975" s="436">
        <f>IF(NFI_Expiration=1,IF($A975&lt;VLOOKUP(K$5,NFI,5,0),1,0)*Table_NFI[[#This Row],[Mosquito net]],Table_NFI[Mosquito net])</f>
        <v>0</v>
      </c>
      <c r="AC975" s="436">
        <f>IF(NFI_Expiration=1,IF($A975&lt;VLOOKUP(L$5,NFI,5,0),1,0)*Table_NFI[[#This Row],[Tarpaulin]],Table_NFI[[#This Row],[Tarpaulin]])</f>
        <v>0</v>
      </c>
      <c r="AD975" s="436">
        <f>IF(NFI_Expiration=1,IF($A975&lt;VLOOKUP(M$5,NFI,5,0),1,0)*Table_NFI[[#This Row],[Blanket]],Table_NFI[[#This Row],[Blanket]])</f>
        <v>0</v>
      </c>
      <c r="AE975" s="436">
        <f>IF(NFI_Expiration=1,IF($A975&lt;VLOOKUP(N$5,NFI,5,0),1,0)*Table_NFI[[#This Row],[Kitchen Set]],Table_NFI[Kitchen Set])</f>
        <v>0</v>
      </c>
      <c r="AF975" s="436">
        <f>IF(NFI_Expiration=1,IF($A975&lt;VLOOKUP(O$5,NFI,5,0),1,0)*Table_NFI[[#This Row],[Clothes Kit]],Table_NFI[Clothes Kit])</f>
        <v>0</v>
      </c>
      <c r="AG975" s="436">
        <f>IF(NFI_Expiration=1,IF($A975&lt;VLOOKUP(P$5,NFI,5,0),1,0)*Table_NFI[[#This Row],[Plastic Bucket]],Table_NFI[Plastic Bucket])</f>
        <v>0</v>
      </c>
      <c r="AH975" s="436">
        <f>IF(NFI_Expiration=1,IF($A975&lt;VLOOKUP(Q$5,NFI,5,0),1,0)*Table_NFI[[#This Row],[Plastic Mat]],Table_NFI[Plastic Mat])*IF(Table_NFI[[#This Row],[Distribution Date]]&gt;"2014-04-01",1,2.5)</f>
        <v>0</v>
      </c>
      <c r="AI975" s="436">
        <f>IF(NFI_Expiration=1,IF($A975&lt;VLOOKUP(R$5,NFI,5,0),1,0)*Table_NFI[[#This Row],[Winter Clothes Adult]],Table_NFI[Winter Clothes Adult])</f>
        <v>0</v>
      </c>
      <c r="AJ975" s="436">
        <f>IF(NFI_Expiration=1,IF($A975&lt;VLOOKUP(S$5,NFI,5,0),1,0)*Table_NFI[[#This Row],[Winter Clothes Children]],Table_NFI[Winter Clothes Children])</f>
        <v>0</v>
      </c>
      <c r="AK975" s="436">
        <f>IF(NFI_Expiration=1,IF($A975&lt;VLOOKUP(T$5,NFI,5,0),1,0)*Table_NFI[[#This Row],[Winter Items Other]],Table_NFI[Winter Items Other])</f>
        <v>0</v>
      </c>
      <c r="AL975" s="436">
        <f>IF(NFI_Expiration=1,IF($A975&lt;VLOOKUP(M$5,NFI,5,0),1,0)*Table_NFI[[#This Row],[Winter Blanket]],Table_NFI[[#This Row],[Winter Blanket]])</f>
        <v>0</v>
      </c>
      <c r="AM975" s="436">
        <f>IF(Table_NFI[[#This Row],[Winter Clothes Adult]]+Table_NFI[[#This Row],[Winter Clothes Children]]+Table_NFI[[#This Row],[Winter Items Other]]+Table_NFI[[#This Row],[Winter Blanket]]&gt;0,1,0)</f>
        <v>0</v>
      </c>
      <c r="AN975" s="439">
        <f>IF(NFI_Expiration=1,IF($A975&lt;VLOOKUP(V$5,NFI,5,0),1,0)*Table_NFI[[#This Row],[Jerry Can]],Table_NFI[Jerry Can])</f>
        <v>0</v>
      </c>
      <c r="AO975" s="835" t="str">
        <f>IFERROR(VLOOKUP(Table_NFI[[#This Row],[Camp Name]],CL,2,0),"")</f>
        <v/>
      </c>
      <c r="AP975" s="836" t="str">
        <f ca="1">IF(Table_NFI[[#This Row],[Pcode]]="","",IF(OFFSET(CampList[Opening Date],MATCH(Table_NFI[[#This Row],[Pcode]],CampList[CP_Pcode],0)-1,0,1,1)&gt;=NFI_Monitor_Date,1,0))</f>
        <v/>
      </c>
      <c r="AQ975" s="835" t="str">
        <f>IFERROR(VLOOKUP(Table_NFI[[#This Row],[Camp Name]],CL,3,0),"")</f>
        <v/>
      </c>
      <c r="AR975" s="832" t="str">
        <f ca="1">IF(Table_NFI[[#This Row],[Pcode]]="","",OFFSET(CampList[Priority],MATCH(Table_NFI[[#This Row],[Pcode]],CampList[CP_Pcode],0)-1,0,1,1))</f>
        <v/>
      </c>
      <c r="AS975" s="837" t="str">
        <f>IFERROR(Table_NFI[[#This Row],[Kitchen Set]]/VLOOKUP(Table_NFI[[#This Row],[Camp Name]],CL,4,0),"")</f>
        <v/>
      </c>
      <c r="AT975" s="769" t="s">
        <v>1099</v>
      </c>
      <c r="AU975" s="838"/>
    </row>
    <row r="976" spans="1:47" x14ac:dyDescent="0.25">
      <c r="A976" s="451" t="str">
        <f t="shared" si="15"/>
        <v/>
      </c>
      <c r="B976" s="829"/>
      <c r="C976" s="830"/>
      <c r="D976" s="830"/>
      <c r="E976" s="830"/>
      <c r="F976" s="830"/>
      <c r="G976" s="830"/>
      <c r="H976" s="831"/>
      <c r="I976" s="831"/>
      <c r="J976" s="831"/>
      <c r="K976" s="831"/>
      <c r="L976" s="831"/>
      <c r="M976" s="831"/>
      <c r="N976" s="831"/>
      <c r="O976" s="831"/>
      <c r="P976" s="832"/>
      <c r="Q976" s="832"/>
      <c r="R976" s="832"/>
      <c r="S976" s="832"/>
      <c r="T976" s="832"/>
      <c r="U976" s="832"/>
      <c r="V976" s="833"/>
      <c r="W976" s="834"/>
      <c r="X976" s="834"/>
      <c r="Y976" s="436">
        <f>IF(NFI_Expiration=1,IF($A976&lt;VLOOKUP(H$5,NFI,5,0),1,0)*Table_NFI[[#This Row],[Hygiene Kit]],Table_NFI[Hygiene Kit])</f>
        <v>0</v>
      </c>
      <c r="Z976" s="436">
        <f>IF(NFI_Expiration=1,IF($A976&lt;VLOOKUP(I$5,NFI,5,0),1,0)*Table_NFI[[#This Row],[NFI Core Kit]],Table_NFI[NFI Core Kit])</f>
        <v>0</v>
      </c>
      <c r="AA976" s="436">
        <f>IF(NFI_Expiration=1,IF($A976&lt;VLOOKUP(J$5,NFI,5,0),1,0)*Table_NFI[[#This Row],[Sanitary Kit]],Table_NFI[Sanitary Kit])</f>
        <v>0</v>
      </c>
      <c r="AB976" s="436">
        <f>IF(NFI_Expiration=1,IF($A976&lt;VLOOKUP(K$5,NFI,5,0),1,0)*Table_NFI[[#This Row],[Mosquito net]],Table_NFI[Mosquito net])</f>
        <v>0</v>
      </c>
      <c r="AC976" s="436">
        <f>IF(NFI_Expiration=1,IF($A976&lt;VLOOKUP(L$5,NFI,5,0),1,0)*Table_NFI[[#This Row],[Tarpaulin]],Table_NFI[[#This Row],[Tarpaulin]])</f>
        <v>0</v>
      </c>
      <c r="AD976" s="436">
        <f>IF(NFI_Expiration=1,IF($A976&lt;VLOOKUP(M$5,NFI,5,0),1,0)*Table_NFI[[#This Row],[Blanket]],Table_NFI[[#This Row],[Blanket]])</f>
        <v>0</v>
      </c>
      <c r="AE976" s="436">
        <f>IF(NFI_Expiration=1,IF($A976&lt;VLOOKUP(N$5,NFI,5,0),1,0)*Table_NFI[[#This Row],[Kitchen Set]],Table_NFI[Kitchen Set])</f>
        <v>0</v>
      </c>
      <c r="AF976" s="436">
        <f>IF(NFI_Expiration=1,IF($A976&lt;VLOOKUP(O$5,NFI,5,0),1,0)*Table_NFI[[#This Row],[Clothes Kit]],Table_NFI[Clothes Kit])</f>
        <v>0</v>
      </c>
      <c r="AG976" s="436">
        <f>IF(NFI_Expiration=1,IF($A976&lt;VLOOKUP(P$5,NFI,5,0),1,0)*Table_NFI[[#This Row],[Plastic Bucket]],Table_NFI[Plastic Bucket])</f>
        <v>0</v>
      </c>
      <c r="AH976" s="436">
        <f>IF(NFI_Expiration=1,IF($A976&lt;VLOOKUP(Q$5,NFI,5,0),1,0)*Table_NFI[[#This Row],[Plastic Mat]],Table_NFI[Plastic Mat])*IF(Table_NFI[[#This Row],[Distribution Date]]&gt;"2014-04-01",1,2.5)</f>
        <v>0</v>
      </c>
      <c r="AI976" s="436">
        <f>IF(NFI_Expiration=1,IF($A976&lt;VLOOKUP(R$5,NFI,5,0),1,0)*Table_NFI[[#This Row],[Winter Clothes Adult]],Table_NFI[Winter Clothes Adult])</f>
        <v>0</v>
      </c>
      <c r="AJ976" s="436">
        <f>IF(NFI_Expiration=1,IF($A976&lt;VLOOKUP(S$5,NFI,5,0),1,0)*Table_NFI[[#This Row],[Winter Clothes Children]],Table_NFI[Winter Clothes Children])</f>
        <v>0</v>
      </c>
      <c r="AK976" s="436">
        <f>IF(NFI_Expiration=1,IF($A976&lt;VLOOKUP(T$5,NFI,5,0),1,0)*Table_NFI[[#This Row],[Winter Items Other]],Table_NFI[Winter Items Other])</f>
        <v>0</v>
      </c>
      <c r="AL976" s="436">
        <f>IF(NFI_Expiration=1,IF($A976&lt;VLOOKUP(M$5,NFI,5,0),1,0)*Table_NFI[[#This Row],[Winter Blanket]],Table_NFI[[#This Row],[Winter Blanket]])</f>
        <v>0</v>
      </c>
      <c r="AM976" s="436">
        <f>IF(Table_NFI[[#This Row],[Winter Clothes Adult]]+Table_NFI[[#This Row],[Winter Clothes Children]]+Table_NFI[[#This Row],[Winter Items Other]]+Table_NFI[[#This Row],[Winter Blanket]]&gt;0,1,0)</f>
        <v>0</v>
      </c>
      <c r="AN976" s="439">
        <f>IF(NFI_Expiration=1,IF($A976&lt;VLOOKUP(V$5,NFI,5,0),1,0)*Table_NFI[[#This Row],[Jerry Can]],Table_NFI[Jerry Can])</f>
        <v>0</v>
      </c>
      <c r="AO976" s="835" t="str">
        <f>IFERROR(VLOOKUP(Table_NFI[[#This Row],[Camp Name]],CL,2,0),"")</f>
        <v/>
      </c>
      <c r="AP976" s="836" t="str">
        <f ca="1">IF(Table_NFI[[#This Row],[Pcode]]="","",IF(OFFSET(CampList[Opening Date],MATCH(Table_NFI[[#This Row],[Pcode]],CampList[CP_Pcode],0)-1,0,1,1)&gt;=NFI_Monitor_Date,1,0))</f>
        <v/>
      </c>
      <c r="AQ976" s="835" t="str">
        <f>IFERROR(VLOOKUP(Table_NFI[[#This Row],[Camp Name]],CL,3,0),"")</f>
        <v/>
      </c>
      <c r="AR976" s="832" t="str">
        <f ca="1">IF(Table_NFI[[#This Row],[Pcode]]="","",OFFSET(CampList[Priority],MATCH(Table_NFI[[#This Row],[Pcode]],CampList[CP_Pcode],0)-1,0,1,1))</f>
        <v/>
      </c>
      <c r="AS976" s="837" t="str">
        <f>IFERROR(Table_NFI[[#This Row],[Kitchen Set]]/VLOOKUP(Table_NFI[[#This Row],[Camp Name]],CL,4,0),"")</f>
        <v/>
      </c>
      <c r="AT976" s="769" t="s">
        <v>1099</v>
      </c>
      <c r="AU976" s="838"/>
    </row>
    <row r="977" spans="1:47" x14ac:dyDescent="0.25">
      <c r="A977" s="451" t="str">
        <f t="shared" si="15"/>
        <v/>
      </c>
      <c r="B977" s="829"/>
      <c r="C977" s="830"/>
      <c r="D977" s="830"/>
      <c r="E977" s="830"/>
      <c r="F977" s="830"/>
      <c r="G977" s="830"/>
      <c r="H977" s="831"/>
      <c r="I977" s="831"/>
      <c r="J977" s="831"/>
      <c r="K977" s="831"/>
      <c r="L977" s="831"/>
      <c r="M977" s="831"/>
      <c r="N977" s="831"/>
      <c r="O977" s="831"/>
      <c r="P977" s="832"/>
      <c r="Q977" s="832"/>
      <c r="R977" s="832"/>
      <c r="S977" s="832"/>
      <c r="T977" s="832"/>
      <c r="U977" s="832"/>
      <c r="V977" s="833"/>
      <c r="W977" s="834"/>
      <c r="X977" s="834"/>
      <c r="Y977" s="436">
        <f>IF(NFI_Expiration=1,IF($A977&lt;VLOOKUP(H$5,NFI,5,0),1,0)*Table_NFI[[#This Row],[Hygiene Kit]],Table_NFI[Hygiene Kit])</f>
        <v>0</v>
      </c>
      <c r="Z977" s="436">
        <f>IF(NFI_Expiration=1,IF($A977&lt;VLOOKUP(I$5,NFI,5,0),1,0)*Table_NFI[[#This Row],[NFI Core Kit]],Table_NFI[NFI Core Kit])</f>
        <v>0</v>
      </c>
      <c r="AA977" s="436">
        <f>IF(NFI_Expiration=1,IF($A977&lt;VLOOKUP(J$5,NFI,5,0),1,0)*Table_NFI[[#This Row],[Sanitary Kit]],Table_NFI[Sanitary Kit])</f>
        <v>0</v>
      </c>
      <c r="AB977" s="436">
        <f>IF(NFI_Expiration=1,IF($A977&lt;VLOOKUP(K$5,NFI,5,0),1,0)*Table_NFI[[#This Row],[Mosquito net]],Table_NFI[Mosquito net])</f>
        <v>0</v>
      </c>
      <c r="AC977" s="436">
        <f>IF(NFI_Expiration=1,IF($A977&lt;VLOOKUP(L$5,NFI,5,0),1,0)*Table_NFI[[#This Row],[Tarpaulin]],Table_NFI[[#This Row],[Tarpaulin]])</f>
        <v>0</v>
      </c>
      <c r="AD977" s="436">
        <f>IF(NFI_Expiration=1,IF($A977&lt;VLOOKUP(M$5,NFI,5,0),1,0)*Table_NFI[[#This Row],[Blanket]],Table_NFI[[#This Row],[Blanket]])</f>
        <v>0</v>
      </c>
      <c r="AE977" s="436">
        <f>IF(NFI_Expiration=1,IF($A977&lt;VLOOKUP(N$5,NFI,5,0),1,0)*Table_NFI[[#This Row],[Kitchen Set]],Table_NFI[Kitchen Set])</f>
        <v>0</v>
      </c>
      <c r="AF977" s="436">
        <f>IF(NFI_Expiration=1,IF($A977&lt;VLOOKUP(O$5,NFI,5,0),1,0)*Table_NFI[[#This Row],[Clothes Kit]],Table_NFI[Clothes Kit])</f>
        <v>0</v>
      </c>
      <c r="AG977" s="436">
        <f>IF(NFI_Expiration=1,IF($A977&lt;VLOOKUP(P$5,NFI,5,0),1,0)*Table_NFI[[#This Row],[Plastic Bucket]],Table_NFI[Plastic Bucket])</f>
        <v>0</v>
      </c>
      <c r="AH977" s="436">
        <f>IF(NFI_Expiration=1,IF($A977&lt;VLOOKUP(Q$5,NFI,5,0),1,0)*Table_NFI[[#This Row],[Plastic Mat]],Table_NFI[Plastic Mat])*IF(Table_NFI[[#This Row],[Distribution Date]]&gt;"2014-04-01",1,2.5)</f>
        <v>0</v>
      </c>
      <c r="AI977" s="436">
        <f>IF(NFI_Expiration=1,IF($A977&lt;VLOOKUP(R$5,NFI,5,0),1,0)*Table_NFI[[#This Row],[Winter Clothes Adult]],Table_NFI[Winter Clothes Adult])</f>
        <v>0</v>
      </c>
      <c r="AJ977" s="436">
        <f>IF(NFI_Expiration=1,IF($A977&lt;VLOOKUP(S$5,NFI,5,0),1,0)*Table_NFI[[#This Row],[Winter Clothes Children]],Table_NFI[Winter Clothes Children])</f>
        <v>0</v>
      </c>
      <c r="AK977" s="436">
        <f>IF(NFI_Expiration=1,IF($A977&lt;VLOOKUP(T$5,NFI,5,0),1,0)*Table_NFI[[#This Row],[Winter Items Other]],Table_NFI[Winter Items Other])</f>
        <v>0</v>
      </c>
      <c r="AL977" s="436">
        <f>IF(NFI_Expiration=1,IF($A977&lt;VLOOKUP(M$5,NFI,5,0),1,0)*Table_NFI[[#This Row],[Winter Blanket]],Table_NFI[[#This Row],[Winter Blanket]])</f>
        <v>0</v>
      </c>
      <c r="AM977" s="436">
        <f>IF(Table_NFI[[#This Row],[Winter Clothes Adult]]+Table_NFI[[#This Row],[Winter Clothes Children]]+Table_NFI[[#This Row],[Winter Items Other]]+Table_NFI[[#This Row],[Winter Blanket]]&gt;0,1,0)</f>
        <v>0</v>
      </c>
      <c r="AN977" s="439">
        <f>IF(NFI_Expiration=1,IF($A977&lt;VLOOKUP(V$5,NFI,5,0),1,0)*Table_NFI[[#This Row],[Jerry Can]],Table_NFI[Jerry Can])</f>
        <v>0</v>
      </c>
      <c r="AO977" s="835" t="str">
        <f>IFERROR(VLOOKUP(Table_NFI[[#This Row],[Camp Name]],CL,2,0),"")</f>
        <v/>
      </c>
      <c r="AP977" s="836" t="str">
        <f ca="1">IF(Table_NFI[[#This Row],[Pcode]]="","",IF(OFFSET(CampList[Opening Date],MATCH(Table_NFI[[#This Row],[Pcode]],CampList[CP_Pcode],0)-1,0,1,1)&gt;=NFI_Monitor_Date,1,0))</f>
        <v/>
      </c>
      <c r="AQ977" s="835" t="str">
        <f>IFERROR(VLOOKUP(Table_NFI[[#This Row],[Camp Name]],CL,3,0),"")</f>
        <v/>
      </c>
      <c r="AR977" s="832" t="str">
        <f ca="1">IF(Table_NFI[[#This Row],[Pcode]]="","",OFFSET(CampList[Priority],MATCH(Table_NFI[[#This Row],[Pcode]],CampList[CP_Pcode],0)-1,0,1,1))</f>
        <v/>
      </c>
      <c r="AS977" s="837" t="str">
        <f>IFERROR(Table_NFI[[#This Row],[Kitchen Set]]/VLOOKUP(Table_NFI[[#This Row],[Camp Name]],CL,4,0),"")</f>
        <v/>
      </c>
      <c r="AT977" s="769" t="s">
        <v>1099</v>
      </c>
      <c r="AU977" s="838"/>
    </row>
    <row r="978" spans="1:47" x14ac:dyDescent="0.25">
      <c r="A978" s="451" t="str">
        <f t="shared" si="15"/>
        <v/>
      </c>
      <c r="B978" s="829"/>
      <c r="C978" s="830"/>
      <c r="D978" s="830"/>
      <c r="E978" s="830"/>
      <c r="F978" s="830"/>
      <c r="G978" s="830"/>
      <c r="H978" s="831"/>
      <c r="I978" s="831"/>
      <c r="J978" s="831"/>
      <c r="K978" s="831"/>
      <c r="L978" s="831"/>
      <c r="M978" s="831"/>
      <c r="N978" s="831"/>
      <c r="O978" s="831"/>
      <c r="P978" s="832"/>
      <c r="Q978" s="832"/>
      <c r="R978" s="832"/>
      <c r="S978" s="832"/>
      <c r="T978" s="832"/>
      <c r="U978" s="832"/>
      <c r="V978" s="833"/>
      <c r="W978" s="834"/>
      <c r="X978" s="834"/>
      <c r="Y978" s="436">
        <f>IF(NFI_Expiration=1,IF($A978&lt;VLOOKUP(H$5,NFI,5,0),1,0)*Table_NFI[[#This Row],[Hygiene Kit]],Table_NFI[Hygiene Kit])</f>
        <v>0</v>
      </c>
      <c r="Z978" s="436">
        <f>IF(NFI_Expiration=1,IF($A978&lt;VLOOKUP(I$5,NFI,5,0),1,0)*Table_NFI[[#This Row],[NFI Core Kit]],Table_NFI[NFI Core Kit])</f>
        <v>0</v>
      </c>
      <c r="AA978" s="436">
        <f>IF(NFI_Expiration=1,IF($A978&lt;VLOOKUP(J$5,NFI,5,0),1,0)*Table_NFI[[#This Row],[Sanitary Kit]],Table_NFI[Sanitary Kit])</f>
        <v>0</v>
      </c>
      <c r="AB978" s="436">
        <f>IF(NFI_Expiration=1,IF($A978&lt;VLOOKUP(K$5,NFI,5,0),1,0)*Table_NFI[[#This Row],[Mosquito net]],Table_NFI[Mosquito net])</f>
        <v>0</v>
      </c>
      <c r="AC978" s="436">
        <f>IF(NFI_Expiration=1,IF($A978&lt;VLOOKUP(L$5,NFI,5,0),1,0)*Table_NFI[[#This Row],[Tarpaulin]],Table_NFI[[#This Row],[Tarpaulin]])</f>
        <v>0</v>
      </c>
      <c r="AD978" s="436">
        <f>IF(NFI_Expiration=1,IF($A978&lt;VLOOKUP(M$5,NFI,5,0),1,0)*Table_NFI[[#This Row],[Blanket]],Table_NFI[[#This Row],[Blanket]])</f>
        <v>0</v>
      </c>
      <c r="AE978" s="436">
        <f>IF(NFI_Expiration=1,IF($A978&lt;VLOOKUP(N$5,NFI,5,0),1,0)*Table_NFI[[#This Row],[Kitchen Set]],Table_NFI[Kitchen Set])</f>
        <v>0</v>
      </c>
      <c r="AF978" s="436">
        <f>IF(NFI_Expiration=1,IF($A978&lt;VLOOKUP(O$5,NFI,5,0),1,0)*Table_NFI[[#This Row],[Clothes Kit]],Table_NFI[Clothes Kit])</f>
        <v>0</v>
      </c>
      <c r="AG978" s="436">
        <f>IF(NFI_Expiration=1,IF($A978&lt;VLOOKUP(P$5,NFI,5,0),1,0)*Table_NFI[[#This Row],[Plastic Bucket]],Table_NFI[Plastic Bucket])</f>
        <v>0</v>
      </c>
      <c r="AH978" s="436">
        <f>IF(NFI_Expiration=1,IF($A978&lt;VLOOKUP(Q$5,NFI,5,0),1,0)*Table_NFI[[#This Row],[Plastic Mat]],Table_NFI[Plastic Mat])*IF(Table_NFI[[#This Row],[Distribution Date]]&gt;"2014-04-01",1,2.5)</f>
        <v>0</v>
      </c>
      <c r="AI978" s="436">
        <f>IF(NFI_Expiration=1,IF($A978&lt;VLOOKUP(R$5,NFI,5,0),1,0)*Table_NFI[[#This Row],[Winter Clothes Adult]],Table_NFI[Winter Clothes Adult])</f>
        <v>0</v>
      </c>
      <c r="AJ978" s="436">
        <f>IF(NFI_Expiration=1,IF($A978&lt;VLOOKUP(S$5,NFI,5,0),1,0)*Table_NFI[[#This Row],[Winter Clothes Children]],Table_NFI[Winter Clothes Children])</f>
        <v>0</v>
      </c>
      <c r="AK978" s="436">
        <f>IF(NFI_Expiration=1,IF($A978&lt;VLOOKUP(T$5,NFI,5,0),1,0)*Table_NFI[[#This Row],[Winter Items Other]],Table_NFI[Winter Items Other])</f>
        <v>0</v>
      </c>
      <c r="AL978" s="436">
        <f>IF(NFI_Expiration=1,IF($A978&lt;VLOOKUP(M$5,NFI,5,0),1,0)*Table_NFI[[#This Row],[Winter Blanket]],Table_NFI[[#This Row],[Winter Blanket]])</f>
        <v>0</v>
      </c>
      <c r="AM978" s="436">
        <f>IF(Table_NFI[[#This Row],[Winter Clothes Adult]]+Table_NFI[[#This Row],[Winter Clothes Children]]+Table_NFI[[#This Row],[Winter Items Other]]+Table_NFI[[#This Row],[Winter Blanket]]&gt;0,1,0)</f>
        <v>0</v>
      </c>
      <c r="AN978" s="439">
        <f>IF(NFI_Expiration=1,IF($A978&lt;VLOOKUP(V$5,NFI,5,0),1,0)*Table_NFI[[#This Row],[Jerry Can]],Table_NFI[Jerry Can])</f>
        <v>0</v>
      </c>
      <c r="AO978" s="835" t="str">
        <f>IFERROR(VLOOKUP(Table_NFI[[#This Row],[Camp Name]],CL,2,0),"")</f>
        <v/>
      </c>
      <c r="AP978" s="836" t="str">
        <f ca="1">IF(Table_NFI[[#This Row],[Pcode]]="","",IF(OFFSET(CampList[Opening Date],MATCH(Table_NFI[[#This Row],[Pcode]],CampList[CP_Pcode],0)-1,0,1,1)&gt;=NFI_Monitor_Date,1,0))</f>
        <v/>
      </c>
      <c r="AQ978" s="835" t="str">
        <f>IFERROR(VLOOKUP(Table_NFI[[#This Row],[Camp Name]],CL,3,0),"")</f>
        <v/>
      </c>
      <c r="AR978" s="832" t="str">
        <f ca="1">IF(Table_NFI[[#This Row],[Pcode]]="","",OFFSET(CampList[Priority],MATCH(Table_NFI[[#This Row],[Pcode]],CampList[CP_Pcode],0)-1,0,1,1))</f>
        <v/>
      </c>
      <c r="AS978" s="837" t="str">
        <f>IFERROR(Table_NFI[[#This Row],[Kitchen Set]]/VLOOKUP(Table_NFI[[#This Row],[Camp Name]],CL,4,0),"")</f>
        <v/>
      </c>
      <c r="AT978" s="769" t="s">
        <v>1099</v>
      </c>
      <c r="AU978" s="838"/>
    </row>
    <row r="979" spans="1:47" x14ac:dyDescent="0.25">
      <c r="A979" s="451" t="str">
        <f t="shared" si="15"/>
        <v/>
      </c>
      <c r="B979" s="829"/>
      <c r="C979" s="830"/>
      <c r="D979" s="830"/>
      <c r="E979" s="830"/>
      <c r="F979" s="830"/>
      <c r="G979" s="830"/>
      <c r="H979" s="831"/>
      <c r="I979" s="831"/>
      <c r="J979" s="831"/>
      <c r="K979" s="831"/>
      <c r="L979" s="831"/>
      <c r="M979" s="831"/>
      <c r="N979" s="831"/>
      <c r="O979" s="831"/>
      <c r="P979" s="832"/>
      <c r="Q979" s="832"/>
      <c r="R979" s="832"/>
      <c r="S979" s="832"/>
      <c r="T979" s="832"/>
      <c r="U979" s="832"/>
      <c r="V979" s="833"/>
      <c r="W979" s="834"/>
      <c r="X979" s="834"/>
      <c r="Y979" s="436">
        <f>IF(NFI_Expiration=1,IF($A979&lt;VLOOKUP(H$5,NFI,5,0),1,0)*Table_NFI[[#This Row],[Hygiene Kit]],Table_NFI[Hygiene Kit])</f>
        <v>0</v>
      </c>
      <c r="Z979" s="436">
        <f>IF(NFI_Expiration=1,IF($A979&lt;VLOOKUP(I$5,NFI,5,0),1,0)*Table_NFI[[#This Row],[NFI Core Kit]],Table_NFI[NFI Core Kit])</f>
        <v>0</v>
      </c>
      <c r="AA979" s="436">
        <f>IF(NFI_Expiration=1,IF($A979&lt;VLOOKUP(J$5,NFI,5,0),1,0)*Table_NFI[[#This Row],[Sanitary Kit]],Table_NFI[Sanitary Kit])</f>
        <v>0</v>
      </c>
      <c r="AB979" s="436">
        <f>IF(NFI_Expiration=1,IF($A979&lt;VLOOKUP(K$5,NFI,5,0),1,0)*Table_NFI[[#This Row],[Mosquito net]],Table_NFI[Mosquito net])</f>
        <v>0</v>
      </c>
      <c r="AC979" s="436">
        <f>IF(NFI_Expiration=1,IF($A979&lt;VLOOKUP(L$5,NFI,5,0),1,0)*Table_NFI[[#This Row],[Tarpaulin]],Table_NFI[[#This Row],[Tarpaulin]])</f>
        <v>0</v>
      </c>
      <c r="AD979" s="436">
        <f>IF(NFI_Expiration=1,IF($A979&lt;VLOOKUP(M$5,NFI,5,0),1,0)*Table_NFI[[#This Row],[Blanket]],Table_NFI[[#This Row],[Blanket]])</f>
        <v>0</v>
      </c>
      <c r="AE979" s="436">
        <f>IF(NFI_Expiration=1,IF($A979&lt;VLOOKUP(N$5,NFI,5,0),1,0)*Table_NFI[[#This Row],[Kitchen Set]],Table_NFI[Kitchen Set])</f>
        <v>0</v>
      </c>
      <c r="AF979" s="436">
        <f>IF(NFI_Expiration=1,IF($A979&lt;VLOOKUP(O$5,NFI,5,0),1,0)*Table_NFI[[#This Row],[Clothes Kit]],Table_NFI[Clothes Kit])</f>
        <v>0</v>
      </c>
      <c r="AG979" s="436">
        <f>IF(NFI_Expiration=1,IF($A979&lt;VLOOKUP(P$5,NFI,5,0),1,0)*Table_NFI[[#This Row],[Plastic Bucket]],Table_NFI[Plastic Bucket])</f>
        <v>0</v>
      </c>
      <c r="AH979" s="436">
        <f>IF(NFI_Expiration=1,IF($A979&lt;VLOOKUP(Q$5,NFI,5,0),1,0)*Table_NFI[[#This Row],[Plastic Mat]],Table_NFI[Plastic Mat])*IF(Table_NFI[[#This Row],[Distribution Date]]&gt;"2014-04-01",1,2.5)</f>
        <v>0</v>
      </c>
      <c r="AI979" s="436">
        <f>IF(NFI_Expiration=1,IF($A979&lt;VLOOKUP(R$5,NFI,5,0),1,0)*Table_NFI[[#This Row],[Winter Clothes Adult]],Table_NFI[Winter Clothes Adult])</f>
        <v>0</v>
      </c>
      <c r="AJ979" s="436">
        <f>IF(NFI_Expiration=1,IF($A979&lt;VLOOKUP(S$5,NFI,5,0),1,0)*Table_NFI[[#This Row],[Winter Clothes Children]],Table_NFI[Winter Clothes Children])</f>
        <v>0</v>
      </c>
      <c r="AK979" s="436">
        <f>IF(NFI_Expiration=1,IF($A979&lt;VLOOKUP(T$5,NFI,5,0),1,0)*Table_NFI[[#This Row],[Winter Items Other]],Table_NFI[Winter Items Other])</f>
        <v>0</v>
      </c>
      <c r="AL979" s="436">
        <f>IF(NFI_Expiration=1,IF($A979&lt;VLOOKUP(M$5,NFI,5,0),1,0)*Table_NFI[[#This Row],[Winter Blanket]],Table_NFI[[#This Row],[Winter Blanket]])</f>
        <v>0</v>
      </c>
      <c r="AM979" s="436">
        <f>IF(Table_NFI[[#This Row],[Winter Clothes Adult]]+Table_NFI[[#This Row],[Winter Clothes Children]]+Table_NFI[[#This Row],[Winter Items Other]]+Table_NFI[[#This Row],[Winter Blanket]]&gt;0,1,0)</f>
        <v>0</v>
      </c>
      <c r="AN979" s="439">
        <f>IF(NFI_Expiration=1,IF($A979&lt;VLOOKUP(V$5,NFI,5,0),1,0)*Table_NFI[[#This Row],[Jerry Can]],Table_NFI[Jerry Can])</f>
        <v>0</v>
      </c>
      <c r="AO979" s="835" t="str">
        <f>IFERROR(VLOOKUP(Table_NFI[[#This Row],[Camp Name]],CL,2,0),"")</f>
        <v/>
      </c>
      <c r="AP979" s="836" t="str">
        <f ca="1">IF(Table_NFI[[#This Row],[Pcode]]="","",IF(OFFSET(CampList[Opening Date],MATCH(Table_NFI[[#This Row],[Pcode]],CampList[CP_Pcode],0)-1,0,1,1)&gt;=NFI_Monitor_Date,1,0))</f>
        <v/>
      </c>
      <c r="AQ979" s="835" t="str">
        <f>IFERROR(VLOOKUP(Table_NFI[[#This Row],[Camp Name]],CL,3,0),"")</f>
        <v/>
      </c>
      <c r="AR979" s="832" t="str">
        <f ca="1">IF(Table_NFI[[#This Row],[Pcode]]="","",OFFSET(CampList[Priority],MATCH(Table_NFI[[#This Row],[Pcode]],CampList[CP_Pcode],0)-1,0,1,1))</f>
        <v/>
      </c>
      <c r="AS979" s="837" t="str">
        <f>IFERROR(Table_NFI[[#This Row],[Kitchen Set]]/VLOOKUP(Table_NFI[[#This Row],[Camp Name]],CL,4,0),"")</f>
        <v/>
      </c>
      <c r="AT979" s="769" t="s">
        <v>1099</v>
      </c>
      <c r="AU979" s="838"/>
    </row>
    <row r="980" spans="1:47" x14ac:dyDescent="0.25">
      <c r="A980" s="451" t="str">
        <f t="shared" si="15"/>
        <v/>
      </c>
      <c r="B980" s="829"/>
      <c r="C980" s="830"/>
      <c r="D980" s="830"/>
      <c r="E980" s="830"/>
      <c r="F980" s="830"/>
      <c r="G980" s="830"/>
      <c r="H980" s="831"/>
      <c r="I980" s="831"/>
      <c r="J980" s="831"/>
      <c r="K980" s="831"/>
      <c r="L980" s="831"/>
      <c r="M980" s="831"/>
      <c r="N980" s="831"/>
      <c r="O980" s="831"/>
      <c r="P980" s="832"/>
      <c r="Q980" s="832"/>
      <c r="R980" s="832"/>
      <c r="S980" s="832"/>
      <c r="T980" s="832"/>
      <c r="U980" s="832"/>
      <c r="V980" s="833"/>
      <c r="W980" s="834"/>
      <c r="X980" s="834"/>
      <c r="Y980" s="436">
        <f>IF(NFI_Expiration=1,IF($A980&lt;VLOOKUP(H$5,NFI,5,0),1,0)*Table_NFI[[#This Row],[Hygiene Kit]],Table_NFI[Hygiene Kit])</f>
        <v>0</v>
      </c>
      <c r="Z980" s="436">
        <f>IF(NFI_Expiration=1,IF($A980&lt;VLOOKUP(I$5,NFI,5,0),1,0)*Table_NFI[[#This Row],[NFI Core Kit]],Table_NFI[NFI Core Kit])</f>
        <v>0</v>
      </c>
      <c r="AA980" s="436">
        <f>IF(NFI_Expiration=1,IF($A980&lt;VLOOKUP(J$5,NFI,5,0),1,0)*Table_NFI[[#This Row],[Sanitary Kit]],Table_NFI[Sanitary Kit])</f>
        <v>0</v>
      </c>
      <c r="AB980" s="436">
        <f>IF(NFI_Expiration=1,IF($A980&lt;VLOOKUP(K$5,NFI,5,0),1,0)*Table_NFI[[#This Row],[Mosquito net]],Table_NFI[Mosquito net])</f>
        <v>0</v>
      </c>
      <c r="AC980" s="436">
        <f>IF(NFI_Expiration=1,IF($A980&lt;VLOOKUP(L$5,NFI,5,0),1,0)*Table_NFI[[#This Row],[Tarpaulin]],Table_NFI[[#This Row],[Tarpaulin]])</f>
        <v>0</v>
      </c>
      <c r="AD980" s="436">
        <f>IF(NFI_Expiration=1,IF($A980&lt;VLOOKUP(M$5,NFI,5,0),1,0)*Table_NFI[[#This Row],[Blanket]],Table_NFI[[#This Row],[Blanket]])</f>
        <v>0</v>
      </c>
      <c r="AE980" s="436">
        <f>IF(NFI_Expiration=1,IF($A980&lt;VLOOKUP(N$5,NFI,5,0),1,0)*Table_NFI[[#This Row],[Kitchen Set]],Table_NFI[Kitchen Set])</f>
        <v>0</v>
      </c>
      <c r="AF980" s="436">
        <f>IF(NFI_Expiration=1,IF($A980&lt;VLOOKUP(O$5,NFI,5,0),1,0)*Table_NFI[[#This Row],[Clothes Kit]],Table_NFI[Clothes Kit])</f>
        <v>0</v>
      </c>
      <c r="AG980" s="436">
        <f>IF(NFI_Expiration=1,IF($A980&lt;VLOOKUP(P$5,NFI,5,0),1,0)*Table_NFI[[#This Row],[Plastic Bucket]],Table_NFI[Plastic Bucket])</f>
        <v>0</v>
      </c>
      <c r="AH980" s="436">
        <f>IF(NFI_Expiration=1,IF($A980&lt;VLOOKUP(Q$5,NFI,5,0),1,0)*Table_NFI[[#This Row],[Plastic Mat]],Table_NFI[Plastic Mat])*IF(Table_NFI[[#This Row],[Distribution Date]]&gt;"2014-04-01",1,2.5)</f>
        <v>0</v>
      </c>
      <c r="AI980" s="436">
        <f>IF(NFI_Expiration=1,IF($A980&lt;VLOOKUP(R$5,NFI,5,0),1,0)*Table_NFI[[#This Row],[Winter Clothes Adult]],Table_NFI[Winter Clothes Adult])</f>
        <v>0</v>
      </c>
      <c r="AJ980" s="436">
        <f>IF(NFI_Expiration=1,IF($A980&lt;VLOOKUP(S$5,NFI,5,0),1,0)*Table_NFI[[#This Row],[Winter Clothes Children]],Table_NFI[Winter Clothes Children])</f>
        <v>0</v>
      </c>
      <c r="AK980" s="436">
        <f>IF(NFI_Expiration=1,IF($A980&lt;VLOOKUP(T$5,NFI,5,0),1,0)*Table_NFI[[#This Row],[Winter Items Other]],Table_NFI[Winter Items Other])</f>
        <v>0</v>
      </c>
      <c r="AL980" s="436">
        <f>IF(NFI_Expiration=1,IF($A980&lt;VLOOKUP(M$5,NFI,5,0),1,0)*Table_NFI[[#This Row],[Winter Blanket]],Table_NFI[[#This Row],[Winter Blanket]])</f>
        <v>0</v>
      </c>
      <c r="AM980" s="436">
        <f>IF(Table_NFI[[#This Row],[Winter Clothes Adult]]+Table_NFI[[#This Row],[Winter Clothes Children]]+Table_NFI[[#This Row],[Winter Items Other]]+Table_NFI[[#This Row],[Winter Blanket]]&gt;0,1,0)</f>
        <v>0</v>
      </c>
      <c r="AN980" s="439">
        <f>IF(NFI_Expiration=1,IF($A980&lt;VLOOKUP(V$5,NFI,5,0),1,0)*Table_NFI[[#This Row],[Jerry Can]],Table_NFI[Jerry Can])</f>
        <v>0</v>
      </c>
      <c r="AO980" s="835" t="str">
        <f>IFERROR(VLOOKUP(Table_NFI[[#This Row],[Camp Name]],CL,2,0),"")</f>
        <v/>
      </c>
      <c r="AP980" s="836" t="str">
        <f ca="1">IF(Table_NFI[[#This Row],[Pcode]]="","",IF(OFFSET(CampList[Opening Date],MATCH(Table_NFI[[#This Row],[Pcode]],CampList[CP_Pcode],0)-1,0,1,1)&gt;=NFI_Monitor_Date,1,0))</f>
        <v/>
      </c>
      <c r="AQ980" s="835" t="str">
        <f>IFERROR(VLOOKUP(Table_NFI[[#This Row],[Camp Name]],CL,3,0),"")</f>
        <v/>
      </c>
      <c r="AR980" s="832" t="str">
        <f ca="1">IF(Table_NFI[[#This Row],[Pcode]]="","",OFFSET(CampList[Priority],MATCH(Table_NFI[[#This Row],[Pcode]],CampList[CP_Pcode],0)-1,0,1,1))</f>
        <v/>
      </c>
      <c r="AS980" s="837" t="str">
        <f>IFERROR(Table_NFI[[#This Row],[Kitchen Set]]/VLOOKUP(Table_NFI[[#This Row],[Camp Name]],CL,4,0),"")</f>
        <v/>
      </c>
      <c r="AT980" s="769" t="s">
        <v>1099</v>
      </c>
      <c r="AU980" s="838"/>
    </row>
    <row r="981" spans="1:47" x14ac:dyDescent="0.25">
      <c r="A981" s="451" t="str">
        <f t="shared" si="15"/>
        <v/>
      </c>
      <c r="B981" s="829"/>
      <c r="C981" s="830"/>
      <c r="D981" s="830"/>
      <c r="E981" s="830"/>
      <c r="F981" s="830"/>
      <c r="G981" s="830"/>
      <c r="H981" s="831"/>
      <c r="I981" s="831"/>
      <c r="J981" s="831"/>
      <c r="K981" s="831"/>
      <c r="L981" s="831"/>
      <c r="M981" s="831"/>
      <c r="N981" s="831"/>
      <c r="O981" s="831"/>
      <c r="P981" s="832"/>
      <c r="Q981" s="832"/>
      <c r="R981" s="832"/>
      <c r="S981" s="832"/>
      <c r="T981" s="832"/>
      <c r="U981" s="832"/>
      <c r="V981" s="833"/>
      <c r="W981" s="834"/>
      <c r="X981" s="834"/>
      <c r="Y981" s="436">
        <f>IF(NFI_Expiration=1,IF($A981&lt;VLOOKUP(H$5,NFI,5,0),1,0)*Table_NFI[[#This Row],[Hygiene Kit]],Table_NFI[Hygiene Kit])</f>
        <v>0</v>
      </c>
      <c r="Z981" s="436">
        <f>IF(NFI_Expiration=1,IF($A981&lt;VLOOKUP(I$5,NFI,5,0),1,0)*Table_NFI[[#This Row],[NFI Core Kit]],Table_NFI[NFI Core Kit])</f>
        <v>0</v>
      </c>
      <c r="AA981" s="436">
        <f>IF(NFI_Expiration=1,IF($A981&lt;VLOOKUP(J$5,NFI,5,0),1,0)*Table_NFI[[#This Row],[Sanitary Kit]],Table_NFI[Sanitary Kit])</f>
        <v>0</v>
      </c>
      <c r="AB981" s="436">
        <f>IF(NFI_Expiration=1,IF($A981&lt;VLOOKUP(K$5,NFI,5,0),1,0)*Table_NFI[[#This Row],[Mosquito net]],Table_NFI[Mosquito net])</f>
        <v>0</v>
      </c>
      <c r="AC981" s="436">
        <f>IF(NFI_Expiration=1,IF($A981&lt;VLOOKUP(L$5,NFI,5,0),1,0)*Table_NFI[[#This Row],[Tarpaulin]],Table_NFI[[#This Row],[Tarpaulin]])</f>
        <v>0</v>
      </c>
      <c r="AD981" s="436">
        <f>IF(NFI_Expiration=1,IF($A981&lt;VLOOKUP(M$5,NFI,5,0),1,0)*Table_NFI[[#This Row],[Blanket]],Table_NFI[[#This Row],[Blanket]])</f>
        <v>0</v>
      </c>
      <c r="AE981" s="436">
        <f>IF(NFI_Expiration=1,IF($A981&lt;VLOOKUP(N$5,NFI,5,0),1,0)*Table_NFI[[#This Row],[Kitchen Set]],Table_NFI[Kitchen Set])</f>
        <v>0</v>
      </c>
      <c r="AF981" s="436">
        <f>IF(NFI_Expiration=1,IF($A981&lt;VLOOKUP(O$5,NFI,5,0),1,0)*Table_NFI[[#This Row],[Clothes Kit]],Table_NFI[Clothes Kit])</f>
        <v>0</v>
      </c>
      <c r="AG981" s="436">
        <f>IF(NFI_Expiration=1,IF($A981&lt;VLOOKUP(P$5,NFI,5,0),1,0)*Table_NFI[[#This Row],[Plastic Bucket]],Table_NFI[Plastic Bucket])</f>
        <v>0</v>
      </c>
      <c r="AH981" s="436">
        <f>IF(NFI_Expiration=1,IF($A981&lt;VLOOKUP(Q$5,NFI,5,0),1,0)*Table_NFI[[#This Row],[Plastic Mat]],Table_NFI[Plastic Mat])*IF(Table_NFI[[#This Row],[Distribution Date]]&gt;"2014-04-01",1,2.5)</f>
        <v>0</v>
      </c>
      <c r="AI981" s="436">
        <f>IF(NFI_Expiration=1,IF($A981&lt;VLOOKUP(R$5,NFI,5,0),1,0)*Table_NFI[[#This Row],[Winter Clothes Adult]],Table_NFI[Winter Clothes Adult])</f>
        <v>0</v>
      </c>
      <c r="AJ981" s="436">
        <f>IF(NFI_Expiration=1,IF($A981&lt;VLOOKUP(S$5,NFI,5,0),1,0)*Table_NFI[[#This Row],[Winter Clothes Children]],Table_NFI[Winter Clothes Children])</f>
        <v>0</v>
      </c>
      <c r="AK981" s="436">
        <f>IF(NFI_Expiration=1,IF($A981&lt;VLOOKUP(T$5,NFI,5,0),1,0)*Table_NFI[[#This Row],[Winter Items Other]],Table_NFI[Winter Items Other])</f>
        <v>0</v>
      </c>
      <c r="AL981" s="436">
        <f>IF(NFI_Expiration=1,IF($A981&lt;VLOOKUP(M$5,NFI,5,0),1,0)*Table_NFI[[#This Row],[Winter Blanket]],Table_NFI[[#This Row],[Winter Blanket]])</f>
        <v>0</v>
      </c>
      <c r="AM981" s="436">
        <f>IF(Table_NFI[[#This Row],[Winter Clothes Adult]]+Table_NFI[[#This Row],[Winter Clothes Children]]+Table_NFI[[#This Row],[Winter Items Other]]+Table_NFI[[#This Row],[Winter Blanket]]&gt;0,1,0)</f>
        <v>0</v>
      </c>
      <c r="AN981" s="439">
        <f>IF(NFI_Expiration=1,IF($A981&lt;VLOOKUP(V$5,NFI,5,0),1,0)*Table_NFI[[#This Row],[Jerry Can]],Table_NFI[Jerry Can])</f>
        <v>0</v>
      </c>
      <c r="AO981" s="835" t="str">
        <f>IFERROR(VLOOKUP(Table_NFI[[#This Row],[Camp Name]],CL,2,0),"")</f>
        <v/>
      </c>
      <c r="AP981" s="836" t="str">
        <f ca="1">IF(Table_NFI[[#This Row],[Pcode]]="","",IF(OFFSET(CampList[Opening Date],MATCH(Table_NFI[[#This Row],[Pcode]],CampList[CP_Pcode],0)-1,0,1,1)&gt;=NFI_Monitor_Date,1,0))</f>
        <v/>
      </c>
      <c r="AQ981" s="835" t="str">
        <f>IFERROR(VLOOKUP(Table_NFI[[#This Row],[Camp Name]],CL,3,0),"")</f>
        <v/>
      </c>
      <c r="AR981" s="832" t="str">
        <f ca="1">IF(Table_NFI[[#This Row],[Pcode]]="","",OFFSET(CampList[Priority],MATCH(Table_NFI[[#This Row],[Pcode]],CampList[CP_Pcode],0)-1,0,1,1))</f>
        <v/>
      </c>
      <c r="AS981" s="837" t="str">
        <f>IFERROR(Table_NFI[[#This Row],[Kitchen Set]]/VLOOKUP(Table_NFI[[#This Row],[Camp Name]],CL,4,0),"")</f>
        <v/>
      </c>
      <c r="AT981" s="769" t="s">
        <v>1099</v>
      </c>
      <c r="AU981" s="838"/>
    </row>
    <row r="982" spans="1:47" x14ac:dyDescent="0.25">
      <c r="A982" s="451" t="str">
        <f t="shared" si="15"/>
        <v/>
      </c>
      <c r="B982" s="829"/>
      <c r="C982" s="830"/>
      <c r="D982" s="830"/>
      <c r="E982" s="830"/>
      <c r="F982" s="830"/>
      <c r="G982" s="830"/>
      <c r="H982" s="831"/>
      <c r="I982" s="831"/>
      <c r="J982" s="831"/>
      <c r="K982" s="831"/>
      <c r="L982" s="831"/>
      <c r="M982" s="831"/>
      <c r="N982" s="831"/>
      <c r="O982" s="831"/>
      <c r="P982" s="832"/>
      <c r="Q982" s="832"/>
      <c r="R982" s="832"/>
      <c r="S982" s="832"/>
      <c r="T982" s="832"/>
      <c r="U982" s="832"/>
      <c r="V982" s="833"/>
      <c r="W982" s="834"/>
      <c r="X982" s="834"/>
      <c r="Y982" s="436">
        <f>IF(NFI_Expiration=1,IF($A982&lt;VLOOKUP(H$5,NFI,5,0),1,0)*Table_NFI[[#This Row],[Hygiene Kit]],Table_NFI[Hygiene Kit])</f>
        <v>0</v>
      </c>
      <c r="Z982" s="436">
        <f>IF(NFI_Expiration=1,IF($A982&lt;VLOOKUP(I$5,NFI,5,0),1,0)*Table_NFI[[#This Row],[NFI Core Kit]],Table_NFI[NFI Core Kit])</f>
        <v>0</v>
      </c>
      <c r="AA982" s="436">
        <f>IF(NFI_Expiration=1,IF($A982&lt;VLOOKUP(J$5,NFI,5,0),1,0)*Table_NFI[[#This Row],[Sanitary Kit]],Table_NFI[Sanitary Kit])</f>
        <v>0</v>
      </c>
      <c r="AB982" s="436">
        <f>IF(NFI_Expiration=1,IF($A982&lt;VLOOKUP(K$5,NFI,5,0),1,0)*Table_NFI[[#This Row],[Mosquito net]],Table_NFI[Mosquito net])</f>
        <v>0</v>
      </c>
      <c r="AC982" s="436">
        <f>IF(NFI_Expiration=1,IF($A982&lt;VLOOKUP(L$5,NFI,5,0),1,0)*Table_NFI[[#This Row],[Tarpaulin]],Table_NFI[[#This Row],[Tarpaulin]])</f>
        <v>0</v>
      </c>
      <c r="AD982" s="436">
        <f>IF(NFI_Expiration=1,IF($A982&lt;VLOOKUP(M$5,NFI,5,0),1,0)*Table_NFI[[#This Row],[Blanket]],Table_NFI[[#This Row],[Blanket]])</f>
        <v>0</v>
      </c>
      <c r="AE982" s="436">
        <f>IF(NFI_Expiration=1,IF($A982&lt;VLOOKUP(N$5,NFI,5,0),1,0)*Table_NFI[[#This Row],[Kitchen Set]],Table_NFI[Kitchen Set])</f>
        <v>0</v>
      </c>
      <c r="AF982" s="436">
        <f>IF(NFI_Expiration=1,IF($A982&lt;VLOOKUP(O$5,NFI,5,0),1,0)*Table_NFI[[#This Row],[Clothes Kit]],Table_NFI[Clothes Kit])</f>
        <v>0</v>
      </c>
      <c r="AG982" s="436">
        <f>IF(NFI_Expiration=1,IF($A982&lt;VLOOKUP(P$5,NFI,5,0),1,0)*Table_NFI[[#This Row],[Plastic Bucket]],Table_NFI[Plastic Bucket])</f>
        <v>0</v>
      </c>
      <c r="AH982" s="436">
        <f>IF(NFI_Expiration=1,IF($A982&lt;VLOOKUP(Q$5,NFI,5,0),1,0)*Table_NFI[[#This Row],[Plastic Mat]],Table_NFI[Plastic Mat])*IF(Table_NFI[[#This Row],[Distribution Date]]&gt;"2014-04-01",1,2.5)</f>
        <v>0</v>
      </c>
      <c r="AI982" s="436">
        <f>IF(NFI_Expiration=1,IF($A982&lt;VLOOKUP(R$5,NFI,5,0),1,0)*Table_NFI[[#This Row],[Winter Clothes Adult]],Table_NFI[Winter Clothes Adult])</f>
        <v>0</v>
      </c>
      <c r="AJ982" s="436">
        <f>IF(NFI_Expiration=1,IF($A982&lt;VLOOKUP(S$5,NFI,5,0),1,0)*Table_NFI[[#This Row],[Winter Clothes Children]],Table_NFI[Winter Clothes Children])</f>
        <v>0</v>
      </c>
      <c r="AK982" s="436">
        <f>IF(NFI_Expiration=1,IF($A982&lt;VLOOKUP(T$5,NFI,5,0),1,0)*Table_NFI[[#This Row],[Winter Items Other]],Table_NFI[Winter Items Other])</f>
        <v>0</v>
      </c>
      <c r="AL982" s="436">
        <f>IF(NFI_Expiration=1,IF($A982&lt;VLOOKUP(M$5,NFI,5,0),1,0)*Table_NFI[[#This Row],[Winter Blanket]],Table_NFI[[#This Row],[Winter Blanket]])</f>
        <v>0</v>
      </c>
      <c r="AM982" s="436">
        <f>IF(Table_NFI[[#This Row],[Winter Clothes Adult]]+Table_NFI[[#This Row],[Winter Clothes Children]]+Table_NFI[[#This Row],[Winter Items Other]]+Table_NFI[[#This Row],[Winter Blanket]]&gt;0,1,0)</f>
        <v>0</v>
      </c>
      <c r="AN982" s="439">
        <f>IF(NFI_Expiration=1,IF($A982&lt;VLOOKUP(V$5,NFI,5,0),1,0)*Table_NFI[[#This Row],[Jerry Can]],Table_NFI[Jerry Can])</f>
        <v>0</v>
      </c>
      <c r="AO982" s="835" t="str">
        <f>IFERROR(VLOOKUP(Table_NFI[[#This Row],[Camp Name]],CL,2,0),"")</f>
        <v/>
      </c>
      <c r="AP982" s="836" t="str">
        <f ca="1">IF(Table_NFI[[#This Row],[Pcode]]="","",IF(OFFSET(CampList[Opening Date],MATCH(Table_NFI[[#This Row],[Pcode]],CampList[CP_Pcode],0)-1,0,1,1)&gt;=NFI_Monitor_Date,1,0))</f>
        <v/>
      </c>
      <c r="AQ982" s="835" t="str">
        <f>IFERROR(VLOOKUP(Table_NFI[[#This Row],[Camp Name]],CL,3,0),"")</f>
        <v/>
      </c>
      <c r="AR982" s="832" t="str">
        <f ca="1">IF(Table_NFI[[#This Row],[Pcode]]="","",OFFSET(CampList[Priority],MATCH(Table_NFI[[#This Row],[Pcode]],CampList[CP_Pcode],0)-1,0,1,1))</f>
        <v/>
      </c>
      <c r="AS982" s="837" t="str">
        <f>IFERROR(Table_NFI[[#This Row],[Kitchen Set]]/VLOOKUP(Table_NFI[[#This Row],[Camp Name]],CL,4,0),"")</f>
        <v/>
      </c>
      <c r="AT982" s="769" t="s">
        <v>1099</v>
      </c>
      <c r="AU982" s="838"/>
    </row>
    <row r="983" spans="1:47" x14ac:dyDescent="0.25">
      <c r="A983" s="451" t="str">
        <f t="shared" si="15"/>
        <v/>
      </c>
      <c r="B983" s="829"/>
      <c r="C983" s="830"/>
      <c r="D983" s="830"/>
      <c r="E983" s="830"/>
      <c r="F983" s="830"/>
      <c r="G983" s="830"/>
      <c r="H983" s="831"/>
      <c r="I983" s="831"/>
      <c r="J983" s="831"/>
      <c r="K983" s="831"/>
      <c r="L983" s="831"/>
      <c r="M983" s="831"/>
      <c r="N983" s="831"/>
      <c r="O983" s="831"/>
      <c r="P983" s="832"/>
      <c r="Q983" s="832"/>
      <c r="R983" s="832"/>
      <c r="S983" s="832"/>
      <c r="T983" s="832"/>
      <c r="U983" s="832"/>
      <c r="V983" s="833"/>
      <c r="W983" s="834"/>
      <c r="X983" s="834"/>
      <c r="Y983" s="436">
        <f>IF(NFI_Expiration=1,IF($A983&lt;VLOOKUP(H$5,NFI,5,0),1,0)*Table_NFI[[#This Row],[Hygiene Kit]],Table_NFI[Hygiene Kit])</f>
        <v>0</v>
      </c>
      <c r="Z983" s="436">
        <f>IF(NFI_Expiration=1,IF($A983&lt;VLOOKUP(I$5,NFI,5,0),1,0)*Table_NFI[[#This Row],[NFI Core Kit]],Table_NFI[NFI Core Kit])</f>
        <v>0</v>
      </c>
      <c r="AA983" s="436">
        <f>IF(NFI_Expiration=1,IF($A983&lt;VLOOKUP(J$5,NFI,5,0),1,0)*Table_NFI[[#This Row],[Sanitary Kit]],Table_NFI[Sanitary Kit])</f>
        <v>0</v>
      </c>
      <c r="AB983" s="436">
        <f>IF(NFI_Expiration=1,IF($A983&lt;VLOOKUP(K$5,NFI,5,0),1,0)*Table_NFI[[#This Row],[Mosquito net]],Table_NFI[Mosquito net])</f>
        <v>0</v>
      </c>
      <c r="AC983" s="436">
        <f>IF(NFI_Expiration=1,IF($A983&lt;VLOOKUP(L$5,NFI,5,0),1,0)*Table_NFI[[#This Row],[Tarpaulin]],Table_NFI[[#This Row],[Tarpaulin]])</f>
        <v>0</v>
      </c>
      <c r="AD983" s="436">
        <f>IF(NFI_Expiration=1,IF($A983&lt;VLOOKUP(M$5,NFI,5,0),1,0)*Table_NFI[[#This Row],[Blanket]],Table_NFI[[#This Row],[Blanket]])</f>
        <v>0</v>
      </c>
      <c r="AE983" s="436">
        <f>IF(NFI_Expiration=1,IF($A983&lt;VLOOKUP(N$5,NFI,5,0),1,0)*Table_NFI[[#This Row],[Kitchen Set]],Table_NFI[Kitchen Set])</f>
        <v>0</v>
      </c>
      <c r="AF983" s="436">
        <f>IF(NFI_Expiration=1,IF($A983&lt;VLOOKUP(O$5,NFI,5,0),1,0)*Table_NFI[[#This Row],[Clothes Kit]],Table_NFI[Clothes Kit])</f>
        <v>0</v>
      </c>
      <c r="AG983" s="436">
        <f>IF(NFI_Expiration=1,IF($A983&lt;VLOOKUP(P$5,NFI,5,0),1,0)*Table_NFI[[#This Row],[Plastic Bucket]],Table_NFI[Plastic Bucket])</f>
        <v>0</v>
      </c>
      <c r="AH983" s="436">
        <f>IF(NFI_Expiration=1,IF($A983&lt;VLOOKUP(Q$5,NFI,5,0),1,0)*Table_NFI[[#This Row],[Plastic Mat]],Table_NFI[Plastic Mat])*IF(Table_NFI[[#This Row],[Distribution Date]]&gt;"2014-04-01",1,2.5)</f>
        <v>0</v>
      </c>
      <c r="AI983" s="436">
        <f>IF(NFI_Expiration=1,IF($A983&lt;VLOOKUP(R$5,NFI,5,0),1,0)*Table_NFI[[#This Row],[Winter Clothes Adult]],Table_NFI[Winter Clothes Adult])</f>
        <v>0</v>
      </c>
      <c r="AJ983" s="436">
        <f>IF(NFI_Expiration=1,IF($A983&lt;VLOOKUP(S$5,NFI,5,0),1,0)*Table_NFI[[#This Row],[Winter Clothes Children]],Table_NFI[Winter Clothes Children])</f>
        <v>0</v>
      </c>
      <c r="AK983" s="436">
        <f>IF(NFI_Expiration=1,IF($A983&lt;VLOOKUP(T$5,NFI,5,0),1,0)*Table_NFI[[#This Row],[Winter Items Other]],Table_NFI[Winter Items Other])</f>
        <v>0</v>
      </c>
      <c r="AL983" s="436">
        <f>IF(NFI_Expiration=1,IF($A983&lt;VLOOKUP(M$5,NFI,5,0),1,0)*Table_NFI[[#This Row],[Winter Blanket]],Table_NFI[[#This Row],[Winter Blanket]])</f>
        <v>0</v>
      </c>
      <c r="AM983" s="436">
        <f>IF(Table_NFI[[#This Row],[Winter Clothes Adult]]+Table_NFI[[#This Row],[Winter Clothes Children]]+Table_NFI[[#This Row],[Winter Items Other]]+Table_NFI[[#This Row],[Winter Blanket]]&gt;0,1,0)</f>
        <v>0</v>
      </c>
      <c r="AN983" s="439">
        <f>IF(NFI_Expiration=1,IF($A983&lt;VLOOKUP(V$5,NFI,5,0),1,0)*Table_NFI[[#This Row],[Jerry Can]],Table_NFI[Jerry Can])</f>
        <v>0</v>
      </c>
      <c r="AO983" s="835" t="str">
        <f>IFERROR(VLOOKUP(Table_NFI[[#This Row],[Camp Name]],CL,2,0),"")</f>
        <v/>
      </c>
      <c r="AP983" s="836" t="str">
        <f ca="1">IF(Table_NFI[[#This Row],[Pcode]]="","",IF(OFFSET(CampList[Opening Date],MATCH(Table_NFI[[#This Row],[Pcode]],CampList[CP_Pcode],0)-1,0,1,1)&gt;=NFI_Monitor_Date,1,0))</f>
        <v/>
      </c>
      <c r="AQ983" s="835" t="str">
        <f>IFERROR(VLOOKUP(Table_NFI[[#This Row],[Camp Name]],CL,3,0),"")</f>
        <v/>
      </c>
      <c r="AR983" s="832" t="str">
        <f ca="1">IF(Table_NFI[[#This Row],[Pcode]]="","",OFFSET(CampList[Priority],MATCH(Table_NFI[[#This Row],[Pcode]],CampList[CP_Pcode],0)-1,0,1,1))</f>
        <v/>
      </c>
      <c r="AS983" s="837" t="str">
        <f>IFERROR(Table_NFI[[#This Row],[Kitchen Set]]/VLOOKUP(Table_NFI[[#This Row],[Camp Name]],CL,4,0),"")</f>
        <v/>
      </c>
      <c r="AT983" s="769" t="s">
        <v>1099</v>
      </c>
      <c r="AU983" s="838"/>
    </row>
    <row r="984" spans="1:47" x14ac:dyDescent="0.25">
      <c r="A984" s="451" t="str">
        <f t="shared" si="15"/>
        <v/>
      </c>
      <c r="B984" s="829"/>
      <c r="C984" s="830"/>
      <c r="D984" s="830"/>
      <c r="E984" s="830"/>
      <c r="F984" s="830"/>
      <c r="G984" s="830"/>
      <c r="H984" s="831"/>
      <c r="I984" s="831"/>
      <c r="J984" s="831"/>
      <c r="K984" s="831"/>
      <c r="L984" s="831"/>
      <c r="M984" s="831"/>
      <c r="N984" s="831"/>
      <c r="O984" s="831"/>
      <c r="P984" s="832"/>
      <c r="Q984" s="832"/>
      <c r="R984" s="832"/>
      <c r="S984" s="832"/>
      <c r="T984" s="832"/>
      <c r="U984" s="832"/>
      <c r="V984" s="833"/>
      <c r="W984" s="834"/>
      <c r="X984" s="834"/>
      <c r="Y984" s="436">
        <f>IF(NFI_Expiration=1,IF($A984&lt;VLOOKUP(H$5,NFI,5,0),1,0)*Table_NFI[[#This Row],[Hygiene Kit]],Table_NFI[Hygiene Kit])</f>
        <v>0</v>
      </c>
      <c r="Z984" s="436">
        <f>IF(NFI_Expiration=1,IF($A984&lt;VLOOKUP(I$5,NFI,5,0),1,0)*Table_NFI[[#This Row],[NFI Core Kit]],Table_NFI[NFI Core Kit])</f>
        <v>0</v>
      </c>
      <c r="AA984" s="436">
        <f>IF(NFI_Expiration=1,IF($A984&lt;VLOOKUP(J$5,NFI,5,0),1,0)*Table_NFI[[#This Row],[Sanitary Kit]],Table_NFI[Sanitary Kit])</f>
        <v>0</v>
      </c>
      <c r="AB984" s="436">
        <f>IF(NFI_Expiration=1,IF($A984&lt;VLOOKUP(K$5,NFI,5,0),1,0)*Table_NFI[[#This Row],[Mosquito net]],Table_NFI[Mosquito net])</f>
        <v>0</v>
      </c>
      <c r="AC984" s="436">
        <f>IF(NFI_Expiration=1,IF($A984&lt;VLOOKUP(L$5,NFI,5,0),1,0)*Table_NFI[[#This Row],[Tarpaulin]],Table_NFI[[#This Row],[Tarpaulin]])</f>
        <v>0</v>
      </c>
      <c r="AD984" s="436">
        <f>IF(NFI_Expiration=1,IF($A984&lt;VLOOKUP(M$5,NFI,5,0),1,0)*Table_NFI[[#This Row],[Blanket]],Table_NFI[[#This Row],[Blanket]])</f>
        <v>0</v>
      </c>
      <c r="AE984" s="436">
        <f>IF(NFI_Expiration=1,IF($A984&lt;VLOOKUP(N$5,NFI,5,0),1,0)*Table_NFI[[#This Row],[Kitchen Set]],Table_NFI[Kitchen Set])</f>
        <v>0</v>
      </c>
      <c r="AF984" s="436">
        <f>IF(NFI_Expiration=1,IF($A984&lt;VLOOKUP(O$5,NFI,5,0),1,0)*Table_NFI[[#This Row],[Clothes Kit]],Table_NFI[Clothes Kit])</f>
        <v>0</v>
      </c>
      <c r="AG984" s="436">
        <f>IF(NFI_Expiration=1,IF($A984&lt;VLOOKUP(P$5,NFI,5,0),1,0)*Table_NFI[[#This Row],[Plastic Bucket]],Table_NFI[Plastic Bucket])</f>
        <v>0</v>
      </c>
      <c r="AH984" s="436">
        <f>IF(NFI_Expiration=1,IF($A984&lt;VLOOKUP(Q$5,NFI,5,0),1,0)*Table_NFI[[#This Row],[Plastic Mat]],Table_NFI[Plastic Mat])*IF(Table_NFI[[#This Row],[Distribution Date]]&gt;"2014-04-01",1,2.5)</f>
        <v>0</v>
      </c>
      <c r="AI984" s="436">
        <f>IF(NFI_Expiration=1,IF($A984&lt;VLOOKUP(R$5,NFI,5,0),1,0)*Table_NFI[[#This Row],[Winter Clothes Adult]],Table_NFI[Winter Clothes Adult])</f>
        <v>0</v>
      </c>
      <c r="AJ984" s="436">
        <f>IF(NFI_Expiration=1,IF($A984&lt;VLOOKUP(S$5,NFI,5,0),1,0)*Table_NFI[[#This Row],[Winter Clothes Children]],Table_NFI[Winter Clothes Children])</f>
        <v>0</v>
      </c>
      <c r="AK984" s="436">
        <f>IF(NFI_Expiration=1,IF($A984&lt;VLOOKUP(T$5,NFI,5,0),1,0)*Table_NFI[[#This Row],[Winter Items Other]],Table_NFI[Winter Items Other])</f>
        <v>0</v>
      </c>
      <c r="AL984" s="436">
        <f>IF(NFI_Expiration=1,IF($A984&lt;VLOOKUP(M$5,NFI,5,0),1,0)*Table_NFI[[#This Row],[Winter Blanket]],Table_NFI[[#This Row],[Winter Blanket]])</f>
        <v>0</v>
      </c>
      <c r="AM984" s="436">
        <f>IF(Table_NFI[[#This Row],[Winter Clothes Adult]]+Table_NFI[[#This Row],[Winter Clothes Children]]+Table_NFI[[#This Row],[Winter Items Other]]+Table_NFI[[#This Row],[Winter Blanket]]&gt;0,1,0)</f>
        <v>0</v>
      </c>
      <c r="AN984" s="439">
        <f>IF(NFI_Expiration=1,IF($A984&lt;VLOOKUP(V$5,NFI,5,0),1,0)*Table_NFI[[#This Row],[Jerry Can]],Table_NFI[Jerry Can])</f>
        <v>0</v>
      </c>
      <c r="AO984" s="835" t="str">
        <f>IFERROR(VLOOKUP(Table_NFI[[#This Row],[Camp Name]],CL,2,0),"")</f>
        <v/>
      </c>
      <c r="AP984" s="836" t="str">
        <f ca="1">IF(Table_NFI[[#This Row],[Pcode]]="","",IF(OFFSET(CampList[Opening Date],MATCH(Table_NFI[[#This Row],[Pcode]],CampList[CP_Pcode],0)-1,0,1,1)&gt;=NFI_Monitor_Date,1,0))</f>
        <v/>
      </c>
      <c r="AQ984" s="835" t="str">
        <f>IFERROR(VLOOKUP(Table_NFI[[#This Row],[Camp Name]],CL,3,0),"")</f>
        <v/>
      </c>
      <c r="AR984" s="832" t="str">
        <f ca="1">IF(Table_NFI[[#This Row],[Pcode]]="","",OFFSET(CampList[Priority],MATCH(Table_NFI[[#This Row],[Pcode]],CampList[CP_Pcode],0)-1,0,1,1))</f>
        <v/>
      </c>
      <c r="AS984" s="837" t="str">
        <f>IFERROR(Table_NFI[[#This Row],[Kitchen Set]]/VLOOKUP(Table_NFI[[#This Row],[Camp Name]],CL,4,0),"")</f>
        <v/>
      </c>
      <c r="AT984" s="769" t="s">
        <v>1099</v>
      </c>
      <c r="AU984" s="838"/>
    </row>
    <row r="985" spans="1:47" x14ac:dyDescent="0.25">
      <c r="A985" s="451" t="str">
        <f t="shared" si="15"/>
        <v/>
      </c>
      <c r="B985" s="829"/>
      <c r="C985" s="830"/>
      <c r="D985" s="830"/>
      <c r="E985" s="830"/>
      <c r="F985" s="830"/>
      <c r="G985" s="830"/>
      <c r="H985" s="831"/>
      <c r="I985" s="831"/>
      <c r="J985" s="831"/>
      <c r="K985" s="831"/>
      <c r="L985" s="831"/>
      <c r="M985" s="831"/>
      <c r="N985" s="831"/>
      <c r="O985" s="831"/>
      <c r="P985" s="832"/>
      <c r="Q985" s="832"/>
      <c r="R985" s="832"/>
      <c r="S985" s="832"/>
      <c r="T985" s="832"/>
      <c r="U985" s="832"/>
      <c r="V985" s="833"/>
      <c r="W985" s="834"/>
      <c r="X985" s="834"/>
      <c r="Y985" s="436">
        <f>IF(NFI_Expiration=1,IF($A985&lt;VLOOKUP(H$5,NFI,5,0),1,0)*Table_NFI[[#This Row],[Hygiene Kit]],Table_NFI[Hygiene Kit])</f>
        <v>0</v>
      </c>
      <c r="Z985" s="436">
        <f>IF(NFI_Expiration=1,IF($A985&lt;VLOOKUP(I$5,NFI,5,0),1,0)*Table_NFI[[#This Row],[NFI Core Kit]],Table_NFI[NFI Core Kit])</f>
        <v>0</v>
      </c>
      <c r="AA985" s="436">
        <f>IF(NFI_Expiration=1,IF($A985&lt;VLOOKUP(J$5,NFI,5,0),1,0)*Table_NFI[[#This Row],[Sanitary Kit]],Table_NFI[Sanitary Kit])</f>
        <v>0</v>
      </c>
      <c r="AB985" s="436">
        <f>IF(NFI_Expiration=1,IF($A985&lt;VLOOKUP(K$5,NFI,5,0),1,0)*Table_NFI[[#This Row],[Mosquito net]],Table_NFI[Mosquito net])</f>
        <v>0</v>
      </c>
      <c r="AC985" s="436">
        <f>IF(NFI_Expiration=1,IF($A985&lt;VLOOKUP(L$5,NFI,5,0),1,0)*Table_NFI[[#This Row],[Tarpaulin]],Table_NFI[[#This Row],[Tarpaulin]])</f>
        <v>0</v>
      </c>
      <c r="AD985" s="436">
        <f>IF(NFI_Expiration=1,IF($A985&lt;VLOOKUP(M$5,NFI,5,0),1,0)*Table_NFI[[#This Row],[Blanket]],Table_NFI[[#This Row],[Blanket]])</f>
        <v>0</v>
      </c>
      <c r="AE985" s="436">
        <f>IF(NFI_Expiration=1,IF($A985&lt;VLOOKUP(N$5,NFI,5,0),1,0)*Table_NFI[[#This Row],[Kitchen Set]],Table_NFI[Kitchen Set])</f>
        <v>0</v>
      </c>
      <c r="AF985" s="436">
        <f>IF(NFI_Expiration=1,IF($A985&lt;VLOOKUP(O$5,NFI,5,0),1,0)*Table_NFI[[#This Row],[Clothes Kit]],Table_NFI[Clothes Kit])</f>
        <v>0</v>
      </c>
      <c r="AG985" s="436">
        <f>IF(NFI_Expiration=1,IF($A985&lt;VLOOKUP(P$5,NFI,5,0),1,0)*Table_NFI[[#This Row],[Plastic Bucket]],Table_NFI[Plastic Bucket])</f>
        <v>0</v>
      </c>
      <c r="AH985" s="436">
        <f>IF(NFI_Expiration=1,IF($A985&lt;VLOOKUP(Q$5,NFI,5,0),1,0)*Table_NFI[[#This Row],[Plastic Mat]],Table_NFI[Plastic Mat])*IF(Table_NFI[[#This Row],[Distribution Date]]&gt;"2014-04-01",1,2.5)</f>
        <v>0</v>
      </c>
      <c r="AI985" s="436">
        <f>IF(NFI_Expiration=1,IF($A985&lt;VLOOKUP(R$5,NFI,5,0),1,0)*Table_NFI[[#This Row],[Winter Clothes Adult]],Table_NFI[Winter Clothes Adult])</f>
        <v>0</v>
      </c>
      <c r="AJ985" s="436">
        <f>IF(NFI_Expiration=1,IF($A985&lt;VLOOKUP(S$5,NFI,5,0),1,0)*Table_NFI[[#This Row],[Winter Clothes Children]],Table_NFI[Winter Clothes Children])</f>
        <v>0</v>
      </c>
      <c r="AK985" s="436">
        <f>IF(NFI_Expiration=1,IF($A985&lt;VLOOKUP(T$5,NFI,5,0),1,0)*Table_NFI[[#This Row],[Winter Items Other]],Table_NFI[Winter Items Other])</f>
        <v>0</v>
      </c>
      <c r="AL985" s="436">
        <f>IF(NFI_Expiration=1,IF($A985&lt;VLOOKUP(M$5,NFI,5,0),1,0)*Table_NFI[[#This Row],[Winter Blanket]],Table_NFI[[#This Row],[Winter Blanket]])</f>
        <v>0</v>
      </c>
      <c r="AM985" s="436">
        <f>IF(Table_NFI[[#This Row],[Winter Clothes Adult]]+Table_NFI[[#This Row],[Winter Clothes Children]]+Table_NFI[[#This Row],[Winter Items Other]]+Table_NFI[[#This Row],[Winter Blanket]]&gt;0,1,0)</f>
        <v>0</v>
      </c>
      <c r="AN985" s="439">
        <f>IF(NFI_Expiration=1,IF($A985&lt;VLOOKUP(V$5,NFI,5,0),1,0)*Table_NFI[[#This Row],[Jerry Can]],Table_NFI[Jerry Can])</f>
        <v>0</v>
      </c>
      <c r="AO985" s="835" t="str">
        <f>IFERROR(VLOOKUP(Table_NFI[[#This Row],[Camp Name]],CL,2,0),"")</f>
        <v/>
      </c>
      <c r="AP985" s="836" t="str">
        <f ca="1">IF(Table_NFI[[#This Row],[Pcode]]="","",IF(OFFSET(CampList[Opening Date],MATCH(Table_NFI[[#This Row],[Pcode]],CampList[CP_Pcode],0)-1,0,1,1)&gt;=NFI_Monitor_Date,1,0))</f>
        <v/>
      </c>
      <c r="AQ985" s="835" t="str">
        <f>IFERROR(VLOOKUP(Table_NFI[[#This Row],[Camp Name]],CL,3,0),"")</f>
        <v/>
      </c>
      <c r="AR985" s="832" t="str">
        <f ca="1">IF(Table_NFI[[#This Row],[Pcode]]="","",OFFSET(CampList[Priority],MATCH(Table_NFI[[#This Row],[Pcode]],CampList[CP_Pcode],0)-1,0,1,1))</f>
        <v/>
      </c>
      <c r="AS985" s="837" t="str">
        <f>IFERROR(Table_NFI[[#This Row],[Kitchen Set]]/VLOOKUP(Table_NFI[[#This Row],[Camp Name]],CL,4,0),"")</f>
        <v/>
      </c>
      <c r="AT985" s="769" t="s">
        <v>1099</v>
      </c>
      <c r="AU985" s="838"/>
    </row>
    <row r="986" spans="1:47" x14ac:dyDescent="0.25">
      <c r="A986" s="451" t="str">
        <f t="shared" si="15"/>
        <v/>
      </c>
      <c r="B986" s="829"/>
      <c r="C986" s="830"/>
      <c r="D986" s="830"/>
      <c r="E986" s="830"/>
      <c r="F986" s="830"/>
      <c r="G986" s="830"/>
      <c r="H986" s="831"/>
      <c r="I986" s="831"/>
      <c r="J986" s="831"/>
      <c r="K986" s="831"/>
      <c r="L986" s="831"/>
      <c r="M986" s="831"/>
      <c r="N986" s="831"/>
      <c r="O986" s="831"/>
      <c r="P986" s="832"/>
      <c r="Q986" s="832"/>
      <c r="R986" s="832"/>
      <c r="S986" s="832"/>
      <c r="T986" s="832"/>
      <c r="U986" s="832"/>
      <c r="V986" s="833"/>
      <c r="W986" s="834"/>
      <c r="X986" s="834"/>
      <c r="Y986" s="436">
        <f>IF(NFI_Expiration=1,IF($A986&lt;VLOOKUP(H$5,NFI,5,0),1,0)*Table_NFI[[#This Row],[Hygiene Kit]],Table_NFI[Hygiene Kit])</f>
        <v>0</v>
      </c>
      <c r="Z986" s="436">
        <f>IF(NFI_Expiration=1,IF($A986&lt;VLOOKUP(I$5,NFI,5,0),1,0)*Table_NFI[[#This Row],[NFI Core Kit]],Table_NFI[NFI Core Kit])</f>
        <v>0</v>
      </c>
      <c r="AA986" s="436">
        <f>IF(NFI_Expiration=1,IF($A986&lt;VLOOKUP(J$5,NFI,5,0),1,0)*Table_NFI[[#This Row],[Sanitary Kit]],Table_NFI[Sanitary Kit])</f>
        <v>0</v>
      </c>
      <c r="AB986" s="436">
        <f>IF(NFI_Expiration=1,IF($A986&lt;VLOOKUP(K$5,NFI,5,0),1,0)*Table_NFI[[#This Row],[Mosquito net]],Table_NFI[Mosquito net])</f>
        <v>0</v>
      </c>
      <c r="AC986" s="436">
        <f>IF(NFI_Expiration=1,IF($A986&lt;VLOOKUP(L$5,NFI,5,0),1,0)*Table_NFI[[#This Row],[Tarpaulin]],Table_NFI[[#This Row],[Tarpaulin]])</f>
        <v>0</v>
      </c>
      <c r="AD986" s="436">
        <f>IF(NFI_Expiration=1,IF($A986&lt;VLOOKUP(M$5,NFI,5,0),1,0)*Table_NFI[[#This Row],[Blanket]],Table_NFI[[#This Row],[Blanket]])</f>
        <v>0</v>
      </c>
      <c r="AE986" s="436">
        <f>IF(NFI_Expiration=1,IF($A986&lt;VLOOKUP(N$5,NFI,5,0),1,0)*Table_NFI[[#This Row],[Kitchen Set]],Table_NFI[Kitchen Set])</f>
        <v>0</v>
      </c>
      <c r="AF986" s="436">
        <f>IF(NFI_Expiration=1,IF($A986&lt;VLOOKUP(O$5,NFI,5,0),1,0)*Table_NFI[[#This Row],[Clothes Kit]],Table_NFI[Clothes Kit])</f>
        <v>0</v>
      </c>
      <c r="AG986" s="436">
        <f>IF(NFI_Expiration=1,IF($A986&lt;VLOOKUP(P$5,NFI,5,0),1,0)*Table_NFI[[#This Row],[Plastic Bucket]],Table_NFI[Plastic Bucket])</f>
        <v>0</v>
      </c>
      <c r="AH986" s="436">
        <f>IF(NFI_Expiration=1,IF($A986&lt;VLOOKUP(Q$5,NFI,5,0),1,0)*Table_NFI[[#This Row],[Plastic Mat]],Table_NFI[Plastic Mat])*IF(Table_NFI[[#This Row],[Distribution Date]]&gt;"2014-04-01",1,2.5)</f>
        <v>0</v>
      </c>
      <c r="AI986" s="436">
        <f>IF(NFI_Expiration=1,IF($A986&lt;VLOOKUP(R$5,NFI,5,0),1,0)*Table_NFI[[#This Row],[Winter Clothes Adult]],Table_NFI[Winter Clothes Adult])</f>
        <v>0</v>
      </c>
      <c r="AJ986" s="436">
        <f>IF(NFI_Expiration=1,IF($A986&lt;VLOOKUP(S$5,NFI,5,0),1,0)*Table_NFI[[#This Row],[Winter Clothes Children]],Table_NFI[Winter Clothes Children])</f>
        <v>0</v>
      </c>
      <c r="AK986" s="436">
        <f>IF(NFI_Expiration=1,IF($A986&lt;VLOOKUP(T$5,NFI,5,0),1,0)*Table_NFI[[#This Row],[Winter Items Other]],Table_NFI[Winter Items Other])</f>
        <v>0</v>
      </c>
      <c r="AL986" s="436">
        <f>IF(NFI_Expiration=1,IF($A986&lt;VLOOKUP(M$5,NFI,5,0),1,0)*Table_NFI[[#This Row],[Winter Blanket]],Table_NFI[[#This Row],[Winter Blanket]])</f>
        <v>0</v>
      </c>
      <c r="AM986" s="436">
        <f>IF(Table_NFI[[#This Row],[Winter Clothes Adult]]+Table_NFI[[#This Row],[Winter Clothes Children]]+Table_NFI[[#This Row],[Winter Items Other]]+Table_NFI[[#This Row],[Winter Blanket]]&gt;0,1,0)</f>
        <v>0</v>
      </c>
      <c r="AN986" s="439">
        <f>IF(NFI_Expiration=1,IF($A986&lt;VLOOKUP(V$5,NFI,5,0),1,0)*Table_NFI[[#This Row],[Jerry Can]],Table_NFI[Jerry Can])</f>
        <v>0</v>
      </c>
      <c r="AO986" s="835" t="str">
        <f>IFERROR(VLOOKUP(Table_NFI[[#This Row],[Camp Name]],CL,2,0),"")</f>
        <v/>
      </c>
      <c r="AP986" s="836" t="str">
        <f ca="1">IF(Table_NFI[[#This Row],[Pcode]]="","",IF(OFFSET(CampList[Opening Date],MATCH(Table_NFI[[#This Row],[Pcode]],CampList[CP_Pcode],0)-1,0,1,1)&gt;=NFI_Monitor_Date,1,0))</f>
        <v/>
      </c>
      <c r="AQ986" s="835" t="str">
        <f>IFERROR(VLOOKUP(Table_NFI[[#This Row],[Camp Name]],CL,3,0),"")</f>
        <v/>
      </c>
      <c r="AR986" s="832" t="str">
        <f ca="1">IF(Table_NFI[[#This Row],[Pcode]]="","",OFFSET(CampList[Priority],MATCH(Table_NFI[[#This Row],[Pcode]],CampList[CP_Pcode],0)-1,0,1,1))</f>
        <v/>
      </c>
      <c r="AS986" s="837" t="str">
        <f>IFERROR(Table_NFI[[#This Row],[Kitchen Set]]/VLOOKUP(Table_NFI[[#This Row],[Camp Name]],CL,4,0),"")</f>
        <v/>
      </c>
      <c r="AT986" s="769" t="s">
        <v>1099</v>
      </c>
      <c r="AU986" s="838"/>
    </row>
    <row r="987" spans="1:47" x14ac:dyDescent="0.25">
      <c r="A987" s="451" t="str">
        <f t="shared" si="15"/>
        <v/>
      </c>
      <c r="B987" s="829"/>
      <c r="C987" s="830"/>
      <c r="D987" s="830"/>
      <c r="E987" s="830"/>
      <c r="F987" s="830"/>
      <c r="G987" s="830"/>
      <c r="H987" s="831"/>
      <c r="I987" s="831"/>
      <c r="J987" s="831"/>
      <c r="K987" s="831"/>
      <c r="L987" s="831"/>
      <c r="M987" s="831"/>
      <c r="N987" s="831"/>
      <c r="O987" s="831"/>
      <c r="P987" s="832"/>
      <c r="Q987" s="832"/>
      <c r="R987" s="832"/>
      <c r="S987" s="832"/>
      <c r="T987" s="832"/>
      <c r="U987" s="832"/>
      <c r="V987" s="833"/>
      <c r="W987" s="834"/>
      <c r="X987" s="834"/>
      <c r="Y987" s="436">
        <f>IF(NFI_Expiration=1,IF($A987&lt;VLOOKUP(H$5,NFI,5,0),1,0)*Table_NFI[[#This Row],[Hygiene Kit]],Table_NFI[Hygiene Kit])</f>
        <v>0</v>
      </c>
      <c r="Z987" s="436">
        <f>IF(NFI_Expiration=1,IF($A987&lt;VLOOKUP(I$5,NFI,5,0),1,0)*Table_NFI[[#This Row],[NFI Core Kit]],Table_NFI[NFI Core Kit])</f>
        <v>0</v>
      </c>
      <c r="AA987" s="436">
        <f>IF(NFI_Expiration=1,IF($A987&lt;VLOOKUP(J$5,NFI,5,0),1,0)*Table_NFI[[#This Row],[Sanitary Kit]],Table_NFI[Sanitary Kit])</f>
        <v>0</v>
      </c>
      <c r="AB987" s="436">
        <f>IF(NFI_Expiration=1,IF($A987&lt;VLOOKUP(K$5,NFI,5,0),1,0)*Table_NFI[[#This Row],[Mosquito net]],Table_NFI[Mosquito net])</f>
        <v>0</v>
      </c>
      <c r="AC987" s="436">
        <f>IF(NFI_Expiration=1,IF($A987&lt;VLOOKUP(L$5,NFI,5,0),1,0)*Table_NFI[[#This Row],[Tarpaulin]],Table_NFI[[#This Row],[Tarpaulin]])</f>
        <v>0</v>
      </c>
      <c r="AD987" s="436">
        <f>IF(NFI_Expiration=1,IF($A987&lt;VLOOKUP(M$5,NFI,5,0),1,0)*Table_NFI[[#This Row],[Blanket]],Table_NFI[[#This Row],[Blanket]])</f>
        <v>0</v>
      </c>
      <c r="AE987" s="436">
        <f>IF(NFI_Expiration=1,IF($A987&lt;VLOOKUP(N$5,NFI,5,0),1,0)*Table_NFI[[#This Row],[Kitchen Set]],Table_NFI[Kitchen Set])</f>
        <v>0</v>
      </c>
      <c r="AF987" s="436">
        <f>IF(NFI_Expiration=1,IF($A987&lt;VLOOKUP(O$5,NFI,5,0),1,0)*Table_NFI[[#This Row],[Clothes Kit]],Table_NFI[Clothes Kit])</f>
        <v>0</v>
      </c>
      <c r="AG987" s="436">
        <f>IF(NFI_Expiration=1,IF($A987&lt;VLOOKUP(P$5,NFI,5,0),1,0)*Table_NFI[[#This Row],[Plastic Bucket]],Table_NFI[Plastic Bucket])</f>
        <v>0</v>
      </c>
      <c r="AH987" s="436">
        <f>IF(NFI_Expiration=1,IF($A987&lt;VLOOKUP(Q$5,NFI,5,0),1,0)*Table_NFI[[#This Row],[Plastic Mat]],Table_NFI[Plastic Mat])*IF(Table_NFI[[#This Row],[Distribution Date]]&gt;"2014-04-01",1,2.5)</f>
        <v>0</v>
      </c>
      <c r="AI987" s="436">
        <f>IF(NFI_Expiration=1,IF($A987&lt;VLOOKUP(R$5,NFI,5,0),1,0)*Table_NFI[[#This Row],[Winter Clothes Adult]],Table_NFI[Winter Clothes Adult])</f>
        <v>0</v>
      </c>
      <c r="AJ987" s="436">
        <f>IF(NFI_Expiration=1,IF($A987&lt;VLOOKUP(S$5,NFI,5,0),1,0)*Table_NFI[[#This Row],[Winter Clothes Children]],Table_NFI[Winter Clothes Children])</f>
        <v>0</v>
      </c>
      <c r="AK987" s="436">
        <f>IF(NFI_Expiration=1,IF($A987&lt;VLOOKUP(T$5,NFI,5,0),1,0)*Table_NFI[[#This Row],[Winter Items Other]],Table_NFI[Winter Items Other])</f>
        <v>0</v>
      </c>
      <c r="AL987" s="436">
        <f>IF(NFI_Expiration=1,IF($A987&lt;VLOOKUP(M$5,NFI,5,0),1,0)*Table_NFI[[#This Row],[Winter Blanket]],Table_NFI[[#This Row],[Winter Blanket]])</f>
        <v>0</v>
      </c>
      <c r="AM987" s="436">
        <f>IF(Table_NFI[[#This Row],[Winter Clothes Adult]]+Table_NFI[[#This Row],[Winter Clothes Children]]+Table_NFI[[#This Row],[Winter Items Other]]+Table_NFI[[#This Row],[Winter Blanket]]&gt;0,1,0)</f>
        <v>0</v>
      </c>
      <c r="AN987" s="439">
        <f>IF(NFI_Expiration=1,IF($A987&lt;VLOOKUP(V$5,NFI,5,0),1,0)*Table_NFI[[#This Row],[Jerry Can]],Table_NFI[Jerry Can])</f>
        <v>0</v>
      </c>
      <c r="AO987" s="835" t="str">
        <f>IFERROR(VLOOKUP(Table_NFI[[#This Row],[Camp Name]],CL,2,0),"")</f>
        <v/>
      </c>
      <c r="AP987" s="836" t="str">
        <f ca="1">IF(Table_NFI[[#This Row],[Pcode]]="","",IF(OFFSET(CampList[Opening Date],MATCH(Table_NFI[[#This Row],[Pcode]],CampList[CP_Pcode],0)-1,0,1,1)&gt;=NFI_Monitor_Date,1,0))</f>
        <v/>
      </c>
      <c r="AQ987" s="835" t="str">
        <f>IFERROR(VLOOKUP(Table_NFI[[#This Row],[Camp Name]],CL,3,0),"")</f>
        <v/>
      </c>
      <c r="AR987" s="832" t="str">
        <f ca="1">IF(Table_NFI[[#This Row],[Pcode]]="","",OFFSET(CampList[Priority],MATCH(Table_NFI[[#This Row],[Pcode]],CampList[CP_Pcode],0)-1,0,1,1))</f>
        <v/>
      </c>
      <c r="AS987" s="837" t="str">
        <f>IFERROR(Table_NFI[[#This Row],[Kitchen Set]]/VLOOKUP(Table_NFI[[#This Row],[Camp Name]],CL,4,0),"")</f>
        <v/>
      </c>
      <c r="AT987" s="769" t="s">
        <v>1099</v>
      </c>
      <c r="AU987" s="838"/>
    </row>
    <row r="988" spans="1:47" x14ac:dyDescent="0.25">
      <c r="A988" s="451" t="str">
        <f t="shared" si="15"/>
        <v/>
      </c>
      <c r="B988" s="829"/>
      <c r="C988" s="830"/>
      <c r="D988" s="830"/>
      <c r="E988" s="830"/>
      <c r="F988" s="830"/>
      <c r="G988" s="830"/>
      <c r="H988" s="831"/>
      <c r="I988" s="831"/>
      <c r="J988" s="831"/>
      <c r="K988" s="831"/>
      <c r="L988" s="831"/>
      <c r="M988" s="831"/>
      <c r="N988" s="831"/>
      <c r="O988" s="831"/>
      <c r="P988" s="832"/>
      <c r="Q988" s="832"/>
      <c r="R988" s="832"/>
      <c r="S988" s="832"/>
      <c r="T988" s="832"/>
      <c r="U988" s="832"/>
      <c r="V988" s="833"/>
      <c r="W988" s="834"/>
      <c r="X988" s="834"/>
      <c r="Y988" s="436">
        <f>IF(NFI_Expiration=1,IF($A988&lt;VLOOKUP(H$5,NFI,5,0),1,0)*Table_NFI[[#This Row],[Hygiene Kit]],Table_NFI[Hygiene Kit])</f>
        <v>0</v>
      </c>
      <c r="Z988" s="436">
        <f>IF(NFI_Expiration=1,IF($A988&lt;VLOOKUP(I$5,NFI,5,0),1,0)*Table_NFI[[#This Row],[NFI Core Kit]],Table_NFI[NFI Core Kit])</f>
        <v>0</v>
      </c>
      <c r="AA988" s="436">
        <f>IF(NFI_Expiration=1,IF($A988&lt;VLOOKUP(J$5,NFI,5,0),1,0)*Table_NFI[[#This Row],[Sanitary Kit]],Table_NFI[Sanitary Kit])</f>
        <v>0</v>
      </c>
      <c r="AB988" s="436">
        <f>IF(NFI_Expiration=1,IF($A988&lt;VLOOKUP(K$5,NFI,5,0),1,0)*Table_NFI[[#This Row],[Mosquito net]],Table_NFI[Mosquito net])</f>
        <v>0</v>
      </c>
      <c r="AC988" s="436">
        <f>IF(NFI_Expiration=1,IF($A988&lt;VLOOKUP(L$5,NFI,5,0),1,0)*Table_NFI[[#This Row],[Tarpaulin]],Table_NFI[[#This Row],[Tarpaulin]])</f>
        <v>0</v>
      </c>
      <c r="AD988" s="436">
        <f>IF(NFI_Expiration=1,IF($A988&lt;VLOOKUP(M$5,NFI,5,0),1,0)*Table_NFI[[#This Row],[Blanket]],Table_NFI[[#This Row],[Blanket]])</f>
        <v>0</v>
      </c>
      <c r="AE988" s="436">
        <f>IF(NFI_Expiration=1,IF($A988&lt;VLOOKUP(N$5,NFI,5,0),1,0)*Table_NFI[[#This Row],[Kitchen Set]],Table_NFI[Kitchen Set])</f>
        <v>0</v>
      </c>
      <c r="AF988" s="436">
        <f>IF(NFI_Expiration=1,IF($A988&lt;VLOOKUP(O$5,NFI,5,0),1,0)*Table_NFI[[#This Row],[Clothes Kit]],Table_NFI[Clothes Kit])</f>
        <v>0</v>
      </c>
      <c r="AG988" s="436">
        <f>IF(NFI_Expiration=1,IF($A988&lt;VLOOKUP(P$5,NFI,5,0),1,0)*Table_NFI[[#This Row],[Plastic Bucket]],Table_NFI[Plastic Bucket])</f>
        <v>0</v>
      </c>
      <c r="AH988" s="436">
        <f>IF(NFI_Expiration=1,IF($A988&lt;VLOOKUP(Q$5,NFI,5,0),1,0)*Table_NFI[[#This Row],[Plastic Mat]],Table_NFI[Plastic Mat])*IF(Table_NFI[[#This Row],[Distribution Date]]&gt;"2014-04-01",1,2.5)</f>
        <v>0</v>
      </c>
      <c r="AI988" s="436">
        <f>IF(NFI_Expiration=1,IF($A988&lt;VLOOKUP(R$5,NFI,5,0),1,0)*Table_NFI[[#This Row],[Winter Clothes Adult]],Table_NFI[Winter Clothes Adult])</f>
        <v>0</v>
      </c>
      <c r="AJ988" s="436">
        <f>IF(NFI_Expiration=1,IF($A988&lt;VLOOKUP(S$5,NFI,5,0),1,0)*Table_NFI[[#This Row],[Winter Clothes Children]],Table_NFI[Winter Clothes Children])</f>
        <v>0</v>
      </c>
      <c r="AK988" s="436">
        <f>IF(NFI_Expiration=1,IF($A988&lt;VLOOKUP(T$5,NFI,5,0),1,0)*Table_NFI[[#This Row],[Winter Items Other]],Table_NFI[Winter Items Other])</f>
        <v>0</v>
      </c>
      <c r="AL988" s="436">
        <f>IF(NFI_Expiration=1,IF($A988&lt;VLOOKUP(M$5,NFI,5,0),1,0)*Table_NFI[[#This Row],[Winter Blanket]],Table_NFI[[#This Row],[Winter Blanket]])</f>
        <v>0</v>
      </c>
      <c r="AM988" s="436">
        <f>IF(Table_NFI[[#This Row],[Winter Clothes Adult]]+Table_NFI[[#This Row],[Winter Clothes Children]]+Table_NFI[[#This Row],[Winter Items Other]]+Table_NFI[[#This Row],[Winter Blanket]]&gt;0,1,0)</f>
        <v>0</v>
      </c>
      <c r="AN988" s="439">
        <f>IF(NFI_Expiration=1,IF($A988&lt;VLOOKUP(V$5,NFI,5,0),1,0)*Table_NFI[[#This Row],[Jerry Can]],Table_NFI[Jerry Can])</f>
        <v>0</v>
      </c>
      <c r="AO988" s="835" t="str">
        <f>IFERROR(VLOOKUP(Table_NFI[[#This Row],[Camp Name]],CL,2,0),"")</f>
        <v/>
      </c>
      <c r="AP988" s="836" t="str">
        <f ca="1">IF(Table_NFI[[#This Row],[Pcode]]="","",IF(OFFSET(CampList[Opening Date],MATCH(Table_NFI[[#This Row],[Pcode]],CampList[CP_Pcode],0)-1,0,1,1)&gt;=NFI_Monitor_Date,1,0))</f>
        <v/>
      </c>
      <c r="AQ988" s="835" t="str">
        <f>IFERROR(VLOOKUP(Table_NFI[[#This Row],[Camp Name]],CL,3,0),"")</f>
        <v/>
      </c>
      <c r="AR988" s="832" t="str">
        <f ca="1">IF(Table_NFI[[#This Row],[Pcode]]="","",OFFSET(CampList[Priority],MATCH(Table_NFI[[#This Row],[Pcode]],CampList[CP_Pcode],0)-1,0,1,1))</f>
        <v/>
      </c>
      <c r="AS988" s="837" t="str">
        <f>IFERROR(Table_NFI[[#This Row],[Kitchen Set]]/VLOOKUP(Table_NFI[[#This Row],[Camp Name]],CL,4,0),"")</f>
        <v/>
      </c>
      <c r="AT988" s="769" t="s">
        <v>1099</v>
      </c>
      <c r="AU988" s="838"/>
    </row>
    <row r="989" spans="1:47" x14ac:dyDescent="0.25">
      <c r="A989" s="451" t="str">
        <f t="shared" si="15"/>
        <v/>
      </c>
      <c r="B989" s="829"/>
      <c r="C989" s="830"/>
      <c r="D989" s="830"/>
      <c r="E989" s="830"/>
      <c r="F989" s="830"/>
      <c r="G989" s="830"/>
      <c r="H989" s="831"/>
      <c r="I989" s="831"/>
      <c r="J989" s="831"/>
      <c r="K989" s="831"/>
      <c r="L989" s="831"/>
      <c r="M989" s="831"/>
      <c r="N989" s="831"/>
      <c r="O989" s="831"/>
      <c r="P989" s="832"/>
      <c r="Q989" s="832"/>
      <c r="R989" s="832"/>
      <c r="S989" s="832"/>
      <c r="T989" s="832"/>
      <c r="U989" s="832"/>
      <c r="V989" s="833"/>
      <c r="W989" s="834"/>
      <c r="X989" s="834"/>
      <c r="Y989" s="436">
        <f>IF(NFI_Expiration=1,IF($A989&lt;VLOOKUP(H$5,NFI,5,0),1,0)*Table_NFI[[#This Row],[Hygiene Kit]],Table_NFI[Hygiene Kit])</f>
        <v>0</v>
      </c>
      <c r="Z989" s="436">
        <f>IF(NFI_Expiration=1,IF($A989&lt;VLOOKUP(I$5,NFI,5,0),1,0)*Table_NFI[[#This Row],[NFI Core Kit]],Table_NFI[NFI Core Kit])</f>
        <v>0</v>
      </c>
      <c r="AA989" s="436">
        <f>IF(NFI_Expiration=1,IF($A989&lt;VLOOKUP(J$5,NFI,5,0),1,0)*Table_NFI[[#This Row],[Sanitary Kit]],Table_NFI[Sanitary Kit])</f>
        <v>0</v>
      </c>
      <c r="AB989" s="436">
        <f>IF(NFI_Expiration=1,IF($A989&lt;VLOOKUP(K$5,NFI,5,0),1,0)*Table_NFI[[#This Row],[Mosquito net]],Table_NFI[Mosquito net])</f>
        <v>0</v>
      </c>
      <c r="AC989" s="436">
        <f>IF(NFI_Expiration=1,IF($A989&lt;VLOOKUP(L$5,NFI,5,0),1,0)*Table_NFI[[#This Row],[Tarpaulin]],Table_NFI[[#This Row],[Tarpaulin]])</f>
        <v>0</v>
      </c>
      <c r="AD989" s="436">
        <f>IF(NFI_Expiration=1,IF($A989&lt;VLOOKUP(M$5,NFI,5,0),1,0)*Table_NFI[[#This Row],[Blanket]],Table_NFI[[#This Row],[Blanket]])</f>
        <v>0</v>
      </c>
      <c r="AE989" s="436">
        <f>IF(NFI_Expiration=1,IF($A989&lt;VLOOKUP(N$5,NFI,5,0),1,0)*Table_NFI[[#This Row],[Kitchen Set]],Table_NFI[Kitchen Set])</f>
        <v>0</v>
      </c>
      <c r="AF989" s="436">
        <f>IF(NFI_Expiration=1,IF($A989&lt;VLOOKUP(O$5,NFI,5,0),1,0)*Table_NFI[[#This Row],[Clothes Kit]],Table_NFI[Clothes Kit])</f>
        <v>0</v>
      </c>
      <c r="AG989" s="436">
        <f>IF(NFI_Expiration=1,IF($A989&lt;VLOOKUP(P$5,NFI,5,0),1,0)*Table_NFI[[#This Row],[Plastic Bucket]],Table_NFI[Plastic Bucket])</f>
        <v>0</v>
      </c>
      <c r="AH989" s="436">
        <f>IF(NFI_Expiration=1,IF($A989&lt;VLOOKUP(Q$5,NFI,5,0),1,0)*Table_NFI[[#This Row],[Plastic Mat]],Table_NFI[Plastic Mat])*IF(Table_NFI[[#This Row],[Distribution Date]]&gt;"2014-04-01",1,2.5)</f>
        <v>0</v>
      </c>
      <c r="AI989" s="436">
        <f>IF(NFI_Expiration=1,IF($A989&lt;VLOOKUP(R$5,NFI,5,0),1,0)*Table_NFI[[#This Row],[Winter Clothes Adult]],Table_NFI[Winter Clothes Adult])</f>
        <v>0</v>
      </c>
      <c r="AJ989" s="436">
        <f>IF(NFI_Expiration=1,IF($A989&lt;VLOOKUP(S$5,NFI,5,0),1,0)*Table_NFI[[#This Row],[Winter Clothes Children]],Table_NFI[Winter Clothes Children])</f>
        <v>0</v>
      </c>
      <c r="AK989" s="436">
        <f>IF(NFI_Expiration=1,IF($A989&lt;VLOOKUP(T$5,NFI,5,0),1,0)*Table_NFI[[#This Row],[Winter Items Other]],Table_NFI[Winter Items Other])</f>
        <v>0</v>
      </c>
      <c r="AL989" s="436">
        <f>IF(NFI_Expiration=1,IF($A989&lt;VLOOKUP(M$5,NFI,5,0),1,0)*Table_NFI[[#This Row],[Winter Blanket]],Table_NFI[[#This Row],[Winter Blanket]])</f>
        <v>0</v>
      </c>
      <c r="AM989" s="436">
        <f>IF(Table_NFI[[#This Row],[Winter Clothes Adult]]+Table_NFI[[#This Row],[Winter Clothes Children]]+Table_NFI[[#This Row],[Winter Items Other]]+Table_NFI[[#This Row],[Winter Blanket]]&gt;0,1,0)</f>
        <v>0</v>
      </c>
      <c r="AN989" s="439">
        <f>IF(NFI_Expiration=1,IF($A989&lt;VLOOKUP(V$5,NFI,5,0),1,0)*Table_NFI[[#This Row],[Jerry Can]],Table_NFI[Jerry Can])</f>
        <v>0</v>
      </c>
      <c r="AO989" s="835" t="str">
        <f>IFERROR(VLOOKUP(Table_NFI[[#This Row],[Camp Name]],CL,2,0),"")</f>
        <v/>
      </c>
      <c r="AP989" s="836" t="str">
        <f ca="1">IF(Table_NFI[[#This Row],[Pcode]]="","",IF(OFFSET(CampList[Opening Date],MATCH(Table_NFI[[#This Row],[Pcode]],CampList[CP_Pcode],0)-1,0,1,1)&gt;=NFI_Monitor_Date,1,0))</f>
        <v/>
      </c>
      <c r="AQ989" s="835" t="str">
        <f>IFERROR(VLOOKUP(Table_NFI[[#This Row],[Camp Name]],CL,3,0),"")</f>
        <v/>
      </c>
      <c r="AR989" s="832" t="str">
        <f ca="1">IF(Table_NFI[[#This Row],[Pcode]]="","",OFFSET(CampList[Priority],MATCH(Table_NFI[[#This Row],[Pcode]],CampList[CP_Pcode],0)-1,0,1,1))</f>
        <v/>
      </c>
      <c r="AS989" s="837" t="str">
        <f>IFERROR(Table_NFI[[#This Row],[Kitchen Set]]/VLOOKUP(Table_NFI[[#This Row],[Camp Name]],CL,4,0),"")</f>
        <v/>
      </c>
      <c r="AT989" s="769" t="s">
        <v>1099</v>
      </c>
      <c r="AU989" s="838"/>
    </row>
    <row r="990" spans="1:47" x14ac:dyDescent="0.25">
      <c r="A990" s="451"/>
      <c r="B990" s="768"/>
      <c r="C990" s="769"/>
      <c r="D990" s="769"/>
      <c r="E990" s="769"/>
      <c r="F990" s="769"/>
      <c r="G990" s="769"/>
      <c r="H990" s="436"/>
      <c r="I990" s="436"/>
      <c r="J990" s="436"/>
      <c r="K990" s="439"/>
      <c r="L990" s="437"/>
      <c r="M990" s="437"/>
      <c r="N990" s="437"/>
      <c r="O990" s="437"/>
      <c r="P990" s="439"/>
      <c r="Q990" s="439"/>
      <c r="R990" s="436"/>
      <c r="S990" s="436"/>
      <c r="T990" s="436"/>
      <c r="U990" s="436"/>
      <c r="V990" s="488"/>
      <c r="W990" s="488"/>
      <c r="X990" s="488"/>
      <c r="Y990" s="436"/>
      <c r="Z990" s="436"/>
      <c r="AA990" s="436"/>
      <c r="AB990" s="436"/>
      <c r="AC990" s="436"/>
      <c r="AD990" s="436"/>
      <c r="AE990" s="436"/>
      <c r="AF990" s="436"/>
      <c r="AG990" s="436"/>
      <c r="AH990" s="436"/>
      <c r="AI990" s="436"/>
      <c r="AJ990" s="436"/>
      <c r="AK990" s="436"/>
      <c r="AL990" s="436"/>
      <c r="AM990" s="436"/>
      <c r="AN990" s="488"/>
      <c r="AO990" s="771"/>
      <c r="AP990" s="772"/>
      <c r="AQ990" s="771"/>
      <c r="AR990" s="436"/>
      <c r="AS990" s="438"/>
      <c r="AT990" s="769"/>
      <c r="AU990" s="793"/>
    </row>
    <row r="991" spans="1:47" x14ac:dyDescent="0.25">
      <c r="A991" s="486"/>
      <c r="B991" s="794"/>
      <c r="C991" s="795"/>
      <c r="D991" s="795"/>
      <c r="E991" s="795"/>
      <c r="F991" s="795"/>
      <c r="G991" s="795"/>
      <c r="H991" s="695"/>
      <c r="I991" s="695"/>
      <c r="J991" s="695"/>
      <c r="K991" s="695"/>
      <c r="L991" s="487"/>
      <c r="M991" s="487"/>
      <c r="N991" s="487"/>
      <c r="O991" s="487"/>
      <c r="P991" s="488"/>
      <c r="Q991" s="488"/>
      <c r="R991" s="695"/>
      <c r="S991" s="695"/>
      <c r="T991" s="695"/>
      <c r="U991" s="695"/>
      <c r="V991" s="695"/>
      <c r="W991" s="695"/>
      <c r="X991" s="695"/>
      <c r="Y991" s="695"/>
      <c r="Z991" s="695"/>
      <c r="AA991" s="695"/>
      <c r="AB991" s="695"/>
      <c r="AC991" s="695"/>
      <c r="AD991" s="695"/>
      <c r="AE991" s="695"/>
      <c r="AF991" s="695"/>
      <c r="AG991" s="695"/>
      <c r="AH991" s="695"/>
      <c r="AI991" s="695"/>
      <c r="AJ991" s="695"/>
      <c r="AK991" s="695"/>
      <c r="AL991" s="695"/>
      <c r="AM991" s="695"/>
      <c r="AN991" s="488"/>
      <c r="AO991" s="813"/>
      <c r="AP991" s="797"/>
      <c r="AQ991" s="813"/>
      <c r="AR991" s="695"/>
      <c r="AS991" s="489"/>
      <c r="AT991" s="795"/>
      <c r="AU991" s="793"/>
    </row>
    <row r="992" spans="1:47" x14ac:dyDescent="0.25">
      <c r="A992" s="451"/>
      <c r="B992" s="768"/>
      <c r="C992" s="769"/>
      <c r="D992" s="769"/>
      <c r="E992" s="769"/>
      <c r="F992" s="769"/>
      <c r="G992" s="769"/>
      <c r="H992" s="436"/>
      <c r="I992" s="436"/>
      <c r="J992" s="436"/>
      <c r="K992" s="436"/>
      <c r="L992" s="437"/>
      <c r="M992" s="437"/>
      <c r="N992" s="437"/>
      <c r="O992" s="437"/>
      <c r="P992" s="439"/>
      <c r="Q992" s="439"/>
      <c r="R992" s="436"/>
      <c r="S992" s="436"/>
      <c r="T992" s="436"/>
      <c r="U992" s="436"/>
      <c r="V992" s="436"/>
      <c r="W992" s="695"/>
      <c r="X992" s="695"/>
      <c r="Y992" s="436"/>
      <c r="Z992" s="436"/>
      <c r="AA992" s="436"/>
      <c r="AB992" s="436"/>
      <c r="AC992" s="436"/>
      <c r="AD992" s="436"/>
      <c r="AE992" s="436"/>
      <c r="AF992" s="436"/>
      <c r="AG992" s="436"/>
      <c r="AH992" s="436"/>
      <c r="AI992" s="436"/>
      <c r="AJ992" s="436"/>
      <c r="AK992" s="436"/>
      <c r="AL992" s="436"/>
      <c r="AM992" s="436"/>
      <c r="AN992" s="439"/>
      <c r="AO992" s="771"/>
      <c r="AP992" s="772"/>
      <c r="AQ992" s="771"/>
      <c r="AR992" s="436"/>
      <c r="AS992" s="438"/>
      <c r="AT992" s="769"/>
      <c r="AU992" s="773"/>
    </row>
    <row r="993" spans="1:47" x14ac:dyDescent="0.25">
      <c r="A993" s="451"/>
      <c r="B993" s="768"/>
      <c r="C993" s="769"/>
      <c r="D993" s="769"/>
      <c r="E993" s="769"/>
      <c r="F993" s="769"/>
      <c r="G993" s="769"/>
      <c r="H993" s="436"/>
      <c r="I993" s="436"/>
      <c r="J993" s="436"/>
      <c r="K993" s="436"/>
      <c r="L993" s="437"/>
      <c r="M993" s="437"/>
      <c r="N993" s="437"/>
      <c r="O993" s="437"/>
      <c r="P993" s="439"/>
      <c r="Q993" s="439"/>
      <c r="R993" s="436"/>
      <c r="S993" s="436"/>
      <c r="T993" s="436"/>
      <c r="U993" s="436"/>
      <c r="V993" s="436"/>
      <c r="W993" s="695"/>
      <c r="X993" s="695"/>
      <c r="Y993" s="436"/>
      <c r="Z993" s="436"/>
      <c r="AA993" s="436"/>
      <c r="AB993" s="436"/>
      <c r="AC993" s="436"/>
      <c r="AD993" s="436"/>
      <c r="AE993" s="436"/>
      <c r="AF993" s="436"/>
      <c r="AG993" s="436"/>
      <c r="AH993" s="436"/>
      <c r="AI993" s="436"/>
      <c r="AJ993" s="436"/>
      <c r="AK993" s="436"/>
      <c r="AL993" s="436"/>
      <c r="AM993" s="436"/>
      <c r="AN993" s="439"/>
      <c r="AO993" s="771"/>
      <c r="AP993" s="772"/>
      <c r="AQ993" s="771"/>
      <c r="AR993" s="436"/>
      <c r="AS993" s="438"/>
      <c r="AT993" s="769"/>
      <c r="AU993" s="773"/>
    </row>
    <row r="994" spans="1:47" x14ac:dyDescent="0.25">
      <c r="A994" s="451"/>
      <c r="B994" s="768"/>
      <c r="C994" s="769"/>
      <c r="D994" s="769"/>
      <c r="E994" s="769"/>
      <c r="F994" s="769"/>
      <c r="G994" s="769"/>
      <c r="H994" s="436"/>
      <c r="I994" s="436"/>
      <c r="J994" s="436"/>
      <c r="K994" s="436"/>
      <c r="L994" s="437"/>
      <c r="M994" s="437"/>
      <c r="N994" s="437"/>
      <c r="O994" s="437"/>
      <c r="P994" s="439"/>
      <c r="Q994" s="439"/>
      <c r="R994" s="436"/>
      <c r="S994" s="436"/>
      <c r="T994" s="436"/>
      <c r="U994" s="436"/>
      <c r="V994" s="436"/>
      <c r="W994" s="695"/>
      <c r="X994" s="695"/>
      <c r="Y994" s="436"/>
      <c r="Z994" s="436"/>
      <c r="AA994" s="436"/>
      <c r="AB994" s="436"/>
      <c r="AC994" s="436"/>
      <c r="AD994" s="436"/>
      <c r="AE994" s="436"/>
      <c r="AF994" s="436"/>
      <c r="AG994" s="436"/>
      <c r="AH994" s="436"/>
      <c r="AI994" s="436"/>
      <c r="AJ994" s="436"/>
      <c r="AK994" s="436"/>
      <c r="AL994" s="436"/>
      <c r="AM994" s="436"/>
      <c r="AN994" s="439"/>
      <c r="AO994" s="771"/>
      <c r="AP994" s="772"/>
      <c r="AQ994" s="771"/>
      <c r="AR994" s="436"/>
      <c r="AS994" s="438"/>
      <c r="AT994" s="769"/>
      <c r="AU994" s="773"/>
    </row>
    <row r="995" spans="1:47" x14ac:dyDescent="0.25">
      <c r="A995" s="451"/>
      <c r="B995" s="768"/>
      <c r="C995" s="769"/>
      <c r="D995" s="769"/>
      <c r="E995" s="769"/>
      <c r="F995" s="769"/>
      <c r="G995" s="769"/>
      <c r="H995" s="436"/>
      <c r="I995" s="436"/>
      <c r="J995" s="436"/>
      <c r="K995" s="436"/>
      <c r="L995" s="437"/>
      <c r="M995" s="437"/>
      <c r="N995" s="437"/>
      <c r="O995" s="437"/>
      <c r="P995" s="439"/>
      <c r="Q995" s="439"/>
      <c r="R995" s="436"/>
      <c r="S995" s="436"/>
      <c r="T995" s="436"/>
      <c r="U995" s="436"/>
      <c r="V995" s="436"/>
      <c r="W995" s="695"/>
      <c r="X995" s="695"/>
      <c r="Y995" s="436"/>
      <c r="Z995" s="436"/>
      <c r="AA995" s="436"/>
      <c r="AB995" s="436"/>
      <c r="AC995" s="436"/>
      <c r="AD995" s="436"/>
      <c r="AE995" s="436"/>
      <c r="AF995" s="436"/>
      <c r="AG995" s="436"/>
      <c r="AH995" s="436"/>
      <c r="AI995" s="436"/>
      <c r="AJ995" s="436"/>
      <c r="AK995" s="436"/>
      <c r="AL995" s="436"/>
      <c r="AM995" s="436"/>
      <c r="AN995" s="439"/>
      <c r="AO995" s="771"/>
      <c r="AP995" s="772"/>
      <c r="AQ995" s="771"/>
      <c r="AR995" s="436"/>
      <c r="AS995" s="438"/>
      <c r="AT995" s="769"/>
      <c r="AU995" s="773"/>
    </row>
    <row r="996" spans="1:47" x14ac:dyDescent="0.25">
      <c r="A996" s="451"/>
      <c r="B996" s="768"/>
      <c r="C996" s="769"/>
      <c r="D996" s="769"/>
      <c r="E996" s="769"/>
      <c r="F996" s="769"/>
      <c r="G996" s="769"/>
      <c r="H996" s="436"/>
      <c r="I996" s="436"/>
      <c r="J996" s="436"/>
      <c r="K996" s="436"/>
      <c r="L996" s="437"/>
      <c r="M996" s="437"/>
      <c r="N996" s="437"/>
      <c r="O996" s="437"/>
      <c r="P996" s="439"/>
      <c r="Q996" s="439"/>
      <c r="R996" s="436"/>
      <c r="S996" s="436"/>
      <c r="T996" s="436"/>
      <c r="U996" s="436"/>
      <c r="V996" s="436"/>
      <c r="W996" s="695"/>
      <c r="X996" s="695"/>
      <c r="Y996" s="436"/>
      <c r="Z996" s="436"/>
      <c r="AA996" s="436"/>
      <c r="AB996" s="436"/>
      <c r="AC996" s="436"/>
      <c r="AD996" s="436"/>
      <c r="AE996" s="436"/>
      <c r="AF996" s="436"/>
      <c r="AG996" s="436"/>
      <c r="AH996" s="436"/>
      <c r="AI996" s="436"/>
      <c r="AJ996" s="436"/>
      <c r="AK996" s="436"/>
      <c r="AL996" s="436"/>
      <c r="AM996" s="436"/>
      <c r="AN996" s="439"/>
      <c r="AO996" s="771"/>
      <c r="AP996" s="772"/>
      <c r="AQ996" s="771"/>
      <c r="AR996" s="436"/>
      <c r="AS996" s="438"/>
      <c r="AT996" s="769"/>
      <c r="AU996" s="769"/>
    </row>
    <row r="997" spans="1:47" x14ac:dyDescent="0.25">
      <c r="A997" s="451"/>
      <c r="B997" s="768"/>
      <c r="C997" s="769"/>
      <c r="D997" s="769"/>
      <c r="E997" s="769"/>
      <c r="F997" s="769"/>
      <c r="G997" s="769"/>
      <c r="H997" s="436"/>
      <c r="I997" s="436"/>
      <c r="J997" s="436"/>
      <c r="K997" s="436"/>
      <c r="L997" s="437"/>
      <c r="M997" s="437"/>
      <c r="N997" s="437"/>
      <c r="O997" s="437"/>
      <c r="P997" s="439"/>
      <c r="Q997" s="439"/>
      <c r="R997" s="436"/>
      <c r="S997" s="436"/>
      <c r="T997" s="436"/>
      <c r="U997" s="436"/>
      <c r="V997" s="436"/>
      <c r="W997" s="695"/>
      <c r="X997" s="695"/>
      <c r="Y997" s="439"/>
      <c r="Z997" s="439"/>
      <c r="AA997" s="439"/>
      <c r="AB997" s="439"/>
      <c r="AC997" s="439"/>
      <c r="AD997" s="439"/>
      <c r="AE997" s="439"/>
      <c r="AF997" s="439"/>
      <c r="AG997" s="439"/>
      <c r="AH997" s="439"/>
      <c r="AI997" s="439"/>
      <c r="AJ997" s="439"/>
      <c r="AK997" s="439"/>
      <c r="AL997" s="439"/>
      <c r="AM997" s="439"/>
      <c r="AN997" s="439"/>
      <c r="AO997" s="781"/>
      <c r="AP997" s="772"/>
      <c r="AQ997" s="781"/>
      <c r="AR997" s="439"/>
      <c r="AS997" s="438"/>
      <c r="AT997" s="769"/>
      <c r="AU997" s="773"/>
    </row>
    <row r="998" spans="1:47" x14ac:dyDescent="0.25">
      <c r="A998" s="451"/>
      <c r="B998" s="768"/>
      <c r="C998" s="769"/>
      <c r="D998" s="769"/>
      <c r="E998" s="769"/>
      <c r="F998" s="769"/>
      <c r="G998" s="769"/>
      <c r="H998" s="436"/>
      <c r="I998" s="436"/>
      <c r="J998" s="436"/>
      <c r="K998" s="436"/>
      <c r="L998" s="437"/>
      <c r="M998" s="437"/>
      <c r="N998" s="437"/>
      <c r="O998" s="437"/>
      <c r="P998" s="439"/>
      <c r="Q998" s="439"/>
      <c r="R998" s="436"/>
      <c r="S998" s="436"/>
      <c r="T998" s="436"/>
      <c r="U998" s="436"/>
      <c r="V998" s="436"/>
      <c r="W998" s="695"/>
      <c r="X998" s="695"/>
      <c r="Y998" s="439"/>
      <c r="Z998" s="439"/>
      <c r="AA998" s="439"/>
      <c r="AB998" s="439"/>
      <c r="AC998" s="439"/>
      <c r="AD998" s="439"/>
      <c r="AE998" s="439"/>
      <c r="AF998" s="439"/>
      <c r="AG998" s="439"/>
      <c r="AH998" s="439"/>
      <c r="AI998" s="439"/>
      <c r="AJ998" s="439"/>
      <c r="AK998" s="439"/>
      <c r="AL998" s="439"/>
      <c r="AM998" s="439"/>
      <c r="AN998" s="439"/>
      <c r="AO998" s="781"/>
      <c r="AP998" s="772"/>
      <c r="AQ998" s="781"/>
      <c r="AR998" s="439"/>
      <c r="AS998" s="438"/>
      <c r="AT998" s="779"/>
      <c r="AU998" s="782"/>
    </row>
    <row r="999" spans="1:47" x14ac:dyDescent="0.2">
      <c r="A999" s="451"/>
      <c r="B999" s="768"/>
      <c r="C999" s="779"/>
      <c r="D999" s="779"/>
      <c r="E999" s="779"/>
      <c r="F999" s="779"/>
      <c r="G999" s="779"/>
      <c r="H999" s="437"/>
      <c r="I999" s="437"/>
      <c r="J999" s="437"/>
      <c r="K999" s="437"/>
      <c r="L999" s="437"/>
      <c r="M999" s="437"/>
      <c r="N999" s="437"/>
      <c r="O999" s="437"/>
      <c r="P999" s="439"/>
      <c r="Q999" s="439"/>
      <c r="R999" s="439"/>
      <c r="S999" s="439"/>
      <c r="T999" s="439"/>
      <c r="U999" s="439"/>
      <c r="V999" s="439"/>
      <c r="W999" s="695"/>
      <c r="X999" s="695"/>
      <c r="Y999" s="436"/>
      <c r="Z999" s="436"/>
      <c r="AA999" s="436"/>
      <c r="AB999" s="436"/>
      <c r="AC999" s="436"/>
      <c r="AD999" s="436"/>
      <c r="AE999" s="436"/>
      <c r="AF999" s="436"/>
      <c r="AG999" s="436"/>
      <c r="AH999" s="436"/>
      <c r="AI999" s="436"/>
      <c r="AJ999" s="436"/>
      <c r="AK999" s="436"/>
      <c r="AL999" s="436"/>
      <c r="AM999" s="436"/>
      <c r="AN999" s="439"/>
      <c r="AO999" s="771"/>
      <c r="AP999" s="772"/>
      <c r="AQ999" s="771"/>
      <c r="AR999" s="436"/>
      <c r="AS999" s="438"/>
      <c r="AT999" s="769"/>
      <c r="AU999" s="827"/>
    </row>
    <row r="1000" spans="1:47" x14ac:dyDescent="0.25">
      <c r="A1000" s="451"/>
      <c r="B1000" s="768"/>
      <c r="C1000" s="769"/>
      <c r="D1000" s="769"/>
      <c r="E1000" s="769"/>
      <c r="F1000" s="769"/>
      <c r="G1000" s="769"/>
      <c r="H1000" s="436"/>
      <c r="I1000" s="436"/>
      <c r="J1000" s="436"/>
      <c r="K1000" s="436"/>
      <c r="L1000" s="437"/>
      <c r="M1000" s="437"/>
      <c r="N1000" s="437"/>
      <c r="O1000" s="437"/>
      <c r="P1000" s="439"/>
      <c r="Q1000" s="439"/>
      <c r="R1000" s="436"/>
      <c r="S1000" s="436"/>
      <c r="T1000" s="436"/>
      <c r="U1000" s="436"/>
      <c r="V1000" s="436"/>
      <c r="W1000" s="695"/>
      <c r="X1000" s="695"/>
      <c r="Y1000" s="436"/>
      <c r="Z1000" s="436"/>
      <c r="AA1000" s="436"/>
      <c r="AB1000" s="436"/>
      <c r="AC1000" s="436"/>
      <c r="AD1000" s="436"/>
      <c r="AE1000" s="436"/>
      <c r="AF1000" s="436"/>
      <c r="AG1000" s="436"/>
      <c r="AH1000" s="436"/>
      <c r="AI1000" s="436"/>
      <c r="AJ1000" s="436"/>
      <c r="AK1000" s="436"/>
      <c r="AL1000" s="436"/>
      <c r="AM1000" s="436"/>
      <c r="AN1000" s="439"/>
      <c r="AO1000" s="771"/>
      <c r="AP1000" s="772"/>
      <c r="AQ1000" s="771"/>
      <c r="AR1000" s="436"/>
      <c r="AS1000" s="438"/>
      <c r="AT1000" s="769"/>
      <c r="AU1000" s="773"/>
    </row>
    <row r="1001" spans="1:47" x14ac:dyDescent="0.25">
      <c r="A1001" s="451"/>
      <c r="B1001" s="768"/>
      <c r="C1001" s="779"/>
      <c r="D1001" s="779"/>
      <c r="E1001" s="769"/>
      <c r="F1001" s="769"/>
      <c r="G1001" s="769"/>
      <c r="H1001" s="437"/>
      <c r="I1001" s="437"/>
      <c r="J1001" s="437"/>
      <c r="K1001" s="437"/>
      <c r="L1001" s="437"/>
      <c r="M1001" s="437"/>
      <c r="N1001" s="437"/>
      <c r="O1001" s="437"/>
      <c r="P1001" s="439"/>
      <c r="Q1001" s="439"/>
      <c r="R1001" s="439"/>
      <c r="S1001" s="439"/>
      <c r="T1001" s="439"/>
      <c r="U1001" s="439"/>
      <c r="V1001" s="439"/>
      <c r="W1001" s="695"/>
      <c r="X1001" s="695"/>
      <c r="Y1001" s="436"/>
      <c r="Z1001" s="436"/>
      <c r="AA1001" s="436"/>
      <c r="AB1001" s="436"/>
      <c r="AC1001" s="436"/>
      <c r="AD1001" s="436"/>
      <c r="AE1001" s="436"/>
      <c r="AF1001" s="436"/>
      <c r="AG1001" s="436"/>
      <c r="AH1001" s="436"/>
      <c r="AI1001" s="436"/>
      <c r="AJ1001" s="436"/>
      <c r="AK1001" s="436"/>
      <c r="AL1001" s="436"/>
      <c r="AM1001" s="436"/>
      <c r="AN1001" s="439"/>
      <c r="AO1001" s="771"/>
      <c r="AP1001" s="772"/>
      <c r="AQ1001" s="771"/>
      <c r="AR1001" s="436"/>
      <c r="AS1001" s="438"/>
      <c r="AT1001" s="769"/>
      <c r="AU1001" s="773"/>
    </row>
    <row r="1002" spans="1:47" x14ac:dyDescent="0.25">
      <c r="A1002" s="451"/>
      <c r="B1002" s="768"/>
      <c r="C1002" s="769"/>
      <c r="D1002" s="769"/>
      <c r="E1002" s="769"/>
      <c r="F1002" s="769"/>
      <c r="G1002" s="769"/>
      <c r="H1002" s="436"/>
      <c r="I1002" s="436"/>
      <c r="J1002" s="436"/>
      <c r="K1002" s="436"/>
      <c r="L1002" s="437"/>
      <c r="M1002" s="437"/>
      <c r="N1002" s="437"/>
      <c r="O1002" s="437"/>
      <c r="P1002" s="439"/>
      <c r="Q1002" s="439"/>
      <c r="R1002" s="436"/>
      <c r="S1002" s="436"/>
      <c r="T1002" s="436"/>
      <c r="U1002" s="436"/>
      <c r="V1002" s="436"/>
      <c r="W1002" s="488"/>
      <c r="X1002" s="488"/>
      <c r="Y1002" s="439"/>
      <c r="Z1002" s="439"/>
      <c r="AA1002" s="439"/>
      <c r="AB1002" s="439"/>
      <c r="AC1002" s="439"/>
      <c r="AD1002" s="439"/>
      <c r="AE1002" s="439"/>
      <c r="AF1002" s="439"/>
      <c r="AG1002" s="439"/>
      <c r="AH1002" s="439"/>
      <c r="AI1002" s="439"/>
      <c r="AJ1002" s="439"/>
      <c r="AK1002" s="439"/>
      <c r="AL1002" s="439"/>
      <c r="AM1002" s="439"/>
      <c r="AN1002" s="439"/>
      <c r="AO1002" s="781"/>
      <c r="AP1002" s="772"/>
      <c r="AQ1002" s="781"/>
      <c r="AR1002" s="439"/>
      <c r="AS1002" s="438"/>
      <c r="AT1002" s="779"/>
      <c r="AU1002" s="782"/>
    </row>
    <row r="1003" spans="1:47" x14ac:dyDescent="0.25">
      <c r="A1003" s="451"/>
      <c r="B1003" s="768"/>
      <c r="C1003" s="769"/>
      <c r="D1003" s="769"/>
      <c r="E1003" s="769"/>
      <c r="F1003" s="769"/>
      <c r="G1003" s="769"/>
      <c r="H1003" s="436"/>
      <c r="I1003" s="436"/>
      <c r="J1003" s="436"/>
      <c r="K1003" s="436"/>
      <c r="L1003" s="437"/>
      <c r="M1003" s="437"/>
      <c r="N1003" s="437"/>
      <c r="O1003" s="437"/>
      <c r="P1003" s="439"/>
      <c r="Q1003" s="439"/>
      <c r="R1003" s="439"/>
      <c r="S1003" s="439"/>
      <c r="T1003" s="436"/>
      <c r="U1003" s="439"/>
      <c r="V1003" s="436"/>
      <c r="W1003" s="695"/>
      <c r="X1003" s="695"/>
      <c r="Y1003" s="436"/>
      <c r="Z1003" s="436"/>
      <c r="AA1003" s="436"/>
      <c r="AB1003" s="436"/>
      <c r="AC1003" s="436"/>
      <c r="AD1003" s="436"/>
      <c r="AE1003" s="436"/>
      <c r="AF1003" s="436"/>
      <c r="AG1003" s="436"/>
      <c r="AH1003" s="436"/>
      <c r="AI1003" s="436"/>
      <c r="AJ1003" s="436"/>
      <c r="AK1003" s="436"/>
      <c r="AL1003" s="436"/>
      <c r="AM1003" s="436"/>
      <c r="AN1003" s="439"/>
      <c r="AO1003" s="771"/>
      <c r="AP1003" s="772"/>
      <c r="AQ1003" s="771"/>
      <c r="AR1003" s="436"/>
      <c r="AS1003" s="438"/>
      <c r="AT1003" s="769"/>
      <c r="AU1003" s="773"/>
    </row>
    <row r="1004" spans="1:47" x14ac:dyDescent="0.25">
      <c r="A1004" s="451"/>
      <c r="B1004" s="768"/>
      <c r="C1004" s="769"/>
      <c r="D1004" s="769"/>
      <c r="E1004" s="769"/>
      <c r="F1004" s="769"/>
      <c r="G1004" s="769"/>
      <c r="H1004" s="436"/>
      <c r="I1004" s="436"/>
      <c r="J1004" s="436"/>
      <c r="K1004" s="436"/>
      <c r="L1004" s="437"/>
      <c r="M1004" s="437"/>
      <c r="N1004" s="437"/>
      <c r="O1004" s="437"/>
      <c r="P1004" s="439"/>
      <c r="Q1004" s="439"/>
      <c r="R1004" s="439"/>
      <c r="S1004" s="439"/>
      <c r="T1004" s="436"/>
      <c r="U1004" s="439"/>
      <c r="V1004" s="436"/>
      <c r="W1004" s="695"/>
      <c r="X1004" s="695"/>
      <c r="Y1004" s="439"/>
      <c r="Z1004" s="439"/>
      <c r="AA1004" s="439"/>
      <c r="AB1004" s="439"/>
      <c r="AC1004" s="439"/>
      <c r="AD1004" s="439"/>
      <c r="AE1004" s="439"/>
      <c r="AF1004" s="439"/>
      <c r="AG1004" s="439"/>
      <c r="AH1004" s="439"/>
      <c r="AI1004" s="439"/>
      <c r="AJ1004" s="439"/>
      <c r="AK1004" s="439"/>
      <c r="AL1004" s="439"/>
      <c r="AM1004" s="439"/>
      <c r="AN1004" s="439"/>
      <c r="AO1004" s="781"/>
      <c r="AP1004" s="772"/>
      <c r="AQ1004" s="781"/>
      <c r="AR1004" s="439"/>
      <c r="AS1004" s="438"/>
      <c r="AT1004" s="779"/>
      <c r="AU1004" s="782"/>
    </row>
    <row r="1005" spans="1:47" x14ac:dyDescent="0.25">
      <c r="A1005" s="451"/>
      <c r="B1005" s="768"/>
      <c r="C1005" s="769"/>
      <c r="D1005" s="779"/>
      <c r="E1005" s="779"/>
      <c r="F1005" s="779"/>
      <c r="G1005" s="779"/>
      <c r="H1005" s="437"/>
      <c r="I1005" s="437"/>
      <c r="J1005" s="437"/>
      <c r="K1005" s="437"/>
      <c r="L1005" s="437"/>
      <c r="M1005" s="437"/>
      <c r="N1005" s="437"/>
      <c r="O1005" s="437"/>
      <c r="P1005" s="439"/>
      <c r="Q1005" s="439"/>
      <c r="R1005" s="439"/>
      <c r="S1005" s="439"/>
      <c r="T1005" s="439"/>
      <c r="U1005" s="439"/>
      <c r="V1005" s="439"/>
      <c r="W1005" s="695"/>
      <c r="X1005" s="695"/>
      <c r="Y1005" s="439"/>
      <c r="Z1005" s="439"/>
      <c r="AA1005" s="439"/>
      <c r="AB1005" s="439"/>
      <c r="AC1005" s="439"/>
      <c r="AD1005" s="439"/>
      <c r="AE1005" s="439"/>
      <c r="AF1005" s="439"/>
      <c r="AG1005" s="439"/>
      <c r="AH1005" s="439"/>
      <c r="AI1005" s="439"/>
      <c r="AJ1005" s="439"/>
      <c r="AK1005" s="439"/>
      <c r="AL1005" s="439"/>
      <c r="AM1005" s="439"/>
      <c r="AN1005" s="439"/>
      <c r="AO1005" s="781"/>
      <c r="AP1005" s="772"/>
      <c r="AQ1005" s="781"/>
      <c r="AR1005" s="439"/>
      <c r="AS1005" s="438"/>
      <c r="AT1005" s="769"/>
      <c r="AU1005" s="814"/>
    </row>
    <row r="1006" spans="1:47" x14ac:dyDescent="0.2">
      <c r="A1006" s="451"/>
      <c r="B1006" s="768"/>
      <c r="C1006" s="769"/>
      <c r="D1006" s="779"/>
      <c r="E1006" s="779"/>
      <c r="F1006" s="779"/>
      <c r="G1006" s="779"/>
      <c r="H1006" s="437"/>
      <c r="I1006" s="437"/>
      <c r="J1006" s="437"/>
      <c r="K1006" s="437"/>
      <c r="L1006" s="437"/>
      <c r="M1006" s="437"/>
      <c r="N1006" s="437"/>
      <c r="O1006" s="437"/>
      <c r="P1006" s="439"/>
      <c r="Q1006" s="439"/>
      <c r="R1006" s="439"/>
      <c r="S1006" s="439"/>
      <c r="T1006" s="439"/>
      <c r="U1006" s="439"/>
      <c r="V1006" s="439"/>
      <c r="W1006" s="695"/>
      <c r="X1006" s="695"/>
      <c r="Y1006" s="439"/>
      <c r="Z1006" s="439"/>
      <c r="AA1006" s="439"/>
      <c r="AB1006" s="439"/>
      <c r="AC1006" s="439"/>
      <c r="AD1006" s="439"/>
      <c r="AE1006" s="439"/>
      <c r="AF1006" s="439"/>
      <c r="AG1006" s="439"/>
      <c r="AH1006" s="439"/>
      <c r="AI1006" s="439"/>
      <c r="AJ1006" s="439"/>
      <c r="AK1006" s="439"/>
      <c r="AL1006" s="439"/>
      <c r="AM1006" s="439"/>
      <c r="AN1006" s="439"/>
      <c r="AO1006" s="781"/>
      <c r="AP1006" s="772"/>
      <c r="AQ1006" s="781"/>
      <c r="AR1006" s="439"/>
      <c r="AS1006" s="438"/>
      <c r="AT1006" s="779"/>
      <c r="AU1006" s="826"/>
    </row>
    <row r="1007" spans="1:47" x14ac:dyDescent="0.25">
      <c r="A1007" s="451"/>
      <c r="B1007" s="768"/>
      <c r="C1007" s="769"/>
      <c r="D1007" s="779"/>
      <c r="E1007" s="779"/>
      <c r="F1007" s="779"/>
      <c r="G1007" s="779"/>
      <c r="H1007" s="437"/>
      <c r="I1007" s="437"/>
      <c r="J1007" s="437"/>
      <c r="K1007" s="437"/>
      <c r="L1007" s="437"/>
      <c r="M1007" s="437"/>
      <c r="N1007" s="437"/>
      <c r="O1007" s="437"/>
      <c r="P1007" s="439"/>
      <c r="Q1007" s="439"/>
      <c r="R1007" s="439"/>
      <c r="S1007" s="439"/>
      <c r="T1007" s="439"/>
      <c r="U1007" s="439"/>
      <c r="V1007" s="439"/>
      <c r="W1007" s="695"/>
      <c r="X1007" s="695"/>
      <c r="Y1007" s="436"/>
      <c r="Z1007" s="436"/>
      <c r="AA1007" s="436"/>
      <c r="AB1007" s="436"/>
      <c r="AC1007" s="436"/>
      <c r="AD1007" s="436"/>
      <c r="AE1007" s="436"/>
      <c r="AF1007" s="436"/>
      <c r="AG1007" s="436"/>
      <c r="AH1007" s="436"/>
      <c r="AI1007" s="436"/>
      <c r="AJ1007" s="436"/>
      <c r="AK1007" s="436"/>
      <c r="AL1007" s="436"/>
      <c r="AM1007" s="436"/>
      <c r="AN1007" s="439"/>
      <c r="AO1007" s="771"/>
      <c r="AP1007" s="772"/>
      <c r="AQ1007" s="771"/>
      <c r="AR1007" s="436"/>
      <c r="AS1007" s="438"/>
      <c r="AT1007" s="769"/>
      <c r="AU1007" s="773"/>
    </row>
    <row r="1008" spans="1:47" x14ac:dyDescent="0.25">
      <c r="A1008" s="451"/>
      <c r="B1008" s="768"/>
      <c r="C1008" s="769"/>
      <c r="D1008" s="779"/>
      <c r="E1008" s="779"/>
      <c r="F1008" s="779"/>
      <c r="G1008" s="779"/>
      <c r="H1008" s="437"/>
      <c r="I1008" s="437"/>
      <c r="J1008" s="437"/>
      <c r="K1008" s="437"/>
      <c r="L1008" s="437"/>
      <c r="M1008" s="437"/>
      <c r="N1008" s="437"/>
      <c r="O1008" s="437"/>
      <c r="P1008" s="439"/>
      <c r="Q1008" s="439"/>
      <c r="R1008" s="439"/>
      <c r="S1008" s="439"/>
      <c r="T1008" s="439"/>
      <c r="U1008" s="439"/>
      <c r="V1008" s="439"/>
      <c r="W1008" s="695"/>
      <c r="X1008" s="695"/>
      <c r="Y1008" s="436"/>
      <c r="Z1008" s="436"/>
      <c r="AA1008" s="436"/>
      <c r="AB1008" s="436"/>
      <c r="AC1008" s="436"/>
      <c r="AD1008" s="436"/>
      <c r="AE1008" s="436"/>
      <c r="AF1008" s="436"/>
      <c r="AG1008" s="436"/>
      <c r="AH1008" s="436"/>
      <c r="AI1008" s="436"/>
      <c r="AJ1008" s="436"/>
      <c r="AK1008" s="436"/>
      <c r="AL1008" s="436"/>
      <c r="AM1008" s="436"/>
      <c r="AN1008" s="439"/>
      <c r="AO1008" s="771"/>
      <c r="AP1008" s="772"/>
      <c r="AQ1008" s="771"/>
      <c r="AR1008" s="436"/>
      <c r="AS1008" s="438"/>
      <c r="AT1008" s="769"/>
      <c r="AU1008" s="773"/>
    </row>
    <row r="1009" spans="1:47" x14ac:dyDescent="0.2">
      <c r="A1009" s="451"/>
      <c r="B1009" s="768"/>
      <c r="C1009" s="769"/>
      <c r="D1009" s="779"/>
      <c r="E1009" s="779"/>
      <c r="F1009" s="779"/>
      <c r="G1009" s="779"/>
      <c r="H1009" s="437"/>
      <c r="I1009" s="437"/>
      <c r="J1009" s="437"/>
      <c r="K1009" s="437"/>
      <c r="L1009" s="437"/>
      <c r="M1009" s="437"/>
      <c r="N1009" s="437"/>
      <c r="O1009" s="437"/>
      <c r="P1009" s="439"/>
      <c r="Q1009" s="439"/>
      <c r="R1009" s="439"/>
      <c r="S1009" s="439"/>
      <c r="T1009" s="439"/>
      <c r="U1009" s="439"/>
      <c r="V1009" s="439"/>
      <c r="W1009" s="695"/>
      <c r="X1009" s="695"/>
      <c r="Y1009" s="436"/>
      <c r="Z1009" s="436"/>
      <c r="AA1009" s="436"/>
      <c r="AB1009" s="436"/>
      <c r="AC1009" s="436"/>
      <c r="AD1009" s="436"/>
      <c r="AE1009" s="436"/>
      <c r="AF1009" s="436"/>
      <c r="AG1009" s="436"/>
      <c r="AH1009" s="436"/>
      <c r="AI1009" s="436"/>
      <c r="AJ1009" s="436"/>
      <c r="AK1009" s="436"/>
      <c r="AL1009" s="436"/>
      <c r="AM1009" s="436"/>
      <c r="AN1009" s="439"/>
      <c r="AO1009" s="771"/>
      <c r="AP1009" s="772"/>
      <c r="AQ1009" s="771"/>
      <c r="AR1009" s="436"/>
      <c r="AS1009" s="438"/>
      <c r="AT1009" s="769"/>
      <c r="AU1009" s="826"/>
    </row>
    <row r="1010" spans="1:47" x14ac:dyDescent="0.25">
      <c r="A1010" s="451"/>
      <c r="B1010" s="768"/>
      <c r="C1010" s="769"/>
      <c r="D1010" s="779"/>
      <c r="E1010" s="779"/>
      <c r="F1010" s="779"/>
      <c r="G1010" s="779"/>
      <c r="H1010" s="437"/>
      <c r="I1010" s="437"/>
      <c r="J1010" s="437"/>
      <c r="K1010" s="437"/>
      <c r="L1010" s="437"/>
      <c r="M1010" s="437"/>
      <c r="N1010" s="437"/>
      <c r="O1010" s="437"/>
      <c r="P1010" s="439"/>
      <c r="Q1010" s="439"/>
      <c r="R1010" s="439"/>
      <c r="S1010" s="439"/>
      <c r="T1010" s="439"/>
      <c r="U1010" s="439"/>
      <c r="V1010" s="439"/>
      <c r="W1010" s="695"/>
      <c r="X1010" s="695"/>
      <c r="Y1010" s="439"/>
      <c r="Z1010" s="439"/>
      <c r="AA1010" s="439"/>
      <c r="AB1010" s="439"/>
      <c r="AC1010" s="439"/>
      <c r="AD1010" s="439"/>
      <c r="AE1010" s="439"/>
      <c r="AF1010" s="439"/>
      <c r="AG1010" s="439"/>
      <c r="AH1010" s="439"/>
      <c r="AI1010" s="439"/>
      <c r="AJ1010" s="439"/>
      <c r="AK1010" s="439"/>
      <c r="AL1010" s="439"/>
      <c r="AM1010" s="439"/>
      <c r="AN1010" s="439"/>
      <c r="AO1010" s="781"/>
      <c r="AP1010" s="772"/>
      <c r="AQ1010" s="781"/>
      <c r="AR1010" s="439"/>
      <c r="AS1010" s="438"/>
      <c r="AT1010" s="779"/>
      <c r="AU1010" s="824"/>
    </row>
    <row r="1011" spans="1:47" x14ac:dyDescent="0.25">
      <c r="A1011" s="451"/>
      <c r="B1011" s="768"/>
      <c r="C1011" s="769"/>
      <c r="D1011" s="779"/>
      <c r="E1011" s="779"/>
      <c r="F1011" s="779"/>
      <c r="G1011" s="779"/>
      <c r="H1011" s="437"/>
      <c r="I1011" s="437"/>
      <c r="J1011" s="437"/>
      <c r="K1011" s="437"/>
      <c r="L1011" s="437"/>
      <c r="M1011" s="437"/>
      <c r="N1011" s="437"/>
      <c r="O1011" s="437"/>
      <c r="P1011" s="439"/>
      <c r="Q1011" s="439"/>
      <c r="R1011" s="439"/>
      <c r="S1011" s="439"/>
      <c r="T1011" s="439"/>
      <c r="U1011" s="439"/>
      <c r="V1011" s="439"/>
      <c r="W1011" s="695"/>
      <c r="X1011" s="695"/>
      <c r="Y1011" s="439"/>
      <c r="Z1011" s="439"/>
      <c r="AA1011" s="439"/>
      <c r="AB1011" s="439"/>
      <c r="AC1011" s="439"/>
      <c r="AD1011" s="439"/>
      <c r="AE1011" s="439"/>
      <c r="AF1011" s="439"/>
      <c r="AG1011" s="439"/>
      <c r="AH1011" s="439"/>
      <c r="AI1011" s="439"/>
      <c r="AJ1011" s="439"/>
      <c r="AK1011" s="439"/>
      <c r="AL1011" s="439"/>
      <c r="AM1011" s="439"/>
      <c r="AN1011" s="439"/>
      <c r="AO1011" s="435"/>
      <c r="AP1011" s="772"/>
      <c r="AQ1011" s="781"/>
      <c r="AR1011" s="439"/>
      <c r="AS1011" s="438"/>
      <c r="AT1011" s="779"/>
      <c r="AU1011" s="824"/>
    </row>
    <row r="1012" spans="1:47" x14ac:dyDescent="0.25">
      <c r="A1012" s="451"/>
      <c r="B1012" s="768"/>
      <c r="C1012" s="769"/>
      <c r="D1012" s="779"/>
      <c r="E1012" s="779"/>
      <c r="F1012" s="779"/>
      <c r="G1012" s="779"/>
      <c r="H1012" s="437"/>
      <c r="I1012" s="437"/>
      <c r="J1012" s="437"/>
      <c r="K1012" s="437"/>
      <c r="L1012" s="437"/>
      <c r="M1012" s="437"/>
      <c r="N1012" s="437"/>
      <c r="O1012" s="437"/>
      <c r="P1012" s="439"/>
      <c r="Q1012" s="439"/>
      <c r="R1012" s="439"/>
      <c r="S1012" s="439"/>
      <c r="T1012" s="439"/>
      <c r="U1012" s="439"/>
      <c r="V1012" s="439"/>
      <c r="W1012" s="695"/>
      <c r="X1012" s="695"/>
      <c r="Y1012" s="439"/>
      <c r="Z1012" s="439"/>
      <c r="AA1012" s="439"/>
      <c r="AB1012" s="439"/>
      <c r="AC1012" s="439"/>
      <c r="AD1012" s="439"/>
      <c r="AE1012" s="439"/>
      <c r="AF1012" s="439"/>
      <c r="AG1012" s="439"/>
      <c r="AH1012" s="439"/>
      <c r="AI1012" s="439"/>
      <c r="AJ1012" s="439"/>
      <c r="AK1012" s="439"/>
      <c r="AL1012" s="439"/>
      <c r="AM1012" s="439"/>
      <c r="AN1012" s="439"/>
      <c r="AO1012" s="781"/>
      <c r="AP1012" s="772"/>
      <c r="AQ1012" s="781"/>
      <c r="AR1012" s="439"/>
      <c r="AS1012" s="438"/>
      <c r="AT1012" s="779"/>
      <c r="AU1012" s="782"/>
    </row>
    <row r="1013" spans="1:47" x14ac:dyDescent="0.25">
      <c r="A1013" s="451"/>
      <c r="B1013" s="768"/>
      <c r="C1013" s="769"/>
      <c r="D1013" s="779"/>
      <c r="E1013" s="779"/>
      <c r="F1013" s="779"/>
      <c r="G1013" s="779"/>
      <c r="H1013" s="437"/>
      <c r="I1013" s="437"/>
      <c r="J1013" s="437"/>
      <c r="K1013" s="437"/>
      <c r="L1013" s="437"/>
      <c r="M1013" s="437"/>
      <c r="N1013" s="437"/>
      <c r="O1013" s="437"/>
      <c r="P1013" s="439"/>
      <c r="Q1013" s="439"/>
      <c r="R1013" s="439"/>
      <c r="S1013" s="439"/>
      <c r="T1013" s="439"/>
      <c r="U1013" s="439"/>
      <c r="V1013" s="439"/>
      <c r="W1013" s="695"/>
      <c r="X1013" s="695"/>
      <c r="Y1013" s="439"/>
      <c r="Z1013" s="439"/>
      <c r="AA1013" s="439"/>
      <c r="AB1013" s="439"/>
      <c r="AC1013" s="439"/>
      <c r="AD1013" s="439"/>
      <c r="AE1013" s="439"/>
      <c r="AF1013" s="439"/>
      <c r="AG1013" s="439"/>
      <c r="AH1013" s="439"/>
      <c r="AI1013" s="439"/>
      <c r="AJ1013" s="439"/>
      <c r="AK1013" s="439"/>
      <c r="AL1013" s="439"/>
      <c r="AM1013" s="439"/>
      <c r="AN1013" s="439"/>
      <c r="AO1013" s="781"/>
      <c r="AP1013" s="772"/>
      <c r="AQ1013" s="781"/>
      <c r="AR1013" s="439"/>
      <c r="AS1013" s="438"/>
      <c r="AT1013" s="779"/>
      <c r="AU1013" s="782"/>
    </row>
    <row r="1014" spans="1:47" x14ac:dyDescent="0.25">
      <c r="A1014" s="451"/>
      <c r="B1014" s="768"/>
      <c r="C1014" s="769"/>
      <c r="D1014" s="779"/>
      <c r="E1014" s="779"/>
      <c r="F1014" s="779"/>
      <c r="G1014" s="779"/>
      <c r="H1014" s="437"/>
      <c r="I1014" s="437"/>
      <c r="J1014" s="437"/>
      <c r="K1014" s="437"/>
      <c r="L1014" s="437"/>
      <c r="M1014" s="437"/>
      <c r="N1014" s="437"/>
      <c r="O1014" s="437"/>
      <c r="P1014" s="439"/>
      <c r="Q1014" s="439"/>
      <c r="R1014" s="439"/>
      <c r="S1014" s="439"/>
      <c r="T1014" s="439"/>
      <c r="U1014" s="439"/>
      <c r="V1014" s="439"/>
      <c r="W1014" s="488"/>
      <c r="X1014" s="488"/>
      <c r="Y1014" s="439"/>
      <c r="Z1014" s="439"/>
      <c r="AA1014" s="439"/>
      <c r="AB1014" s="439"/>
      <c r="AC1014" s="439"/>
      <c r="AD1014" s="439"/>
      <c r="AE1014" s="439"/>
      <c r="AF1014" s="439"/>
      <c r="AG1014" s="439"/>
      <c r="AH1014" s="439"/>
      <c r="AI1014" s="439"/>
      <c r="AJ1014" s="439"/>
      <c r="AK1014" s="439"/>
      <c r="AL1014" s="439"/>
      <c r="AM1014" s="439"/>
      <c r="AN1014" s="439"/>
      <c r="AO1014" s="781"/>
      <c r="AP1014" s="772"/>
      <c r="AQ1014" s="781"/>
      <c r="AR1014" s="439"/>
      <c r="AS1014" s="438"/>
      <c r="AT1014" s="779"/>
      <c r="AU1014" s="782"/>
    </row>
    <row r="1015" spans="1:47" x14ac:dyDescent="0.25">
      <c r="A1015" s="451"/>
      <c r="B1015" s="768"/>
      <c r="C1015" s="769"/>
      <c r="D1015" s="779"/>
      <c r="E1015" s="779"/>
      <c r="F1015" s="779"/>
      <c r="G1015" s="779"/>
      <c r="H1015" s="437"/>
      <c r="I1015" s="437"/>
      <c r="J1015" s="437"/>
      <c r="K1015" s="437"/>
      <c r="L1015" s="437"/>
      <c r="M1015" s="437"/>
      <c r="N1015" s="437"/>
      <c r="O1015" s="437"/>
      <c r="P1015" s="439"/>
      <c r="Q1015" s="439"/>
      <c r="R1015" s="439"/>
      <c r="S1015" s="439"/>
      <c r="T1015" s="439"/>
      <c r="U1015" s="439"/>
      <c r="V1015" s="439"/>
      <c r="W1015" s="695"/>
      <c r="X1015" s="695"/>
      <c r="Y1015" s="439"/>
      <c r="Z1015" s="439"/>
      <c r="AA1015" s="439"/>
      <c r="AB1015" s="439"/>
      <c r="AC1015" s="439"/>
      <c r="AD1015" s="439"/>
      <c r="AE1015" s="439"/>
      <c r="AF1015" s="439"/>
      <c r="AG1015" s="439"/>
      <c r="AH1015" s="439"/>
      <c r="AI1015" s="439"/>
      <c r="AJ1015" s="439"/>
      <c r="AK1015" s="439"/>
      <c r="AL1015" s="439"/>
      <c r="AM1015" s="439"/>
      <c r="AN1015" s="439"/>
      <c r="AO1015" s="781"/>
      <c r="AP1015" s="772"/>
      <c r="AQ1015" s="781"/>
      <c r="AR1015" s="439"/>
      <c r="AS1015" s="438"/>
      <c r="AT1015" s="779"/>
      <c r="AU1015" s="782"/>
    </row>
    <row r="1016" spans="1:47" x14ac:dyDescent="0.25">
      <c r="A1016" s="451"/>
      <c r="B1016" s="768"/>
      <c r="C1016" s="769"/>
      <c r="D1016" s="779"/>
      <c r="E1016" s="779"/>
      <c r="F1016" s="779"/>
      <c r="G1016" s="779"/>
      <c r="H1016" s="437"/>
      <c r="I1016" s="437"/>
      <c r="J1016" s="437"/>
      <c r="K1016" s="437"/>
      <c r="L1016" s="437"/>
      <c r="M1016" s="437"/>
      <c r="N1016" s="437"/>
      <c r="O1016" s="437"/>
      <c r="P1016" s="439"/>
      <c r="Q1016" s="439"/>
      <c r="R1016" s="439"/>
      <c r="S1016" s="439"/>
      <c r="T1016" s="439"/>
      <c r="U1016" s="439"/>
      <c r="V1016" s="439"/>
      <c r="W1016" s="695"/>
      <c r="X1016" s="695"/>
      <c r="Y1016" s="439"/>
      <c r="Z1016" s="439"/>
      <c r="AA1016" s="439"/>
      <c r="AB1016" s="439"/>
      <c r="AC1016" s="439"/>
      <c r="AD1016" s="439"/>
      <c r="AE1016" s="439"/>
      <c r="AF1016" s="439"/>
      <c r="AG1016" s="439"/>
      <c r="AH1016" s="439"/>
      <c r="AI1016" s="439"/>
      <c r="AJ1016" s="439"/>
      <c r="AK1016" s="439"/>
      <c r="AL1016" s="439"/>
      <c r="AM1016" s="439"/>
      <c r="AN1016" s="439"/>
      <c r="AO1016" s="781"/>
      <c r="AP1016" s="772"/>
      <c r="AQ1016" s="781"/>
      <c r="AR1016" s="439"/>
      <c r="AS1016" s="438"/>
      <c r="AT1016" s="779"/>
      <c r="AU1016" s="782"/>
    </row>
    <row r="1017" spans="1:47" x14ac:dyDescent="0.25">
      <c r="A1017" s="451"/>
      <c r="B1017" s="768"/>
      <c r="C1017" s="769"/>
      <c r="D1017" s="779"/>
      <c r="E1017" s="779"/>
      <c r="F1017" s="779"/>
      <c r="G1017" s="779"/>
      <c r="H1017" s="437"/>
      <c r="I1017" s="437"/>
      <c r="J1017" s="437"/>
      <c r="K1017" s="437"/>
      <c r="L1017" s="437"/>
      <c r="M1017" s="437"/>
      <c r="N1017" s="437"/>
      <c r="O1017" s="437"/>
      <c r="P1017" s="439"/>
      <c r="Q1017" s="439"/>
      <c r="R1017" s="439"/>
      <c r="S1017" s="439"/>
      <c r="T1017" s="439"/>
      <c r="U1017" s="439"/>
      <c r="V1017" s="439"/>
      <c r="W1017" s="695"/>
      <c r="X1017" s="695"/>
      <c r="Y1017" s="439"/>
      <c r="Z1017" s="439"/>
      <c r="AA1017" s="439"/>
      <c r="AB1017" s="439"/>
      <c r="AC1017" s="439"/>
      <c r="AD1017" s="439"/>
      <c r="AE1017" s="439"/>
      <c r="AF1017" s="439"/>
      <c r="AG1017" s="439"/>
      <c r="AH1017" s="439"/>
      <c r="AI1017" s="439"/>
      <c r="AJ1017" s="439"/>
      <c r="AK1017" s="439"/>
      <c r="AL1017" s="439"/>
      <c r="AM1017" s="439"/>
      <c r="AN1017" s="439"/>
      <c r="AO1017" s="781"/>
      <c r="AP1017" s="772"/>
      <c r="AQ1017" s="781"/>
      <c r="AR1017" s="439"/>
      <c r="AS1017" s="438"/>
      <c r="AT1017" s="779"/>
      <c r="AU1017" s="782"/>
    </row>
    <row r="1018" spans="1:47" x14ac:dyDescent="0.25">
      <c r="A1018" s="451"/>
      <c r="B1018" s="768"/>
      <c r="C1018" s="769"/>
      <c r="D1018" s="779"/>
      <c r="E1018" s="779"/>
      <c r="F1018" s="779"/>
      <c r="G1018" s="779"/>
      <c r="H1018" s="437"/>
      <c r="I1018" s="437"/>
      <c r="J1018" s="437"/>
      <c r="K1018" s="437"/>
      <c r="L1018" s="437"/>
      <c r="M1018" s="437"/>
      <c r="N1018" s="437"/>
      <c r="O1018" s="437"/>
      <c r="P1018" s="439"/>
      <c r="Q1018" s="439"/>
      <c r="R1018" s="439"/>
      <c r="S1018" s="439"/>
      <c r="T1018" s="439"/>
      <c r="U1018" s="439"/>
      <c r="V1018" s="439"/>
      <c r="W1018" s="695"/>
      <c r="X1018" s="695"/>
      <c r="Y1018" s="439"/>
      <c r="Z1018" s="439"/>
      <c r="AA1018" s="439"/>
      <c r="AB1018" s="439"/>
      <c r="AC1018" s="439"/>
      <c r="AD1018" s="439"/>
      <c r="AE1018" s="439"/>
      <c r="AF1018" s="439"/>
      <c r="AG1018" s="439"/>
      <c r="AH1018" s="439"/>
      <c r="AI1018" s="439"/>
      <c r="AJ1018" s="439"/>
      <c r="AK1018" s="439"/>
      <c r="AL1018" s="439"/>
      <c r="AM1018" s="439"/>
      <c r="AN1018" s="488"/>
      <c r="AO1018" s="781"/>
      <c r="AP1018" s="772"/>
      <c r="AQ1018" s="781"/>
      <c r="AR1018" s="439"/>
      <c r="AS1018" s="438"/>
      <c r="AT1018" s="769"/>
      <c r="AU1018" s="793"/>
    </row>
    <row r="1019" spans="1:47" x14ac:dyDescent="0.25">
      <c r="A1019" s="451"/>
      <c r="B1019" s="768"/>
      <c r="C1019" s="769"/>
      <c r="D1019" s="779"/>
      <c r="E1019" s="779"/>
      <c r="F1019" s="779"/>
      <c r="G1019" s="779"/>
      <c r="H1019" s="437"/>
      <c r="I1019" s="437"/>
      <c r="J1019" s="437"/>
      <c r="K1019" s="437"/>
      <c r="L1019" s="437"/>
      <c r="M1019" s="437"/>
      <c r="N1019" s="437"/>
      <c r="O1019" s="437"/>
      <c r="P1019" s="439"/>
      <c r="Q1019" s="439"/>
      <c r="R1019" s="439"/>
      <c r="S1019" s="439"/>
      <c r="T1019" s="439"/>
      <c r="U1019" s="439"/>
      <c r="V1019" s="439"/>
      <c r="W1019" s="695"/>
      <c r="X1019" s="695"/>
      <c r="Y1019" s="439"/>
      <c r="Z1019" s="439"/>
      <c r="AA1019" s="439"/>
      <c r="AB1019" s="439"/>
      <c r="AC1019" s="439"/>
      <c r="AD1019" s="439"/>
      <c r="AE1019" s="439"/>
      <c r="AF1019" s="439"/>
      <c r="AG1019" s="439"/>
      <c r="AH1019" s="439"/>
      <c r="AI1019" s="439"/>
      <c r="AJ1019" s="439"/>
      <c r="AK1019" s="439"/>
      <c r="AL1019" s="439"/>
      <c r="AM1019" s="439"/>
      <c r="AN1019" s="439"/>
      <c r="AO1019" s="781"/>
      <c r="AP1019" s="772"/>
      <c r="AQ1019" s="781"/>
      <c r="AR1019" s="439"/>
      <c r="AS1019" s="438"/>
      <c r="AT1019" s="779"/>
      <c r="AU1019" s="782"/>
    </row>
    <row r="1020" spans="1:47" x14ac:dyDescent="0.25">
      <c r="A1020" s="451"/>
      <c r="B1020" s="768"/>
      <c r="C1020" s="769"/>
      <c r="D1020" s="779"/>
      <c r="E1020" s="779"/>
      <c r="F1020" s="779"/>
      <c r="G1020" s="779"/>
      <c r="H1020" s="437"/>
      <c r="I1020" s="437"/>
      <c r="J1020" s="437"/>
      <c r="K1020" s="437"/>
      <c r="L1020" s="437"/>
      <c r="M1020" s="437"/>
      <c r="N1020" s="437"/>
      <c r="O1020" s="437"/>
      <c r="P1020" s="439"/>
      <c r="Q1020" s="439"/>
      <c r="R1020" s="439"/>
      <c r="S1020" s="439"/>
      <c r="T1020" s="439"/>
      <c r="U1020" s="439"/>
      <c r="V1020" s="439"/>
      <c r="W1020" s="695"/>
      <c r="X1020" s="695"/>
      <c r="Y1020" s="439"/>
      <c r="Z1020" s="439"/>
      <c r="AA1020" s="439"/>
      <c r="AB1020" s="439"/>
      <c r="AC1020" s="439"/>
      <c r="AD1020" s="439"/>
      <c r="AE1020" s="439"/>
      <c r="AF1020" s="439"/>
      <c r="AG1020" s="439"/>
      <c r="AH1020" s="439"/>
      <c r="AI1020" s="439"/>
      <c r="AJ1020" s="439"/>
      <c r="AK1020" s="439"/>
      <c r="AL1020" s="439"/>
      <c r="AM1020" s="439"/>
      <c r="AN1020" s="439"/>
      <c r="AO1020" s="781"/>
      <c r="AP1020" s="772"/>
      <c r="AQ1020" s="781"/>
      <c r="AR1020" s="439"/>
      <c r="AS1020" s="438"/>
      <c r="AT1020" s="779"/>
      <c r="AU1020" s="782"/>
    </row>
    <row r="1021" spans="1:47" x14ac:dyDescent="0.25">
      <c r="A1021" s="451"/>
      <c r="B1021" s="768"/>
      <c r="C1021" s="769"/>
      <c r="D1021" s="779"/>
      <c r="E1021" s="779"/>
      <c r="F1021" s="779"/>
      <c r="G1021" s="779"/>
      <c r="H1021" s="437"/>
      <c r="I1021" s="437"/>
      <c r="J1021" s="437"/>
      <c r="K1021" s="437"/>
      <c r="L1021" s="437"/>
      <c r="M1021" s="437"/>
      <c r="N1021" s="437"/>
      <c r="O1021" s="437"/>
      <c r="P1021" s="439"/>
      <c r="Q1021" s="439"/>
      <c r="R1021" s="439"/>
      <c r="S1021" s="439"/>
      <c r="T1021" s="439"/>
      <c r="U1021" s="439"/>
      <c r="V1021" s="439"/>
      <c r="W1021" s="695"/>
      <c r="X1021" s="695"/>
      <c r="Y1021" s="439"/>
      <c r="Z1021" s="439"/>
      <c r="AA1021" s="439"/>
      <c r="AB1021" s="439"/>
      <c r="AC1021" s="439"/>
      <c r="AD1021" s="439"/>
      <c r="AE1021" s="439"/>
      <c r="AF1021" s="439"/>
      <c r="AG1021" s="439"/>
      <c r="AH1021" s="439"/>
      <c r="AI1021" s="439"/>
      <c r="AJ1021" s="439"/>
      <c r="AK1021" s="439"/>
      <c r="AL1021" s="439"/>
      <c r="AM1021" s="439"/>
      <c r="AN1021" s="439"/>
      <c r="AO1021" s="781"/>
      <c r="AP1021" s="772"/>
      <c r="AQ1021" s="781"/>
      <c r="AR1021" s="439"/>
      <c r="AS1021" s="438"/>
      <c r="AT1021" s="779"/>
      <c r="AU1021" s="825"/>
    </row>
    <row r="1022" spans="1:47" x14ac:dyDescent="0.2">
      <c r="A1022" s="486"/>
      <c r="B1022" s="794"/>
      <c r="C1022" s="795"/>
      <c r="D1022" s="796"/>
      <c r="E1022" s="796"/>
      <c r="F1022" s="796"/>
      <c r="G1022" s="796"/>
      <c r="H1022" s="487"/>
      <c r="I1022" s="487"/>
      <c r="J1022" s="487"/>
      <c r="K1022" s="487"/>
      <c r="L1022" s="487"/>
      <c r="M1022" s="487"/>
      <c r="N1022" s="487"/>
      <c r="O1022" s="487"/>
      <c r="P1022" s="488"/>
      <c r="Q1022" s="488"/>
      <c r="R1022" s="488"/>
      <c r="S1022" s="488"/>
      <c r="T1022" s="488"/>
      <c r="U1022" s="488"/>
      <c r="V1022" s="488"/>
      <c r="W1022" s="695"/>
      <c r="X1022" s="695"/>
      <c r="Y1022" s="439"/>
      <c r="Z1022" s="439"/>
      <c r="AA1022" s="439"/>
      <c r="AB1022" s="439"/>
      <c r="AC1022" s="439"/>
      <c r="AD1022" s="439"/>
      <c r="AE1022" s="439"/>
      <c r="AF1022" s="439"/>
      <c r="AG1022" s="439"/>
      <c r="AH1022" s="439"/>
      <c r="AI1022" s="439"/>
      <c r="AJ1022" s="439"/>
      <c r="AK1022" s="439"/>
      <c r="AL1022" s="439"/>
      <c r="AM1022" s="439"/>
      <c r="AN1022" s="439"/>
      <c r="AO1022" s="781"/>
      <c r="AP1022" s="772"/>
      <c r="AQ1022" s="781"/>
      <c r="AR1022" s="439"/>
      <c r="AS1022" s="438"/>
      <c r="AT1022" s="769"/>
      <c r="AU1022" s="827"/>
    </row>
    <row r="1023" spans="1:47" x14ac:dyDescent="0.25">
      <c r="A1023" s="451"/>
      <c r="B1023" s="768"/>
      <c r="C1023" s="796"/>
      <c r="D1023" s="796"/>
      <c r="E1023" s="796"/>
      <c r="F1023" s="796"/>
      <c r="G1023" s="796"/>
      <c r="H1023" s="437"/>
      <c r="I1023" s="437"/>
      <c r="J1023" s="437"/>
      <c r="K1023" s="437"/>
      <c r="L1023" s="437"/>
      <c r="M1023" s="437"/>
      <c r="N1023" s="437"/>
      <c r="O1023" s="437"/>
      <c r="P1023" s="439"/>
      <c r="Q1023" s="439"/>
      <c r="R1023" s="439"/>
      <c r="S1023" s="439"/>
      <c r="T1023" s="439"/>
      <c r="U1023" s="439"/>
      <c r="V1023" s="488"/>
      <c r="W1023" s="695"/>
      <c r="X1023" s="695"/>
      <c r="Y1023" s="439"/>
      <c r="Z1023" s="439"/>
      <c r="AA1023" s="439"/>
      <c r="AB1023" s="439"/>
      <c r="AC1023" s="439"/>
      <c r="AD1023" s="439"/>
      <c r="AE1023" s="439"/>
      <c r="AF1023" s="439"/>
      <c r="AG1023" s="439"/>
      <c r="AH1023" s="439"/>
      <c r="AI1023" s="439"/>
      <c r="AJ1023" s="439"/>
      <c r="AK1023" s="439"/>
      <c r="AL1023" s="439"/>
      <c r="AM1023" s="439"/>
      <c r="AN1023" s="439"/>
      <c r="AO1023" s="781"/>
      <c r="AP1023" s="772"/>
      <c r="AQ1023" s="781"/>
      <c r="AR1023" s="439"/>
      <c r="AS1023" s="438"/>
      <c r="AT1023" s="779"/>
      <c r="AU1023" s="782"/>
    </row>
    <row r="1024" spans="1:47" x14ac:dyDescent="0.25">
      <c r="A1024" s="486"/>
      <c r="B1024" s="794"/>
      <c r="C1024" s="795"/>
      <c r="D1024" s="795"/>
      <c r="E1024" s="795"/>
      <c r="F1024" s="795"/>
      <c r="G1024" s="696"/>
      <c r="H1024" s="695"/>
      <c r="I1024" s="487"/>
      <c r="J1024" s="488"/>
      <c r="K1024" s="488"/>
      <c r="L1024" s="487"/>
      <c r="M1024" s="487"/>
      <c r="N1024" s="487"/>
      <c r="O1024" s="487"/>
      <c r="P1024" s="488"/>
      <c r="Q1024" s="488"/>
      <c r="R1024" s="488"/>
      <c r="S1024" s="488"/>
      <c r="T1024" s="488"/>
      <c r="U1024" s="488"/>
      <c r="V1024" s="488"/>
      <c r="W1024" s="695"/>
      <c r="X1024" s="695"/>
      <c r="Y1024" s="439"/>
      <c r="Z1024" s="439"/>
      <c r="AA1024" s="439"/>
      <c r="AB1024" s="439"/>
      <c r="AC1024" s="439"/>
      <c r="AD1024" s="439"/>
      <c r="AE1024" s="439"/>
      <c r="AF1024" s="439"/>
      <c r="AG1024" s="439"/>
      <c r="AH1024" s="439"/>
      <c r="AI1024" s="439"/>
      <c r="AJ1024" s="439"/>
      <c r="AK1024" s="439"/>
      <c r="AL1024" s="439"/>
      <c r="AM1024" s="439"/>
      <c r="AN1024" s="439"/>
      <c r="AO1024" s="781"/>
      <c r="AP1024" s="772"/>
      <c r="AQ1024" s="781"/>
      <c r="AR1024" s="439"/>
      <c r="AS1024" s="438"/>
      <c r="AT1024" s="779"/>
      <c r="AU1024" s="782"/>
    </row>
    <row r="1025" spans="1:47" x14ac:dyDescent="0.25">
      <c r="A1025" s="486"/>
      <c r="B1025" s="794"/>
      <c r="C1025" s="795"/>
      <c r="D1025" s="796"/>
      <c r="E1025" s="796"/>
      <c r="F1025" s="796"/>
      <c r="G1025" s="796"/>
      <c r="H1025" s="487"/>
      <c r="I1025" s="487"/>
      <c r="J1025" s="487"/>
      <c r="K1025" s="487"/>
      <c r="L1025" s="487"/>
      <c r="M1025" s="487"/>
      <c r="N1025" s="487"/>
      <c r="O1025" s="487"/>
      <c r="P1025" s="488"/>
      <c r="Q1025" s="488"/>
      <c r="R1025" s="488"/>
      <c r="S1025" s="488"/>
      <c r="T1025" s="488"/>
      <c r="U1025" s="488"/>
      <c r="V1025" s="488"/>
      <c r="W1025" s="695"/>
      <c r="X1025" s="695"/>
      <c r="Y1025" s="439"/>
      <c r="Z1025" s="439"/>
      <c r="AA1025" s="439"/>
      <c r="AB1025" s="439"/>
      <c r="AC1025" s="439"/>
      <c r="AD1025" s="439"/>
      <c r="AE1025" s="439"/>
      <c r="AF1025" s="439"/>
      <c r="AG1025" s="439"/>
      <c r="AH1025" s="439"/>
      <c r="AI1025" s="439"/>
      <c r="AJ1025" s="439"/>
      <c r="AK1025" s="439"/>
      <c r="AL1025" s="439"/>
      <c r="AM1025" s="439"/>
      <c r="AN1025" s="439"/>
      <c r="AO1025" s="781"/>
      <c r="AP1025" s="772"/>
      <c r="AQ1025" s="781"/>
      <c r="AR1025" s="439"/>
      <c r="AS1025" s="438"/>
      <c r="AT1025" s="779"/>
      <c r="AU1025" s="782"/>
    </row>
    <row r="1026" spans="1:47" x14ac:dyDescent="0.25">
      <c r="A1026" s="486"/>
      <c r="B1026" s="794"/>
      <c r="C1026" s="795"/>
      <c r="D1026" s="795"/>
      <c r="E1026" s="795"/>
      <c r="F1026" s="795"/>
      <c r="G1026" s="795"/>
      <c r="H1026" s="695"/>
      <c r="I1026" s="488"/>
      <c r="J1026" s="488"/>
      <c r="K1026" s="488"/>
      <c r="L1026" s="487"/>
      <c r="M1026" s="487"/>
      <c r="N1026" s="487"/>
      <c r="O1026" s="487"/>
      <c r="P1026" s="488"/>
      <c r="Q1026" s="488"/>
      <c r="R1026" s="488"/>
      <c r="S1026" s="488"/>
      <c r="T1026" s="488"/>
      <c r="U1026" s="488"/>
      <c r="V1026" s="488"/>
      <c r="W1026" s="488"/>
      <c r="X1026" s="488"/>
      <c r="Y1026" s="439"/>
      <c r="Z1026" s="439"/>
      <c r="AA1026" s="439"/>
      <c r="AB1026" s="439"/>
      <c r="AC1026" s="439"/>
      <c r="AD1026" s="439"/>
      <c r="AE1026" s="439"/>
      <c r="AF1026" s="439"/>
      <c r="AG1026" s="439"/>
      <c r="AH1026" s="439"/>
      <c r="AI1026" s="439"/>
      <c r="AJ1026" s="439"/>
      <c r="AK1026" s="439"/>
      <c r="AL1026" s="439"/>
      <c r="AM1026" s="439"/>
      <c r="AN1026" s="439"/>
      <c r="AO1026" s="781"/>
      <c r="AP1026" s="772"/>
      <c r="AQ1026" s="781"/>
      <c r="AR1026" s="439"/>
      <c r="AS1026" s="438"/>
      <c r="AT1026" s="779"/>
      <c r="AU1026" s="782"/>
    </row>
    <row r="1027" spans="1:47" x14ac:dyDescent="0.25">
      <c r="A1027" s="486"/>
      <c r="B1027" s="794"/>
      <c r="C1027" s="795"/>
      <c r="D1027" s="796"/>
      <c r="E1027" s="796"/>
      <c r="F1027" s="796"/>
      <c r="G1027" s="796"/>
      <c r="H1027" s="487"/>
      <c r="I1027" s="487"/>
      <c r="J1027" s="487"/>
      <c r="K1027" s="487"/>
      <c r="L1027" s="487"/>
      <c r="M1027" s="487"/>
      <c r="N1027" s="487"/>
      <c r="O1027" s="487"/>
      <c r="P1027" s="488"/>
      <c r="Q1027" s="488"/>
      <c r="R1027" s="488"/>
      <c r="S1027" s="488"/>
      <c r="T1027" s="488"/>
      <c r="U1027" s="488"/>
      <c r="V1027" s="488"/>
      <c r="W1027" s="695"/>
      <c r="X1027" s="695"/>
      <c r="Y1027" s="439"/>
      <c r="Z1027" s="439"/>
      <c r="AA1027" s="439"/>
      <c r="AB1027" s="439"/>
      <c r="AC1027" s="439"/>
      <c r="AD1027" s="439"/>
      <c r="AE1027" s="439"/>
      <c r="AF1027" s="439"/>
      <c r="AG1027" s="439"/>
      <c r="AH1027" s="439"/>
      <c r="AI1027" s="439"/>
      <c r="AJ1027" s="439"/>
      <c r="AK1027" s="439"/>
      <c r="AL1027" s="439"/>
      <c r="AM1027" s="439"/>
      <c r="AN1027" s="439"/>
      <c r="AO1027" s="781"/>
      <c r="AP1027" s="772"/>
      <c r="AQ1027" s="781"/>
      <c r="AR1027" s="439"/>
      <c r="AS1027" s="438"/>
      <c r="AT1027" s="779"/>
      <c r="AU1027" s="779"/>
    </row>
    <row r="1028" spans="1:47" x14ac:dyDescent="0.25">
      <c r="A1028" s="486"/>
      <c r="B1028" s="794"/>
      <c r="C1028" s="795"/>
      <c r="D1028" s="795"/>
      <c r="E1028" s="795"/>
      <c r="F1028" s="795"/>
      <c r="G1028" s="795"/>
      <c r="H1028" s="487"/>
      <c r="I1028" s="487"/>
      <c r="J1028" s="487"/>
      <c r="K1028" s="487"/>
      <c r="L1028" s="487"/>
      <c r="M1028" s="487"/>
      <c r="N1028" s="487"/>
      <c r="O1028" s="487"/>
      <c r="P1028" s="488"/>
      <c r="Q1028" s="488"/>
      <c r="R1028" s="488"/>
      <c r="S1028" s="488"/>
      <c r="T1028" s="488"/>
      <c r="U1028" s="488"/>
      <c r="V1028" s="488"/>
      <c r="W1028" s="695"/>
      <c r="X1028" s="695"/>
      <c r="Y1028" s="439"/>
      <c r="Z1028" s="439"/>
      <c r="AA1028" s="439"/>
      <c r="AB1028" s="439"/>
      <c r="AC1028" s="439"/>
      <c r="AD1028" s="439"/>
      <c r="AE1028" s="439"/>
      <c r="AF1028" s="439"/>
      <c r="AG1028" s="439"/>
      <c r="AH1028" s="439"/>
      <c r="AI1028" s="439"/>
      <c r="AJ1028" s="439"/>
      <c r="AK1028" s="439"/>
      <c r="AL1028" s="439"/>
      <c r="AM1028" s="439"/>
      <c r="AN1028" s="439"/>
      <c r="AO1028" s="781"/>
      <c r="AP1028" s="772"/>
      <c r="AQ1028" s="781"/>
      <c r="AR1028" s="439"/>
      <c r="AS1028" s="438"/>
      <c r="AT1028" s="779"/>
      <c r="AU1028" s="782"/>
    </row>
    <row r="1029" spans="1:47" x14ac:dyDescent="0.25">
      <c r="A1029" s="486"/>
      <c r="B1029" s="794"/>
      <c r="C1029" s="795"/>
      <c r="D1029" s="795"/>
      <c r="E1029" s="795"/>
      <c r="F1029" s="795"/>
      <c r="G1029" s="795"/>
      <c r="H1029" s="487"/>
      <c r="I1029" s="487"/>
      <c r="J1029" s="487"/>
      <c r="K1029" s="487"/>
      <c r="L1029" s="487"/>
      <c r="M1029" s="487"/>
      <c r="N1029" s="487"/>
      <c r="O1029" s="487"/>
      <c r="P1029" s="488"/>
      <c r="Q1029" s="488"/>
      <c r="R1029" s="488"/>
      <c r="S1029" s="488"/>
      <c r="T1029" s="488"/>
      <c r="U1029" s="488"/>
      <c r="V1029" s="488"/>
      <c r="W1029" s="695"/>
      <c r="X1029" s="695"/>
      <c r="Y1029" s="439"/>
      <c r="Z1029" s="439"/>
      <c r="AA1029" s="439"/>
      <c r="AB1029" s="439"/>
      <c r="AC1029" s="439"/>
      <c r="AD1029" s="439"/>
      <c r="AE1029" s="439"/>
      <c r="AF1029" s="439"/>
      <c r="AG1029" s="439"/>
      <c r="AH1029" s="439"/>
      <c r="AI1029" s="439"/>
      <c r="AJ1029" s="439"/>
      <c r="AK1029" s="439"/>
      <c r="AL1029" s="439"/>
      <c r="AM1029" s="439"/>
      <c r="AN1029" s="439"/>
      <c r="AO1029" s="781"/>
      <c r="AP1029" s="772"/>
      <c r="AQ1029" s="781"/>
      <c r="AR1029" s="439"/>
      <c r="AS1029" s="438"/>
      <c r="AT1029" s="779"/>
      <c r="AU1029" s="782"/>
    </row>
    <row r="1030" spans="1:47" x14ac:dyDescent="0.25">
      <c r="A1030" s="486"/>
      <c r="B1030" s="794"/>
      <c r="C1030" s="795"/>
      <c r="D1030" s="795"/>
      <c r="E1030" s="795"/>
      <c r="F1030" s="795"/>
      <c r="G1030" s="795"/>
      <c r="H1030" s="695"/>
      <c r="I1030" s="488"/>
      <c r="J1030" s="488"/>
      <c r="K1030" s="488"/>
      <c r="L1030" s="487"/>
      <c r="M1030" s="487"/>
      <c r="N1030" s="487"/>
      <c r="O1030" s="487"/>
      <c r="P1030" s="488"/>
      <c r="Q1030" s="488"/>
      <c r="R1030" s="488"/>
      <c r="S1030" s="488"/>
      <c r="T1030" s="488"/>
      <c r="U1030" s="488"/>
      <c r="V1030" s="488"/>
      <c r="W1030" s="695"/>
      <c r="X1030" s="695"/>
      <c r="Y1030" s="488"/>
      <c r="Z1030" s="488"/>
      <c r="AA1030" s="488"/>
      <c r="AB1030" s="488"/>
      <c r="AC1030" s="488"/>
      <c r="AD1030" s="488"/>
      <c r="AE1030" s="488"/>
      <c r="AF1030" s="488"/>
      <c r="AG1030" s="488"/>
      <c r="AH1030" s="488"/>
      <c r="AI1030" s="488"/>
      <c r="AJ1030" s="488"/>
      <c r="AK1030" s="488"/>
      <c r="AL1030" s="488"/>
      <c r="AM1030" s="488"/>
      <c r="AN1030" s="439"/>
      <c r="AO1030" s="809"/>
      <c r="AP1030" s="797"/>
      <c r="AQ1030" s="809"/>
      <c r="AR1030" s="488"/>
      <c r="AS1030" s="489"/>
      <c r="AT1030" s="796"/>
      <c r="AU1030" s="793"/>
    </row>
    <row r="1031" spans="1:47" x14ac:dyDescent="0.25">
      <c r="A1031" s="486"/>
      <c r="B1031" s="794"/>
      <c r="C1031" s="769"/>
      <c r="D1031" s="796"/>
      <c r="E1031" s="779"/>
      <c r="F1031" s="779"/>
      <c r="G1031" s="779"/>
      <c r="H1031" s="487"/>
      <c r="I1031" s="487"/>
      <c r="J1031" s="487"/>
      <c r="K1031" s="487"/>
      <c r="L1031" s="487"/>
      <c r="M1031" s="487"/>
      <c r="N1031" s="487"/>
      <c r="O1031" s="487"/>
      <c r="P1031" s="488"/>
      <c r="Q1031" s="488"/>
      <c r="R1031" s="488"/>
      <c r="S1031" s="488"/>
      <c r="T1031" s="488"/>
      <c r="U1031" s="488"/>
      <c r="V1031" s="695"/>
      <c r="W1031" s="695"/>
      <c r="X1031" s="695"/>
      <c r="Y1031" s="439"/>
      <c r="Z1031" s="439"/>
      <c r="AA1031" s="439"/>
      <c r="AB1031" s="439"/>
      <c r="AC1031" s="439"/>
      <c r="AD1031" s="439"/>
      <c r="AE1031" s="439"/>
      <c r="AF1031" s="439"/>
      <c r="AG1031" s="439"/>
      <c r="AH1031" s="439"/>
      <c r="AI1031" s="439"/>
      <c r="AJ1031" s="439"/>
      <c r="AK1031" s="439"/>
      <c r="AL1031" s="439"/>
      <c r="AM1031" s="439"/>
      <c r="AN1031" s="488"/>
      <c r="AO1031" s="781"/>
      <c r="AP1031" s="772"/>
      <c r="AQ1031" s="781"/>
      <c r="AR1031" s="439"/>
      <c r="AS1031" s="438"/>
      <c r="AT1031" s="779"/>
      <c r="AU1031" s="782"/>
    </row>
    <row r="1032" spans="1:47" x14ac:dyDescent="0.25">
      <c r="A1032" s="451"/>
      <c r="B1032" s="768"/>
      <c r="C1032" s="769"/>
      <c r="D1032" s="769"/>
      <c r="E1032" s="769"/>
      <c r="F1032" s="435"/>
      <c r="G1032" s="435"/>
      <c r="H1032" s="436"/>
      <c r="I1032" s="436"/>
      <c r="J1032" s="436"/>
      <c r="K1032" s="436"/>
      <c r="L1032" s="437"/>
      <c r="M1032" s="437"/>
      <c r="N1032" s="437"/>
      <c r="O1032" s="437"/>
      <c r="P1032" s="439"/>
      <c r="Q1032" s="439"/>
      <c r="R1032" s="439"/>
      <c r="S1032" s="439"/>
      <c r="T1032" s="439"/>
      <c r="U1032" s="439"/>
      <c r="V1032" s="488"/>
      <c r="W1032" s="695"/>
      <c r="X1032" s="695"/>
      <c r="Y1032" s="488"/>
      <c r="Z1032" s="488"/>
      <c r="AA1032" s="488"/>
      <c r="AB1032" s="488"/>
      <c r="AC1032" s="488"/>
      <c r="AD1032" s="488"/>
      <c r="AE1032" s="488"/>
      <c r="AF1032" s="488"/>
      <c r="AG1032" s="488"/>
      <c r="AH1032" s="488"/>
      <c r="AI1032" s="488"/>
      <c r="AJ1032" s="488"/>
      <c r="AK1032" s="488"/>
      <c r="AL1032" s="488"/>
      <c r="AM1032" s="488"/>
      <c r="AN1032" s="439"/>
      <c r="AO1032" s="809"/>
      <c r="AP1032" s="797"/>
      <c r="AQ1032" s="809"/>
      <c r="AR1032" s="488"/>
      <c r="AS1032" s="489"/>
      <c r="AT1032" s="795"/>
      <c r="AU1032" s="810"/>
    </row>
    <row r="1033" spans="1:47" x14ac:dyDescent="0.25">
      <c r="A1033" s="486"/>
      <c r="B1033" s="794"/>
      <c r="C1033" s="795"/>
      <c r="D1033" s="795"/>
      <c r="E1033" s="795"/>
      <c r="F1033" s="696"/>
      <c r="G1033" s="696"/>
      <c r="H1033" s="695"/>
      <c r="I1033" s="695"/>
      <c r="J1033" s="695"/>
      <c r="K1033" s="695"/>
      <c r="L1033" s="487"/>
      <c r="M1033" s="487"/>
      <c r="N1033" s="487"/>
      <c r="O1033" s="487"/>
      <c r="P1033" s="488"/>
      <c r="Q1033" s="488"/>
      <c r="R1033" s="488"/>
      <c r="S1033" s="488"/>
      <c r="T1033" s="488"/>
      <c r="U1033" s="488"/>
      <c r="V1033" s="488"/>
      <c r="W1033" s="695"/>
      <c r="X1033" s="695"/>
      <c r="Y1033" s="695"/>
      <c r="Z1033" s="695"/>
      <c r="AA1033" s="695"/>
      <c r="AB1033" s="695"/>
      <c r="AC1033" s="695"/>
      <c r="AD1033" s="695"/>
      <c r="AE1033" s="695"/>
      <c r="AF1033" s="695"/>
      <c r="AG1033" s="695"/>
      <c r="AH1033" s="695"/>
      <c r="AI1033" s="695"/>
      <c r="AJ1033" s="695"/>
      <c r="AK1033" s="695"/>
      <c r="AL1033" s="695"/>
      <c r="AM1033" s="695"/>
      <c r="AN1033" s="439"/>
      <c r="AO1033" s="813"/>
      <c r="AP1033" s="797"/>
      <c r="AQ1033" s="813"/>
      <c r="AR1033" s="695"/>
      <c r="AS1033" s="489"/>
      <c r="AT1033" s="795"/>
      <c r="AU1033" s="793"/>
    </row>
    <row r="1034" spans="1:47" x14ac:dyDescent="0.25">
      <c r="A1034" s="451"/>
      <c r="B1034" s="768"/>
      <c r="C1034" s="779"/>
      <c r="D1034" s="779"/>
      <c r="E1034" s="779"/>
      <c r="F1034" s="779"/>
      <c r="G1034" s="779"/>
      <c r="H1034" s="437"/>
      <c r="I1034" s="437"/>
      <c r="J1034" s="437"/>
      <c r="K1034" s="437"/>
      <c r="L1034" s="437"/>
      <c r="M1034" s="437"/>
      <c r="N1034" s="437"/>
      <c r="O1034" s="437"/>
      <c r="P1034" s="439"/>
      <c r="Q1034" s="439"/>
      <c r="R1034" s="439"/>
      <c r="S1034" s="439"/>
      <c r="T1034" s="439"/>
      <c r="U1034" s="439"/>
      <c r="V1034" s="488"/>
      <c r="W1034" s="695"/>
      <c r="X1034" s="695"/>
      <c r="Y1034" s="488"/>
      <c r="Z1034" s="488"/>
      <c r="AA1034" s="488"/>
      <c r="AB1034" s="488"/>
      <c r="AC1034" s="488"/>
      <c r="AD1034" s="488"/>
      <c r="AE1034" s="488"/>
      <c r="AF1034" s="488"/>
      <c r="AG1034" s="488"/>
      <c r="AH1034" s="488"/>
      <c r="AI1034" s="488"/>
      <c r="AJ1034" s="488"/>
      <c r="AK1034" s="488"/>
      <c r="AL1034" s="488"/>
      <c r="AM1034" s="488"/>
      <c r="AN1034" s="439"/>
      <c r="AO1034" s="809"/>
      <c r="AP1034" s="797"/>
      <c r="AQ1034" s="809"/>
      <c r="AR1034" s="488"/>
      <c r="AS1034" s="489"/>
      <c r="AT1034" s="795"/>
      <c r="AU1034" s="793"/>
    </row>
    <row r="1035" spans="1:47" x14ac:dyDescent="0.25">
      <c r="A1035" s="451"/>
      <c r="B1035" s="768"/>
      <c r="C1035" s="769"/>
      <c r="D1035" s="769"/>
      <c r="E1035" s="769"/>
      <c r="F1035" s="769"/>
      <c r="G1035" s="769"/>
      <c r="H1035" s="436"/>
      <c r="I1035" s="436"/>
      <c r="J1035" s="436"/>
      <c r="K1035" s="436"/>
      <c r="L1035" s="437"/>
      <c r="M1035" s="437"/>
      <c r="N1035" s="437"/>
      <c r="O1035" s="437"/>
      <c r="P1035" s="439"/>
      <c r="Q1035" s="439"/>
      <c r="R1035" s="436"/>
      <c r="S1035" s="436"/>
      <c r="T1035" s="436"/>
      <c r="U1035" s="436"/>
      <c r="V1035" s="695"/>
      <c r="W1035" s="695"/>
      <c r="X1035" s="695"/>
      <c r="Y1035" s="695"/>
      <c r="Z1035" s="695"/>
      <c r="AA1035" s="695"/>
      <c r="AB1035" s="695"/>
      <c r="AC1035" s="695"/>
      <c r="AD1035" s="695"/>
      <c r="AE1035" s="695"/>
      <c r="AF1035" s="695"/>
      <c r="AG1035" s="695"/>
      <c r="AH1035" s="695"/>
      <c r="AI1035" s="695"/>
      <c r="AJ1035" s="695"/>
      <c r="AK1035" s="695"/>
      <c r="AL1035" s="695"/>
      <c r="AM1035" s="695"/>
      <c r="AN1035" s="439"/>
      <c r="AO1035" s="813"/>
      <c r="AP1035" s="797"/>
      <c r="AQ1035" s="813"/>
      <c r="AR1035" s="695"/>
      <c r="AS1035" s="489"/>
      <c r="AT1035" s="795"/>
      <c r="AU1035" s="793"/>
    </row>
    <row r="1036" spans="1:47" x14ac:dyDescent="0.25">
      <c r="A1036" s="486"/>
      <c r="B1036" s="794"/>
      <c r="C1036" s="795"/>
      <c r="D1036" s="795"/>
      <c r="E1036" s="795"/>
      <c r="F1036" s="795"/>
      <c r="G1036" s="795"/>
      <c r="H1036" s="695"/>
      <c r="I1036" s="488"/>
      <c r="J1036" s="695"/>
      <c r="K1036" s="695"/>
      <c r="L1036" s="487"/>
      <c r="M1036" s="487"/>
      <c r="N1036" s="487"/>
      <c r="O1036" s="487"/>
      <c r="P1036" s="488"/>
      <c r="Q1036" s="488"/>
      <c r="R1036" s="695"/>
      <c r="S1036" s="695"/>
      <c r="T1036" s="695"/>
      <c r="U1036" s="488"/>
      <c r="V1036" s="488"/>
      <c r="W1036" s="695"/>
      <c r="X1036" s="695"/>
      <c r="Y1036" s="488"/>
      <c r="Z1036" s="488"/>
      <c r="AA1036" s="488"/>
      <c r="AB1036" s="488"/>
      <c r="AC1036" s="488"/>
      <c r="AD1036" s="488"/>
      <c r="AE1036" s="488"/>
      <c r="AF1036" s="488"/>
      <c r="AG1036" s="488"/>
      <c r="AH1036" s="488"/>
      <c r="AI1036" s="488"/>
      <c r="AJ1036" s="488"/>
      <c r="AK1036" s="488"/>
      <c r="AL1036" s="488"/>
      <c r="AM1036" s="488"/>
      <c r="AN1036" s="439"/>
      <c r="AO1036" s="809"/>
      <c r="AP1036" s="797"/>
      <c r="AQ1036" s="809"/>
      <c r="AR1036" s="488"/>
      <c r="AS1036" s="489"/>
      <c r="AT1036" s="796"/>
      <c r="AU1036" s="810"/>
    </row>
    <row r="1037" spans="1:47" x14ac:dyDescent="0.25">
      <c r="A1037" s="486"/>
      <c r="B1037" s="794"/>
      <c r="C1037" s="795"/>
      <c r="D1037" s="795"/>
      <c r="E1037" s="795"/>
      <c r="F1037" s="795"/>
      <c r="G1037" s="795"/>
      <c r="H1037" s="695"/>
      <c r="I1037" s="488"/>
      <c r="J1037" s="695"/>
      <c r="K1037" s="695"/>
      <c r="L1037" s="487"/>
      <c r="M1037" s="487"/>
      <c r="N1037" s="487"/>
      <c r="O1037" s="487"/>
      <c r="P1037" s="488"/>
      <c r="Q1037" s="488"/>
      <c r="R1037" s="695"/>
      <c r="S1037" s="695"/>
      <c r="T1037" s="695"/>
      <c r="U1037" s="488"/>
      <c r="V1037" s="488"/>
      <c r="W1037" s="695"/>
      <c r="X1037" s="695"/>
      <c r="Y1037" s="488"/>
      <c r="Z1037" s="488"/>
      <c r="AA1037" s="488"/>
      <c r="AB1037" s="488"/>
      <c r="AC1037" s="488"/>
      <c r="AD1037" s="488"/>
      <c r="AE1037" s="488"/>
      <c r="AF1037" s="488"/>
      <c r="AG1037" s="488"/>
      <c r="AH1037" s="488"/>
      <c r="AI1037" s="488"/>
      <c r="AJ1037" s="488"/>
      <c r="AK1037" s="488"/>
      <c r="AL1037" s="488"/>
      <c r="AM1037" s="488"/>
      <c r="AN1037" s="439"/>
      <c r="AO1037" s="809"/>
      <c r="AP1037" s="797"/>
      <c r="AQ1037" s="809"/>
      <c r="AR1037" s="488"/>
      <c r="AS1037" s="489"/>
      <c r="AT1037" s="795"/>
      <c r="AU1037" s="810"/>
    </row>
    <row r="1038" spans="1:47" x14ac:dyDescent="0.25">
      <c r="A1038" s="451"/>
      <c r="B1038" s="768"/>
      <c r="C1038" s="769"/>
      <c r="D1038" s="769"/>
      <c r="E1038" s="769"/>
      <c r="F1038" s="769"/>
      <c r="G1038" s="769"/>
      <c r="H1038" s="436"/>
      <c r="I1038" s="436"/>
      <c r="J1038" s="436"/>
      <c r="K1038" s="436"/>
      <c r="L1038" s="437"/>
      <c r="M1038" s="437"/>
      <c r="N1038" s="437"/>
      <c r="O1038" s="437"/>
      <c r="P1038" s="439"/>
      <c r="Q1038" s="439"/>
      <c r="R1038" s="436"/>
      <c r="S1038" s="436"/>
      <c r="T1038" s="436"/>
      <c r="U1038" s="436"/>
      <c r="V1038" s="695"/>
      <c r="W1038" s="488"/>
      <c r="X1038" s="488"/>
      <c r="Y1038" s="488"/>
      <c r="Z1038" s="488"/>
      <c r="AA1038" s="488"/>
      <c r="AB1038" s="488"/>
      <c r="AC1038" s="488"/>
      <c r="AD1038" s="488"/>
      <c r="AE1038" s="488"/>
      <c r="AF1038" s="488"/>
      <c r="AG1038" s="488"/>
      <c r="AH1038" s="488"/>
      <c r="AI1038" s="488"/>
      <c r="AJ1038" s="488"/>
      <c r="AK1038" s="488"/>
      <c r="AL1038" s="488"/>
      <c r="AM1038" s="488"/>
      <c r="AN1038" s="439"/>
      <c r="AO1038" s="809"/>
      <c r="AP1038" s="797"/>
      <c r="AQ1038" s="809"/>
      <c r="AR1038" s="488"/>
      <c r="AS1038" s="489"/>
      <c r="AT1038" s="796"/>
      <c r="AU1038" s="811"/>
    </row>
    <row r="1039" spans="1:47" x14ac:dyDescent="0.25">
      <c r="A1039" s="486"/>
      <c r="B1039" s="794"/>
      <c r="C1039" s="795"/>
      <c r="D1039" s="795"/>
      <c r="E1039" s="795"/>
      <c r="F1039" s="795"/>
      <c r="G1039" s="795"/>
      <c r="H1039" s="695"/>
      <c r="I1039" s="695"/>
      <c r="J1039" s="695"/>
      <c r="K1039" s="695"/>
      <c r="L1039" s="487"/>
      <c r="M1039" s="487"/>
      <c r="N1039" s="487"/>
      <c r="O1039" s="487"/>
      <c r="P1039" s="488"/>
      <c r="Q1039" s="488"/>
      <c r="R1039" s="695"/>
      <c r="S1039" s="695"/>
      <c r="T1039" s="695"/>
      <c r="U1039" s="695"/>
      <c r="V1039" s="695"/>
      <c r="W1039" s="695"/>
      <c r="X1039" s="695"/>
      <c r="Y1039" s="695"/>
      <c r="Z1039" s="695"/>
      <c r="AA1039" s="695"/>
      <c r="AB1039" s="695"/>
      <c r="AC1039" s="695"/>
      <c r="AD1039" s="695"/>
      <c r="AE1039" s="695"/>
      <c r="AF1039" s="695"/>
      <c r="AG1039" s="695"/>
      <c r="AH1039" s="695"/>
      <c r="AI1039" s="695"/>
      <c r="AJ1039" s="695"/>
      <c r="AK1039" s="695"/>
      <c r="AL1039" s="695"/>
      <c r="AM1039" s="695"/>
      <c r="AN1039" s="439"/>
      <c r="AO1039" s="813"/>
      <c r="AP1039" s="797"/>
      <c r="AQ1039" s="813"/>
      <c r="AR1039" s="695"/>
      <c r="AS1039" s="489"/>
      <c r="AT1039" s="795"/>
      <c r="AU1039" s="793"/>
    </row>
    <row r="1040" spans="1:47" x14ac:dyDescent="0.25">
      <c r="A1040" s="486"/>
      <c r="B1040" s="794"/>
      <c r="C1040" s="795"/>
      <c r="D1040" s="795"/>
      <c r="E1040" s="795"/>
      <c r="F1040" s="795"/>
      <c r="G1040" s="795"/>
      <c r="H1040" s="695"/>
      <c r="I1040" s="695"/>
      <c r="J1040" s="695"/>
      <c r="K1040" s="695"/>
      <c r="L1040" s="487"/>
      <c r="M1040" s="487"/>
      <c r="N1040" s="487"/>
      <c r="O1040" s="487"/>
      <c r="P1040" s="488"/>
      <c r="Q1040" s="488"/>
      <c r="R1040" s="695"/>
      <c r="S1040" s="695"/>
      <c r="T1040" s="695"/>
      <c r="U1040" s="695"/>
      <c r="V1040" s="695"/>
      <c r="W1040" s="695"/>
      <c r="X1040" s="695"/>
      <c r="Y1040" s="488"/>
      <c r="Z1040" s="488"/>
      <c r="AA1040" s="488"/>
      <c r="AB1040" s="488"/>
      <c r="AC1040" s="488"/>
      <c r="AD1040" s="488"/>
      <c r="AE1040" s="488"/>
      <c r="AF1040" s="488"/>
      <c r="AG1040" s="488"/>
      <c r="AH1040" s="488"/>
      <c r="AI1040" s="488"/>
      <c r="AJ1040" s="488"/>
      <c r="AK1040" s="488"/>
      <c r="AL1040" s="488"/>
      <c r="AM1040" s="488"/>
      <c r="AN1040" s="439"/>
      <c r="AO1040" s="809"/>
      <c r="AP1040" s="797"/>
      <c r="AQ1040" s="809"/>
      <c r="AR1040" s="488"/>
      <c r="AS1040" s="489"/>
      <c r="AT1040" s="796"/>
      <c r="AU1040" s="810"/>
    </row>
    <row r="1041" spans="1:47" x14ac:dyDescent="0.25">
      <c r="A1041" s="486"/>
      <c r="B1041" s="794"/>
      <c r="C1041" s="795"/>
      <c r="D1041" s="795"/>
      <c r="E1041" s="795"/>
      <c r="F1041" s="795"/>
      <c r="G1041" s="795"/>
      <c r="H1041" s="695"/>
      <c r="I1041" s="695"/>
      <c r="J1041" s="695"/>
      <c r="K1041" s="695"/>
      <c r="L1041" s="487"/>
      <c r="M1041" s="487"/>
      <c r="N1041" s="487"/>
      <c r="O1041" s="487"/>
      <c r="P1041" s="488"/>
      <c r="Q1041" s="488"/>
      <c r="R1041" s="695"/>
      <c r="S1041" s="695"/>
      <c r="T1041" s="695"/>
      <c r="U1041" s="695"/>
      <c r="V1041" s="695"/>
      <c r="W1041" s="695"/>
      <c r="X1041" s="695"/>
      <c r="Y1041" s="488"/>
      <c r="Z1041" s="488"/>
      <c r="AA1041" s="488"/>
      <c r="AB1041" s="488"/>
      <c r="AC1041" s="488"/>
      <c r="AD1041" s="488"/>
      <c r="AE1041" s="488"/>
      <c r="AF1041" s="488"/>
      <c r="AG1041" s="488"/>
      <c r="AH1041" s="488"/>
      <c r="AI1041" s="488"/>
      <c r="AJ1041" s="488"/>
      <c r="AK1041" s="488"/>
      <c r="AL1041" s="488"/>
      <c r="AM1041" s="488"/>
      <c r="AN1041" s="439"/>
      <c r="AO1041" s="809"/>
      <c r="AP1041" s="797"/>
      <c r="AQ1041" s="809"/>
      <c r="AR1041" s="488"/>
      <c r="AS1041" s="489"/>
      <c r="AT1041" s="796"/>
      <c r="AU1041" s="810"/>
    </row>
    <row r="1042" spans="1:47" x14ac:dyDescent="0.25">
      <c r="A1042" s="486"/>
      <c r="B1042" s="794"/>
      <c r="C1042" s="795"/>
      <c r="D1042" s="795"/>
      <c r="E1042" s="795"/>
      <c r="F1042" s="795"/>
      <c r="G1042" s="795"/>
      <c r="H1042" s="695"/>
      <c r="I1042" s="488"/>
      <c r="J1042" s="695"/>
      <c r="K1042" s="695"/>
      <c r="L1042" s="487"/>
      <c r="M1042" s="487"/>
      <c r="N1042" s="487"/>
      <c r="O1042" s="487"/>
      <c r="P1042" s="488"/>
      <c r="Q1042" s="488"/>
      <c r="R1042" s="695"/>
      <c r="S1042" s="695"/>
      <c r="T1042" s="695"/>
      <c r="U1042" s="488"/>
      <c r="V1042" s="488"/>
      <c r="W1042" s="488"/>
      <c r="X1042" s="488"/>
      <c r="Y1042" s="695"/>
      <c r="Z1042" s="695"/>
      <c r="AA1042" s="695"/>
      <c r="AB1042" s="695"/>
      <c r="AC1042" s="695"/>
      <c r="AD1042" s="695"/>
      <c r="AE1042" s="695"/>
      <c r="AF1042" s="695"/>
      <c r="AG1042" s="695"/>
      <c r="AH1042" s="695"/>
      <c r="AI1042" s="695"/>
      <c r="AJ1042" s="695"/>
      <c r="AK1042" s="695"/>
      <c r="AL1042" s="695"/>
      <c r="AM1042" s="695"/>
      <c r="AN1042" s="439"/>
      <c r="AO1042" s="813"/>
      <c r="AP1042" s="797"/>
      <c r="AQ1042" s="813"/>
      <c r="AR1042" s="695"/>
      <c r="AS1042" s="489"/>
      <c r="AT1042" s="795"/>
      <c r="AU1042" s="793"/>
    </row>
    <row r="1043" spans="1:47" x14ac:dyDescent="0.25">
      <c r="Y1043" s="488"/>
      <c r="Z1043" s="488"/>
      <c r="AA1043" s="488"/>
      <c r="AB1043" s="488"/>
      <c r="AC1043" s="488"/>
      <c r="AD1043" s="488"/>
      <c r="AE1043" s="488"/>
      <c r="AF1043" s="488"/>
      <c r="AG1043" s="488"/>
      <c r="AH1043" s="488"/>
      <c r="AI1043" s="488"/>
      <c r="AJ1043" s="488"/>
      <c r="AK1043" s="488"/>
      <c r="AL1043" s="488"/>
      <c r="AM1043" s="488"/>
      <c r="AN1043" s="439"/>
      <c r="AO1043" s="809"/>
      <c r="AP1043" s="797"/>
      <c r="AQ1043" s="809"/>
      <c r="AR1043" s="488"/>
      <c r="AS1043" s="489"/>
      <c r="AT1043" s="796"/>
      <c r="AU1043" s="811"/>
    </row>
    <row r="1044" spans="1:47" x14ac:dyDescent="0.25">
      <c r="Y1044" s="488"/>
      <c r="Z1044" s="488"/>
      <c r="AA1044" s="488"/>
      <c r="AB1044" s="488"/>
      <c r="AC1044" s="488"/>
      <c r="AD1044" s="488"/>
      <c r="AE1044" s="488"/>
      <c r="AF1044" s="488"/>
      <c r="AG1044" s="488"/>
      <c r="AH1044" s="488"/>
      <c r="AI1044" s="488"/>
      <c r="AJ1044" s="488"/>
      <c r="AK1044" s="488"/>
      <c r="AL1044" s="488"/>
      <c r="AM1044" s="488"/>
      <c r="AN1044" s="439"/>
      <c r="AO1044" s="809"/>
      <c r="AP1044" s="797"/>
      <c r="AQ1044" s="809"/>
      <c r="AR1044" s="488"/>
      <c r="AS1044" s="489"/>
      <c r="AT1044" s="796"/>
      <c r="AU1044" s="793"/>
    </row>
    <row r="1045" spans="1:47" x14ac:dyDescent="0.25">
      <c r="Y1045" s="488"/>
      <c r="Z1045" s="488"/>
      <c r="AA1045" s="488"/>
      <c r="AB1045" s="488"/>
      <c r="AC1045" s="488"/>
      <c r="AD1045" s="488"/>
      <c r="AE1045" s="488"/>
      <c r="AF1045" s="488"/>
      <c r="AG1045" s="488"/>
      <c r="AH1045" s="488"/>
      <c r="AI1045" s="488"/>
      <c r="AJ1045" s="488"/>
      <c r="AK1045" s="488"/>
      <c r="AL1045" s="488"/>
      <c r="AM1045" s="488"/>
      <c r="AN1045" s="439"/>
      <c r="AO1045" s="809"/>
      <c r="AP1045" s="797"/>
      <c r="AQ1045" s="809"/>
      <c r="AR1045" s="488"/>
      <c r="AS1045" s="489"/>
      <c r="AT1045" s="795"/>
      <c r="AU1045" s="793"/>
    </row>
    <row r="1046" spans="1:47" x14ac:dyDescent="0.25">
      <c r="Y1046" s="488"/>
      <c r="Z1046" s="488"/>
      <c r="AA1046" s="488"/>
      <c r="AB1046" s="488"/>
      <c r="AC1046" s="488"/>
      <c r="AD1046" s="488"/>
      <c r="AE1046" s="488"/>
      <c r="AF1046" s="488"/>
      <c r="AG1046" s="488"/>
      <c r="AH1046" s="488"/>
      <c r="AI1046" s="488"/>
      <c r="AJ1046" s="488"/>
      <c r="AK1046" s="488"/>
      <c r="AL1046" s="488"/>
      <c r="AM1046" s="488"/>
      <c r="AN1046" s="439"/>
      <c r="AO1046" s="809"/>
      <c r="AP1046" s="797"/>
      <c r="AQ1046" s="809"/>
      <c r="AR1046" s="488"/>
      <c r="AS1046" s="489"/>
      <c r="AT1046" s="796"/>
      <c r="AU1046" s="811"/>
    </row>
    <row r="1047" spans="1:47" x14ac:dyDescent="0.25">
      <c r="Y1047" s="439"/>
      <c r="Z1047" s="439"/>
      <c r="AA1047" s="439"/>
      <c r="AB1047" s="439"/>
      <c r="AC1047" s="439"/>
      <c r="AD1047" s="439"/>
      <c r="AE1047" s="439"/>
      <c r="AF1047" s="439"/>
      <c r="AG1047" s="439"/>
      <c r="AH1047" s="439"/>
      <c r="AI1047" s="439"/>
      <c r="AJ1047" s="439"/>
      <c r="AK1047" s="439"/>
      <c r="AL1047" s="439"/>
      <c r="AM1047" s="439"/>
      <c r="AN1047" s="488"/>
      <c r="AO1047" s="781"/>
      <c r="AP1047" s="772"/>
      <c r="AQ1047" s="781"/>
      <c r="AR1047" s="439"/>
      <c r="AS1047" s="438"/>
      <c r="AT1047" s="769"/>
      <c r="AU1047" s="811"/>
    </row>
    <row r="1048" spans="1:47" x14ac:dyDescent="0.25">
      <c r="Y1048" s="436"/>
      <c r="Z1048" s="436"/>
      <c r="AA1048" s="436"/>
      <c r="AB1048" s="436"/>
      <c r="AC1048" s="436"/>
      <c r="AD1048" s="436"/>
      <c r="AE1048" s="436"/>
      <c r="AF1048" s="436"/>
      <c r="AG1048" s="436"/>
      <c r="AH1048" s="436"/>
      <c r="AI1048" s="436"/>
      <c r="AJ1048" s="436"/>
      <c r="AK1048" s="436"/>
      <c r="AL1048" s="436"/>
      <c r="AM1048" s="436"/>
      <c r="AN1048" s="488"/>
      <c r="AO1048" s="771"/>
      <c r="AP1048" s="772"/>
      <c r="AQ1048" s="771"/>
      <c r="AR1048" s="436"/>
      <c r="AS1048" s="438"/>
      <c r="AT1048" s="769"/>
      <c r="AU1048" s="793"/>
    </row>
    <row r="1049" spans="1:47" x14ac:dyDescent="0.25">
      <c r="Y1049" s="436"/>
      <c r="Z1049" s="436"/>
      <c r="AA1049" s="436"/>
      <c r="AB1049" s="436"/>
      <c r="AC1049" s="436"/>
      <c r="AD1049" s="436"/>
      <c r="AE1049" s="436"/>
      <c r="AF1049" s="436"/>
      <c r="AG1049" s="436"/>
      <c r="AH1049" s="436"/>
      <c r="AI1049" s="436"/>
      <c r="AJ1049" s="436"/>
      <c r="AK1049" s="436"/>
      <c r="AL1049" s="436"/>
      <c r="AM1049" s="436"/>
      <c r="AN1049" s="439"/>
      <c r="AO1049" s="771"/>
      <c r="AP1049" s="772"/>
      <c r="AQ1049" s="771"/>
      <c r="AR1049" s="436"/>
      <c r="AS1049" s="438"/>
      <c r="AT1049" s="769"/>
      <c r="AU1049" s="793"/>
    </row>
    <row r="1050" spans="1:47" x14ac:dyDescent="0.2">
      <c r="Y1050" s="436"/>
      <c r="Z1050" s="436"/>
      <c r="AA1050" s="436"/>
      <c r="AB1050" s="436"/>
      <c r="AC1050" s="436"/>
      <c r="AD1050" s="436"/>
      <c r="AE1050" s="436"/>
      <c r="AF1050" s="436"/>
      <c r="AG1050" s="436"/>
      <c r="AH1050" s="436"/>
      <c r="AI1050" s="436"/>
      <c r="AJ1050" s="436"/>
      <c r="AK1050" s="436"/>
      <c r="AL1050" s="436"/>
      <c r="AM1050" s="436"/>
      <c r="AN1050" s="439"/>
      <c r="AO1050" s="771"/>
      <c r="AP1050" s="772"/>
      <c r="AQ1050" s="771"/>
      <c r="AR1050" s="436"/>
      <c r="AS1050" s="438"/>
      <c r="AT1050" s="769"/>
      <c r="AU1050" s="815"/>
    </row>
    <row r="1051" spans="1:47" x14ac:dyDescent="0.25">
      <c r="Y1051" s="695"/>
      <c r="Z1051" s="695"/>
      <c r="AA1051" s="695"/>
      <c r="AB1051" s="695"/>
      <c r="AC1051" s="695"/>
      <c r="AD1051" s="695"/>
      <c r="AE1051" s="695"/>
      <c r="AF1051" s="695"/>
      <c r="AG1051" s="695"/>
      <c r="AH1051" s="695"/>
      <c r="AI1051" s="695"/>
      <c r="AJ1051" s="695"/>
      <c r="AK1051" s="695"/>
      <c r="AL1051" s="695"/>
      <c r="AM1051" s="695"/>
      <c r="AN1051" s="439"/>
      <c r="AO1051" s="813"/>
      <c r="AP1051" s="797"/>
      <c r="AQ1051" s="813"/>
      <c r="AR1051" s="695"/>
      <c r="AS1051" s="489"/>
      <c r="AT1051" s="795"/>
      <c r="AU1051" s="793"/>
    </row>
    <row r="1052" spans="1:47" x14ac:dyDescent="0.25">
      <c r="Y1052" s="488"/>
      <c r="Z1052" s="488"/>
      <c r="AA1052" s="488"/>
      <c r="AB1052" s="488"/>
      <c r="AC1052" s="488"/>
      <c r="AD1052" s="488"/>
      <c r="AE1052" s="488"/>
      <c r="AF1052" s="488"/>
      <c r="AG1052" s="488"/>
      <c r="AH1052" s="488"/>
      <c r="AI1052" s="488"/>
      <c r="AJ1052" s="488"/>
      <c r="AK1052" s="488"/>
      <c r="AL1052" s="488"/>
      <c r="AM1052" s="488"/>
      <c r="AN1052" s="439"/>
      <c r="AO1052" s="809"/>
      <c r="AP1052" s="797"/>
      <c r="AQ1052" s="809"/>
      <c r="AR1052" s="488"/>
      <c r="AS1052" s="489"/>
      <c r="AT1052" s="796"/>
      <c r="AU1052" s="811"/>
    </row>
    <row r="1053" spans="1:47" x14ac:dyDescent="0.25">
      <c r="Y1053" s="488"/>
      <c r="Z1053" s="488"/>
      <c r="AA1053" s="488"/>
      <c r="AB1053" s="488"/>
      <c r="AC1053" s="488"/>
      <c r="AD1053" s="488"/>
      <c r="AE1053" s="488"/>
      <c r="AF1053" s="488"/>
      <c r="AG1053" s="488"/>
      <c r="AH1053" s="488"/>
      <c r="AI1053" s="488"/>
      <c r="AJ1053" s="488"/>
      <c r="AK1053" s="488"/>
      <c r="AL1053" s="488"/>
      <c r="AM1053" s="488"/>
      <c r="AN1053" s="439"/>
      <c r="AO1053" s="809"/>
      <c r="AP1053" s="797"/>
      <c r="AQ1053" s="809"/>
      <c r="AR1053" s="488"/>
      <c r="AS1053" s="489"/>
      <c r="AT1053" s="795"/>
      <c r="AU1053" s="825"/>
    </row>
    <row r="1054" spans="1:47" x14ac:dyDescent="0.25">
      <c r="Y1054" s="695"/>
      <c r="Z1054" s="695"/>
      <c r="AA1054" s="695"/>
      <c r="AB1054" s="695"/>
      <c r="AC1054" s="695"/>
      <c r="AD1054" s="695"/>
      <c r="AE1054" s="695"/>
      <c r="AF1054" s="695"/>
      <c r="AG1054" s="695"/>
      <c r="AH1054" s="695"/>
      <c r="AI1054" s="695"/>
      <c r="AJ1054" s="695"/>
      <c r="AK1054" s="695"/>
      <c r="AL1054" s="695"/>
      <c r="AM1054" s="695"/>
      <c r="AN1054" s="439"/>
      <c r="AO1054" s="813"/>
      <c r="AP1054" s="797"/>
      <c r="AQ1054" s="813"/>
      <c r="AR1054" s="695"/>
      <c r="AS1054" s="489"/>
      <c r="AT1054" s="795"/>
      <c r="AU1054" s="793"/>
    </row>
    <row r="1055" spans="1:47" x14ac:dyDescent="0.25">
      <c r="Y1055" s="439"/>
      <c r="Z1055" s="439"/>
      <c r="AA1055" s="439"/>
      <c r="AB1055" s="439"/>
      <c r="AC1055" s="439"/>
      <c r="AD1055" s="439"/>
      <c r="AE1055" s="439"/>
      <c r="AF1055" s="439"/>
      <c r="AG1055" s="439"/>
      <c r="AH1055" s="439"/>
      <c r="AI1055" s="439"/>
      <c r="AJ1055" s="439"/>
      <c r="AK1055" s="439"/>
      <c r="AL1055" s="439"/>
      <c r="AM1055" s="439"/>
      <c r="AN1055" s="488"/>
      <c r="AO1055" s="781"/>
      <c r="AP1055" s="772"/>
      <c r="AQ1055" s="781"/>
      <c r="AR1055" s="439"/>
      <c r="AS1055" s="438"/>
      <c r="AT1055" s="779"/>
      <c r="AU1055" s="811"/>
    </row>
    <row r="1056" spans="1:47" x14ac:dyDescent="0.25">
      <c r="Y1056" s="695"/>
      <c r="Z1056" s="695"/>
      <c r="AA1056" s="695"/>
      <c r="AB1056" s="695"/>
      <c r="AC1056" s="695"/>
      <c r="AD1056" s="695"/>
      <c r="AE1056" s="695"/>
      <c r="AF1056" s="695"/>
      <c r="AG1056" s="695"/>
      <c r="AH1056" s="695"/>
      <c r="AI1056" s="695"/>
      <c r="AJ1056" s="695"/>
      <c r="AK1056" s="695"/>
      <c r="AL1056" s="695"/>
      <c r="AM1056" s="695"/>
      <c r="AN1056" s="439"/>
      <c r="AO1056" s="813"/>
      <c r="AP1056" s="797"/>
      <c r="AQ1056" s="813"/>
      <c r="AR1056" s="695"/>
      <c r="AS1056" s="489"/>
      <c r="AT1056" s="795"/>
      <c r="AU1056" s="793"/>
    </row>
    <row r="1057" spans="25:47" x14ac:dyDescent="0.25">
      <c r="Y1057" s="695"/>
      <c r="Z1057" s="695"/>
      <c r="AA1057" s="695"/>
      <c r="AB1057" s="695"/>
      <c r="AC1057" s="695"/>
      <c r="AD1057" s="695"/>
      <c r="AE1057" s="695"/>
      <c r="AF1057" s="695"/>
      <c r="AG1057" s="695"/>
      <c r="AH1057" s="695"/>
      <c r="AI1057" s="695"/>
      <c r="AJ1057" s="695"/>
      <c r="AK1057" s="695"/>
      <c r="AL1057" s="695"/>
      <c r="AM1057" s="695"/>
      <c r="AN1057" s="439"/>
      <c r="AO1057" s="813"/>
      <c r="AP1057" s="797"/>
      <c r="AQ1057" s="813"/>
      <c r="AR1057" s="695"/>
      <c r="AS1057" s="489"/>
      <c r="AT1057" s="795"/>
      <c r="AU1057" s="793"/>
    </row>
    <row r="1058" spans="25:47" x14ac:dyDescent="0.25">
      <c r="Y1058" s="436"/>
      <c r="Z1058" s="436"/>
      <c r="AA1058" s="436"/>
      <c r="AB1058" s="436"/>
      <c r="AC1058" s="436"/>
      <c r="AD1058" s="436"/>
      <c r="AE1058" s="436"/>
      <c r="AF1058" s="436"/>
      <c r="AG1058" s="436"/>
      <c r="AH1058" s="436"/>
      <c r="AI1058" s="436"/>
      <c r="AJ1058" s="436"/>
      <c r="AK1058" s="436"/>
      <c r="AL1058" s="436"/>
      <c r="AM1058" s="436"/>
      <c r="AN1058" s="488"/>
      <c r="AO1058" s="771"/>
      <c r="AP1058" s="772"/>
      <c r="AQ1058" s="771"/>
      <c r="AR1058" s="436"/>
      <c r="AS1058" s="438"/>
      <c r="AT1058" s="769"/>
      <c r="AU1058" s="793"/>
    </row>
    <row r="1059" spans="25:47" x14ac:dyDescent="0.25">
      <c r="Y1059" s="695"/>
      <c r="Z1059" s="695"/>
      <c r="AA1059" s="695"/>
      <c r="AB1059" s="695"/>
      <c r="AC1059" s="695"/>
      <c r="AD1059" s="695"/>
      <c r="AE1059" s="695"/>
      <c r="AF1059" s="695"/>
      <c r="AG1059" s="695"/>
      <c r="AH1059" s="695"/>
      <c r="AI1059" s="695"/>
      <c r="AJ1059" s="695"/>
      <c r="AK1059" s="695"/>
      <c r="AL1059" s="695"/>
      <c r="AM1059" s="695"/>
      <c r="AN1059" s="439"/>
      <c r="AO1059" s="813"/>
      <c r="AP1059" s="797"/>
      <c r="AQ1059" s="813"/>
      <c r="AR1059" s="695"/>
      <c r="AS1059" s="489"/>
      <c r="AT1059" s="795"/>
      <c r="AU1059" s="793"/>
    </row>
    <row r="1060" spans="25:47" x14ac:dyDescent="0.25">
      <c r="Y1060" s="695"/>
      <c r="Z1060" s="695"/>
      <c r="AA1060" s="695"/>
      <c r="AB1060" s="695"/>
      <c r="AC1060" s="695"/>
      <c r="AD1060" s="695"/>
      <c r="AE1060" s="695"/>
      <c r="AF1060" s="695"/>
      <c r="AG1060" s="695"/>
      <c r="AH1060" s="695"/>
      <c r="AI1060" s="695"/>
      <c r="AJ1060" s="695"/>
      <c r="AK1060" s="695"/>
      <c r="AL1060" s="695"/>
      <c r="AM1060" s="695"/>
      <c r="AN1060" s="439"/>
      <c r="AO1060" s="813"/>
      <c r="AP1060" s="797"/>
      <c r="AQ1060" s="813"/>
      <c r="AR1060" s="695"/>
      <c r="AS1060" s="489"/>
      <c r="AT1060" s="795"/>
      <c r="AU1060" s="793"/>
    </row>
    <row r="1061" spans="25:47" x14ac:dyDescent="0.25">
      <c r="Y1061" s="436"/>
      <c r="Z1061" s="436"/>
      <c r="AA1061" s="436"/>
      <c r="AB1061" s="436"/>
      <c r="AC1061" s="436"/>
      <c r="AD1061" s="436"/>
      <c r="AE1061" s="436"/>
      <c r="AF1061" s="436"/>
      <c r="AG1061" s="436"/>
      <c r="AH1061" s="436"/>
      <c r="AI1061" s="436"/>
      <c r="AJ1061" s="436"/>
      <c r="AK1061" s="436"/>
      <c r="AL1061" s="436"/>
      <c r="AM1061" s="436"/>
      <c r="AN1061" s="488"/>
      <c r="AO1061" s="771"/>
      <c r="AP1061" s="772"/>
      <c r="AQ1061" s="771"/>
      <c r="AR1061" s="436"/>
      <c r="AS1061" s="438"/>
      <c r="AT1061" s="769"/>
      <c r="AU1061" s="793"/>
    </row>
    <row r="1062" spans="25:47" x14ac:dyDescent="0.25">
      <c r="Y1062" s="695"/>
      <c r="Z1062" s="695"/>
      <c r="AA1062" s="695"/>
      <c r="AB1062" s="695"/>
      <c r="AC1062" s="695"/>
      <c r="AD1062" s="695"/>
      <c r="AE1062" s="695"/>
      <c r="AF1062" s="695"/>
      <c r="AG1062" s="695"/>
      <c r="AH1062" s="695"/>
      <c r="AI1062" s="695"/>
      <c r="AJ1062" s="695"/>
      <c r="AK1062" s="695"/>
      <c r="AL1062" s="695"/>
      <c r="AM1062" s="695"/>
      <c r="AN1062" s="488"/>
      <c r="AO1062" s="813"/>
      <c r="AP1062" s="797"/>
      <c r="AQ1062" s="813"/>
      <c r="AR1062" s="695"/>
      <c r="AS1062" s="489"/>
      <c r="AT1062" s="795"/>
      <c r="AU1062" s="793"/>
    </row>
    <row r="1063" spans="25:47" x14ac:dyDescent="0.25">
      <c r="Y1063" s="695"/>
      <c r="Z1063" s="695"/>
      <c r="AA1063" s="695"/>
      <c r="AB1063" s="695"/>
      <c r="AC1063" s="695"/>
      <c r="AD1063" s="695"/>
      <c r="AE1063" s="695"/>
      <c r="AF1063" s="695"/>
      <c r="AG1063" s="695"/>
      <c r="AH1063" s="695"/>
      <c r="AI1063" s="695"/>
      <c r="AJ1063" s="695"/>
      <c r="AK1063" s="695"/>
      <c r="AL1063" s="695"/>
      <c r="AM1063" s="695"/>
      <c r="AN1063" s="488"/>
      <c r="AO1063" s="813"/>
      <c r="AP1063" s="797"/>
      <c r="AQ1063" s="813"/>
      <c r="AR1063" s="695"/>
      <c r="AS1063" s="489"/>
      <c r="AT1063" s="795"/>
      <c r="AU1063" s="793"/>
    </row>
  </sheetData>
  <sortState ref="A873:G911">
    <sortCondition descending="1" ref="A8"/>
  </sortState>
  <mergeCells count="3">
    <mergeCell ref="A4:C4"/>
    <mergeCell ref="A2:H2"/>
    <mergeCell ref="A3:H3"/>
  </mergeCells>
  <conditionalFormatting sqref="AO779:AP797 AO6:AQ715 AO716:AP775 AQ716:AQ920">
    <cfRule type="containsText" dxfId="356" priority="43" operator="containsText" text="close">
      <formula>NOT(ISERROR(SEARCH("close",AO6)))</formula>
    </cfRule>
    <cfRule type="containsText" dxfId="355" priority="44" operator="containsText" text="open">
      <formula>NOT(ISERROR(SEARCH("open",AO6)))</formula>
    </cfRule>
  </conditionalFormatting>
  <conditionalFormatting sqref="AO776:AP778">
    <cfRule type="containsText" dxfId="354" priority="39" operator="containsText" text="close">
      <formula>NOT(ISERROR(SEARCH("close",AO776)))</formula>
    </cfRule>
    <cfRule type="containsText" dxfId="353" priority="40" operator="containsText" text="open">
      <formula>NOT(ISERROR(SEARCH("open",AO776)))</formula>
    </cfRule>
  </conditionalFormatting>
  <conditionalFormatting sqref="AO850:AP904">
    <cfRule type="containsText" dxfId="352" priority="1" operator="containsText" text="close">
      <formula>NOT(ISERROR(SEARCH("close",AO850)))</formula>
    </cfRule>
    <cfRule type="containsText" dxfId="351" priority="2" operator="containsText" text="open">
      <formula>NOT(ISERROR(SEARCH("open",AO850)))</formula>
    </cfRule>
  </conditionalFormatting>
  <dataValidations count="3">
    <dataValidation type="list" allowBlank="1" showInputMessage="1" showErrorMessage="1" sqref="G6:G901 G903:G1042">
      <formula1>OFFSET(TCL_T1,MATCH(F6,TCL_T,0)-1,1,COUNTIF(TCL_T,F6),1)</formula1>
    </dataValidation>
    <dataValidation type="list" allowBlank="1" showInputMessage="1" showErrorMessage="1" sqref="E6:E1042">
      <formula1>State</formula1>
    </dataValidation>
    <dataValidation type="list" showInputMessage="1" showErrorMessage="1" sqref="F6:F1042">
      <formula1>INDIRECT(E6)</formula1>
    </dataValidation>
  </dataValidations>
  <printOptions gridLines="1"/>
  <pageMargins left="0.25" right="0.25" top="0.75" bottom="0.75" header="0.3" footer="0.3"/>
  <pageSetup paperSize="9" scale="70"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M399"/>
  <sheetViews>
    <sheetView showZeros="0" zoomScale="80" zoomScaleNormal="80" workbookViewId="0">
      <selection activeCell="U20" sqref="U20"/>
    </sheetView>
  </sheetViews>
  <sheetFormatPr defaultColWidth="5" defaultRowHeight="51.75" customHeight="1" x14ac:dyDescent="0.25"/>
  <cols>
    <col min="1" max="1" width="10.85546875" customWidth="1"/>
    <col min="2" max="2" width="8.85546875" customWidth="1"/>
    <col min="3" max="3" width="9.140625" customWidth="1"/>
    <col min="4" max="4" width="8.28515625" customWidth="1"/>
    <col min="5" max="5" width="10.140625" customWidth="1"/>
    <col min="6" max="6" width="6.140625" style="48" customWidth="1"/>
    <col min="7" max="7" width="6.140625" style="1" customWidth="1"/>
    <col min="8" max="8" width="6.140625" style="49" customWidth="1"/>
    <col min="9" max="9" width="6.140625" style="48" customWidth="1"/>
    <col min="10" max="10" width="6.140625" style="1" customWidth="1"/>
    <col min="11" max="11" width="6.140625" style="49" customWidth="1"/>
    <col min="12" max="12" width="6.140625" style="48" customWidth="1"/>
    <col min="13" max="13" width="6.140625" style="1" customWidth="1"/>
    <col min="14" max="14" width="6.140625" style="49" customWidth="1"/>
    <col min="15" max="15" width="9.7109375" style="48" customWidth="1"/>
    <col min="16" max="16" width="9.140625" style="1" customWidth="1"/>
    <col min="17" max="17" width="6.5703125" style="1" customWidth="1"/>
    <col min="18" max="18" width="8.85546875" style="48" customWidth="1"/>
    <col min="19" max="19" width="9.7109375" style="1" customWidth="1"/>
    <col min="20" max="20" width="6.140625" style="49" bestFit="1" customWidth="1"/>
    <col min="21" max="21" width="8.85546875" customWidth="1"/>
    <col min="22" max="22" width="9.140625" style="37" customWidth="1"/>
    <col min="23" max="23" width="6.140625" style="37" bestFit="1" customWidth="1"/>
    <col min="24" max="24" width="8.85546875" style="48" customWidth="1"/>
    <col min="25" max="25" width="10" style="1" customWidth="1"/>
    <col min="26" max="26" width="6.140625" style="49" bestFit="1" customWidth="1"/>
    <col min="27" max="27" width="9" style="48" customWidth="1"/>
    <col min="28" max="28" width="9.28515625" style="1" customWidth="1"/>
    <col min="29" max="29" width="6.140625" style="49" bestFit="1" customWidth="1"/>
    <col min="30" max="30" width="8.7109375" style="48" customWidth="1"/>
    <col min="31" max="31" width="9.42578125" style="1" customWidth="1"/>
    <col min="32" max="32" width="6.140625" style="49" bestFit="1" customWidth="1"/>
    <col min="33" max="33" width="8.85546875" style="48" customWidth="1"/>
    <col min="34" max="34" width="9.28515625" style="1" customWidth="1"/>
    <col min="35" max="35" width="6.7109375" style="49" customWidth="1"/>
    <col min="36" max="36" width="8.85546875" style="48" customWidth="1"/>
    <col min="37" max="37" width="9.42578125" style="1" customWidth="1"/>
    <col min="38" max="38" width="7.5703125" style="49" customWidth="1"/>
    <col min="39" max="39" width="8.85546875" style="48" customWidth="1"/>
    <col min="40" max="40" width="9.5703125" style="1" customWidth="1"/>
    <col min="41" max="41" width="8.85546875" style="49" customWidth="1"/>
    <col min="42" max="42" width="8.85546875" style="48" customWidth="1"/>
    <col min="43" max="43" width="9.7109375" style="1" customWidth="1"/>
    <col min="44" max="44" width="8.85546875" style="49" customWidth="1"/>
    <col min="45" max="45" width="8.85546875" style="48" customWidth="1"/>
    <col min="46" max="46" width="9.28515625" style="1" customWidth="1"/>
    <col min="47" max="47" width="8.85546875" style="49" customWidth="1"/>
  </cols>
  <sheetData>
    <row r="1" spans="1:65" s="1" customFormat="1" ht="36" x14ac:dyDescent="0.25">
      <c r="A1" s="303"/>
      <c r="B1" s="304"/>
      <c r="C1" s="304"/>
      <c r="D1" s="304"/>
      <c r="E1" s="304"/>
      <c r="F1" s="304"/>
      <c r="G1" s="304"/>
      <c r="H1" s="304"/>
      <c r="I1" s="309"/>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10"/>
      <c r="AS1" s="253"/>
      <c r="AT1" s="253"/>
      <c r="AU1" s="254"/>
      <c r="BL1" s="59"/>
      <c r="BM1" s="59"/>
    </row>
    <row r="2" spans="1:65" s="1" customFormat="1" ht="66" customHeight="1" x14ac:dyDescent="0.25">
      <c r="A2" s="452" t="s">
        <v>511</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16"/>
      <c r="AT2" s="216"/>
      <c r="AU2" s="255"/>
      <c r="BL2" s="59"/>
      <c r="BM2" s="59"/>
    </row>
    <row r="3" spans="1:65" s="18" customFormat="1" ht="18" customHeight="1" thickBot="1" x14ac:dyDescent="0.3">
      <c r="A3" s="857">
        <f>Report_Date</f>
        <v>42370</v>
      </c>
      <c r="B3" s="858"/>
      <c r="C3" s="858"/>
      <c r="D3" s="423"/>
      <c r="E3" s="423"/>
      <c r="F3" s="423"/>
      <c r="G3" s="423"/>
      <c r="H3" s="423"/>
      <c r="I3" s="423"/>
      <c r="J3" s="423"/>
      <c r="K3" s="257"/>
      <c r="L3" s="423"/>
      <c r="M3" s="423"/>
      <c r="N3" s="423"/>
      <c r="O3" s="423"/>
      <c r="P3" s="423"/>
      <c r="Q3" s="423"/>
      <c r="R3" s="423"/>
      <c r="S3" s="453"/>
      <c r="T3" s="423"/>
      <c r="U3" s="423"/>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8"/>
      <c r="BL3" s="60"/>
      <c r="BM3" s="60"/>
    </row>
    <row r="4" spans="1:65" s="50" customFormat="1" ht="16.5" hidden="1" customHeight="1" thickBot="1" x14ac:dyDescent="0.3">
      <c r="AA4" s="82"/>
      <c r="AB4" s="82"/>
      <c r="AC4" s="82"/>
      <c r="AD4" s="82"/>
      <c r="AE4" s="82"/>
      <c r="AF4" s="82"/>
      <c r="AJ4" s="129"/>
      <c r="AK4" s="129"/>
      <c r="AL4" s="129"/>
      <c r="AM4" s="129"/>
      <c r="AN4" s="129"/>
      <c r="AO4" s="129"/>
      <c r="AP4" s="129"/>
      <c r="AQ4" s="129"/>
      <c r="AR4" s="129"/>
      <c r="AS4" s="129"/>
      <c r="AT4" s="129"/>
      <c r="AU4" s="129"/>
    </row>
    <row r="5" spans="1:65" s="43" customFormat="1" ht="47.25" customHeight="1" thickBot="1" x14ac:dyDescent="0.3">
      <c r="A5" s="882" t="s">
        <v>410</v>
      </c>
      <c r="B5" s="872" t="s">
        <v>403</v>
      </c>
      <c r="C5" s="872" t="s">
        <v>414</v>
      </c>
      <c r="D5" s="880" t="s">
        <v>396</v>
      </c>
      <c r="E5" s="872" t="s">
        <v>0</v>
      </c>
      <c r="F5" s="889" t="s">
        <v>404</v>
      </c>
      <c r="G5" s="889"/>
      <c r="H5" s="889"/>
      <c r="I5" s="890" t="s">
        <v>405</v>
      </c>
      <c r="J5" s="890"/>
      <c r="K5" s="890"/>
      <c r="L5" s="888" t="s">
        <v>406</v>
      </c>
      <c r="M5" s="888"/>
      <c r="N5" s="888"/>
      <c r="O5" s="887" t="s">
        <v>407</v>
      </c>
      <c r="P5" s="887"/>
      <c r="Q5" s="887"/>
      <c r="R5" s="884" t="s">
        <v>408</v>
      </c>
      <c r="S5" s="885"/>
      <c r="T5" s="886"/>
      <c r="U5" s="877" t="s">
        <v>436</v>
      </c>
      <c r="V5" s="878"/>
      <c r="W5" s="879"/>
      <c r="X5" s="874" t="s">
        <v>437</v>
      </c>
      <c r="Y5" s="875"/>
      <c r="Z5" s="876"/>
      <c r="AA5" s="866" t="s">
        <v>1237</v>
      </c>
      <c r="AB5" s="867"/>
      <c r="AC5" s="868"/>
      <c r="AD5" s="869" t="s">
        <v>579</v>
      </c>
      <c r="AE5" s="870"/>
      <c r="AF5" s="871"/>
      <c r="AG5" s="863" t="s">
        <v>580</v>
      </c>
      <c r="AH5" s="864"/>
      <c r="AI5" s="865"/>
      <c r="AJ5" s="866" t="s">
        <v>994</v>
      </c>
      <c r="AK5" s="867"/>
      <c r="AL5" s="868"/>
      <c r="AM5" s="869" t="s">
        <v>998</v>
      </c>
      <c r="AN5" s="870"/>
      <c r="AO5" s="871"/>
      <c r="AP5" s="863" t="s">
        <v>1002</v>
      </c>
      <c r="AQ5" s="864"/>
      <c r="AR5" s="865"/>
      <c r="AS5" s="863" t="s">
        <v>1118</v>
      </c>
      <c r="AT5" s="864"/>
      <c r="AU5" s="865"/>
    </row>
    <row r="6" spans="1:65" s="43" customFormat="1" ht="75.75" customHeight="1" thickBot="1" x14ac:dyDescent="0.3">
      <c r="A6" s="883"/>
      <c r="B6" s="873"/>
      <c r="C6" s="873"/>
      <c r="D6" s="881"/>
      <c r="E6" s="873"/>
      <c r="F6" s="802" t="s">
        <v>409</v>
      </c>
      <c r="G6" s="802" t="s">
        <v>411</v>
      </c>
      <c r="H6" s="802" t="s">
        <v>412</v>
      </c>
      <c r="I6" s="802" t="s">
        <v>409</v>
      </c>
      <c r="J6" s="802" t="s">
        <v>411</v>
      </c>
      <c r="K6" s="802" t="s">
        <v>412</v>
      </c>
      <c r="L6" s="802" t="s">
        <v>409</v>
      </c>
      <c r="M6" s="802" t="s">
        <v>411</v>
      </c>
      <c r="N6" s="802" t="s">
        <v>412</v>
      </c>
      <c r="O6" s="455" t="s">
        <v>409</v>
      </c>
      <c r="P6" s="455" t="s">
        <v>411</v>
      </c>
      <c r="Q6" s="455" t="s">
        <v>412</v>
      </c>
      <c r="R6" s="454" t="s">
        <v>409</v>
      </c>
      <c r="S6" s="455" t="s">
        <v>411</v>
      </c>
      <c r="T6" s="457" t="s">
        <v>412</v>
      </c>
      <c r="U6" s="456" t="s">
        <v>409</v>
      </c>
      <c r="V6" s="455" t="s">
        <v>411</v>
      </c>
      <c r="W6" s="456" t="s">
        <v>412</v>
      </c>
      <c r="X6" s="454" t="s">
        <v>409</v>
      </c>
      <c r="Y6" s="455" t="s">
        <v>411</v>
      </c>
      <c r="Z6" s="457" t="s">
        <v>412</v>
      </c>
      <c r="AA6" s="454" t="s">
        <v>409</v>
      </c>
      <c r="AB6" s="455" t="s">
        <v>411</v>
      </c>
      <c r="AC6" s="457" t="s">
        <v>412</v>
      </c>
      <c r="AD6" s="454" t="s">
        <v>409</v>
      </c>
      <c r="AE6" s="455" t="s">
        <v>411</v>
      </c>
      <c r="AF6" s="457" t="s">
        <v>412</v>
      </c>
      <c r="AG6" s="454" t="s">
        <v>409</v>
      </c>
      <c r="AH6" s="455" t="s">
        <v>411</v>
      </c>
      <c r="AI6" s="457" t="s">
        <v>412</v>
      </c>
      <c r="AJ6" s="454" t="s">
        <v>409</v>
      </c>
      <c r="AK6" s="455" t="s">
        <v>411</v>
      </c>
      <c r="AL6" s="457" t="s">
        <v>412</v>
      </c>
      <c r="AM6" s="454" t="s">
        <v>409</v>
      </c>
      <c r="AN6" s="455" t="s">
        <v>411</v>
      </c>
      <c r="AO6" s="457" t="s">
        <v>412</v>
      </c>
      <c r="AP6" s="454" t="s">
        <v>409</v>
      </c>
      <c r="AQ6" s="455" t="s">
        <v>411</v>
      </c>
      <c r="AR6" s="457" t="s">
        <v>412</v>
      </c>
      <c r="AS6" s="454" t="s">
        <v>409</v>
      </c>
      <c r="AT6" s="455" t="s">
        <v>411</v>
      </c>
      <c r="AU6" s="457" t="s">
        <v>412</v>
      </c>
    </row>
    <row r="7" spans="1:65" s="4" customFormat="1" ht="23.25" customHeight="1" x14ac:dyDescent="0.25">
      <c r="A7" s="704">
        <v>42424</v>
      </c>
      <c r="B7" s="4" t="s">
        <v>454</v>
      </c>
      <c r="C7" s="4" t="s">
        <v>454</v>
      </c>
      <c r="D7" s="4" t="s">
        <v>380</v>
      </c>
      <c r="E7" s="4" t="s">
        <v>237</v>
      </c>
      <c r="F7" s="702"/>
      <c r="G7" s="499"/>
      <c r="H7" s="703"/>
      <c r="I7" s="702">
        <v>855</v>
      </c>
      <c r="J7" s="499"/>
      <c r="K7" s="703"/>
      <c r="L7" s="702">
        <v>153</v>
      </c>
      <c r="M7" s="499"/>
      <c r="N7" s="703"/>
      <c r="O7" s="702">
        <v>2634</v>
      </c>
      <c r="P7" s="499"/>
      <c r="Q7" s="499"/>
      <c r="R7" s="702">
        <v>1138</v>
      </c>
      <c r="S7" s="499"/>
      <c r="T7" s="703"/>
      <c r="U7" s="4">
        <v>4139</v>
      </c>
      <c r="X7" s="702">
        <v>969</v>
      </c>
      <c r="Y7" s="499"/>
      <c r="Z7" s="703"/>
      <c r="AA7" s="702"/>
      <c r="AB7" s="499"/>
      <c r="AC7" s="703"/>
      <c r="AD7" s="702">
        <v>827</v>
      </c>
      <c r="AE7" s="499"/>
      <c r="AF7" s="703"/>
      <c r="AG7" s="702">
        <v>4165</v>
      </c>
      <c r="AH7" s="499"/>
      <c r="AI7" s="703"/>
      <c r="AJ7" s="702"/>
      <c r="AK7" s="499"/>
      <c r="AL7" s="703"/>
      <c r="AM7" s="702"/>
      <c r="AN7" s="499"/>
      <c r="AO7" s="703"/>
      <c r="AP7" s="702"/>
      <c r="AQ7" s="499"/>
      <c r="AR7" s="703"/>
      <c r="AS7" s="702">
        <v>52</v>
      </c>
      <c r="AT7" s="499"/>
      <c r="AU7" s="703"/>
    </row>
    <row r="8" spans="1:65" s="4" customFormat="1" ht="23.25" customHeight="1" x14ac:dyDescent="0.25">
      <c r="A8" s="704">
        <v>42424</v>
      </c>
      <c r="B8" s="4" t="s">
        <v>454</v>
      </c>
      <c r="C8" s="4" t="s">
        <v>454</v>
      </c>
      <c r="D8" s="4" t="s">
        <v>380</v>
      </c>
      <c r="E8" s="4" t="s">
        <v>5</v>
      </c>
      <c r="F8" s="702"/>
      <c r="G8" s="499"/>
      <c r="H8" s="703"/>
      <c r="I8" s="702">
        <v>203</v>
      </c>
      <c r="J8" s="499"/>
      <c r="K8" s="703"/>
      <c r="L8" s="702">
        <v>103</v>
      </c>
      <c r="M8" s="499"/>
      <c r="N8" s="703"/>
      <c r="O8" s="702">
        <v>665</v>
      </c>
      <c r="P8" s="499"/>
      <c r="Q8" s="499"/>
      <c r="R8" s="702">
        <v>328</v>
      </c>
      <c r="S8" s="499"/>
      <c r="T8" s="703"/>
      <c r="U8" s="4">
        <v>498</v>
      </c>
      <c r="X8" s="702">
        <v>205</v>
      </c>
      <c r="Y8" s="499"/>
      <c r="Z8" s="703"/>
      <c r="AA8" s="702"/>
      <c r="AB8" s="499"/>
      <c r="AC8" s="703"/>
      <c r="AD8" s="702">
        <v>106</v>
      </c>
      <c r="AE8" s="499"/>
      <c r="AF8" s="703"/>
      <c r="AG8" s="702">
        <v>654</v>
      </c>
      <c r="AH8" s="499"/>
      <c r="AI8" s="703"/>
      <c r="AJ8" s="702"/>
      <c r="AK8" s="499"/>
      <c r="AL8" s="703"/>
      <c r="AM8" s="702"/>
      <c r="AN8" s="499"/>
      <c r="AO8" s="703"/>
      <c r="AP8" s="702"/>
      <c r="AQ8" s="499"/>
      <c r="AR8" s="703"/>
      <c r="AS8" s="702">
        <v>615</v>
      </c>
      <c r="AT8" s="499"/>
      <c r="AU8" s="703"/>
    </row>
    <row r="9" spans="1:65" ht="23.25" customHeight="1" x14ac:dyDescent="0.25">
      <c r="A9" s="135">
        <v>41888</v>
      </c>
      <c r="B9" s="129" t="s">
        <v>454</v>
      </c>
      <c r="C9" s="129" t="s">
        <v>454</v>
      </c>
      <c r="D9" s="129" t="s">
        <v>380</v>
      </c>
      <c r="E9" s="129"/>
      <c r="I9" s="702"/>
      <c r="J9" s="499"/>
      <c r="K9" s="703"/>
      <c r="L9" s="702"/>
      <c r="M9" s="499"/>
      <c r="N9" s="703"/>
      <c r="O9" s="702"/>
      <c r="P9" s="499">
        <v>20000</v>
      </c>
      <c r="Q9" s="499"/>
      <c r="R9" s="702"/>
      <c r="S9" s="499">
        <v>10000</v>
      </c>
      <c r="T9" s="703"/>
      <c r="U9" s="4"/>
      <c r="V9" s="4">
        <v>20000</v>
      </c>
      <c r="W9" s="4"/>
      <c r="X9" s="702"/>
      <c r="Y9" s="499">
        <v>10000</v>
      </c>
      <c r="Z9" s="703"/>
      <c r="AA9" s="702"/>
      <c r="AB9" s="499">
        <v>10000</v>
      </c>
      <c r="AC9" s="703"/>
      <c r="AD9" s="702"/>
      <c r="AE9" s="499">
        <v>10000</v>
      </c>
      <c r="AF9" s="703"/>
      <c r="AG9" s="702"/>
      <c r="AH9" s="499">
        <v>50000</v>
      </c>
      <c r="AI9" s="703"/>
      <c r="AJ9" s="702"/>
      <c r="AK9" s="499"/>
      <c r="AL9" s="703"/>
      <c r="AM9" s="702"/>
      <c r="AN9" s="499"/>
      <c r="AO9" s="703"/>
      <c r="AP9" s="702"/>
      <c r="AQ9" s="499"/>
      <c r="AR9" s="703"/>
      <c r="AS9" s="702"/>
      <c r="AT9" s="499"/>
      <c r="AU9" s="703"/>
      <c r="AV9" s="4"/>
      <c r="AW9" s="4"/>
    </row>
    <row r="10" spans="1:65" ht="23.25" customHeight="1" x14ac:dyDescent="0.25">
      <c r="I10" s="702"/>
      <c r="J10" s="499"/>
      <c r="K10" s="703"/>
      <c r="L10" s="702"/>
      <c r="M10" s="499"/>
      <c r="N10" s="703"/>
      <c r="O10" s="702"/>
      <c r="P10" s="499"/>
      <c r="Q10" s="499"/>
      <c r="R10" s="702"/>
      <c r="S10" s="499"/>
      <c r="T10" s="703"/>
      <c r="U10" s="4"/>
      <c r="V10" s="4"/>
      <c r="W10" s="4"/>
      <c r="X10" s="702"/>
      <c r="Y10" s="499"/>
      <c r="Z10" s="703"/>
      <c r="AA10" s="702"/>
      <c r="AB10" s="499"/>
      <c r="AC10" s="703"/>
      <c r="AD10" s="702"/>
      <c r="AE10" s="499"/>
      <c r="AF10" s="703"/>
      <c r="AG10" s="702"/>
      <c r="AH10" s="499"/>
      <c r="AI10" s="703"/>
      <c r="AJ10" s="702"/>
      <c r="AK10" s="499"/>
      <c r="AL10" s="703"/>
      <c r="AM10" s="702"/>
      <c r="AN10" s="499"/>
      <c r="AO10" s="703"/>
      <c r="AP10" s="702"/>
      <c r="AQ10" s="499"/>
      <c r="AR10" s="703"/>
      <c r="AS10" s="702"/>
      <c r="AT10" s="499"/>
      <c r="AU10" s="703"/>
      <c r="AV10" s="4"/>
      <c r="AW10" s="4"/>
    </row>
    <row r="11" spans="1:65" ht="23.25" customHeight="1" x14ac:dyDescent="0.25"/>
    <row r="12" spans="1:65" ht="23.25" customHeight="1" x14ac:dyDescent="0.25"/>
    <row r="13" spans="1:65" ht="23.25" customHeight="1" x14ac:dyDescent="0.25"/>
    <row r="14" spans="1:65" ht="23.25" customHeight="1" x14ac:dyDescent="0.25"/>
    <row r="15" spans="1:65" ht="23.25" customHeight="1" x14ac:dyDescent="0.25"/>
    <row r="16" spans="1:65" ht="23.25" customHeight="1" x14ac:dyDescent="0.25"/>
    <row r="17" ht="23.25" customHeight="1" x14ac:dyDescent="0.25"/>
    <row r="18" ht="23.25" customHeight="1" x14ac:dyDescent="0.25"/>
    <row r="19" ht="23.25" customHeight="1" x14ac:dyDescent="0.25"/>
    <row r="20" ht="23.25" customHeight="1" x14ac:dyDescent="0.25"/>
    <row r="21" ht="23.25" customHeight="1" x14ac:dyDescent="0.25"/>
    <row r="22" ht="23.25" customHeight="1" x14ac:dyDescent="0.25"/>
    <row r="23" ht="23.25" customHeight="1" x14ac:dyDescent="0.25"/>
    <row r="24" ht="23.25" customHeight="1" x14ac:dyDescent="0.25"/>
    <row r="25" ht="23.25" customHeight="1" x14ac:dyDescent="0.25"/>
    <row r="26" ht="23.25" customHeight="1" x14ac:dyDescent="0.25"/>
    <row r="27" ht="23.25" customHeight="1" x14ac:dyDescent="0.25"/>
    <row r="28" ht="23.25" customHeight="1" x14ac:dyDescent="0.25"/>
    <row r="29" ht="23.25" customHeight="1" x14ac:dyDescent="0.25"/>
    <row r="30" ht="23.25" customHeight="1" x14ac:dyDescent="0.25"/>
    <row r="31" ht="23.25" customHeight="1" x14ac:dyDescent="0.25"/>
    <row r="32" ht="23.25" customHeight="1" x14ac:dyDescent="0.25"/>
    <row r="33" ht="23.25" customHeight="1" x14ac:dyDescent="0.25"/>
    <row r="34" ht="23.25" customHeight="1" x14ac:dyDescent="0.25"/>
    <row r="35" ht="23.25" customHeight="1" x14ac:dyDescent="0.25"/>
    <row r="36" ht="23.25" customHeight="1" x14ac:dyDescent="0.25"/>
    <row r="37" ht="23.25" customHeight="1" x14ac:dyDescent="0.25"/>
    <row r="38" ht="23.25" customHeight="1" x14ac:dyDescent="0.25"/>
    <row r="39" ht="23.25" customHeight="1" x14ac:dyDescent="0.25"/>
    <row r="40" ht="23.25" customHeight="1" x14ac:dyDescent="0.25"/>
    <row r="41" ht="23.25" customHeight="1" x14ac:dyDescent="0.25"/>
    <row r="42" ht="23.25" customHeight="1" x14ac:dyDescent="0.25"/>
    <row r="43" ht="23.25" customHeight="1" x14ac:dyDescent="0.25"/>
    <row r="44" ht="23.25" customHeight="1" x14ac:dyDescent="0.25"/>
    <row r="45" ht="23.25" customHeight="1" x14ac:dyDescent="0.25"/>
    <row r="46" ht="23.25" customHeight="1" x14ac:dyDescent="0.25"/>
    <row r="47" ht="23.25" customHeight="1" x14ac:dyDescent="0.25"/>
    <row r="48" ht="23.25" customHeight="1" x14ac:dyDescent="0.25"/>
    <row r="49" ht="23.25" customHeight="1" x14ac:dyDescent="0.25"/>
    <row r="50" ht="23.25" customHeight="1" x14ac:dyDescent="0.25"/>
    <row r="51" ht="23.25" customHeight="1" x14ac:dyDescent="0.25"/>
    <row r="52" ht="23.25" customHeight="1" x14ac:dyDescent="0.25"/>
    <row r="53" ht="23.25" customHeight="1" x14ac:dyDescent="0.25"/>
    <row r="54" ht="23.25" customHeight="1" x14ac:dyDescent="0.25"/>
    <row r="55" ht="23.25" customHeight="1" x14ac:dyDescent="0.25"/>
    <row r="56" ht="23.25" customHeight="1" x14ac:dyDescent="0.25"/>
    <row r="57" ht="23.25" customHeight="1" x14ac:dyDescent="0.25"/>
    <row r="58" ht="23.25" customHeight="1" x14ac:dyDescent="0.25"/>
    <row r="59" ht="23.25" customHeight="1" x14ac:dyDescent="0.25"/>
    <row r="60" ht="23.25" customHeight="1" x14ac:dyDescent="0.25"/>
    <row r="61" ht="23.25" customHeight="1" x14ac:dyDescent="0.25"/>
    <row r="62" ht="23.25" customHeight="1" x14ac:dyDescent="0.25"/>
    <row r="63" ht="23.25" customHeight="1" x14ac:dyDescent="0.25"/>
    <row r="64" ht="23.25" customHeight="1" x14ac:dyDescent="0.25"/>
    <row r="65" ht="23.25" customHeight="1" x14ac:dyDescent="0.25"/>
    <row r="66" ht="23.25" customHeight="1" x14ac:dyDescent="0.25"/>
    <row r="67" ht="23.25" customHeight="1" x14ac:dyDescent="0.25"/>
    <row r="68" ht="23.25" customHeight="1" x14ac:dyDescent="0.25"/>
    <row r="69" ht="23.25" customHeight="1" x14ac:dyDescent="0.25"/>
    <row r="70" ht="23.25" customHeight="1" x14ac:dyDescent="0.25"/>
    <row r="71" ht="23.25" customHeight="1" x14ac:dyDescent="0.25"/>
    <row r="72" ht="23.25" customHeight="1" x14ac:dyDescent="0.25"/>
    <row r="73" ht="23.25" customHeight="1" x14ac:dyDescent="0.25"/>
    <row r="74" ht="23.25" customHeight="1" x14ac:dyDescent="0.25"/>
    <row r="75" ht="23.25" customHeight="1" x14ac:dyDescent="0.25"/>
    <row r="76" ht="23.25" customHeight="1" x14ac:dyDescent="0.25"/>
    <row r="77" ht="23.25" customHeight="1" x14ac:dyDescent="0.25"/>
    <row r="78" ht="23.25" customHeight="1" x14ac:dyDescent="0.25"/>
    <row r="79" ht="23.25" customHeight="1" x14ac:dyDescent="0.25"/>
    <row r="80" ht="23.25" customHeight="1" x14ac:dyDescent="0.25"/>
    <row r="81" ht="23.25" customHeight="1" x14ac:dyDescent="0.25"/>
    <row r="82" ht="23.25" customHeight="1" x14ac:dyDescent="0.25"/>
    <row r="83" ht="23.25" customHeight="1" x14ac:dyDescent="0.25"/>
    <row r="84" ht="23.25" customHeight="1" x14ac:dyDescent="0.25"/>
    <row r="85" ht="23.25" customHeight="1" x14ac:dyDescent="0.25"/>
    <row r="86" ht="23.25" customHeight="1" x14ac:dyDescent="0.25"/>
    <row r="87" ht="23.25" customHeight="1" x14ac:dyDescent="0.25"/>
    <row r="88" ht="23.25" customHeight="1" x14ac:dyDescent="0.25"/>
    <row r="89" ht="23.25" customHeight="1" x14ac:dyDescent="0.25"/>
    <row r="90" ht="23.25" customHeight="1" x14ac:dyDescent="0.25"/>
    <row r="91" ht="23.25" customHeight="1" x14ac:dyDescent="0.25"/>
    <row r="92" ht="23.25" customHeight="1" x14ac:dyDescent="0.25"/>
    <row r="93" ht="23.25" customHeight="1" x14ac:dyDescent="0.25"/>
    <row r="94" ht="23.25" customHeight="1" x14ac:dyDescent="0.25"/>
    <row r="95" ht="23.25" customHeight="1" x14ac:dyDescent="0.25"/>
    <row r="96" ht="23.25" customHeight="1" x14ac:dyDescent="0.25"/>
    <row r="97" ht="23.25" customHeight="1" x14ac:dyDescent="0.25"/>
    <row r="98" ht="23.25" customHeight="1" x14ac:dyDescent="0.25"/>
    <row r="99" ht="23.25" customHeight="1" x14ac:dyDescent="0.25"/>
    <row r="100" ht="23.25" customHeight="1" x14ac:dyDescent="0.25"/>
    <row r="101" ht="23.25" customHeight="1" x14ac:dyDescent="0.25"/>
    <row r="102" ht="23.25" customHeight="1" x14ac:dyDescent="0.25"/>
    <row r="103" ht="23.25" customHeight="1" x14ac:dyDescent="0.25"/>
    <row r="104" ht="23.25" customHeight="1" x14ac:dyDescent="0.25"/>
    <row r="105" ht="23.25" customHeight="1" x14ac:dyDescent="0.25"/>
    <row r="106" ht="23.25" customHeight="1" x14ac:dyDescent="0.25"/>
    <row r="107" ht="23.25" customHeight="1" x14ac:dyDescent="0.25"/>
    <row r="108" ht="23.25" customHeight="1" x14ac:dyDescent="0.25"/>
    <row r="109" ht="23.25" customHeight="1" x14ac:dyDescent="0.25"/>
    <row r="110" ht="23.25" customHeight="1" x14ac:dyDescent="0.25"/>
    <row r="111" ht="23.25" customHeight="1" x14ac:dyDescent="0.25"/>
    <row r="112" ht="23.25" customHeight="1" x14ac:dyDescent="0.25"/>
    <row r="113" ht="23.25" customHeight="1" x14ac:dyDescent="0.25"/>
    <row r="114" ht="23.25" customHeight="1" x14ac:dyDescent="0.25"/>
    <row r="115" ht="23.25" customHeight="1" x14ac:dyDescent="0.25"/>
    <row r="116" ht="23.25" customHeight="1" x14ac:dyDescent="0.25"/>
    <row r="117" ht="23.25" customHeight="1" x14ac:dyDescent="0.25"/>
    <row r="118" ht="23.25" customHeight="1" x14ac:dyDescent="0.25"/>
    <row r="119" ht="23.25" customHeight="1" x14ac:dyDescent="0.25"/>
    <row r="120" ht="23.25" customHeight="1" x14ac:dyDescent="0.25"/>
    <row r="121" ht="23.25" customHeight="1" x14ac:dyDescent="0.25"/>
    <row r="122" ht="23.25" customHeight="1" x14ac:dyDescent="0.25"/>
    <row r="123" ht="23.25" customHeight="1" x14ac:dyDescent="0.25"/>
    <row r="124" ht="23.25" customHeight="1" x14ac:dyDescent="0.25"/>
    <row r="125" ht="23.25" customHeight="1" x14ac:dyDescent="0.25"/>
    <row r="126" ht="23.25" customHeight="1" x14ac:dyDescent="0.25"/>
    <row r="127" ht="23.25" customHeight="1" x14ac:dyDescent="0.25"/>
    <row r="128" ht="23.25" customHeight="1" x14ac:dyDescent="0.25"/>
    <row r="129" ht="23.25" customHeight="1" x14ac:dyDescent="0.25"/>
    <row r="130" ht="23.25" customHeight="1" x14ac:dyDescent="0.25"/>
    <row r="131" ht="23.25" customHeight="1" x14ac:dyDescent="0.25"/>
    <row r="132" ht="23.25" customHeight="1" x14ac:dyDescent="0.25"/>
    <row r="133" ht="23.25" customHeight="1" x14ac:dyDescent="0.25"/>
    <row r="134" ht="23.25" customHeight="1" x14ac:dyDescent="0.25"/>
    <row r="135" ht="23.25" customHeight="1" x14ac:dyDescent="0.25"/>
    <row r="136" ht="23.25" customHeight="1" x14ac:dyDescent="0.25"/>
    <row r="137" ht="23.25" customHeight="1" x14ac:dyDescent="0.25"/>
    <row r="138" ht="23.25" customHeight="1" x14ac:dyDescent="0.25"/>
    <row r="139" ht="23.25" customHeight="1" x14ac:dyDescent="0.25"/>
    <row r="140" ht="23.25" customHeight="1" x14ac:dyDescent="0.25"/>
    <row r="141" ht="23.25" customHeight="1" x14ac:dyDescent="0.25"/>
    <row r="142" ht="23.25" customHeight="1" x14ac:dyDescent="0.25"/>
    <row r="143" ht="23.25" customHeight="1" x14ac:dyDescent="0.25"/>
    <row r="144" ht="23.25" customHeight="1" x14ac:dyDescent="0.25"/>
    <row r="145" ht="23.25" customHeight="1" x14ac:dyDescent="0.25"/>
    <row r="146" ht="23.25" customHeight="1" x14ac:dyDescent="0.25"/>
    <row r="147" ht="23.25" customHeight="1" x14ac:dyDescent="0.25"/>
    <row r="148" ht="23.25" customHeight="1" x14ac:dyDescent="0.25"/>
    <row r="149" ht="23.25" customHeight="1" x14ac:dyDescent="0.25"/>
    <row r="150" ht="23.25" customHeight="1" x14ac:dyDescent="0.25"/>
    <row r="151" ht="23.25" customHeight="1" x14ac:dyDescent="0.25"/>
    <row r="152" ht="23.25" customHeight="1" x14ac:dyDescent="0.25"/>
    <row r="153" ht="23.25" customHeight="1" x14ac:dyDescent="0.25"/>
    <row r="154" ht="23.25" customHeight="1" x14ac:dyDescent="0.25"/>
    <row r="155" ht="23.25" customHeight="1" x14ac:dyDescent="0.25"/>
    <row r="156" ht="23.25" customHeight="1" x14ac:dyDescent="0.25"/>
    <row r="157" ht="23.25" customHeight="1" x14ac:dyDescent="0.25"/>
    <row r="158" ht="23.25" customHeight="1" x14ac:dyDescent="0.25"/>
    <row r="159" ht="23.25" customHeight="1" x14ac:dyDescent="0.25"/>
    <row r="160" ht="23.25" customHeight="1" x14ac:dyDescent="0.25"/>
    <row r="161" ht="23.25" customHeight="1" x14ac:dyDescent="0.25"/>
    <row r="162" ht="23.25" customHeight="1" x14ac:dyDescent="0.25"/>
    <row r="163" ht="23.25" customHeight="1" x14ac:dyDescent="0.25"/>
    <row r="164" ht="23.25" customHeight="1" x14ac:dyDescent="0.25"/>
    <row r="165" ht="23.25" customHeight="1" x14ac:dyDescent="0.25"/>
    <row r="166" ht="23.25" customHeight="1" x14ac:dyDescent="0.25"/>
    <row r="167" ht="23.25" customHeight="1" x14ac:dyDescent="0.25"/>
    <row r="168" ht="23.25" customHeight="1" x14ac:dyDescent="0.25"/>
    <row r="169" ht="23.25" customHeight="1" x14ac:dyDescent="0.25"/>
    <row r="170" ht="23.25" customHeight="1" x14ac:dyDescent="0.25"/>
    <row r="171" ht="23.25" customHeight="1" x14ac:dyDescent="0.25"/>
    <row r="172" ht="23.25" customHeight="1" x14ac:dyDescent="0.25"/>
    <row r="173" ht="23.25" customHeight="1" x14ac:dyDescent="0.25"/>
    <row r="174" ht="23.25" customHeight="1" x14ac:dyDescent="0.25"/>
    <row r="175" ht="23.25" customHeight="1" x14ac:dyDescent="0.25"/>
    <row r="176" ht="23.25" customHeight="1" x14ac:dyDescent="0.25"/>
    <row r="177" ht="23.25" customHeight="1" x14ac:dyDescent="0.25"/>
    <row r="178" ht="23.25" customHeight="1" x14ac:dyDescent="0.25"/>
    <row r="179" ht="23.25" customHeight="1" x14ac:dyDescent="0.25"/>
    <row r="180" ht="23.25" customHeight="1" x14ac:dyDescent="0.25"/>
    <row r="181" ht="23.25" customHeight="1" x14ac:dyDescent="0.25"/>
    <row r="182" ht="23.25" customHeight="1" x14ac:dyDescent="0.25"/>
    <row r="183" ht="23.25" customHeight="1" x14ac:dyDescent="0.25"/>
    <row r="184" ht="23.25" customHeight="1" x14ac:dyDescent="0.25"/>
    <row r="185" ht="23.25" customHeight="1" x14ac:dyDescent="0.25"/>
    <row r="186" ht="23.25" customHeight="1" x14ac:dyDescent="0.25"/>
    <row r="187" ht="23.25" customHeight="1" x14ac:dyDescent="0.25"/>
    <row r="188" ht="23.25" customHeight="1" x14ac:dyDescent="0.25"/>
    <row r="189" ht="23.25" customHeight="1" x14ac:dyDescent="0.25"/>
    <row r="190" ht="23.25" customHeight="1" x14ac:dyDescent="0.25"/>
    <row r="191" ht="23.25" customHeight="1" x14ac:dyDescent="0.25"/>
    <row r="192" ht="23.25" customHeight="1" x14ac:dyDescent="0.25"/>
    <row r="193" ht="23.25" customHeight="1" x14ac:dyDescent="0.25"/>
    <row r="194" ht="23.25" customHeight="1" x14ac:dyDescent="0.25"/>
    <row r="195" ht="23.25" customHeight="1" x14ac:dyDescent="0.25"/>
    <row r="196" ht="23.25" customHeight="1" x14ac:dyDescent="0.25"/>
    <row r="197" ht="23.25" customHeight="1" x14ac:dyDescent="0.25"/>
    <row r="198" ht="23.25" customHeight="1" x14ac:dyDescent="0.25"/>
    <row r="199" ht="23.25" customHeight="1" x14ac:dyDescent="0.25"/>
    <row r="200" ht="23.25" customHeight="1" x14ac:dyDescent="0.25"/>
    <row r="201" ht="23.25" customHeight="1" x14ac:dyDescent="0.25"/>
    <row r="202" ht="23.25" customHeight="1" x14ac:dyDescent="0.25"/>
    <row r="203" ht="23.25" customHeight="1" x14ac:dyDescent="0.25"/>
    <row r="204" ht="23.25" customHeight="1" x14ac:dyDescent="0.25"/>
    <row r="205" ht="23.25" customHeight="1" x14ac:dyDescent="0.25"/>
    <row r="206" ht="23.25" customHeight="1" x14ac:dyDescent="0.25"/>
    <row r="207" ht="23.25" customHeight="1" x14ac:dyDescent="0.25"/>
    <row r="208" ht="23.25" customHeight="1" x14ac:dyDescent="0.25"/>
    <row r="209" ht="23.25" customHeight="1" x14ac:dyDescent="0.25"/>
    <row r="210" ht="23.25" customHeight="1" x14ac:dyDescent="0.25"/>
    <row r="211" ht="23.25" customHeight="1" x14ac:dyDescent="0.25"/>
    <row r="212" ht="23.25" customHeight="1" x14ac:dyDescent="0.25"/>
    <row r="213" ht="23.25" customHeight="1" x14ac:dyDescent="0.25"/>
    <row r="214" ht="23.25" customHeight="1" x14ac:dyDescent="0.25"/>
    <row r="215" ht="23.25" customHeight="1" x14ac:dyDescent="0.25"/>
    <row r="216" ht="23.25" customHeight="1" x14ac:dyDescent="0.25"/>
    <row r="217" ht="23.25" customHeight="1" x14ac:dyDescent="0.25"/>
    <row r="218" ht="23.25" customHeight="1" x14ac:dyDescent="0.25"/>
    <row r="219" ht="23.25" customHeight="1" x14ac:dyDescent="0.25"/>
    <row r="220" ht="23.25" customHeight="1" x14ac:dyDescent="0.25"/>
    <row r="221" ht="23.25" customHeight="1" x14ac:dyDescent="0.25"/>
    <row r="222" ht="23.25" customHeight="1" x14ac:dyDescent="0.25"/>
    <row r="223" ht="23.25" customHeight="1" x14ac:dyDescent="0.25"/>
    <row r="224" ht="23.25" customHeight="1" x14ac:dyDescent="0.25"/>
    <row r="225" ht="23.25" customHeight="1" x14ac:dyDescent="0.25"/>
    <row r="226" ht="23.25" customHeight="1" x14ac:dyDescent="0.25"/>
    <row r="227" ht="23.25" customHeight="1" x14ac:dyDescent="0.25"/>
    <row r="228" ht="23.25" customHeight="1" x14ac:dyDescent="0.25"/>
    <row r="229" ht="23.25" customHeight="1" x14ac:dyDescent="0.25"/>
    <row r="230" ht="23.25" customHeight="1" x14ac:dyDescent="0.25"/>
    <row r="231" ht="23.25" customHeight="1" x14ac:dyDescent="0.25"/>
    <row r="232" ht="23.25" customHeight="1" x14ac:dyDescent="0.25"/>
    <row r="233" ht="23.25" customHeight="1" x14ac:dyDescent="0.25"/>
    <row r="234" ht="23.25" customHeight="1" x14ac:dyDescent="0.25"/>
    <row r="235" ht="23.25" customHeight="1" x14ac:dyDescent="0.25"/>
    <row r="236" ht="23.25" customHeight="1" x14ac:dyDescent="0.25"/>
    <row r="237" ht="23.25" customHeight="1" x14ac:dyDescent="0.25"/>
    <row r="238" ht="23.25" customHeight="1" x14ac:dyDescent="0.25"/>
    <row r="239" ht="23.25" customHeight="1" x14ac:dyDescent="0.25"/>
    <row r="240" ht="23.25" customHeight="1" x14ac:dyDescent="0.25"/>
    <row r="241" ht="23.25" customHeight="1" x14ac:dyDescent="0.25"/>
    <row r="242" ht="23.25" customHeight="1" x14ac:dyDescent="0.25"/>
    <row r="243" ht="23.25" customHeight="1" x14ac:dyDescent="0.25"/>
    <row r="244" ht="23.25" customHeight="1" x14ac:dyDescent="0.25"/>
    <row r="245" ht="23.25" customHeight="1" x14ac:dyDescent="0.25"/>
    <row r="246" ht="23.25" customHeight="1" x14ac:dyDescent="0.25"/>
    <row r="247" ht="23.25" customHeight="1" x14ac:dyDescent="0.25"/>
    <row r="248" ht="23.25" customHeight="1" x14ac:dyDescent="0.25"/>
    <row r="249" ht="23.25" customHeight="1" x14ac:dyDescent="0.25"/>
    <row r="250" ht="23.25" customHeight="1" x14ac:dyDescent="0.25"/>
    <row r="251" ht="23.25" customHeight="1" x14ac:dyDescent="0.25"/>
    <row r="252" ht="23.25" customHeight="1" x14ac:dyDescent="0.25"/>
    <row r="253" ht="23.25" customHeight="1" x14ac:dyDescent="0.25"/>
    <row r="254" ht="23.25" customHeight="1" x14ac:dyDescent="0.25"/>
    <row r="255" ht="23.25" customHeight="1" x14ac:dyDescent="0.25"/>
    <row r="256" ht="23.25" customHeight="1" x14ac:dyDescent="0.25"/>
    <row r="257" ht="23.25" customHeight="1" x14ac:dyDescent="0.25"/>
    <row r="258" ht="23.25" customHeight="1" x14ac:dyDescent="0.25"/>
    <row r="259" ht="23.25" customHeight="1" x14ac:dyDescent="0.25"/>
    <row r="260" ht="23.25" customHeight="1" x14ac:dyDescent="0.25"/>
    <row r="261" ht="23.25" customHeight="1" x14ac:dyDescent="0.25"/>
    <row r="262" ht="23.25" customHeight="1" x14ac:dyDescent="0.25"/>
    <row r="263" ht="23.25" customHeight="1" x14ac:dyDescent="0.25"/>
    <row r="264" ht="23.25" customHeight="1" x14ac:dyDescent="0.25"/>
    <row r="265" ht="23.25" customHeight="1" x14ac:dyDescent="0.25"/>
    <row r="266" ht="23.25" customHeight="1" x14ac:dyDescent="0.25"/>
    <row r="267" ht="23.25" customHeight="1" x14ac:dyDescent="0.25"/>
    <row r="268" ht="23.25" customHeight="1" x14ac:dyDescent="0.25"/>
    <row r="269" ht="23.25" customHeight="1" x14ac:dyDescent="0.25"/>
    <row r="270" ht="23.25" customHeight="1" x14ac:dyDescent="0.25"/>
    <row r="271" ht="23.25" customHeight="1" x14ac:dyDescent="0.25"/>
    <row r="272" ht="23.25" customHeight="1" x14ac:dyDescent="0.25"/>
    <row r="273" ht="23.25" customHeight="1" x14ac:dyDescent="0.25"/>
    <row r="274" ht="23.25" customHeight="1" x14ac:dyDescent="0.25"/>
    <row r="275" ht="23.25" customHeight="1" x14ac:dyDescent="0.25"/>
    <row r="276" ht="23.25" customHeight="1" x14ac:dyDescent="0.25"/>
    <row r="277" ht="23.25" customHeight="1" x14ac:dyDescent="0.25"/>
    <row r="278" ht="23.25" customHeight="1" x14ac:dyDescent="0.25"/>
    <row r="279" ht="23.25" customHeight="1" x14ac:dyDescent="0.25"/>
    <row r="280" ht="23.25" customHeight="1" x14ac:dyDescent="0.25"/>
    <row r="281" ht="23.25" customHeight="1" x14ac:dyDescent="0.25"/>
    <row r="282" ht="23.25" customHeight="1" x14ac:dyDescent="0.25"/>
    <row r="283" ht="23.25" customHeight="1" x14ac:dyDescent="0.25"/>
    <row r="284" ht="23.25" customHeight="1" x14ac:dyDescent="0.25"/>
    <row r="285" ht="23.25" customHeight="1" x14ac:dyDescent="0.25"/>
    <row r="286" ht="23.25" customHeight="1" x14ac:dyDescent="0.25"/>
    <row r="287" ht="23.25" customHeight="1" x14ac:dyDescent="0.25"/>
    <row r="288" ht="23.25" customHeight="1" x14ac:dyDescent="0.25"/>
    <row r="289" ht="23.25" customHeight="1" x14ac:dyDescent="0.25"/>
    <row r="290" ht="23.25" customHeight="1" x14ac:dyDescent="0.25"/>
    <row r="291" ht="23.25" customHeight="1" x14ac:dyDescent="0.25"/>
    <row r="292" ht="23.25" customHeight="1" x14ac:dyDescent="0.25"/>
    <row r="293" ht="23.25" customHeight="1" x14ac:dyDescent="0.25"/>
    <row r="294" ht="23.25" customHeight="1" x14ac:dyDescent="0.25"/>
    <row r="295" ht="23.25" customHeight="1" x14ac:dyDescent="0.25"/>
    <row r="296" ht="23.25" customHeight="1" x14ac:dyDescent="0.25"/>
    <row r="297" ht="23.25" customHeight="1" x14ac:dyDescent="0.25"/>
    <row r="298" ht="23.25" customHeight="1" x14ac:dyDescent="0.25"/>
    <row r="299" ht="23.25" customHeight="1" x14ac:dyDescent="0.25"/>
    <row r="300" ht="23.25" customHeight="1" x14ac:dyDescent="0.25"/>
    <row r="301" ht="23.25" customHeight="1" x14ac:dyDescent="0.25"/>
    <row r="302" ht="23.25" customHeight="1" x14ac:dyDescent="0.25"/>
    <row r="303" ht="23.25" customHeight="1" x14ac:dyDescent="0.25"/>
    <row r="304" ht="23.25" customHeight="1" x14ac:dyDescent="0.25"/>
    <row r="305" ht="23.25" customHeight="1" x14ac:dyDescent="0.25"/>
    <row r="306" ht="23.25" customHeight="1" x14ac:dyDescent="0.25"/>
    <row r="307" ht="23.25" customHeight="1" x14ac:dyDescent="0.25"/>
    <row r="308" ht="23.25" customHeight="1" x14ac:dyDescent="0.25"/>
    <row r="309" ht="23.25" customHeight="1" x14ac:dyDescent="0.25"/>
    <row r="310" ht="23.25" customHeight="1" x14ac:dyDescent="0.25"/>
    <row r="311" ht="23.25" customHeight="1" x14ac:dyDescent="0.25"/>
    <row r="312" ht="23.25" customHeight="1" x14ac:dyDescent="0.25"/>
    <row r="313" ht="23.25" customHeight="1" x14ac:dyDescent="0.25"/>
    <row r="314" ht="23.25" customHeight="1" x14ac:dyDescent="0.25"/>
    <row r="315" ht="23.25" customHeight="1" x14ac:dyDescent="0.25"/>
    <row r="316" ht="23.25" customHeight="1" x14ac:dyDescent="0.25"/>
    <row r="317" ht="23.25" customHeight="1" x14ac:dyDescent="0.25"/>
    <row r="318" ht="23.25" customHeight="1" x14ac:dyDescent="0.25"/>
    <row r="319" ht="23.25" customHeight="1" x14ac:dyDescent="0.25"/>
    <row r="320" ht="23.25" customHeight="1" x14ac:dyDescent="0.25"/>
    <row r="321" ht="23.25" customHeight="1" x14ac:dyDescent="0.25"/>
    <row r="322" ht="23.25" customHeight="1" x14ac:dyDescent="0.25"/>
    <row r="323" ht="23.25" customHeight="1" x14ac:dyDescent="0.25"/>
    <row r="324" ht="23.25" customHeight="1" x14ac:dyDescent="0.25"/>
    <row r="325" ht="23.25" customHeight="1" x14ac:dyDescent="0.25"/>
    <row r="326" ht="23.25" customHeight="1" x14ac:dyDescent="0.25"/>
    <row r="327" ht="23.25" customHeight="1" x14ac:dyDescent="0.25"/>
    <row r="328" ht="23.25" customHeight="1" x14ac:dyDescent="0.25"/>
    <row r="329" ht="23.25" customHeight="1" x14ac:dyDescent="0.25"/>
    <row r="330" ht="23.25" customHeight="1" x14ac:dyDescent="0.25"/>
    <row r="331" ht="23.25" customHeight="1" x14ac:dyDescent="0.25"/>
    <row r="332" ht="23.25" customHeight="1" x14ac:dyDescent="0.25"/>
    <row r="333" ht="23.25" customHeight="1" x14ac:dyDescent="0.25"/>
    <row r="334" ht="23.25" customHeight="1" x14ac:dyDescent="0.25"/>
    <row r="335" ht="23.25" customHeight="1" x14ac:dyDescent="0.25"/>
    <row r="336" ht="23.25" customHeight="1" x14ac:dyDescent="0.25"/>
    <row r="337" ht="23.25" customHeight="1" x14ac:dyDescent="0.25"/>
    <row r="338" ht="23.25" customHeight="1" x14ac:dyDescent="0.25"/>
    <row r="339" ht="23.25" customHeight="1" x14ac:dyDescent="0.25"/>
    <row r="340" ht="23.25" customHeight="1" x14ac:dyDescent="0.25"/>
    <row r="341" ht="23.25" customHeight="1" x14ac:dyDescent="0.25"/>
    <row r="342" ht="23.25" customHeight="1" x14ac:dyDescent="0.25"/>
    <row r="343" ht="23.25" customHeight="1" x14ac:dyDescent="0.25"/>
    <row r="344" ht="23.25" customHeight="1" x14ac:dyDescent="0.25"/>
    <row r="345" ht="23.25" customHeight="1" x14ac:dyDescent="0.25"/>
    <row r="346" ht="23.25" customHeight="1" x14ac:dyDescent="0.25"/>
    <row r="347" ht="23.25" customHeight="1" x14ac:dyDescent="0.25"/>
    <row r="348" ht="23.25" customHeight="1" x14ac:dyDescent="0.25"/>
    <row r="349" ht="23.25" customHeight="1" x14ac:dyDescent="0.25"/>
    <row r="350" ht="23.25" customHeight="1" x14ac:dyDescent="0.25"/>
    <row r="351" ht="23.25" customHeight="1" x14ac:dyDescent="0.25"/>
    <row r="352" ht="23.25" customHeight="1" x14ac:dyDescent="0.25"/>
    <row r="353" ht="23.25" customHeight="1" x14ac:dyDescent="0.25"/>
    <row r="354" ht="23.25" customHeight="1" x14ac:dyDescent="0.25"/>
    <row r="355" ht="23.25" customHeight="1" x14ac:dyDescent="0.25"/>
    <row r="356" ht="23.25" customHeight="1" x14ac:dyDescent="0.25"/>
    <row r="357" ht="23.25" customHeight="1" x14ac:dyDescent="0.25"/>
    <row r="358" ht="23.25" customHeight="1" x14ac:dyDescent="0.25"/>
    <row r="359" ht="23.25" customHeight="1" x14ac:dyDescent="0.25"/>
    <row r="360" ht="23.25" customHeight="1" x14ac:dyDescent="0.25"/>
    <row r="361" ht="23.25" customHeight="1" x14ac:dyDescent="0.25"/>
    <row r="362" ht="23.25" customHeight="1" x14ac:dyDescent="0.25"/>
    <row r="363" ht="23.25" customHeight="1" x14ac:dyDescent="0.25"/>
    <row r="364" ht="23.25" customHeight="1" x14ac:dyDescent="0.25"/>
    <row r="365" ht="23.25" customHeight="1" x14ac:dyDescent="0.25"/>
    <row r="366" ht="23.25" customHeight="1" x14ac:dyDescent="0.25"/>
    <row r="367" ht="23.25" customHeight="1" x14ac:dyDescent="0.25"/>
    <row r="368" ht="23.25" customHeight="1" x14ac:dyDescent="0.25"/>
    <row r="369" ht="23.25" customHeight="1" x14ac:dyDescent="0.25"/>
    <row r="370" ht="23.25" customHeight="1" x14ac:dyDescent="0.25"/>
    <row r="371" ht="23.25" customHeight="1" x14ac:dyDescent="0.25"/>
    <row r="372" ht="23.25" customHeight="1" x14ac:dyDescent="0.25"/>
    <row r="373" ht="23.25" customHeight="1" x14ac:dyDescent="0.25"/>
    <row r="374" ht="23.25" customHeight="1" x14ac:dyDescent="0.25"/>
    <row r="375" ht="23.25" customHeight="1" x14ac:dyDescent="0.25"/>
    <row r="376" ht="23.25" customHeight="1" x14ac:dyDescent="0.25"/>
    <row r="377" ht="23.25" customHeight="1" x14ac:dyDescent="0.25"/>
    <row r="378" ht="23.25" customHeight="1" x14ac:dyDescent="0.25"/>
    <row r="379" ht="23.25" customHeight="1" x14ac:dyDescent="0.25"/>
    <row r="380" ht="23.25" customHeight="1" x14ac:dyDescent="0.25"/>
    <row r="381" ht="23.25" customHeight="1" x14ac:dyDescent="0.25"/>
    <row r="382" ht="23.25" customHeight="1" x14ac:dyDescent="0.25"/>
    <row r="383" ht="23.25" customHeight="1" x14ac:dyDescent="0.25"/>
    <row r="384" ht="23.25" customHeight="1" x14ac:dyDescent="0.25"/>
    <row r="385" ht="23.25" customHeight="1" x14ac:dyDescent="0.25"/>
    <row r="386" ht="23.25" customHeight="1" x14ac:dyDescent="0.25"/>
    <row r="387" ht="23.25" customHeight="1" x14ac:dyDescent="0.25"/>
    <row r="388" ht="23.25" customHeight="1" x14ac:dyDescent="0.25"/>
    <row r="389" ht="23.25" customHeight="1" x14ac:dyDescent="0.25"/>
    <row r="390" ht="23.25" customHeight="1" x14ac:dyDescent="0.25"/>
    <row r="391" ht="23.25" customHeight="1" x14ac:dyDescent="0.25"/>
    <row r="392" ht="23.25" customHeight="1" x14ac:dyDescent="0.25"/>
    <row r="393" ht="23.25" customHeight="1" x14ac:dyDescent="0.25"/>
    <row r="394" ht="23.25" customHeight="1" x14ac:dyDescent="0.25"/>
    <row r="395" ht="23.25" customHeight="1" x14ac:dyDescent="0.25"/>
    <row r="396" ht="23.25" customHeight="1" x14ac:dyDescent="0.25"/>
    <row r="397" ht="23.25" customHeight="1" x14ac:dyDescent="0.25"/>
    <row r="398" ht="23.25" customHeight="1" x14ac:dyDescent="0.25"/>
    <row r="399" ht="23.25" customHeight="1" x14ac:dyDescent="0.25"/>
  </sheetData>
  <mergeCells count="20">
    <mergeCell ref="A3:C3"/>
    <mergeCell ref="AG5:AI5"/>
    <mergeCell ref="X5:Z5"/>
    <mergeCell ref="U5:W5"/>
    <mergeCell ref="E5:E6"/>
    <mergeCell ref="D5:D6"/>
    <mergeCell ref="B5:B6"/>
    <mergeCell ref="A5:A6"/>
    <mergeCell ref="R5:T5"/>
    <mergeCell ref="O5:Q5"/>
    <mergeCell ref="L5:N5"/>
    <mergeCell ref="F5:H5"/>
    <mergeCell ref="I5:K5"/>
    <mergeCell ref="AD5:AF5"/>
    <mergeCell ref="AA5:AC5"/>
    <mergeCell ref="AS5:AU5"/>
    <mergeCell ref="AJ5:AL5"/>
    <mergeCell ref="AM5:AO5"/>
    <mergeCell ref="AP5:AR5"/>
    <mergeCell ref="C5:C6"/>
  </mergeCells>
  <pageMargins left="0.25" right="0.25" top="0.75" bottom="0.75" header="0.3" footer="0.3"/>
  <pageSetup paperSize="9" scale="4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
  <sheetViews>
    <sheetView topLeftCell="D1" workbookViewId="0">
      <selection activeCell="K2" sqref="K2:K7"/>
    </sheetView>
  </sheetViews>
  <sheetFormatPr defaultRowHeight="15" x14ac:dyDescent="0.25"/>
  <cols>
    <col min="1" max="1" width="9.42578125" customWidth="1"/>
    <col min="2" max="2" width="17" customWidth="1"/>
    <col min="3" max="3" width="13.5703125" customWidth="1"/>
    <col min="4" max="4" width="21.28515625" customWidth="1"/>
    <col min="6" max="6" width="11" customWidth="1"/>
    <col min="7" max="7" width="13.28515625" customWidth="1"/>
    <col min="8" max="8" width="12.28515625" customWidth="1"/>
    <col min="9" max="9" width="12.7109375" customWidth="1"/>
    <col min="10" max="10" width="12.42578125" customWidth="1"/>
    <col min="11" max="11" width="14.28515625" customWidth="1"/>
    <col min="12" max="12" width="10.7109375" customWidth="1"/>
    <col min="13" max="13" width="9.28515625" customWidth="1"/>
    <col min="14" max="14" width="12.28515625" customWidth="1"/>
    <col min="15" max="15" width="11.7109375" customWidth="1"/>
    <col min="16" max="16" width="14.42578125" customWidth="1"/>
    <col min="17" max="17" width="12.140625" customWidth="1"/>
    <col min="18" max="18" width="20.28515625" customWidth="1"/>
    <col min="19" max="19" width="22.7109375" customWidth="1"/>
    <col min="20" max="20" width="18.85546875" customWidth="1"/>
    <col min="21" max="22" width="15.28515625" customWidth="1"/>
    <col min="23" max="23" width="15.5703125" customWidth="1"/>
    <col min="24" max="24" width="15.28515625" customWidth="1"/>
    <col min="25" max="25" width="17.140625" customWidth="1"/>
    <col min="26" max="26" width="13.7109375" customWidth="1"/>
    <col min="27" max="27" width="12.140625" customWidth="1"/>
    <col min="28" max="28" width="15.28515625" customWidth="1"/>
    <col min="29" max="29" width="14.7109375" customWidth="1"/>
    <col min="30" max="30" width="17.7109375" customWidth="1"/>
    <col min="31" max="31" width="15.42578125" customWidth="1"/>
    <col min="32" max="32" width="23.140625" customWidth="1"/>
    <col min="33" max="33" width="25.5703125" customWidth="1"/>
    <col min="34" max="34" width="21.7109375" customWidth="1"/>
    <col min="35" max="35" width="18.28515625" customWidth="1"/>
    <col min="38" max="38" width="14.5703125" customWidth="1"/>
    <col min="40" max="40" width="9" customWidth="1"/>
    <col min="41" max="41" width="10.7109375" customWidth="1"/>
    <col min="42" max="42" width="20" customWidth="1"/>
    <col min="43" max="43" width="11.28515625" customWidth="1"/>
  </cols>
  <sheetData>
    <row r="1" spans="1:43" x14ac:dyDescent="0.25">
      <c r="A1" t="s">
        <v>440</v>
      </c>
      <c r="B1" t="s">
        <v>413</v>
      </c>
      <c r="C1" t="s">
        <v>403</v>
      </c>
      <c r="D1" t="s">
        <v>414</v>
      </c>
      <c r="E1" t="s">
        <v>396</v>
      </c>
      <c r="F1" t="s">
        <v>0</v>
      </c>
      <c r="G1" t="s">
        <v>395</v>
      </c>
      <c r="H1" t="s">
        <v>457</v>
      </c>
      <c r="I1" t="s">
        <v>405</v>
      </c>
      <c r="J1" t="s">
        <v>458</v>
      </c>
      <c r="K1" t="s">
        <v>597</v>
      </c>
      <c r="L1" t="s">
        <v>459</v>
      </c>
      <c r="M1" t="s">
        <v>436</v>
      </c>
      <c r="N1" t="s">
        <v>437</v>
      </c>
      <c r="O1" t="s">
        <v>1232</v>
      </c>
      <c r="P1" t="s">
        <v>579</v>
      </c>
      <c r="Q1" t="s">
        <v>580</v>
      </c>
      <c r="R1" t="s">
        <v>994</v>
      </c>
      <c r="S1" t="s">
        <v>998</v>
      </c>
      <c r="T1" t="s">
        <v>1002</v>
      </c>
      <c r="U1" t="s">
        <v>1118</v>
      </c>
      <c r="V1" t="s">
        <v>1149</v>
      </c>
      <c r="W1" t="s">
        <v>1150</v>
      </c>
      <c r="X1" t="s">
        <v>1151</v>
      </c>
      <c r="Y1" t="s">
        <v>1152</v>
      </c>
      <c r="Z1" t="s">
        <v>1153</v>
      </c>
      <c r="AA1" t="s">
        <v>1155</v>
      </c>
      <c r="AB1" t="s">
        <v>1154</v>
      </c>
      <c r="AC1" t="s">
        <v>1233</v>
      </c>
      <c r="AD1" t="s">
        <v>1156</v>
      </c>
      <c r="AE1" t="s">
        <v>1157</v>
      </c>
      <c r="AF1" t="s">
        <v>1158</v>
      </c>
      <c r="AG1" t="s">
        <v>1159</v>
      </c>
      <c r="AH1" t="s">
        <v>1160</v>
      </c>
      <c r="AI1" t="s">
        <v>1161</v>
      </c>
      <c r="AJ1" t="s">
        <v>1164</v>
      </c>
      <c r="AK1" t="s">
        <v>560</v>
      </c>
      <c r="AL1" t="s">
        <v>1148</v>
      </c>
      <c r="AM1" t="s">
        <v>500</v>
      </c>
      <c r="AN1" t="s">
        <v>1087</v>
      </c>
      <c r="AO1" t="s">
        <v>442</v>
      </c>
      <c r="AP1" t="s">
        <v>1098</v>
      </c>
      <c r="AQ1" t="s">
        <v>498</v>
      </c>
    </row>
    <row r="2" spans="1:43" x14ac:dyDescent="0.25">
      <c r="A2">
        <v>15.566666666666666</v>
      </c>
      <c r="B2" s="188">
        <v>41750</v>
      </c>
      <c r="C2" t="s">
        <v>454</v>
      </c>
      <c r="E2" t="s">
        <v>555</v>
      </c>
      <c r="F2" t="s">
        <v>289</v>
      </c>
      <c r="G2" t="s">
        <v>1062</v>
      </c>
      <c r="K2">
        <v>90</v>
      </c>
      <c r="L2">
        <v>49</v>
      </c>
      <c r="M2">
        <v>98</v>
      </c>
      <c r="N2">
        <v>49</v>
      </c>
      <c r="P2">
        <v>49</v>
      </c>
      <c r="Q2">
        <v>225</v>
      </c>
      <c r="V2">
        <v>0</v>
      </c>
      <c r="W2">
        <v>0</v>
      </c>
      <c r="X2">
        <v>0</v>
      </c>
      <c r="Y2">
        <v>0</v>
      </c>
      <c r="Z2">
        <v>0</v>
      </c>
      <c r="AA2">
        <v>0</v>
      </c>
      <c r="AB2">
        <v>0</v>
      </c>
      <c r="AC2">
        <v>0</v>
      </c>
      <c r="AD2">
        <v>0</v>
      </c>
      <c r="AE2">
        <v>0</v>
      </c>
      <c r="AF2">
        <v>0</v>
      </c>
      <c r="AG2">
        <v>0</v>
      </c>
      <c r="AH2">
        <v>0</v>
      </c>
      <c r="AI2">
        <v>0</v>
      </c>
      <c r="AJ2">
        <v>0</v>
      </c>
      <c r="AK2" t="s">
        <v>1063</v>
      </c>
      <c r="AL2">
        <v>1</v>
      </c>
      <c r="AM2" t="s">
        <v>502</v>
      </c>
      <c r="AN2" t="s">
        <v>1100</v>
      </c>
      <c r="AO2">
        <v>1.1951219512195121</v>
      </c>
    </row>
    <row r="3" spans="1:43" x14ac:dyDescent="0.25">
      <c r="A3">
        <v>15.566666666666666</v>
      </c>
      <c r="B3" s="188">
        <v>41750</v>
      </c>
      <c r="C3" t="s">
        <v>454</v>
      </c>
      <c r="E3" t="s">
        <v>555</v>
      </c>
      <c r="F3" t="s">
        <v>289</v>
      </c>
      <c r="G3" t="s">
        <v>1062</v>
      </c>
      <c r="K3">
        <v>0</v>
      </c>
      <c r="L3">
        <v>1</v>
      </c>
      <c r="M3">
        <v>167</v>
      </c>
      <c r="N3">
        <v>1</v>
      </c>
      <c r="O3">
        <v>0</v>
      </c>
      <c r="P3">
        <v>1</v>
      </c>
      <c r="Q3">
        <v>0</v>
      </c>
      <c r="V3">
        <v>0</v>
      </c>
      <c r="W3">
        <v>0</v>
      </c>
      <c r="X3">
        <v>0</v>
      </c>
      <c r="Y3">
        <v>0</v>
      </c>
      <c r="Z3">
        <v>0</v>
      </c>
      <c r="AA3">
        <v>0</v>
      </c>
      <c r="AB3">
        <v>0</v>
      </c>
      <c r="AC3">
        <v>0</v>
      </c>
      <c r="AD3">
        <v>0</v>
      </c>
      <c r="AE3">
        <v>0</v>
      </c>
      <c r="AF3">
        <v>0</v>
      </c>
      <c r="AG3">
        <v>0</v>
      </c>
      <c r="AH3">
        <v>0</v>
      </c>
      <c r="AI3">
        <v>0</v>
      </c>
      <c r="AJ3">
        <v>0</v>
      </c>
      <c r="AK3" t="s">
        <v>1063</v>
      </c>
      <c r="AL3">
        <v>1</v>
      </c>
      <c r="AM3" t="s">
        <v>502</v>
      </c>
      <c r="AN3" t="s">
        <v>1100</v>
      </c>
      <c r="AO3">
        <v>2.4390243902439025E-2</v>
      </c>
      <c r="AQ3" t="s">
        <v>1246</v>
      </c>
    </row>
    <row r="4" spans="1:43" x14ac:dyDescent="0.25">
      <c r="A4">
        <v>14.866666666666667</v>
      </c>
      <c r="B4" s="188">
        <v>41771</v>
      </c>
      <c r="C4" t="s">
        <v>454</v>
      </c>
      <c r="E4" t="s">
        <v>555</v>
      </c>
      <c r="F4" t="s">
        <v>230</v>
      </c>
      <c r="G4" t="s">
        <v>1070</v>
      </c>
      <c r="K4">
        <v>82</v>
      </c>
      <c r="L4">
        <v>41</v>
      </c>
      <c r="M4">
        <v>82</v>
      </c>
      <c r="N4">
        <v>41</v>
      </c>
      <c r="P4">
        <v>41</v>
      </c>
      <c r="Q4">
        <v>205</v>
      </c>
      <c r="V4">
        <v>0</v>
      </c>
      <c r="W4">
        <v>0</v>
      </c>
      <c r="X4">
        <v>0</v>
      </c>
      <c r="Y4">
        <v>0</v>
      </c>
      <c r="Z4">
        <v>0</v>
      </c>
      <c r="AA4">
        <v>0</v>
      </c>
      <c r="AB4">
        <v>0</v>
      </c>
      <c r="AC4">
        <v>0</v>
      </c>
      <c r="AD4">
        <v>0</v>
      </c>
      <c r="AE4">
        <v>0</v>
      </c>
      <c r="AF4">
        <v>0</v>
      </c>
      <c r="AG4">
        <v>0</v>
      </c>
      <c r="AH4">
        <v>0</v>
      </c>
      <c r="AI4">
        <v>0</v>
      </c>
      <c r="AJ4">
        <v>0</v>
      </c>
      <c r="AK4" t="s">
        <v>1071</v>
      </c>
      <c r="AL4">
        <v>1</v>
      </c>
      <c r="AM4" t="s">
        <v>502</v>
      </c>
      <c r="AN4" t="s">
        <v>1100</v>
      </c>
      <c r="AO4">
        <v>1.3666666666666667</v>
      </c>
    </row>
    <row r="5" spans="1:43" x14ac:dyDescent="0.25">
      <c r="A5">
        <v>14.866666666666667</v>
      </c>
      <c r="B5" s="188">
        <v>41771</v>
      </c>
      <c r="C5" t="s">
        <v>454</v>
      </c>
      <c r="E5" t="s">
        <v>555</v>
      </c>
      <c r="F5" t="s">
        <v>230</v>
      </c>
      <c r="G5" t="s">
        <v>1070</v>
      </c>
      <c r="K5">
        <v>68</v>
      </c>
      <c r="L5">
        <v>9</v>
      </c>
      <c r="M5">
        <v>118</v>
      </c>
      <c r="N5">
        <v>9</v>
      </c>
      <c r="O5">
        <v>0</v>
      </c>
      <c r="P5">
        <v>9</v>
      </c>
      <c r="Q5">
        <v>45</v>
      </c>
      <c r="V5">
        <v>0</v>
      </c>
      <c r="W5">
        <v>0</v>
      </c>
      <c r="X5">
        <v>0</v>
      </c>
      <c r="Y5">
        <v>0</v>
      </c>
      <c r="Z5">
        <v>0</v>
      </c>
      <c r="AA5">
        <v>0</v>
      </c>
      <c r="AB5">
        <v>0</v>
      </c>
      <c r="AC5">
        <v>0</v>
      </c>
      <c r="AD5">
        <v>0</v>
      </c>
      <c r="AE5">
        <v>0</v>
      </c>
      <c r="AF5">
        <v>0</v>
      </c>
      <c r="AG5">
        <v>0</v>
      </c>
      <c r="AH5">
        <v>0</v>
      </c>
      <c r="AI5">
        <v>0</v>
      </c>
      <c r="AJ5">
        <v>0</v>
      </c>
      <c r="AK5" t="s">
        <v>1071</v>
      </c>
      <c r="AL5">
        <v>1</v>
      </c>
      <c r="AM5" t="s">
        <v>502</v>
      </c>
      <c r="AN5" t="s">
        <v>1100</v>
      </c>
      <c r="AO5">
        <v>0.3</v>
      </c>
      <c r="AQ5" t="s">
        <v>1246</v>
      </c>
    </row>
    <row r="6" spans="1:43" x14ac:dyDescent="0.25">
      <c r="A6">
        <v>14.9</v>
      </c>
      <c r="B6" s="188">
        <v>41770</v>
      </c>
      <c r="C6" t="s">
        <v>454</v>
      </c>
      <c r="E6" t="s">
        <v>555</v>
      </c>
      <c r="F6" t="s">
        <v>230</v>
      </c>
      <c r="G6" t="s">
        <v>1060</v>
      </c>
      <c r="K6">
        <v>162</v>
      </c>
      <c r="L6">
        <v>81</v>
      </c>
      <c r="M6">
        <v>162</v>
      </c>
      <c r="N6">
        <v>81</v>
      </c>
      <c r="P6">
        <v>81</v>
      </c>
      <c r="Q6">
        <v>405</v>
      </c>
      <c r="V6">
        <v>0</v>
      </c>
      <c r="W6">
        <v>0</v>
      </c>
      <c r="X6">
        <v>0</v>
      </c>
      <c r="Y6">
        <v>0</v>
      </c>
      <c r="Z6">
        <v>0</v>
      </c>
      <c r="AA6">
        <v>0</v>
      </c>
      <c r="AB6">
        <v>0</v>
      </c>
      <c r="AC6">
        <v>0</v>
      </c>
      <c r="AD6">
        <v>0</v>
      </c>
      <c r="AE6">
        <v>0</v>
      </c>
      <c r="AF6">
        <v>0</v>
      </c>
      <c r="AG6">
        <v>0</v>
      </c>
      <c r="AH6">
        <v>0</v>
      </c>
      <c r="AI6">
        <v>0</v>
      </c>
      <c r="AJ6">
        <v>0</v>
      </c>
      <c r="AK6" t="s">
        <v>1061</v>
      </c>
      <c r="AL6">
        <v>1</v>
      </c>
      <c r="AM6" t="s">
        <v>502</v>
      </c>
      <c r="AN6" t="s">
        <v>1100</v>
      </c>
      <c r="AO6">
        <v>1.3278688524590163</v>
      </c>
    </row>
    <row r="7" spans="1:43" x14ac:dyDescent="0.25">
      <c r="A7">
        <v>14.9</v>
      </c>
      <c r="B7" s="188">
        <v>41770</v>
      </c>
      <c r="C7" t="s">
        <v>454</v>
      </c>
      <c r="E7" t="s">
        <v>555</v>
      </c>
      <c r="F7" t="s">
        <v>230</v>
      </c>
      <c r="G7" t="s">
        <v>1060</v>
      </c>
      <c r="K7">
        <v>138</v>
      </c>
      <c r="L7">
        <v>19</v>
      </c>
      <c r="M7">
        <v>238</v>
      </c>
      <c r="N7">
        <v>19</v>
      </c>
      <c r="O7">
        <v>0</v>
      </c>
      <c r="P7">
        <v>19</v>
      </c>
      <c r="Q7">
        <v>95</v>
      </c>
      <c r="V7">
        <v>0</v>
      </c>
      <c r="W7">
        <v>0</v>
      </c>
      <c r="X7">
        <v>0</v>
      </c>
      <c r="Y7">
        <v>0</v>
      </c>
      <c r="Z7">
        <v>0</v>
      </c>
      <c r="AA7">
        <v>0</v>
      </c>
      <c r="AB7">
        <v>0</v>
      </c>
      <c r="AC7">
        <v>0</v>
      </c>
      <c r="AD7">
        <v>0</v>
      </c>
      <c r="AE7">
        <v>0</v>
      </c>
      <c r="AF7">
        <v>0</v>
      </c>
      <c r="AG7">
        <v>0</v>
      </c>
      <c r="AH7">
        <v>0</v>
      </c>
      <c r="AI7">
        <v>0</v>
      </c>
      <c r="AJ7">
        <v>0</v>
      </c>
      <c r="AK7" t="s">
        <v>1061</v>
      </c>
      <c r="AL7">
        <v>1</v>
      </c>
      <c r="AM7" t="s">
        <v>502</v>
      </c>
      <c r="AN7" t="s">
        <v>1100</v>
      </c>
      <c r="AO7">
        <v>0.31147540983606559</v>
      </c>
      <c r="AQ7" t="s">
        <v>1246</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BG79"/>
  <sheetViews>
    <sheetView showZeros="0" zoomScale="70" zoomScaleNormal="70" workbookViewId="0">
      <pane ySplit="2" topLeftCell="A3" activePane="bottomLeft" state="frozen"/>
      <selection activeCell="AS915" sqref="AS915"/>
      <selection pane="bottomLeft" activeCell="P63" sqref="P63"/>
    </sheetView>
  </sheetViews>
  <sheetFormatPr defaultRowHeight="15" x14ac:dyDescent="0.25"/>
  <cols>
    <col min="1" max="1" width="17.85546875" customWidth="1"/>
    <col min="2" max="2" width="18.28515625" customWidth="1"/>
    <col min="3" max="3" width="12.42578125" customWidth="1"/>
    <col min="4" max="4" width="10.28515625" customWidth="1"/>
    <col min="5" max="5" width="15" customWidth="1"/>
    <col min="6" max="6" width="18.85546875" customWidth="1"/>
    <col min="7" max="7" width="14.85546875" customWidth="1"/>
    <col min="8" max="8" width="17.7109375" customWidth="1"/>
    <col min="9" max="13" width="15" customWidth="1"/>
    <col min="14" max="15" width="17" customWidth="1"/>
    <col min="16" max="16" width="17.28515625" bestFit="1" customWidth="1"/>
    <col min="17" max="20" width="10.85546875" customWidth="1"/>
    <col min="21" max="21" width="14.7109375" customWidth="1"/>
    <col min="22" max="22" width="11.28515625" customWidth="1"/>
  </cols>
  <sheetData>
    <row r="1" spans="1:59" s="1" customFormat="1" ht="36" x14ac:dyDescent="0.25">
      <c r="A1" s="303"/>
      <c r="B1" s="304"/>
      <c r="C1" s="304"/>
      <c r="D1" s="304"/>
      <c r="E1" s="304"/>
      <c r="F1" s="304"/>
      <c r="G1" s="304"/>
      <c r="H1" s="304"/>
      <c r="I1" s="304"/>
      <c r="J1" s="304"/>
      <c r="K1" s="304"/>
      <c r="L1" s="304"/>
      <c r="M1" s="304"/>
      <c r="N1" s="305"/>
      <c r="O1" s="291"/>
      <c r="P1" s="291"/>
      <c r="Q1" s="291"/>
      <c r="R1" s="291"/>
      <c r="S1" s="291"/>
      <c r="T1" s="291"/>
      <c r="U1" s="291"/>
      <c r="V1" s="291"/>
      <c r="W1" s="291"/>
      <c r="X1" s="291"/>
      <c r="Y1" s="291"/>
      <c r="Z1" s="291"/>
      <c r="AA1" s="18"/>
      <c r="AB1" s="18"/>
      <c r="BF1" s="59"/>
      <c r="BG1" s="59"/>
    </row>
    <row r="2" spans="1:59" s="1" customFormat="1" ht="33.75" x14ac:dyDescent="0.35">
      <c r="A2" s="855" t="s">
        <v>460</v>
      </c>
      <c r="B2" s="856"/>
      <c r="C2" s="856"/>
      <c r="D2" s="856"/>
      <c r="E2" s="856"/>
      <c r="F2" s="856"/>
      <c r="G2" s="856"/>
      <c r="H2" s="856"/>
      <c r="I2" s="85"/>
      <c r="J2" s="85"/>
      <c r="K2" s="85"/>
      <c r="L2" s="85"/>
      <c r="M2" s="85"/>
      <c r="N2" s="306"/>
      <c r="O2" s="292"/>
      <c r="P2" s="18"/>
      <c r="Q2" s="18"/>
      <c r="R2" s="18"/>
      <c r="S2" s="18"/>
      <c r="T2" s="18"/>
      <c r="U2" s="18"/>
      <c r="V2" s="4"/>
      <c r="W2" s="4"/>
      <c r="X2" s="4"/>
      <c r="Y2" s="4"/>
      <c r="Z2" s="4"/>
      <c r="AA2" s="4"/>
      <c r="AB2" s="4"/>
      <c r="AC2" s="82"/>
      <c r="AD2" s="82"/>
      <c r="AE2" s="82"/>
      <c r="AF2" s="82"/>
      <c r="AG2" s="82"/>
      <c r="AH2" s="82"/>
      <c r="AI2" s="82"/>
      <c r="AJ2" s="82"/>
      <c r="AK2" s="82"/>
      <c r="AL2" s="82"/>
      <c r="AM2" s="82"/>
      <c r="AN2" s="82"/>
      <c r="AO2" s="82"/>
      <c r="AP2" s="82"/>
      <c r="AZ2" s="59"/>
      <c r="BA2" s="59"/>
    </row>
    <row r="3" spans="1:59" s="18" customFormat="1" ht="33.75" x14ac:dyDescent="0.35">
      <c r="A3" s="857">
        <f>Report_Date</f>
        <v>42370</v>
      </c>
      <c r="B3" s="858"/>
      <c r="C3" s="858"/>
      <c r="D3" s="858"/>
      <c r="E3" s="858"/>
      <c r="F3" s="858"/>
      <c r="G3" s="858"/>
      <c r="H3" s="858"/>
      <c r="I3" s="307"/>
      <c r="J3" s="307"/>
      <c r="K3" s="307"/>
      <c r="L3" s="307"/>
      <c r="M3" s="307"/>
      <c r="N3" s="308"/>
      <c r="O3" s="292"/>
      <c r="W3" s="4"/>
      <c r="X3" s="4"/>
      <c r="Y3" s="4"/>
      <c r="Z3" s="4"/>
      <c r="AA3" s="4"/>
      <c r="AB3" s="4"/>
      <c r="AC3" s="82"/>
      <c r="AD3" s="82"/>
      <c r="AE3" s="82"/>
      <c r="AF3" s="82"/>
      <c r="AG3" s="82"/>
      <c r="AH3" s="82"/>
      <c r="AI3" s="82"/>
      <c r="AJ3" s="82"/>
      <c r="AK3" s="82"/>
      <c r="AL3" s="82"/>
      <c r="AM3" s="82"/>
      <c r="AN3" s="82"/>
      <c r="AO3" s="82"/>
      <c r="AP3" s="82"/>
      <c r="AZ3" s="60"/>
      <c r="BA3" s="60"/>
    </row>
    <row r="4" spans="1:59" s="18" customFormat="1" ht="36" x14ac:dyDescent="0.25">
      <c r="A4" s="61"/>
      <c r="B4" s="61"/>
      <c r="C4" s="61"/>
      <c r="D4" s="45"/>
      <c r="E4" s="45"/>
      <c r="F4" s="45"/>
      <c r="G4" s="45"/>
      <c r="H4" s="45"/>
      <c r="I4" s="45"/>
      <c r="J4" s="45"/>
      <c r="L4" s="45"/>
      <c r="M4" s="45"/>
      <c r="N4" s="45"/>
      <c r="O4" s="45"/>
      <c r="P4" s="45"/>
      <c r="Q4" s="45"/>
      <c r="R4" s="45"/>
      <c r="S4" s="60"/>
      <c r="T4" s="45"/>
      <c r="U4" s="45"/>
      <c r="BF4" s="60"/>
      <c r="BG4" s="60"/>
    </row>
    <row r="5" spans="1:59" s="50" customFormat="1" ht="32.25" thickBot="1" x14ac:dyDescent="0.55000000000000004">
      <c r="A5" s="55" t="s">
        <v>380</v>
      </c>
      <c r="B5" s="57"/>
      <c r="C5" s="57"/>
      <c r="D5" s="57"/>
      <c r="E5" s="57"/>
      <c r="F5" s="57"/>
      <c r="G5" s="57"/>
      <c r="H5" s="57"/>
      <c r="I5" s="57"/>
      <c r="J5" s="57"/>
      <c r="K5" s="57"/>
      <c r="L5" s="57"/>
      <c r="M5" s="57"/>
      <c r="N5" s="57"/>
      <c r="O5" s="293"/>
      <c r="P5" s="293"/>
      <c r="Q5" s="293"/>
      <c r="R5" s="293"/>
      <c r="S5" s="293"/>
      <c r="T5" s="293"/>
      <c r="U5" s="293"/>
      <c r="V5" s="293"/>
      <c r="W5" s="293"/>
      <c r="X5" s="293"/>
      <c r="Y5" s="293"/>
      <c r="Z5" s="293"/>
      <c r="AA5" s="4"/>
      <c r="AB5" s="4"/>
    </row>
    <row r="6" spans="1:59" ht="25.5" x14ac:dyDescent="0.25">
      <c r="A6" s="891" t="s">
        <v>0</v>
      </c>
      <c r="B6" s="893" t="s">
        <v>427</v>
      </c>
      <c r="C6" s="893" t="s">
        <v>428</v>
      </c>
      <c r="D6" s="328" t="s">
        <v>485</v>
      </c>
      <c r="E6" s="328" t="s">
        <v>459</v>
      </c>
      <c r="F6" s="328" t="s">
        <v>436</v>
      </c>
      <c r="G6" s="328" t="s">
        <v>437</v>
      </c>
      <c r="H6" s="328" t="s">
        <v>486</v>
      </c>
      <c r="I6" s="328" t="s">
        <v>579</v>
      </c>
      <c r="J6" s="328" t="s">
        <v>580</v>
      </c>
      <c r="K6" s="328" t="s">
        <v>994</v>
      </c>
      <c r="L6" s="328" t="s">
        <v>998</v>
      </c>
      <c r="M6" s="328" t="s">
        <v>1002</v>
      </c>
      <c r="N6" s="97" t="s">
        <v>1002</v>
      </c>
      <c r="O6" s="4"/>
      <c r="P6" s="4"/>
      <c r="Q6" s="4"/>
      <c r="R6" s="4"/>
      <c r="S6" s="4"/>
      <c r="T6" s="4"/>
      <c r="U6" s="4"/>
      <c r="V6" s="4"/>
      <c r="W6" s="4"/>
      <c r="X6" s="4"/>
      <c r="Y6" s="4"/>
      <c r="Z6" s="4"/>
      <c r="AA6" s="4"/>
      <c r="AB6" s="4"/>
    </row>
    <row r="7" spans="1:59" x14ac:dyDescent="0.25">
      <c r="A7" s="892"/>
      <c r="B7" s="894"/>
      <c r="C7" s="894"/>
      <c r="D7" s="329" t="s">
        <v>438</v>
      </c>
      <c r="E7" s="329" t="s">
        <v>438</v>
      </c>
      <c r="F7" s="329" t="s">
        <v>438</v>
      </c>
      <c r="G7" s="329" t="s">
        <v>438</v>
      </c>
      <c r="H7" s="329" t="s">
        <v>438</v>
      </c>
      <c r="I7" s="329" t="s">
        <v>438</v>
      </c>
      <c r="J7" s="329" t="s">
        <v>438</v>
      </c>
      <c r="K7" s="329" t="s">
        <v>438</v>
      </c>
      <c r="L7" s="329" t="s">
        <v>438</v>
      </c>
      <c r="M7" s="329" t="s">
        <v>438</v>
      </c>
      <c r="N7" s="98" t="s">
        <v>438</v>
      </c>
      <c r="O7" s="4"/>
      <c r="P7" s="4"/>
      <c r="Q7" s="4"/>
      <c r="R7" s="4"/>
      <c r="S7" s="4"/>
      <c r="T7" s="4"/>
      <c r="U7" s="4"/>
      <c r="V7" s="4"/>
      <c r="W7" s="4"/>
      <c r="X7" s="4"/>
      <c r="Y7" s="4"/>
      <c r="Z7" s="4"/>
      <c r="AA7" s="4"/>
      <c r="AB7" s="4"/>
    </row>
    <row r="8" spans="1:59" x14ac:dyDescent="0.25">
      <c r="A8" s="459" t="s">
        <v>5</v>
      </c>
      <c r="B8" s="458">
        <f>SUMIFS(Camplist_HH,Camplist_Township,'NFI Distribution (by Tship)'!$A8,Camplist_Type_Of_Acc,"Camp")</f>
        <v>1337</v>
      </c>
      <c r="C8" s="458">
        <f>SUMIFS(Camplist_Popl,Camplist_Township,'NFI Distribution (by Tship)'!$A8,Camplist_Type_Of_Acc,"Camp")</f>
        <v>7121</v>
      </c>
      <c r="D8" s="34">
        <f t="shared" ref="D8:D28" si="0">SUMIF(NFI_Township,$A8,NFI_Mosquito_Track)</f>
        <v>0</v>
      </c>
      <c r="E8" s="34">
        <f t="shared" ref="E8:E28" si="1">SUMIF(NFI_Township,$A8,NFI_Tarpaulin_Track)</f>
        <v>3</v>
      </c>
      <c r="F8" s="34">
        <f t="shared" ref="F8:F28" si="2">SUMIF(NFI_Township,$A8,NFI_Blanket_Track)</f>
        <v>68</v>
      </c>
      <c r="G8" s="34">
        <f t="shared" ref="G8:G28" si="3">SUMIF(NFI_Township,$A8,NFI_Kitchen_Track)</f>
        <v>0</v>
      </c>
      <c r="H8" s="34">
        <f t="shared" ref="H8:H28" si="4">SUMIF(NFI_Township,$A8,NFI_Clothes_Track)</f>
        <v>0</v>
      </c>
      <c r="I8" s="34">
        <f t="shared" ref="I8:I28" si="5">SUMIF(NFI_Township,$A8,NFI_Plastic_Bucket_Track)</f>
        <v>29</v>
      </c>
      <c r="J8" s="34">
        <f t="shared" ref="J8:J28" si="6">SUMIF(NFI_Township,$A8,NFI_Plastic_Mat_Track)</f>
        <v>1827.5</v>
      </c>
      <c r="K8" s="34">
        <f t="shared" ref="K8:K28" si="7">SUMIF(NFI_Township,$A8,NFI_Winter_Clothes_Adult_Track)</f>
        <v>4546</v>
      </c>
      <c r="L8" s="34">
        <f t="shared" ref="L8:L28" si="8">SUMIF(NFI_Township,$A8,NFI_Winter_Clothes_Children_Track)</f>
        <v>6636</v>
      </c>
      <c r="M8" s="34">
        <f t="shared" ref="M8:M28" si="9">SUMIF(NFI_Township,$A8,NFI_Winter_Items_Other_Track)</f>
        <v>0</v>
      </c>
      <c r="N8" s="460">
        <f t="shared" ref="N8:N28" si="10">SUMIF(NFI_Township,$A8,NFI_Winter_Blanket_Track)</f>
        <v>0</v>
      </c>
      <c r="O8" s="4"/>
      <c r="P8" s="4"/>
      <c r="Q8" s="4"/>
      <c r="R8" s="4"/>
      <c r="S8" s="4"/>
      <c r="T8" s="4"/>
      <c r="U8" s="4"/>
      <c r="V8" s="4"/>
      <c r="W8" s="4"/>
      <c r="X8" s="4"/>
      <c r="Y8" s="4"/>
      <c r="Z8" s="4"/>
      <c r="AA8" s="4"/>
      <c r="AB8" s="4"/>
    </row>
    <row r="9" spans="1:59" x14ac:dyDescent="0.25">
      <c r="A9" s="459" t="s">
        <v>27</v>
      </c>
      <c r="B9" s="458">
        <f>SUMIFS(Camplist_HH,Camplist_Township,'NFI Distribution (by Tship)'!$A9,Camplist_Type_Of_Acc,"Camp")</f>
        <v>501</v>
      </c>
      <c r="C9" s="458">
        <f>SUMIFS(Camplist_Popl,Camplist_Township,'NFI Distribution (by Tship)'!$A9,Camplist_Type_Of_Acc,"Camp")</f>
        <v>2570</v>
      </c>
      <c r="D9" s="34">
        <f t="shared" si="0"/>
        <v>0</v>
      </c>
      <c r="E9" s="34">
        <f t="shared" si="1"/>
        <v>0</v>
      </c>
      <c r="F9" s="34">
        <f t="shared" si="2"/>
        <v>0</v>
      </c>
      <c r="G9" s="34">
        <f t="shared" si="3"/>
        <v>0</v>
      </c>
      <c r="H9" s="34">
        <f t="shared" si="4"/>
        <v>0</v>
      </c>
      <c r="I9" s="34">
        <f t="shared" si="5"/>
        <v>0</v>
      </c>
      <c r="J9" s="34">
        <f t="shared" si="6"/>
        <v>0</v>
      </c>
      <c r="K9" s="34">
        <f t="shared" si="7"/>
        <v>941</v>
      </c>
      <c r="L9" s="34">
        <f t="shared" si="8"/>
        <v>619</v>
      </c>
      <c r="M9" s="34">
        <f t="shared" si="9"/>
        <v>0</v>
      </c>
      <c r="N9" s="460">
        <f t="shared" si="10"/>
        <v>549</v>
      </c>
      <c r="O9" s="4"/>
      <c r="P9" s="4"/>
      <c r="Q9" s="4"/>
      <c r="R9" s="4"/>
      <c r="S9" s="4"/>
      <c r="T9" s="4"/>
      <c r="U9" s="4"/>
      <c r="V9" s="4"/>
      <c r="W9" s="4"/>
      <c r="X9" s="4"/>
      <c r="Y9" s="4"/>
      <c r="Z9" s="4"/>
      <c r="AA9" s="4"/>
      <c r="AB9" s="4"/>
    </row>
    <row r="10" spans="1:59" x14ac:dyDescent="0.25">
      <c r="A10" s="459" t="s">
        <v>529</v>
      </c>
      <c r="B10" s="458">
        <f>SUMIFS(Camplist_HH,Camplist_Township,'NFI Distribution (by Tship)'!$A10,Camplist_Type_Of_Acc,"Camp")</f>
        <v>724</v>
      </c>
      <c r="C10" s="458">
        <f>SUMIFS(Camplist_Popl,Camplist_Township,'NFI Distribution (by Tship)'!$A10,Camplist_Type_Of_Acc,"Camp")</f>
        <v>3566</v>
      </c>
      <c r="D10" s="34">
        <f t="shared" si="0"/>
        <v>600</v>
      </c>
      <c r="E10" s="34">
        <f t="shared" si="1"/>
        <v>450</v>
      </c>
      <c r="F10" s="34">
        <f t="shared" si="2"/>
        <v>600</v>
      </c>
      <c r="G10" s="34">
        <f t="shared" si="3"/>
        <v>300</v>
      </c>
      <c r="H10" s="34">
        <f t="shared" si="4"/>
        <v>0</v>
      </c>
      <c r="I10" s="34">
        <f t="shared" si="5"/>
        <v>300</v>
      </c>
      <c r="J10" s="34">
        <f t="shared" si="6"/>
        <v>4250</v>
      </c>
      <c r="K10" s="34">
        <f t="shared" si="7"/>
        <v>187</v>
      </c>
      <c r="L10" s="34">
        <f t="shared" si="8"/>
        <v>89</v>
      </c>
      <c r="M10" s="34">
        <f t="shared" si="9"/>
        <v>0</v>
      </c>
      <c r="N10" s="460">
        <f t="shared" si="10"/>
        <v>0</v>
      </c>
    </row>
    <row r="11" spans="1:59" x14ac:dyDescent="0.25">
      <c r="A11" s="459" t="s">
        <v>784</v>
      </c>
      <c r="B11" s="458">
        <f>SUMIFS(Camplist_HH,Camplist_Township,'NFI Distribution (by Tship)'!$A11,Camplist_Type_Of_Acc,"Camp")</f>
        <v>44</v>
      </c>
      <c r="C11" s="458">
        <f>SUMIFS(Camplist_Popl,Camplist_Township,'NFI Distribution (by Tship)'!$A11,Camplist_Type_Of_Acc,"Camp")</f>
        <v>273</v>
      </c>
      <c r="D11" s="34">
        <f t="shared" si="0"/>
        <v>85</v>
      </c>
      <c r="E11" s="34">
        <f t="shared" si="1"/>
        <v>43</v>
      </c>
      <c r="F11" s="34">
        <f t="shared" si="2"/>
        <v>95</v>
      </c>
      <c r="G11" s="34">
        <f t="shared" si="3"/>
        <v>43</v>
      </c>
      <c r="H11" s="34">
        <f t="shared" si="4"/>
        <v>43</v>
      </c>
      <c r="I11" s="34">
        <f t="shared" si="5"/>
        <v>43</v>
      </c>
      <c r="J11" s="34">
        <f t="shared" si="6"/>
        <v>237.5</v>
      </c>
      <c r="K11" s="34">
        <f t="shared" si="7"/>
        <v>0</v>
      </c>
      <c r="L11" s="34">
        <f t="shared" si="8"/>
        <v>0</v>
      </c>
      <c r="M11" s="34">
        <f t="shared" si="9"/>
        <v>0</v>
      </c>
      <c r="N11" s="460">
        <f t="shared" si="10"/>
        <v>0</v>
      </c>
    </row>
    <row r="12" spans="1:59" x14ac:dyDescent="0.25">
      <c r="A12" s="459" t="s">
        <v>363</v>
      </c>
      <c r="B12" s="458">
        <f>SUMIFS(Camplist_HH,Camplist_Township,'NFI Distribution (by Tship)'!$A12,Camplist_Type_Of_Acc,"Camp")</f>
        <v>0</v>
      </c>
      <c r="C12" s="458">
        <f>SUMIFS(Camplist_Popl,Camplist_Township,'NFI Distribution (by Tship)'!$A12,Camplist_Type_Of_Acc,"Camp")</f>
        <v>0</v>
      </c>
      <c r="D12" s="34">
        <f t="shared" si="0"/>
        <v>0</v>
      </c>
      <c r="E12" s="34">
        <f t="shared" si="1"/>
        <v>0</v>
      </c>
      <c r="F12" s="34">
        <f t="shared" si="2"/>
        <v>0</v>
      </c>
      <c r="G12" s="34">
        <f t="shared" si="3"/>
        <v>0</v>
      </c>
      <c r="H12" s="34">
        <f t="shared" si="4"/>
        <v>0</v>
      </c>
      <c r="I12" s="34">
        <f t="shared" si="5"/>
        <v>0</v>
      </c>
      <c r="J12" s="34">
        <f t="shared" si="6"/>
        <v>0</v>
      </c>
      <c r="K12" s="34">
        <f t="shared" si="7"/>
        <v>0</v>
      </c>
      <c r="L12" s="34">
        <f t="shared" si="8"/>
        <v>0</v>
      </c>
      <c r="M12" s="34">
        <f t="shared" si="9"/>
        <v>0</v>
      </c>
      <c r="N12" s="460">
        <f t="shared" si="10"/>
        <v>0</v>
      </c>
    </row>
    <row r="13" spans="1:59" s="82" customFormat="1" x14ac:dyDescent="0.25">
      <c r="A13" s="459" t="s">
        <v>144</v>
      </c>
      <c r="B13" s="458">
        <f>SUMIFS(Camplist_HH,Camplist_Township,'NFI Distribution (by Tship)'!$A13,Camplist_Type_Of_Acc,"Camp")</f>
        <v>11</v>
      </c>
      <c r="C13" s="458">
        <f>SUMIFS(Camplist_Popl,Camplist_Township,'NFI Distribution (by Tship)'!$A13,Camplist_Type_Of_Acc,"Camp")</f>
        <v>17</v>
      </c>
      <c r="D13" s="34">
        <f t="shared" si="0"/>
        <v>0</v>
      </c>
      <c r="E13" s="34">
        <f t="shared" si="1"/>
        <v>0</v>
      </c>
      <c r="F13" s="34">
        <f t="shared" si="2"/>
        <v>0</v>
      </c>
      <c r="G13" s="34">
        <f t="shared" si="3"/>
        <v>0</v>
      </c>
      <c r="H13" s="34">
        <f t="shared" si="4"/>
        <v>0</v>
      </c>
      <c r="I13" s="34">
        <f t="shared" si="5"/>
        <v>0</v>
      </c>
      <c r="J13" s="34">
        <f t="shared" si="6"/>
        <v>0</v>
      </c>
      <c r="K13" s="34">
        <f t="shared" si="7"/>
        <v>0</v>
      </c>
      <c r="L13" s="34">
        <f t="shared" si="8"/>
        <v>0</v>
      </c>
      <c r="M13" s="34">
        <f t="shared" si="9"/>
        <v>0</v>
      </c>
      <c r="N13" s="460">
        <f t="shared" si="10"/>
        <v>0</v>
      </c>
    </row>
    <row r="14" spans="1:59" s="82" customFormat="1" x14ac:dyDescent="0.25">
      <c r="A14" s="459" t="s">
        <v>146</v>
      </c>
      <c r="B14" s="458">
        <f>SUMIFS(Camplist_HH,Camplist_Township,'NFI Distribution (by Tship)'!$A14,Camplist_Type_Of_Acc,"Camp")</f>
        <v>700</v>
      </c>
      <c r="C14" s="458">
        <f>SUMIFS(Camplist_Popl,Camplist_Township,'NFI Distribution (by Tship)'!$A14,Camplist_Type_Of_Acc,"Camp")</f>
        <v>3409</v>
      </c>
      <c r="D14" s="34">
        <f t="shared" si="0"/>
        <v>403</v>
      </c>
      <c r="E14" s="34">
        <f t="shared" si="1"/>
        <v>198</v>
      </c>
      <c r="F14" s="34">
        <f t="shared" si="2"/>
        <v>242</v>
      </c>
      <c r="G14" s="34">
        <f t="shared" si="3"/>
        <v>198</v>
      </c>
      <c r="H14" s="34">
        <f t="shared" si="4"/>
        <v>54</v>
      </c>
      <c r="I14" s="34">
        <f t="shared" si="5"/>
        <v>198</v>
      </c>
      <c r="J14" s="34">
        <f t="shared" si="6"/>
        <v>777.5</v>
      </c>
      <c r="K14" s="34">
        <f t="shared" si="7"/>
        <v>0</v>
      </c>
      <c r="L14" s="34">
        <f t="shared" si="8"/>
        <v>0</v>
      </c>
      <c r="M14" s="34">
        <f t="shared" si="9"/>
        <v>0</v>
      </c>
      <c r="N14" s="460">
        <f t="shared" si="10"/>
        <v>0</v>
      </c>
    </row>
    <row r="15" spans="1:59" s="82" customFormat="1" x14ac:dyDescent="0.25">
      <c r="A15" s="459" t="s">
        <v>899</v>
      </c>
      <c r="B15" s="458">
        <f>SUMIFS(Camplist_HH,Camplist_Township,'NFI Distribution (by Tship)'!$A15,Camplist_Type_Of_Acc,"Camp")</f>
        <v>0</v>
      </c>
      <c r="C15" s="458">
        <f>SUMIFS(Camplist_Popl,Camplist_Township,'NFI Distribution (by Tship)'!$A15,Camplist_Type_Of_Acc,"Camp")</f>
        <v>0</v>
      </c>
      <c r="D15" s="34">
        <f t="shared" si="0"/>
        <v>0</v>
      </c>
      <c r="E15" s="34">
        <f t="shared" si="1"/>
        <v>0</v>
      </c>
      <c r="F15" s="34">
        <f t="shared" si="2"/>
        <v>0</v>
      </c>
      <c r="G15" s="34">
        <f t="shared" si="3"/>
        <v>0</v>
      </c>
      <c r="H15" s="34">
        <f t="shared" si="4"/>
        <v>0</v>
      </c>
      <c r="I15" s="34">
        <f t="shared" si="5"/>
        <v>0</v>
      </c>
      <c r="J15" s="34">
        <f t="shared" si="6"/>
        <v>0</v>
      </c>
      <c r="K15" s="34">
        <f t="shared" si="7"/>
        <v>0</v>
      </c>
      <c r="L15" s="34">
        <f t="shared" si="8"/>
        <v>0</v>
      </c>
      <c r="M15" s="34">
        <f t="shared" si="9"/>
        <v>0</v>
      </c>
      <c r="N15" s="460">
        <f t="shared" si="10"/>
        <v>0</v>
      </c>
    </row>
    <row r="16" spans="1:59" s="82" customFormat="1" x14ac:dyDescent="0.25">
      <c r="A16" s="459" t="s">
        <v>151</v>
      </c>
      <c r="B16" s="458">
        <f>SUMIFS(Camplist_HH,Camplist_Township,'NFI Distribution (by Tship)'!$A16,Camplist_Type_Of_Acc,"Camp")</f>
        <v>2534</v>
      </c>
      <c r="C16" s="458">
        <f>SUMIFS(Camplist_Popl,Camplist_Township,'NFI Distribution (by Tship)'!$A16,Camplist_Type_Of_Acc,"Camp")</f>
        <v>11468</v>
      </c>
      <c r="D16" s="34">
        <f t="shared" si="0"/>
        <v>2267</v>
      </c>
      <c r="E16" s="34">
        <f t="shared" si="1"/>
        <v>301</v>
      </c>
      <c r="F16" s="34">
        <f t="shared" si="2"/>
        <v>2671</v>
      </c>
      <c r="G16" s="34">
        <f t="shared" si="3"/>
        <v>292</v>
      </c>
      <c r="H16" s="34">
        <f t="shared" si="4"/>
        <v>0</v>
      </c>
      <c r="I16" s="34">
        <f t="shared" si="5"/>
        <v>305</v>
      </c>
      <c r="J16" s="34">
        <f t="shared" si="6"/>
        <v>3585</v>
      </c>
      <c r="K16" s="34">
        <f t="shared" si="7"/>
        <v>0</v>
      </c>
      <c r="L16" s="34">
        <f t="shared" si="8"/>
        <v>0</v>
      </c>
      <c r="M16" s="34">
        <f t="shared" si="9"/>
        <v>0</v>
      </c>
      <c r="N16" s="460">
        <f t="shared" si="10"/>
        <v>0</v>
      </c>
    </row>
    <row r="17" spans="1:15" x14ac:dyDescent="0.25">
      <c r="A17" s="459" t="s">
        <v>166</v>
      </c>
      <c r="B17" s="458">
        <f>SUMIFS(Camplist_HH,Camplist_Township,'NFI Distribution (by Tship)'!$A17,Camplist_Type_Of_Acc,"Camp")</f>
        <v>69</v>
      </c>
      <c r="C17" s="458">
        <f>SUMIFS(Camplist_Popl,Camplist_Township,'NFI Distribution (by Tship)'!$A17,Camplist_Type_Of_Acc,"Camp")</f>
        <v>347</v>
      </c>
      <c r="D17" s="34">
        <f t="shared" si="0"/>
        <v>0</v>
      </c>
      <c r="E17" s="34">
        <f t="shared" si="1"/>
        <v>0</v>
      </c>
      <c r="F17" s="34">
        <f t="shared" si="2"/>
        <v>0</v>
      </c>
      <c r="G17" s="34">
        <f t="shared" si="3"/>
        <v>0</v>
      </c>
      <c r="H17" s="34">
        <f t="shared" si="4"/>
        <v>0</v>
      </c>
      <c r="I17" s="34">
        <f t="shared" si="5"/>
        <v>0</v>
      </c>
      <c r="J17" s="34">
        <f t="shared" si="6"/>
        <v>0</v>
      </c>
      <c r="K17" s="34">
        <f t="shared" si="7"/>
        <v>0</v>
      </c>
      <c r="L17" s="34">
        <f t="shared" si="8"/>
        <v>0</v>
      </c>
      <c r="M17" s="34">
        <f t="shared" si="9"/>
        <v>0</v>
      </c>
      <c r="N17" s="460">
        <f t="shared" si="10"/>
        <v>0</v>
      </c>
    </row>
    <row r="18" spans="1:15" x14ac:dyDescent="0.25">
      <c r="A18" s="459" t="s">
        <v>173</v>
      </c>
      <c r="B18" s="458">
        <f>SUMIFS(Camplist_HH,Camplist_Township,'NFI Distribution (by Tship)'!$A18,Camplist_Type_Of_Acc,"Camp")</f>
        <v>57</v>
      </c>
      <c r="C18" s="458">
        <f>SUMIFS(Camplist_Popl,Camplist_Township,'NFI Distribution (by Tship)'!$A18,Camplist_Type_Of_Acc,"Camp")</f>
        <v>231</v>
      </c>
      <c r="D18" s="34">
        <f t="shared" si="0"/>
        <v>14</v>
      </c>
      <c r="E18" s="34">
        <f t="shared" si="1"/>
        <v>14</v>
      </c>
      <c r="F18" s="34">
        <f t="shared" si="2"/>
        <v>0</v>
      </c>
      <c r="G18" s="34">
        <f t="shared" si="3"/>
        <v>0</v>
      </c>
      <c r="H18" s="34">
        <f t="shared" si="4"/>
        <v>0</v>
      </c>
      <c r="I18" s="34">
        <f t="shared" si="5"/>
        <v>0</v>
      </c>
      <c r="J18" s="34">
        <f t="shared" si="6"/>
        <v>0</v>
      </c>
      <c r="K18" s="34">
        <f t="shared" si="7"/>
        <v>0</v>
      </c>
      <c r="L18" s="34">
        <f t="shared" si="8"/>
        <v>0</v>
      </c>
      <c r="M18" s="34">
        <f t="shared" si="9"/>
        <v>0</v>
      </c>
      <c r="N18" s="460">
        <f t="shared" si="10"/>
        <v>0</v>
      </c>
    </row>
    <row r="19" spans="1:15" x14ac:dyDescent="0.25">
      <c r="A19" s="459" t="s">
        <v>180</v>
      </c>
      <c r="B19" s="458">
        <f>SUMIFS(Camplist_HH,Camplist_Township,'NFI Distribution (by Tship)'!$A19,Camplist_Type_Of_Acc,"Camp")</f>
        <v>30</v>
      </c>
      <c r="C19" s="458">
        <f>SUMIFS(Camplist_Popl,Camplist_Township,'NFI Distribution (by Tship)'!$A19,Camplist_Type_Of_Acc,"Camp")</f>
        <v>196</v>
      </c>
      <c r="D19" s="34">
        <f t="shared" si="0"/>
        <v>0</v>
      </c>
      <c r="E19" s="34">
        <f t="shared" si="1"/>
        <v>0</v>
      </c>
      <c r="F19" s="34">
        <f t="shared" si="2"/>
        <v>0</v>
      </c>
      <c r="G19" s="34">
        <f t="shared" si="3"/>
        <v>0</v>
      </c>
      <c r="H19" s="34">
        <f t="shared" si="4"/>
        <v>0</v>
      </c>
      <c r="I19" s="34">
        <f t="shared" si="5"/>
        <v>0</v>
      </c>
      <c r="J19" s="34">
        <f t="shared" si="6"/>
        <v>0</v>
      </c>
      <c r="K19" s="34">
        <f t="shared" si="7"/>
        <v>0</v>
      </c>
      <c r="L19" s="34">
        <f t="shared" si="8"/>
        <v>0</v>
      </c>
      <c r="M19" s="34">
        <f t="shared" si="9"/>
        <v>0</v>
      </c>
      <c r="N19" s="460">
        <f t="shared" si="10"/>
        <v>0</v>
      </c>
    </row>
    <row r="20" spans="1:15" x14ac:dyDescent="0.25">
      <c r="A20" s="459" t="s">
        <v>185</v>
      </c>
      <c r="B20" s="458">
        <f>SUMIFS(Camplist_HH,Camplist_Township,'NFI Distribution (by Tship)'!$A20,Camplist_Type_Of_Acc,"Camp")</f>
        <v>4405</v>
      </c>
      <c r="C20" s="458">
        <f>SUMIFS(Camplist_Popl,Camplist_Township,'NFI Distribution (by Tship)'!$A20,Camplist_Type_Of_Acc,"Camp")</f>
        <v>22966</v>
      </c>
      <c r="D20" s="34">
        <f t="shared" si="0"/>
        <v>159</v>
      </c>
      <c r="E20" s="34">
        <f t="shared" si="1"/>
        <v>247</v>
      </c>
      <c r="F20" s="34">
        <f t="shared" si="2"/>
        <v>453</v>
      </c>
      <c r="G20" s="34">
        <f t="shared" si="3"/>
        <v>56</v>
      </c>
      <c r="H20" s="34">
        <f t="shared" si="4"/>
        <v>0</v>
      </c>
      <c r="I20" s="34">
        <f t="shared" si="5"/>
        <v>18</v>
      </c>
      <c r="J20" s="34">
        <f t="shared" si="6"/>
        <v>517.5</v>
      </c>
      <c r="K20" s="34">
        <f t="shared" si="7"/>
        <v>350</v>
      </c>
      <c r="L20" s="34">
        <f t="shared" si="8"/>
        <v>164</v>
      </c>
      <c r="M20" s="34">
        <f t="shared" si="9"/>
        <v>0</v>
      </c>
      <c r="N20" s="460">
        <f t="shared" si="10"/>
        <v>536</v>
      </c>
    </row>
    <row r="21" spans="1:15" x14ac:dyDescent="0.25">
      <c r="A21" s="459" t="s">
        <v>230</v>
      </c>
      <c r="B21" s="458">
        <f>SUMIFS(Camplist_HH,Camplist_Township,'NFI Distribution (by Tship)'!$A21,Camplist_Type_Of_Acc,"Camp")</f>
        <v>90</v>
      </c>
      <c r="C21" s="458">
        <f>SUMIFS(Camplist_Popl,Camplist_Township,'NFI Distribution (by Tship)'!$A21,Camplist_Type_Of_Acc,"Camp")</f>
        <v>400</v>
      </c>
      <c r="D21" s="34">
        <f>SUMIF(NFI_Township,$A21,NFI_Mosquito_Track)</f>
        <v>0</v>
      </c>
      <c r="E21" s="34">
        <f t="shared" si="1"/>
        <v>0</v>
      </c>
      <c r="F21" s="34">
        <f t="shared" si="2"/>
        <v>0</v>
      </c>
      <c r="G21" s="34">
        <f t="shared" si="3"/>
        <v>0</v>
      </c>
      <c r="H21" s="34">
        <f t="shared" si="4"/>
        <v>0</v>
      </c>
      <c r="I21" s="34">
        <f t="shared" si="5"/>
        <v>0</v>
      </c>
      <c r="J21" s="34">
        <f t="shared" si="6"/>
        <v>0</v>
      </c>
      <c r="K21" s="34">
        <f t="shared" si="7"/>
        <v>0</v>
      </c>
      <c r="L21" s="34">
        <f t="shared" si="8"/>
        <v>0</v>
      </c>
      <c r="M21" s="34">
        <f t="shared" si="9"/>
        <v>0</v>
      </c>
      <c r="N21" s="460">
        <f t="shared" si="10"/>
        <v>0</v>
      </c>
    </row>
    <row r="22" spans="1:15" x14ac:dyDescent="0.25">
      <c r="A22" s="459" t="s">
        <v>237</v>
      </c>
      <c r="B22" s="458">
        <f>SUMIFS(Camplist_HH,Camplist_Township,'NFI Distribution (by Tship)'!$A22,Camplist_Type_Of_Acc,"Camp")</f>
        <v>1511</v>
      </c>
      <c r="C22" s="458">
        <f>SUMIFS(Camplist_Popl,Camplist_Township,'NFI Distribution (by Tship)'!$A22,Camplist_Type_Of_Acc,"Camp")</f>
        <v>7415</v>
      </c>
      <c r="D22" s="34">
        <f>SUMIF(NFI_Township,$A22,NFI_Mosquito_Track)</f>
        <v>34</v>
      </c>
      <c r="E22" s="34">
        <f t="shared" si="1"/>
        <v>29</v>
      </c>
      <c r="F22" s="34">
        <f t="shared" si="2"/>
        <v>45</v>
      </c>
      <c r="G22" s="34">
        <f t="shared" si="3"/>
        <v>31</v>
      </c>
      <c r="H22" s="34">
        <f t="shared" si="4"/>
        <v>0</v>
      </c>
      <c r="I22" s="34">
        <f t="shared" si="5"/>
        <v>51</v>
      </c>
      <c r="J22" s="34">
        <f t="shared" si="6"/>
        <v>560</v>
      </c>
      <c r="K22" s="34">
        <f t="shared" si="7"/>
        <v>323</v>
      </c>
      <c r="L22" s="34">
        <f t="shared" si="8"/>
        <v>178</v>
      </c>
      <c r="M22" s="34">
        <f t="shared" si="9"/>
        <v>0</v>
      </c>
      <c r="N22" s="460">
        <f t="shared" si="10"/>
        <v>88</v>
      </c>
    </row>
    <row r="23" spans="1:15" x14ac:dyDescent="0.25">
      <c r="A23" s="459" t="s">
        <v>289</v>
      </c>
      <c r="B23" s="458">
        <f>SUMIFS(Camplist_HH,Camplist_Township,'NFI Distribution (by Tship)'!$A23,Camplist_Type_Of_Acc,"Camp")</f>
        <v>380</v>
      </c>
      <c r="C23" s="458">
        <f>SUMIFS(Camplist_Popl,Camplist_Township,'NFI Distribution (by Tship)'!$A23,Camplist_Type_Of_Acc,"Camp")</f>
        <v>1896</v>
      </c>
      <c r="D23" s="34">
        <f>SUMIF(NFI_Township,$A23,NFI_Mosquito_Track)</f>
        <v>0</v>
      </c>
      <c r="E23" s="34">
        <f t="shared" si="1"/>
        <v>0</v>
      </c>
      <c r="F23" s="34">
        <f t="shared" si="2"/>
        <v>0</v>
      </c>
      <c r="G23" s="34">
        <f t="shared" si="3"/>
        <v>0</v>
      </c>
      <c r="H23" s="34">
        <f t="shared" si="4"/>
        <v>0</v>
      </c>
      <c r="I23" s="34">
        <f t="shared" si="5"/>
        <v>0</v>
      </c>
      <c r="J23" s="34">
        <f t="shared" si="6"/>
        <v>0</v>
      </c>
      <c r="K23" s="34">
        <f t="shared" si="7"/>
        <v>0</v>
      </c>
      <c r="L23" s="34">
        <f t="shared" si="8"/>
        <v>0</v>
      </c>
      <c r="M23" s="34">
        <f t="shared" si="9"/>
        <v>0</v>
      </c>
      <c r="N23" s="460">
        <f t="shared" si="10"/>
        <v>0</v>
      </c>
    </row>
    <row r="24" spans="1:15" x14ac:dyDescent="0.25">
      <c r="A24" s="459" t="s">
        <v>298</v>
      </c>
      <c r="B24" s="458">
        <f>SUMIFS(Camplist_HH,Camplist_Township,'NFI Distribution (by Tship)'!$A24,Camplist_Type_Of_Acc,"Camp")</f>
        <v>10</v>
      </c>
      <c r="C24" s="458">
        <f>SUMIFS(Camplist_Popl,Camplist_Township,'NFI Distribution (by Tship)'!$A24,Camplist_Type_Of_Acc,"Camp")</f>
        <v>41</v>
      </c>
      <c r="D24" s="34">
        <f>SUMIF(NFI_Township,$A24,NFI_Mosquito_Track)</f>
        <v>0</v>
      </c>
      <c r="E24" s="34">
        <f t="shared" si="1"/>
        <v>0</v>
      </c>
      <c r="F24" s="34">
        <f t="shared" si="2"/>
        <v>0</v>
      </c>
      <c r="G24" s="34">
        <f t="shared" si="3"/>
        <v>0</v>
      </c>
      <c r="H24" s="34">
        <f t="shared" si="4"/>
        <v>0</v>
      </c>
      <c r="I24" s="34">
        <f t="shared" si="5"/>
        <v>0</v>
      </c>
      <c r="J24" s="34">
        <f t="shared" si="6"/>
        <v>0</v>
      </c>
      <c r="K24" s="34">
        <f t="shared" si="7"/>
        <v>0</v>
      </c>
      <c r="L24" s="34">
        <f t="shared" si="8"/>
        <v>0</v>
      </c>
      <c r="M24" s="34">
        <f t="shared" si="9"/>
        <v>0</v>
      </c>
      <c r="N24" s="460">
        <f t="shared" si="10"/>
        <v>0</v>
      </c>
    </row>
    <row r="25" spans="1:15" x14ac:dyDescent="0.25">
      <c r="A25" s="459" t="s">
        <v>300</v>
      </c>
      <c r="B25" s="458">
        <f>SUMIFS(Camplist_HH,Camplist_Township,'NFI Distribution (by Tship)'!$A25,Camplist_Type_Of_Acc,"Camp")</f>
        <v>58</v>
      </c>
      <c r="C25" s="458">
        <f>SUMIFS(Camplist_Popl,Camplist_Township,'NFI Distribution (by Tship)'!$A25,Camplist_Type_Of_Acc,"Camp")</f>
        <v>224</v>
      </c>
      <c r="D25" s="34">
        <f t="shared" si="0"/>
        <v>202</v>
      </c>
      <c r="E25" s="34">
        <f t="shared" si="1"/>
        <v>101</v>
      </c>
      <c r="F25" s="34">
        <f t="shared" si="2"/>
        <v>202</v>
      </c>
      <c r="G25" s="34">
        <f t="shared" si="3"/>
        <v>101</v>
      </c>
      <c r="H25" s="34">
        <f t="shared" si="4"/>
        <v>0</v>
      </c>
      <c r="I25" s="34">
        <f>SUMIF(NFI_Township,$A25,NFI_Plastic_Bucket_Track)</f>
        <v>101</v>
      </c>
      <c r="J25" s="34">
        <f t="shared" si="6"/>
        <v>1262.5</v>
      </c>
      <c r="K25" s="34">
        <f t="shared" si="7"/>
        <v>0</v>
      </c>
      <c r="L25" s="34">
        <f t="shared" si="8"/>
        <v>0</v>
      </c>
      <c r="M25" s="34">
        <f t="shared" si="9"/>
        <v>0</v>
      </c>
      <c r="N25" s="460">
        <f t="shared" si="10"/>
        <v>0</v>
      </c>
    </row>
    <row r="26" spans="1:15" s="82" customFormat="1" x14ac:dyDescent="0.25">
      <c r="A26" s="459" t="s">
        <v>302</v>
      </c>
      <c r="B26" s="458">
        <f>SUMIFS(Camplist_HH,Camplist_Township,'NFI Distribution (by Tship)'!$A26,Camplist_Type_Of_Acc,"Camp")</f>
        <v>124</v>
      </c>
      <c r="C26" s="458">
        <f>SUMIFS(Camplist_Popl,Camplist_Township,'NFI Distribution (by Tship)'!$A26,Camplist_Type_Of_Acc,"Camp")</f>
        <v>445</v>
      </c>
      <c r="D26" s="34">
        <f t="shared" si="0"/>
        <v>0</v>
      </c>
      <c r="E26" s="34">
        <f t="shared" si="1"/>
        <v>17</v>
      </c>
      <c r="F26" s="34">
        <f t="shared" si="2"/>
        <v>51</v>
      </c>
      <c r="G26" s="34">
        <f t="shared" si="3"/>
        <v>17</v>
      </c>
      <c r="H26" s="34">
        <f t="shared" si="4"/>
        <v>0</v>
      </c>
      <c r="I26" s="34">
        <f t="shared" si="5"/>
        <v>16</v>
      </c>
      <c r="J26" s="34">
        <f t="shared" si="6"/>
        <v>152.5</v>
      </c>
      <c r="K26" s="34">
        <f t="shared" si="7"/>
        <v>0</v>
      </c>
      <c r="L26" s="34">
        <f t="shared" si="8"/>
        <v>0</v>
      </c>
      <c r="M26" s="34">
        <f t="shared" si="9"/>
        <v>0</v>
      </c>
      <c r="N26" s="460">
        <f t="shared" si="10"/>
        <v>0</v>
      </c>
    </row>
    <row r="27" spans="1:15" s="82" customFormat="1" x14ac:dyDescent="0.25">
      <c r="A27" s="459" t="s">
        <v>813</v>
      </c>
      <c r="B27" s="458">
        <f>SUMIFS(Camplist_HH,Camplist_Township,'NFI Distribution (by Tship)'!$A27,Camplist_Type_Of_Acc,"Camp")</f>
        <v>166</v>
      </c>
      <c r="C27" s="458">
        <f>SUMIFS(Camplist_Popl,Camplist_Township,'NFI Distribution (by Tship)'!$A27,Camplist_Type_Of_Acc,"Camp")</f>
        <v>1232</v>
      </c>
      <c r="D27" s="34">
        <f t="shared" si="0"/>
        <v>0</v>
      </c>
      <c r="E27" s="34">
        <f t="shared" si="1"/>
        <v>250</v>
      </c>
      <c r="F27" s="34">
        <f t="shared" si="2"/>
        <v>0</v>
      </c>
      <c r="G27" s="34">
        <f t="shared" si="3"/>
        <v>0</v>
      </c>
      <c r="H27" s="34">
        <f t="shared" si="4"/>
        <v>0</v>
      </c>
      <c r="I27" s="34">
        <f t="shared" si="5"/>
        <v>0</v>
      </c>
      <c r="J27" s="34">
        <f t="shared" si="6"/>
        <v>0</v>
      </c>
      <c r="K27" s="34">
        <f t="shared" si="7"/>
        <v>91</v>
      </c>
      <c r="L27" s="34">
        <f t="shared" si="8"/>
        <v>32</v>
      </c>
      <c r="M27" s="34">
        <f t="shared" si="9"/>
        <v>0</v>
      </c>
      <c r="N27" s="460">
        <f t="shared" si="10"/>
        <v>36</v>
      </c>
    </row>
    <row r="28" spans="1:15" x14ac:dyDescent="0.25">
      <c r="A28" s="459" t="s">
        <v>310</v>
      </c>
      <c r="B28" s="458">
        <f>SUMIFS(Camplist_HH,Camplist_Township,'NFI Distribution (by Tship)'!$A28,Camplist_Type_Of_Acc,"Camp")</f>
        <v>4774</v>
      </c>
      <c r="C28" s="458">
        <f>SUMIFS(Camplist_Popl,Camplist_Township,'NFI Distribution (by Tship)'!$A28,Camplist_Type_Of_Acc,"Camp")</f>
        <v>23349</v>
      </c>
      <c r="D28" s="34">
        <f t="shared" si="0"/>
        <v>41</v>
      </c>
      <c r="E28" s="34">
        <f t="shared" si="1"/>
        <v>17</v>
      </c>
      <c r="F28" s="34">
        <f t="shared" si="2"/>
        <v>41</v>
      </c>
      <c r="G28" s="34">
        <f t="shared" si="3"/>
        <v>16</v>
      </c>
      <c r="H28" s="34">
        <f t="shared" si="4"/>
        <v>0</v>
      </c>
      <c r="I28" s="34">
        <f t="shared" si="5"/>
        <v>16</v>
      </c>
      <c r="J28" s="34">
        <f t="shared" si="6"/>
        <v>200</v>
      </c>
      <c r="K28" s="34">
        <f t="shared" si="7"/>
        <v>6280</v>
      </c>
      <c r="L28" s="34">
        <f t="shared" si="8"/>
        <v>7258</v>
      </c>
      <c r="M28" s="34">
        <f t="shared" si="9"/>
        <v>0</v>
      </c>
      <c r="N28" s="460">
        <f t="shared" si="10"/>
        <v>6944</v>
      </c>
    </row>
    <row r="29" spans="1:15" ht="21" customHeight="1" thickBot="1" x14ac:dyDescent="0.3">
      <c r="A29" s="100" t="s">
        <v>3</v>
      </c>
      <c r="B29" s="101">
        <f t="shared" ref="B29:J29" si="11">SUM(B8:B28)</f>
        <v>17525</v>
      </c>
      <c r="C29" s="101">
        <f t="shared" si="11"/>
        <v>87166</v>
      </c>
      <c r="D29" s="101">
        <f t="shared" si="11"/>
        <v>3805</v>
      </c>
      <c r="E29" s="101">
        <f t="shared" si="11"/>
        <v>1670</v>
      </c>
      <c r="F29" s="101">
        <f t="shared" si="11"/>
        <v>4468</v>
      </c>
      <c r="G29" s="101">
        <f t="shared" si="11"/>
        <v>1054</v>
      </c>
      <c r="H29" s="101">
        <f t="shared" si="11"/>
        <v>97</v>
      </c>
      <c r="I29" s="101">
        <f t="shared" si="11"/>
        <v>1077</v>
      </c>
      <c r="J29" s="461">
        <f t="shared" si="11"/>
        <v>13370</v>
      </c>
      <c r="K29" s="101">
        <f t="shared" ref="K29:M29" si="12">SUM(K8:K28)</f>
        <v>12718</v>
      </c>
      <c r="L29" s="101">
        <f t="shared" si="12"/>
        <v>14976</v>
      </c>
      <c r="M29" s="101">
        <f t="shared" si="12"/>
        <v>0</v>
      </c>
      <c r="N29" s="102">
        <f t="shared" ref="N29" si="13">SUM(N8:N28)</f>
        <v>8153</v>
      </c>
    </row>
    <row r="30" spans="1:15" s="129" customFormat="1" ht="21" hidden="1" customHeight="1" x14ac:dyDescent="0.25">
      <c r="A30" s="153"/>
      <c r="B30" s="153"/>
      <c r="C30" s="153"/>
      <c r="D30" s="153"/>
      <c r="E30" s="153"/>
      <c r="F30" s="153"/>
      <c r="G30" s="153"/>
      <c r="H30" s="153"/>
      <c r="I30" s="153"/>
      <c r="J30" s="153"/>
      <c r="K30" s="153"/>
      <c r="L30" s="153"/>
      <c r="M30" s="153"/>
      <c r="N30" s="153"/>
    </row>
    <row r="31" spans="1:15" s="82" customFormat="1" ht="21" hidden="1" customHeight="1" thickBot="1" x14ac:dyDescent="0.3">
      <c r="A31"/>
      <c r="B31"/>
      <c r="C31"/>
      <c r="D31"/>
      <c r="E31"/>
      <c r="F31"/>
      <c r="G31"/>
      <c r="H31"/>
      <c r="I31"/>
      <c r="J31"/>
    </row>
    <row r="32" spans="1:15" s="82" customFormat="1" ht="21" hidden="1" customHeight="1" x14ac:dyDescent="0.25">
      <c r="A32" s="891" t="s">
        <v>0</v>
      </c>
      <c r="B32" s="893" t="s">
        <v>427</v>
      </c>
      <c r="C32" s="893" t="s">
        <v>428</v>
      </c>
      <c r="D32" s="896" t="s">
        <v>457</v>
      </c>
      <c r="E32" s="896"/>
      <c r="F32" s="896"/>
      <c r="G32" s="897"/>
      <c r="H32" s="130" t="s">
        <v>405</v>
      </c>
      <c r="I32" s="131"/>
      <c r="J32" s="131"/>
      <c r="K32" s="132"/>
      <c r="L32" s="895" t="s">
        <v>458</v>
      </c>
      <c r="M32" s="896"/>
      <c r="N32" s="896"/>
      <c r="O32" s="897"/>
    </row>
    <row r="33" spans="1:15" s="82" customFormat="1" ht="21" hidden="1" customHeight="1" x14ac:dyDescent="0.25">
      <c r="A33" s="892"/>
      <c r="B33" s="894"/>
      <c r="C33" s="894"/>
      <c r="D33" s="92" t="s">
        <v>438</v>
      </c>
      <c r="E33" s="93" t="s">
        <v>441</v>
      </c>
      <c r="F33" s="93" t="s">
        <v>411</v>
      </c>
      <c r="G33" s="13" t="s">
        <v>439</v>
      </c>
      <c r="H33" s="93" t="s">
        <v>438</v>
      </c>
      <c r="I33" s="93" t="s">
        <v>441</v>
      </c>
      <c r="J33" s="93" t="s">
        <v>411</v>
      </c>
      <c r="K33" s="13" t="s">
        <v>439</v>
      </c>
      <c r="L33" s="93" t="s">
        <v>438</v>
      </c>
      <c r="M33" s="93" t="s">
        <v>441</v>
      </c>
      <c r="N33" s="93" t="s">
        <v>411</v>
      </c>
      <c r="O33" s="13" t="s">
        <v>439</v>
      </c>
    </row>
    <row r="34" spans="1:15" s="82" customFormat="1" ht="21" hidden="1" customHeight="1" x14ac:dyDescent="0.25">
      <c r="A34" s="99" t="s">
        <v>5</v>
      </c>
      <c r="B34" s="9">
        <f>SUMIF(Camplist_Township,'NFI Distribution (by Tship)'!$A34,Camplist_HH)</f>
        <v>1548</v>
      </c>
      <c r="C34" s="9">
        <f>SUMIF(Camplist_Township,'NFI Distribution (by Tship)'!$A34,Camplist_Popl)</f>
        <v>8110</v>
      </c>
      <c r="D34" s="95">
        <f t="shared" ref="D34:D53" si="14">SUMIF(NFI_Township,$A34,NFI_Hygiene_Track)</f>
        <v>0</v>
      </c>
      <c r="E34" s="9">
        <f t="shared" ref="E34:E53" si="15">SUMIF(NFI_Pipeline_Township,$A34,NFI_Hygiene_Stock)</f>
        <v>0</v>
      </c>
      <c r="F34" s="9">
        <f t="shared" ref="F34:F53" si="16">SUMIF(NFI_Pipeline_Township,$A32,NFI_Hygiene_Pipeline)</f>
        <v>0</v>
      </c>
      <c r="G34" s="14">
        <f t="shared" ref="G34:G53" si="17">IF(B34-(D34+E34+F34)&lt;0,0,B34-(D34+E34+F34))</f>
        <v>1548</v>
      </c>
      <c r="H34" s="8">
        <f t="shared" ref="H34:H53" si="18">SUMIF(NFI_Township,$A34,NFI_Core_Track)</f>
        <v>0</v>
      </c>
      <c r="I34" s="8">
        <f t="shared" ref="I34:I53" si="19">SUMIF(NFI_Pipeline_Township,$A34,NFI_Core_Stock)</f>
        <v>203</v>
      </c>
      <c r="J34" s="8">
        <f t="shared" ref="J34:J53" si="20">SUMIF(NFI_Pipeline_Township,$A32,NFI_Core_Pipeline)</f>
        <v>0</v>
      </c>
      <c r="K34" s="16">
        <f t="shared" ref="K34:K53" si="21">IF(B34-(H34+I34+J34)&lt;0,0,B34-(H34+I34+J34))</f>
        <v>1345</v>
      </c>
      <c r="L34" s="8">
        <f t="shared" ref="L34:L53" si="22">SUMIF(NFI_Township,$A34,NFI_Sanitary_Track)</f>
        <v>0</v>
      </c>
      <c r="M34" s="8">
        <f t="shared" ref="M34:M53" si="23">SUMIF(NFI_Pipeline_Township,$A34,NFI_Sanitary_Stock)</f>
        <v>103</v>
      </c>
      <c r="N34" s="8">
        <f t="shared" ref="N34:N53" si="24">SUMIF(NFI_Pipeline_Township,$A32,NFI_Sanitary_Pipeline)</f>
        <v>0</v>
      </c>
      <c r="O34" s="16">
        <f t="shared" ref="O34:O53" si="25">IF(B34-(L34+M34+N34)&lt;0,0,B34-(L34+M34+N34))</f>
        <v>1445</v>
      </c>
    </row>
    <row r="35" spans="1:15" s="82" customFormat="1" ht="21" hidden="1" customHeight="1" x14ac:dyDescent="0.25">
      <c r="A35" s="99" t="s">
        <v>27</v>
      </c>
      <c r="B35" s="9">
        <f>SUMIF(Camplist_Township,'NFI Distribution (by Tship)'!$A35,Camplist_HH)</f>
        <v>501</v>
      </c>
      <c r="C35" s="9">
        <f>SUMIF(Camplist_Township,'NFI Distribution (by Tship)'!$A35,Camplist_Popl)</f>
        <v>2570</v>
      </c>
      <c r="D35" s="95">
        <f t="shared" si="14"/>
        <v>0</v>
      </c>
      <c r="E35" s="9">
        <f t="shared" si="15"/>
        <v>0</v>
      </c>
      <c r="F35" s="9">
        <f t="shared" si="16"/>
        <v>0</v>
      </c>
      <c r="G35" s="14">
        <f t="shared" si="17"/>
        <v>501</v>
      </c>
      <c r="H35" s="8">
        <f t="shared" si="18"/>
        <v>0</v>
      </c>
      <c r="I35" s="8">
        <f t="shared" si="19"/>
        <v>0</v>
      </c>
      <c r="J35" s="8">
        <f t="shared" si="20"/>
        <v>0</v>
      </c>
      <c r="K35" s="16">
        <f t="shared" si="21"/>
        <v>501</v>
      </c>
      <c r="L35" s="8">
        <f t="shared" si="22"/>
        <v>0</v>
      </c>
      <c r="M35" s="8">
        <f t="shared" si="23"/>
        <v>0</v>
      </c>
      <c r="N35" s="8">
        <f t="shared" si="24"/>
        <v>0</v>
      </c>
      <c r="O35" s="16">
        <f t="shared" si="25"/>
        <v>501</v>
      </c>
    </row>
    <row r="36" spans="1:15" s="82" customFormat="1" ht="21" hidden="1" customHeight="1" x14ac:dyDescent="0.25">
      <c r="A36" s="99" t="s">
        <v>529</v>
      </c>
      <c r="B36" s="9">
        <f>SUMIF(Camplist_Township,'NFI Distribution (by Tship)'!$A36,Camplist_HH)</f>
        <v>724</v>
      </c>
      <c r="C36" s="9">
        <f>SUMIF(Camplist_Township,'NFI Distribution (by Tship)'!$A36,Camplist_Popl)</f>
        <v>3566</v>
      </c>
      <c r="D36" s="95">
        <f t="shared" si="14"/>
        <v>0</v>
      </c>
      <c r="E36" s="9">
        <f t="shared" si="15"/>
        <v>0</v>
      </c>
      <c r="F36" s="9">
        <f t="shared" si="16"/>
        <v>0</v>
      </c>
      <c r="G36" s="14">
        <f t="shared" si="17"/>
        <v>724</v>
      </c>
      <c r="H36" s="8">
        <f t="shared" si="18"/>
        <v>300</v>
      </c>
      <c r="I36" s="8">
        <f t="shared" si="19"/>
        <v>0</v>
      </c>
      <c r="J36" s="8">
        <f t="shared" si="20"/>
        <v>0</v>
      </c>
      <c r="K36" s="16">
        <f t="shared" si="21"/>
        <v>424</v>
      </c>
      <c r="L36" s="8">
        <f t="shared" si="22"/>
        <v>0</v>
      </c>
      <c r="M36" s="8">
        <f t="shared" si="23"/>
        <v>0</v>
      </c>
      <c r="N36" s="8">
        <f t="shared" si="24"/>
        <v>0</v>
      </c>
      <c r="O36" s="16">
        <f t="shared" si="25"/>
        <v>724</v>
      </c>
    </row>
    <row r="37" spans="1:15" s="82" customFormat="1" ht="21" hidden="1" customHeight="1" x14ac:dyDescent="0.25">
      <c r="A37" s="99" t="s">
        <v>784</v>
      </c>
      <c r="B37" s="9">
        <f>SUMIF(Camplist_Township,'NFI Distribution (by Tship)'!$A37,Camplist_HH)</f>
        <v>111</v>
      </c>
      <c r="C37" s="9">
        <f>SUMIF(Camplist_Township,'NFI Distribution (by Tship)'!$A37,Camplist_Popl)</f>
        <v>665</v>
      </c>
      <c r="D37" s="95">
        <f t="shared" si="14"/>
        <v>0</v>
      </c>
      <c r="E37" s="9">
        <f t="shared" si="15"/>
        <v>0</v>
      </c>
      <c r="F37" s="9">
        <f t="shared" si="16"/>
        <v>0</v>
      </c>
      <c r="G37" s="14">
        <f t="shared" si="17"/>
        <v>111</v>
      </c>
      <c r="H37" s="8">
        <f t="shared" si="18"/>
        <v>43</v>
      </c>
      <c r="I37" s="8">
        <f t="shared" si="19"/>
        <v>0</v>
      </c>
      <c r="J37" s="8">
        <f t="shared" si="20"/>
        <v>0</v>
      </c>
      <c r="K37" s="16">
        <f t="shared" si="21"/>
        <v>68</v>
      </c>
      <c r="L37" s="8">
        <f t="shared" si="22"/>
        <v>43</v>
      </c>
      <c r="M37" s="8">
        <f t="shared" si="23"/>
        <v>0</v>
      </c>
      <c r="N37" s="8">
        <f t="shared" si="24"/>
        <v>0</v>
      </c>
      <c r="O37" s="16">
        <f t="shared" si="25"/>
        <v>68</v>
      </c>
    </row>
    <row r="38" spans="1:15" s="82" customFormat="1" ht="21" hidden="1" customHeight="1" x14ac:dyDescent="0.25">
      <c r="A38" s="99" t="s">
        <v>363</v>
      </c>
      <c r="B38" s="9">
        <f>SUMIF(Camplist_Township,'NFI Distribution (by Tship)'!$A38,Camplist_HH)</f>
        <v>0</v>
      </c>
      <c r="C38" s="9">
        <f>SUMIF(Camplist_Township,'NFI Distribution (by Tship)'!$A38,Camplist_Popl)</f>
        <v>0</v>
      </c>
      <c r="D38" s="95">
        <f t="shared" si="14"/>
        <v>0</v>
      </c>
      <c r="E38" s="9">
        <f t="shared" si="15"/>
        <v>0</v>
      </c>
      <c r="F38" s="9">
        <f t="shared" si="16"/>
        <v>0</v>
      </c>
      <c r="G38" s="14">
        <f t="shared" si="17"/>
        <v>0</v>
      </c>
      <c r="H38" s="8">
        <f t="shared" si="18"/>
        <v>0</v>
      </c>
      <c r="I38" s="8">
        <f t="shared" si="19"/>
        <v>0</v>
      </c>
      <c r="J38" s="8">
        <f t="shared" si="20"/>
        <v>0</v>
      </c>
      <c r="K38" s="16">
        <f t="shared" si="21"/>
        <v>0</v>
      </c>
      <c r="L38" s="8">
        <f t="shared" si="22"/>
        <v>0</v>
      </c>
      <c r="M38" s="8">
        <f t="shared" si="23"/>
        <v>0</v>
      </c>
      <c r="N38" s="8">
        <f t="shared" si="24"/>
        <v>0</v>
      </c>
      <c r="O38" s="16">
        <f t="shared" si="25"/>
        <v>0</v>
      </c>
    </row>
    <row r="39" spans="1:15" s="82" customFormat="1" ht="21" hidden="1" customHeight="1" x14ac:dyDescent="0.25">
      <c r="A39" s="99" t="s">
        <v>144</v>
      </c>
      <c r="B39" s="9">
        <f>SUMIF(Camplist_Township,'NFI Distribution (by Tship)'!$A39,Camplist_HH)</f>
        <v>11</v>
      </c>
      <c r="C39" s="9">
        <f>SUMIF(Camplist_Township,'NFI Distribution (by Tship)'!$A39,Camplist_Popl)</f>
        <v>17</v>
      </c>
      <c r="D39" s="95">
        <f t="shared" si="14"/>
        <v>0</v>
      </c>
      <c r="E39" s="9">
        <f t="shared" si="15"/>
        <v>0</v>
      </c>
      <c r="F39" s="9">
        <f t="shared" si="16"/>
        <v>0</v>
      </c>
      <c r="G39" s="14">
        <f t="shared" si="17"/>
        <v>11</v>
      </c>
      <c r="H39" s="8">
        <f t="shared" si="18"/>
        <v>0</v>
      </c>
      <c r="I39" s="8">
        <f t="shared" si="19"/>
        <v>0</v>
      </c>
      <c r="J39" s="8">
        <f t="shared" si="20"/>
        <v>0</v>
      </c>
      <c r="K39" s="16">
        <f t="shared" si="21"/>
        <v>11</v>
      </c>
      <c r="L39" s="8">
        <f t="shared" si="22"/>
        <v>0</v>
      </c>
      <c r="M39" s="8">
        <f t="shared" si="23"/>
        <v>0</v>
      </c>
      <c r="N39" s="8">
        <f t="shared" si="24"/>
        <v>0</v>
      </c>
      <c r="O39" s="16">
        <f t="shared" si="25"/>
        <v>11</v>
      </c>
    </row>
    <row r="40" spans="1:15" s="82" customFormat="1" ht="21" hidden="1" customHeight="1" x14ac:dyDescent="0.25">
      <c r="A40" s="99" t="s">
        <v>146</v>
      </c>
      <c r="B40" s="9">
        <f>SUMIF(Camplist_Township,'NFI Distribution (by Tship)'!$A40,Camplist_HH)</f>
        <v>700</v>
      </c>
      <c r="C40" s="9">
        <f>SUMIF(Camplist_Township,'NFI Distribution (by Tship)'!$A40,Camplist_Popl)</f>
        <v>3409</v>
      </c>
      <c r="D40" s="95">
        <f t="shared" si="14"/>
        <v>0</v>
      </c>
      <c r="E40" s="9">
        <f t="shared" si="15"/>
        <v>0</v>
      </c>
      <c r="F40" s="9">
        <f t="shared" si="16"/>
        <v>0</v>
      </c>
      <c r="G40" s="14">
        <f t="shared" si="17"/>
        <v>700</v>
      </c>
      <c r="H40" s="8">
        <f t="shared" si="18"/>
        <v>122</v>
      </c>
      <c r="I40" s="8">
        <f t="shared" si="19"/>
        <v>0</v>
      </c>
      <c r="J40" s="8">
        <f t="shared" si="20"/>
        <v>0</v>
      </c>
      <c r="K40" s="16">
        <f t="shared" si="21"/>
        <v>578</v>
      </c>
      <c r="L40" s="8">
        <f t="shared" si="22"/>
        <v>90</v>
      </c>
      <c r="M40" s="8">
        <f t="shared" si="23"/>
        <v>0</v>
      </c>
      <c r="N40" s="8">
        <f t="shared" si="24"/>
        <v>0</v>
      </c>
      <c r="O40" s="16">
        <f t="shared" si="25"/>
        <v>610</v>
      </c>
    </row>
    <row r="41" spans="1:15" s="82" customFormat="1" ht="21" hidden="1" customHeight="1" x14ac:dyDescent="0.25">
      <c r="A41" s="99" t="s">
        <v>151</v>
      </c>
      <c r="B41" s="9">
        <f>SUMIF(Camplist_Township,'NFI Distribution (by Tship)'!$A41,Camplist_HH)</f>
        <v>2785</v>
      </c>
      <c r="C41" s="9">
        <f>SUMIF(Camplist_Township,'NFI Distribution (by Tship)'!$A41,Camplist_Popl)</f>
        <v>12558</v>
      </c>
      <c r="D41" s="95">
        <f t="shared" si="14"/>
        <v>0</v>
      </c>
      <c r="E41" s="9">
        <f t="shared" si="15"/>
        <v>0</v>
      </c>
      <c r="F41" s="9">
        <f t="shared" si="16"/>
        <v>0</v>
      </c>
      <c r="G41" s="14">
        <f t="shared" si="17"/>
        <v>2785</v>
      </c>
      <c r="H41" s="8">
        <f t="shared" si="18"/>
        <v>277</v>
      </c>
      <c r="I41" s="8">
        <f t="shared" si="19"/>
        <v>0</v>
      </c>
      <c r="J41" s="8">
        <f t="shared" si="20"/>
        <v>0</v>
      </c>
      <c r="K41" s="16">
        <f t="shared" si="21"/>
        <v>2508</v>
      </c>
      <c r="L41" s="8">
        <f t="shared" si="22"/>
        <v>600</v>
      </c>
      <c r="M41" s="8">
        <f t="shared" si="23"/>
        <v>0</v>
      </c>
      <c r="N41" s="8">
        <f t="shared" si="24"/>
        <v>0</v>
      </c>
      <c r="O41" s="16">
        <f t="shared" si="25"/>
        <v>2185</v>
      </c>
    </row>
    <row r="42" spans="1:15" s="82" customFormat="1" ht="21" hidden="1" customHeight="1" x14ac:dyDescent="0.25">
      <c r="A42" s="99" t="s">
        <v>166</v>
      </c>
      <c r="B42" s="9">
        <f>SUMIF(Camplist_Township,'NFI Distribution (by Tship)'!$A42,Camplist_HH)</f>
        <v>69</v>
      </c>
      <c r="C42" s="9">
        <f>SUMIF(Camplist_Township,'NFI Distribution (by Tship)'!$A42,Camplist_Popl)</f>
        <v>347</v>
      </c>
      <c r="D42" s="95">
        <f t="shared" si="14"/>
        <v>0</v>
      </c>
      <c r="E42" s="9">
        <f t="shared" si="15"/>
        <v>0</v>
      </c>
      <c r="F42" s="9">
        <f t="shared" si="16"/>
        <v>0</v>
      </c>
      <c r="G42" s="14">
        <f t="shared" si="17"/>
        <v>69</v>
      </c>
      <c r="H42" s="8">
        <f t="shared" si="18"/>
        <v>0</v>
      </c>
      <c r="I42" s="8">
        <f t="shared" si="19"/>
        <v>0</v>
      </c>
      <c r="J42" s="8">
        <f t="shared" si="20"/>
        <v>0</v>
      </c>
      <c r="K42" s="16">
        <f t="shared" si="21"/>
        <v>69</v>
      </c>
      <c r="L42" s="8">
        <f t="shared" si="22"/>
        <v>0</v>
      </c>
      <c r="M42" s="8">
        <f t="shared" si="23"/>
        <v>0</v>
      </c>
      <c r="N42" s="8">
        <f t="shared" si="24"/>
        <v>0</v>
      </c>
      <c r="O42" s="16">
        <f t="shared" si="25"/>
        <v>69</v>
      </c>
    </row>
    <row r="43" spans="1:15" s="82" customFormat="1" ht="21" hidden="1" customHeight="1" x14ac:dyDescent="0.25">
      <c r="A43" s="99" t="s">
        <v>173</v>
      </c>
      <c r="B43" s="9">
        <f>SUMIF(Camplist_Township,'NFI Distribution (by Tship)'!$A43,Camplist_HH)</f>
        <v>120</v>
      </c>
      <c r="C43" s="9">
        <f>SUMIF(Camplist_Township,'NFI Distribution (by Tship)'!$A43,Camplist_Popl)</f>
        <v>477</v>
      </c>
      <c r="D43" s="95">
        <f t="shared" si="14"/>
        <v>0</v>
      </c>
      <c r="E43" s="9">
        <f t="shared" si="15"/>
        <v>0</v>
      </c>
      <c r="F43" s="9">
        <f t="shared" si="16"/>
        <v>0</v>
      </c>
      <c r="G43" s="14">
        <f t="shared" si="17"/>
        <v>120</v>
      </c>
      <c r="H43" s="8">
        <f t="shared" si="18"/>
        <v>0</v>
      </c>
      <c r="I43" s="8">
        <f t="shared" si="19"/>
        <v>0</v>
      </c>
      <c r="J43" s="8">
        <f t="shared" si="20"/>
        <v>0</v>
      </c>
      <c r="K43" s="16">
        <f t="shared" si="21"/>
        <v>120</v>
      </c>
      <c r="L43" s="8">
        <f t="shared" si="22"/>
        <v>0</v>
      </c>
      <c r="M43" s="8">
        <f t="shared" si="23"/>
        <v>0</v>
      </c>
      <c r="N43" s="8">
        <f t="shared" si="24"/>
        <v>0</v>
      </c>
      <c r="O43" s="16">
        <f t="shared" si="25"/>
        <v>120</v>
      </c>
    </row>
    <row r="44" spans="1:15" s="82" customFormat="1" ht="21" hidden="1" customHeight="1" x14ac:dyDescent="0.25">
      <c r="A44" s="99" t="s">
        <v>180</v>
      </c>
      <c r="B44" s="9">
        <f>SUMIF(Camplist_Township,'NFI Distribution (by Tship)'!$A44,Camplist_HH)</f>
        <v>82</v>
      </c>
      <c r="C44" s="9">
        <f>SUMIF(Camplist_Township,'NFI Distribution (by Tship)'!$A44,Camplist_Popl)</f>
        <v>416</v>
      </c>
      <c r="D44" s="95">
        <f t="shared" si="14"/>
        <v>0</v>
      </c>
      <c r="E44" s="9">
        <f t="shared" si="15"/>
        <v>0</v>
      </c>
      <c r="F44" s="9">
        <f t="shared" si="16"/>
        <v>0</v>
      </c>
      <c r="G44" s="14">
        <f t="shared" si="17"/>
        <v>82</v>
      </c>
      <c r="H44" s="8">
        <f t="shared" si="18"/>
        <v>0</v>
      </c>
      <c r="I44" s="8">
        <f t="shared" si="19"/>
        <v>0</v>
      </c>
      <c r="J44" s="8">
        <f t="shared" si="20"/>
        <v>0</v>
      </c>
      <c r="K44" s="16">
        <f t="shared" si="21"/>
        <v>82</v>
      </c>
      <c r="L44" s="8">
        <f t="shared" si="22"/>
        <v>0</v>
      </c>
      <c r="M44" s="8">
        <f t="shared" si="23"/>
        <v>0</v>
      </c>
      <c r="N44" s="8">
        <f t="shared" si="24"/>
        <v>0</v>
      </c>
      <c r="O44" s="16">
        <f t="shared" si="25"/>
        <v>82</v>
      </c>
    </row>
    <row r="45" spans="1:15" s="82" customFormat="1" ht="21" hidden="1" customHeight="1" x14ac:dyDescent="0.25">
      <c r="A45" s="99" t="s">
        <v>185</v>
      </c>
      <c r="B45" s="9">
        <f>SUMIF(Camplist_Township,'NFI Distribution (by Tship)'!$A45,Camplist_HH)</f>
        <v>4821</v>
      </c>
      <c r="C45" s="9">
        <f>SUMIF(Camplist_Township,'NFI Distribution (by Tship)'!$A45,Camplist_Popl)</f>
        <v>24578</v>
      </c>
      <c r="D45" s="95">
        <f t="shared" si="14"/>
        <v>0</v>
      </c>
      <c r="E45" s="9">
        <f t="shared" si="15"/>
        <v>0</v>
      </c>
      <c r="F45" s="9">
        <f t="shared" si="16"/>
        <v>0</v>
      </c>
      <c r="G45" s="14">
        <f t="shared" si="17"/>
        <v>4821</v>
      </c>
      <c r="H45" s="8">
        <f t="shared" si="18"/>
        <v>0</v>
      </c>
      <c r="I45" s="8">
        <f t="shared" si="19"/>
        <v>0</v>
      </c>
      <c r="J45" s="8">
        <f t="shared" si="20"/>
        <v>0</v>
      </c>
      <c r="K45" s="16">
        <f t="shared" si="21"/>
        <v>4821</v>
      </c>
      <c r="L45" s="8">
        <f t="shared" si="22"/>
        <v>0</v>
      </c>
      <c r="M45" s="8">
        <f t="shared" si="23"/>
        <v>0</v>
      </c>
      <c r="N45" s="8">
        <f t="shared" si="24"/>
        <v>0</v>
      </c>
      <c r="O45" s="16">
        <f t="shared" si="25"/>
        <v>4821</v>
      </c>
    </row>
    <row r="46" spans="1:15" s="82" customFormat="1" ht="21" hidden="1" customHeight="1" x14ac:dyDescent="0.25">
      <c r="A46" s="99" t="s">
        <v>230</v>
      </c>
      <c r="B46" s="9">
        <f>SUMIF(Camplist_Township,'NFI Distribution (by Tship)'!$A46,Camplist_HH)</f>
        <v>283</v>
      </c>
      <c r="C46" s="9">
        <f>SUMIF(Camplist_Township,'NFI Distribution (by Tship)'!$A46,Camplist_Popl)</f>
        <v>1090</v>
      </c>
      <c r="D46" s="95">
        <f t="shared" si="14"/>
        <v>0</v>
      </c>
      <c r="E46" s="9">
        <f t="shared" si="15"/>
        <v>0</v>
      </c>
      <c r="F46" s="9">
        <f t="shared" si="16"/>
        <v>0</v>
      </c>
      <c r="G46" s="14">
        <f t="shared" si="17"/>
        <v>283</v>
      </c>
      <c r="H46" s="8">
        <f t="shared" si="18"/>
        <v>0</v>
      </c>
      <c r="I46" s="8">
        <f t="shared" si="19"/>
        <v>0</v>
      </c>
      <c r="J46" s="8">
        <f t="shared" si="20"/>
        <v>0</v>
      </c>
      <c r="K46" s="16">
        <f t="shared" si="21"/>
        <v>283</v>
      </c>
      <c r="L46" s="8">
        <f t="shared" si="22"/>
        <v>0</v>
      </c>
      <c r="M46" s="8">
        <f t="shared" si="23"/>
        <v>0</v>
      </c>
      <c r="N46" s="8">
        <f t="shared" si="24"/>
        <v>0</v>
      </c>
      <c r="O46" s="16">
        <f t="shared" si="25"/>
        <v>283</v>
      </c>
    </row>
    <row r="47" spans="1:15" s="82" customFormat="1" ht="21" hidden="1" customHeight="1" x14ac:dyDescent="0.25">
      <c r="A47" s="99" t="s">
        <v>237</v>
      </c>
      <c r="B47" s="9">
        <f>SUMIF(Camplist_Township,'NFI Distribution (by Tship)'!$A47,Camplist_HH)</f>
        <v>1511</v>
      </c>
      <c r="C47" s="9">
        <f>SUMIF(Camplist_Township,'NFI Distribution (by Tship)'!$A47,Camplist_Popl)</f>
        <v>7415</v>
      </c>
      <c r="D47" s="95">
        <f t="shared" si="14"/>
        <v>0</v>
      </c>
      <c r="E47" s="9">
        <f t="shared" si="15"/>
        <v>0</v>
      </c>
      <c r="F47" s="9">
        <f t="shared" si="16"/>
        <v>0</v>
      </c>
      <c r="G47" s="14">
        <f t="shared" si="17"/>
        <v>1511</v>
      </c>
      <c r="H47" s="8">
        <f t="shared" si="18"/>
        <v>11</v>
      </c>
      <c r="I47" s="8">
        <f t="shared" si="19"/>
        <v>855</v>
      </c>
      <c r="J47" s="8">
        <f t="shared" si="20"/>
        <v>0</v>
      </c>
      <c r="K47" s="16">
        <f t="shared" si="21"/>
        <v>645</v>
      </c>
      <c r="L47" s="8">
        <f t="shared" si="22"/>
        <v>11</v>
      </c>
      <c r="M47" s="8">
        <f t="shared" si="23"/>
        <v>153</v>
      </c>
      <c r="N47" s="8">
        <f t="shared" si="24"/>
        <v>0</v>
      </c>
      <c r="O47" s="16">
        <f t="shared" si="25"/>
        <v>1347</v>
      </c>
    </row>
    <row r="48" spans="1:15" s="82" customFormat="1" ht="21" hidden="1" customHeight="1" x14ac:dyDescent="0.25">
      <c r="A48" s="99" t="s">
        <v>289</v>
      </c>
      <c r="B48" s="9">
        <f>SUMIF(Camplist_Township,'NFI Distribution (by Tship)'!$A48,Camplist_HH)</f>
        <v>380</v>
      </c>
      <c r="C48" s="9">
        <f>SUMIF(Camplist_Township,'NFI Distribution (by Tship)'!$A48,Camplist_Popl)</f>
        <v>1896</v>
      </c>
      <c r="D48" s="95">
        <f t="shared" si="14"/>
        <v>0</v>
      </c>
      <c r="E48" s="9">
        <f t="shared" si="15"/>
        <v>0</v>
      </c>
      <c r="F48" s="9">
        <f t="shared" si="16"/>
        <v>0</v>
      </c>
      <c r="G48" s="14">
        <f t="shared" si="17"/>
        <v>380</v>
      </c>
      <c r="H48" s="8">
        <f t="shared" si="18"/>
        <v>0</v>
      </c>
      <c r="I48" s="8">
        <f t="shared" si="19"/>
        <v>0</v>
      </c>
      <c r="J48" s="8">
        <f t="shared" si="20"/>
        <v>0</v>
      </c>
      <c r="K48" s="16">
        <f t="shared" si="21"/>
        <v>380</v>
      </c>
      <c r="L48" s="8">
        <f t="shared" si="22"/>
        <v>0</v>
      </c>
      <c r="M48" s="8">
        <f t="shared" si="23"/>
        <v>0</v>
      </c>
      <c r="N48" s="8">
        <f t="shared" si="24"/>
        <v>0</v>
      </c>
      <c r="O48" s="16">
        <f t="shared" si="25"/>
        <v>380</v>
      </c>
    </row>
    <row r="49" spans="1:15" s="82" customFormat="1" ht="21" hidden="1" customHeight="1" x14ac:dyDescent="0.25">
      <c r="A49" s="99" t="s">
        <v>298</v>
      </c>
      <c r="B49" s="9">
        <f>SUMIF(Camplist_Township,'NFI Distribution (by Tship)'!$A49,Camplist_HH)</f>
        <v>128</v>
      </c>
      <c r="C49" s="9">
        <f>SUMIF(Camplist_Township,'NFI Distribution (by Tship)'!$A49,Camplist_Popl)</f>
        <v>561</v>
      </c>
      <c r="D49" s="95">
        <f t="shared" si="14"/>
        <v>0</v>
      </c>
      <c r="E49" s="9">
        <f t="shared" si="15"/>
        <v>0</v>
      </c>
      <c r="F49" s="9">
        <f t="shared" si="16"/>
        <v>0</v>
      </c>
      <c r="G49" s="14">
        <f t="shared" si="17"/>
        <v>128</v>
      </c>
      <c r="H49" s="8">
        <f t="shared" si="18"/>
        <v>0</v>
      </c>
      <c r="I49" s="8">
        <f t="shared" si="19"/>
        <v>0</v>
      </c>
      <c r="J49" s="8">
        <f t="shared" si="20"/>
        <v>0</v>
      </c>
      <c r="K49" s="16">
        <f t="shared" si="21"/>
        <v>128</v>
      </c>
      <c r="L49" s="8">
        <f t="shared" si="22"/>
        <v>0</v>
      </c>
      <c r="M49" s="8">
        <f t="shared" si="23"/>
        <v>0</v>
      </c>
      <c r="N49" s="8">
        <f t="shared" si="24"/>
        <v>0</v>
      </c>
      <c r="O49" s="16">
        <f t="shared" si="25"/>
        <v>128</v>
      </c>
    </row>
    <row r="50" spans="1:15" s="82" customFormat="1" ht="21" hidden="1" customHeight="1" x14ac:dyDescent="0.25">
      <c r="A50" s="99" t="s">
        <v>300</v>
      </c>
      <c r="B50" s="9">
        <f>SUMIF(Camplist_Township,'NFI Distribution (by Tship)'!$A50,Camplist_HH)</f>
        <v>82</v>
      </c>
      <c r="C50" s="9">
        <f>SUMIF(Camplist_Township,'NFI Distribution (by Tship)'!$A50,Camplist_Popl)</f>
        <v>344</v>
      </c>
      <c r="D50" s="95">
        <f t="shared" si="14"/>
        <v>0</v>
      </c>
      <c r="E50" s="9">
        <f t="shared" si="15"/>
        <v>0</v>
      </c>
      <c r="F50" s="9">
        <f t="shared" si="16"/>
        <v>0</v>
      </c>
      <c r="G50" s="14">
        <f t="shared" si="17"/>
        <v>82</v>
      </c>
      <c r="H50" s="8">
        <f t="shared" si="18"/>
        <v>0</v>
      </c>
      <c r="I50" s="8">
        <f t="shared" si="19"/>
        <v>0</v>
      </c>
      <c r="J50" s="8">
        <f t="shared" si="20"/>
        <v>0</v>
      </c>
      <c r="K50" s="16">
        <f t="shared" si="21"/>
        <v>82</v>
      </c>
      <c r="L50" s="8">
        <f t="shared" si="22"/>
        <v>101</v>
      </c>
      <c r="M50" s="8">
        <f t="shared" si="23"/>
        <v>0</v>
      </c>
      <c r="N50" s="8">
        <f t="shared" si="24"/>
        <v>0</v>
      </c>
      <c r="O50" s="16">
        <f t="shared" si="25"/>
        <v>0</v>
      </c>
    </row>
    <row r="51" spans="1:15" s="82" customFormat="1" ht="21" hidden="1" customHeight="1" x14ac:dyDescent="0.25">
      <c r="A51" s="99" t="s">
        <v>302</v>
      </c>
      <c r="B51" s="9">
        <f>SUMIF(Camplist_Township,'NFI Distribution (by Tship)'!$A51,Camplist_HH)</f>
        <v>508</v>
      </c>
      <c r="C51" s="9">
        <f>SUMIF(Camplist_Township,'NFI Distribution (by Tship)'!$A51,Camplist_Popl)</f>
        <v>2166</v>
      </c>
      <c r="D51" s="95">
        <f t="shared" si="14"/>
        <v>0</v>
      </c>
      <c r="E51" s="9">
        <f t="shared" si="15"/>
        <v>0</v>
      </c>
      <c r="F51" s="9">
        <f t="shared" si="16"/>
        <v>0</v>
      </c>
      <c r="G51" s="14">
        <f t="shared" si="17"/>
        <v>508</v>
      </c>
      <c r="H51" s="8">
        <f t="shared" si="18"/>
        <v>0</v>
      </c>
      <c r="I51" s="8">
        <f t="shared" si="19"/>
        <v>0</v>
      </c>
      <c r="J51" s="8">
        <f t="shared" si="20"/>
        <v>0</v>
      </c>
      <c r="K51" s="16">
        <f t="shared" si="21"/>
        <v>508</v>
      </c>
      <c r="L51" s="8">
        <f t="shared" si="22"/>
        <v>0</v>
      </c>
      <c r="M51" s="8">
        <f t="shared" si="23"/>
        <v>0</v>
      </c>
      <c r="N51" s="8">
        <f t="shared" si="24"/>
        <v>0</v>
      </c>
      <c r="O51" s="16">
        <f t="shared" si="25"/>
        <v>508</v>
      </c>
    </row>
    <row r="52" spans="1:15" s="82" customFormat="1" ht="21" hidden="1" customHeight="1" x14ac:dyDescent="0.25">
      <c r="A52" s="99" t="s">
        <v>813</v>
      </c>
      <c r="B52" s="9">
        <f>SUMIF(Camplist_Township,'NFI Distribution (by Tship)'!$A52,Camplist_HH)</f>
        <v>166</v>
      </c>
      <c r="C52" s="9">
        <f>SUMIF(Camplist_Township,'NFI Distribution (by Tship)'!$A52,Camplist_Popl)</f>
        <v>1232</v>
      </c>
      <c r="D52" s="95">
        <f t="shared" si="14"/>
        <v>0</v>
      </c>
      <c r="E52" s="9">
        <f t="shared" si="15"/>
        <v>0</v>
      </c>
      <c r="F52" s="9">
        <f t="shared" si="16"/>
        <v>0</v>
      </c>
      <c r="G52" s="14">
        <f t="shared" si="17"/>
        <v>166</v>
      </c>
      <c r="H52" s="8">
        <f t="shared" si="18"/>
        <v>0</v>
      </c>
      <c r="I52" s="8">
        <f t="shared" si="19"/>
        <v>0</v>
      </c>
      <c r="J52" s="8">
        <f t="shared" si="20"/>
        <v>0</v>
      </c>
      <c r="K52" s="16">
        <f t="shared" si="21"/>
        <v>166</v>
      </c>
      <c r="L52" s="8">
        <f t="shared" si="22"/>
        <v>0</v>
      </c>
      <c r="M52" s="8">
        <f t="shared" si="23"/>
        <v>0</v>
      </c>
      <c r="N52" s="8">
        <f t="shared" si="24"/>
        <v>0</v>
      </c>
      <c r="O52" s="16">
        <f t="shared" si="25"/>
        <v>166</v>
      </c>
    </row>
    <row r="53" spans="1:15" s="82" customFormat="1" ht="21" hidden="1" customHeight="1" x14ac:dyDescent="0.25">
      <c r="A53" s="99" t="s">
        <v>310</v>
      </c>
      <c r="B53" s="9">
        <f>SUMIF(Camplist_Township,'NFI Distribution (by Tship)'!$A53,Camplist_HH)</f>
        <v>5129</v>
      </c>
      <c r="C53" s="9">
        <f>SUMIF(Camplist_Township,'NFI Distribution (by Tship)'!$A53,Camplist_Popl)</f>
        <v>28846</v>
      </c>
      <c r="D53" s="95">
        <f t="shared" si="14"/>
        <v>0</v>
      </c>
      <c r="E53" s="9">
        <f t="shared" si="15"/>
        <v>0</v>
      </c>
      <c r="F53" s="9">
        <f t="shared" si="16"/>
        <v>0</v>
      </c>
      <c r="G53" s="14">
        <f t="shared" si="17"/>
        <v>5129</v>
      </c>
      <c r="H53" s="8">
        <f t="shared" si="18"/>
        <v>0</v>
      </c>
      <c r="I53" s="8">
        <f t="shared" si="19"/>
        <v>0</v>
      </c>
      <c r="J53" s="8">
        <f t="shared" si="20"/>
        <v>0</v>
      </c>
      <c r="K53" s="16">
        <f t="shared" si="21"/>
        <v>5129</v>
      </c>
      <c r="L53" s="8">
        <f t="shared" si="22"/>
        <v>0</v>
      </c>
      <c r="M53" s="8">
        <f t="shared" si="23"/>
        <v>0</v>
      </c>
      <c r="N53" s="8">
        <f t="shared" si="24"/>
        <v>0</v>
      </c>
      <c r="O53" s="16">
        <f t="shared" si="25"/>
        <v>5129</v>
      </c>
    </row>
    <row r="54" spans="1:15" ht="21" hidden="1" customHeight="1" thickBot="1" x14ac:dyDescent="0.3">
      <c r="A54" s="100" t="s">
        <v>3</v>
      </c>
      <c r="B54" s="101">
        <f t="shared" ref="B54:J54" si="26">SUM(B34:B53)</f>
        <v>19659</v>
      </c>
      <c r="C54" s="101">
        <f t="shared" si="26"/>
        <v>100263</v>
      </c>
      <c r="D54" s="96">
        <f t="shared" si="26"/>
        <v>0</v>
      </c>
      <c r="E54" s="10">
        <f t="shared" si="26"/>
        <v>0</v>
      </c>
      <c r="F54" s="10">
        <f t="shared" si="26"/>
        <v>0</v>
      </c>
      <c r="G54" s="15">
        <f t="shared" si="26"/>
        <v>19659</v>
      </c>
      <c r="H54" s="10">
        <f t="shared" si="26"/>
        <v>753</v>
      </c>
      <c r="I54" s="10">
        <f t="shared" si="26"/>
        <v>1058</v>
      </c>
      <c r="J54" s="10">
        <f t="shared" si="26"/>
        <v>0</v>
      </c>
      <c r="K54" s="15">
        <f>SUM(K34:K53)</f>
        <v>17848</v>
      </c>
      <c r="L54" s="10">
        <f>SUM(L34:L53)</f>
        <v>845</v>
      </c>
      <c r="M54" s="10">
        <f>SUM(M34:M53)</f>
        <v>256</v>
      </c>
      <c r="N54" s="10">
        <f>SUM(N34:N53)</f>
        <v>0</v>
      </c>
      <c r="O54" s="36">
        <f>SUM(O34:O53)</f>
        <v>18577</v>
      </c>
    </row>
    <row r="55" spans="1:15" ht="21" customHeight="1" x14ac:dyDescent="0.25"/>
    <row r="56" spans="1:15" ht="17.25" hidden="1" customHeight="1" x14ac:dyDescent="0.25">
      <c r="I56" s="37"/>
    </row>
    <row r="57" spans="1:15" hidden="1" x14ac:dyDescent="0.25">
      <c r="I57" s="37"/>
    </row>
    <row r="59" spans="1:15" x14ac:dyDescent="0.25">
      <c r="A59" s="421" t="s">
        <v>500</v>
      </c>
      <c r="B59" s="26" t="s">
        <v>502</v>
      </c>
    </row>
    <row r="60" spans="1:15" x14ac:dyDescent="0.25">
      <c r="A60" s="421" t="s">
        <v>1148</v>
      </c>
      <c r="B60" s="26" t="s">
        <v>1130</v>
      </c>
      <c r="C60" s="37"/>
      <c r="D60" s="37"/>
      <c r="E60" s="37"/>
      <c r="F60" s="37"/>
      <c r="G60" s="37"/>
      <c r="H60" s="37"/>
    </row>
    <row r="61" spans="1:15" x14ac:dyDescent="0.25">
      <c r="A61" s="37"/>
      <c r="B61" s="37"/>
      <c r="C61" s="37"/>
      <c r="D61" s="37"/>
      <c r="E61" s="37"/>
      <c r="F61" s="37"/>
      <c r="G61" s="37"/>
      <c r="H61" s="37"/>
    </row>
    <row r="62" spans="1:15" x14ac:dyDescent="0.25">
      <c r="A62" s="421" t="s">
        <v>415</v>
      </c>
      <c r="B62" s="26" t="s">
        <v>1239</v>
      </c>
      <c r="C62" s="26" t="s">
        <v>459</v>
      </c>
      <c r="D62" s="26" t="s">
        <v>436</v>
      </c>
      <c r="E62" s="26" t="s">
        <v>437</v>
      </c>
      <c r="F62" s="26" t="s">
        <v>1240</v>
      </c>
      <c r="G62" s="26" t="s">
        <v>1241</v>
      </c>
    </row>
    <row r="63" spans="1:15" s="129" customFormat="1" x14ac:dyDescent="0.25">
      <c r="A63" s="420" t="s">
        <v>454</v>
      </c>
      <c r="B63" s="654">
        <v>540</v>
      </c>
      <c r="C63" s="654">
        <v>200</v>
      </c>
      <c r="D63" s="654">
        <v>865</v>
      </c>
      <c r="E63" s="654">
        <v>200</v>
      </c>
      <c r="F63" s="654">
        <v>200</v>
      </c>
      <c r="G63" s="654">
        <v>975</v>
      </c>
      <c r="H63"/>
      <c r="I63"/>
      <c r="J63"/>
      <c r="K63"/>
      <c r="L63"/>
    </row>
    <row r="64" spans="1:15" s="129" customFormat="1" x14ac:dyDescent="0.25">
      <c r="A64" s="420" t="s">
        <v>416</v>
      </c>
      <c r="B64" s="654">
        <v>540</v>
      </c>
      <c r="C64" s="654">
        <v>200</v>
      </c>
      <c r="D64" s="654">
        <v>865</v>
      </c>
      <c r="E64" s="654">
        <v>200</v>
      </c>
      <c r="F64" s="654">
        <v>200</v>
      </c>
      <c r="G64" s="654">
        <v>975</v>
      </c>
      <c r="H64"/>
    </row>
    <row r="65" spans="1:12" s="129" customFormat="1" x14ac:dyDescent="0.25">
      <c r="A65"/>
      <c r="B65"/>
      <c r="C65"/>
      <c r="D65"/>
      <c r="E65"/>
      <c r="F65"/>
      <c r="G65"/>
      <c r="H65"/>
    </row>
    <row r="66" spans="1:12" s="129" customFormat="1" x14ac:dyDescent="0.25">
      <c r="A66"/>
      <c r="B66"/>
      <c r="C66"/>
      <c r="D66"/>
      <c r="E66"/>
      <c r="F66"/>
      <c r="G66"/>
      <c r="H66"/>
    </row>
    <row r="67" spans="1:12" s="129" customFormat="1" x14ac:dyDescent="0.25">
      <c r="A67"/>
      <c r="B67"/>
      <c r="C67"/>
      <c r="D67"/>
      <c r="E67"/>
      <c r="F67"/>
      <c r="G67"/>
      <c r="H67"/>
    </row>
    <row r="68" spans="1:12" s="129" customFormat="1" x14ac:dyDescent="0.25">
      <c r="A68" s="421" t="s">
        <v>500</v>
      </c>
      <c r="B68" s="26" t="s">
        <v>502</v>
      </c>
      <c r="C68"/>
      <c r="D68"/>
      <c r="E68"/>
      <c r="F68"/>
      <c r="G68"/>
      <c r="H68"/>
    </row>
    <row r="69" spans="1:12" s="129" customFormat="1" x14ac:dyDescent="0.25">
      <c r="A69" s="421" t="s">
        <v>1087</v>
      </c>
      <c r="B69" s="26" t="s">
        <v>1084</v>
      </c>
      <c r="E69"/>
      <c r="F69"/>
      <c r="G69"/>
    </row>
    <row r="70" spans="1:12" x14ac:dyDescent="0.25">
      <c r="A70" s="421" t="s">
        <v>1164</v>
      </c>
      <c r="B70" s="420">
        <v>1</v>
      </c>
      <c r="C70" s="129"/>
      <c r="D70" s="129"/>
      <c r="H70" s="129"/>
    </row>
    <row r="71" spans="1:12" x14ac:dyDescent="0.25">
      <c r="A71" s="129"/>
      <c r="B71" s="129"/>
      <c r="C71" s="129"/>
      <c r="D71" s="129"/>
      <c r="H71" s="129"/>
    </row>
    <row r="72" spans="1:12" s="139" customFormat="1" ht="45" x14ac:dyDescent="0.25">
      <c r="A72" s="462" t="s">
        <v>415</v>
      </c>
      <c r="B72" s="463" t="s">
        <v>1006</v>
      </c>
      <c r="C72" s="463" t="s">
        <v>1007</v>
      </c>
      <c r="D72" s="463" t="s">
        <v>1238</v>
      </c>
    </row>
    <row r="73" spans="1:12" x14ac:dyDescent="0.25">
      <c r="A73" s="420" t="s">
        <v>1111</v>
      </c>
      <c r="B73" s="654"/>
      <c r="C73" s="654"/>
      <c r="D73" s="654">
        <v>684</v>
      </c>
    </row>
    <row r="74" spans="1:12" x14ac:dyDescent="0.25">
      <c r="A74" s="420" t="s">
        <v>455</v>
      </c>
      <c r="B74" s="654">
        <v>944</v>
      </c>
      <c r="C74" s="654">
        <v>553</v>
      </c>
      <c r="D74" s="654"/>
    </row>
    <row r="75" spans="1:12" x14ac:dyDescent="0.25">
      <c r="A75" s="420" t="s">
        <v>1101</v>
      </c>
      <c r="B75" s="654">
        <v>941</v>
      </c>
      <c r="C75" s="654">
        <v>619</v>
      </c>
      <c r="D75" s="654">
        <v>549</v>
      </c>
    </row>
    <row r="76" spans="1:12" x14ac:dyDescent="0.25">
      <c r="A76" s="420" t="s">
        <v>1043</v>
      </c>
      <c r="B76" s="654"/>
      <c r="C76" s="654">
        <v>1333</v>
      </c>
      <c r="D76" s="654"/>
      <c r="L76" s="3"/>
    </row>
    <row r="77" spans="1:12" x14ac:dyDescent="0.25">
      <c r="A77" s="420" t="s">
        <v>912</v>
      </c>
      <c r="B77" s="654">
        <v>1155</v>
      </c>
      <c r="C77" s="654">
        <v>2263</v>
      </c>
      <c r="D77" s="654">
        <v>3418</v>
      </c>
    </row>
    <row r="78" spans="1:12" x14ac:dyDescent="0.25">
      <c r="A78" s="420" t="s">
        <v>454</v>
      </c>
      <c r="B78" s="654">
        <v>1632</v>
      </c>
      <c r="C78" s="654">
        <v>2421</v>
      </c>
      <c r="D78" s="654">
        <v>3070</v>
      </c>
    </row>
    <row r="79" spans="1:12" x14ac:dyDescent="0.25">
      <c r="A79" s="420" t="s">
        <v>416</v>
      </c>
      <c r="B79" s="654">
        <v>4672</v>
      </c>
      <c r="C79" s="654">
        <v>7189</v>
      </c>
      <c r="D79" s="654">
        <v>7721</v>
      </c>
    </row>
  </sheetData>
  <sortState ref="A8:T17">
    <sortCondition ref="A8:A17"/>
  </sortState>
  <mergeCells count="10">
    <mergeCell ref="L32:O32"/>
    <mergeCell ref="A32:A33"/>
    <mergeCell ref="B32:B33"/>
    <mergeCell ref="C32:C33"/>
    <mergeCell ref="D32:G32"/>
    <mergeCell ref="A2:H2"/>
    <mergeCell ref="A3:H3"/>
    <mergeCell ref="A6:A7"/>
    <mergeCell ref="B6:B7"/>
    <mergeCell ref="C6:C7"/>
  </mergeCells>
  <pageMargins left="0.25" right="0.25" top="0.75" bottom="0.75" header="0.3" footer="0.3"/>
  <pageSetup paperSize="9" scale="40"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39997558519241921"/>
  </sheetPr>
  <dimension ref="A1:T168"/>
  <sheetViews>
    <sheetView zoomScale="80" zoomScaleNormal="80" workbookViewId="0">
      <selection activeCell="J37" sqref="J37"/>
    </sheetView>
  </sheetViews>
  <sheetFormatPr defaultRowHeight="15" x14ac:dyDescent="0.25"/>
  <cols>
    <col min="1" max="1" width="19.7109375" style="129" customWidth="1"/>
    <col min="2" max="2" width="11.85546875" customWidth="1"/>
    <col min="3" max="3" width="38.7109375" customWidth="1"/>
    <col min="4" max="4" width="11.5703125" bestFit="1" customWidth="1"/>
    <col min="5" max="5" width="10.7109375" customWidth="1"/>
    <col min="6" max="6" width="7.7109375" customWidth="1"/>
    <col min="7" max="7" width="23.42578125" customWidth="1"/>
    <col min="8" max="8" width="20.28515625" customWidth="1"/>
    <col min="9" max="9" width="19" bestFit="1" customWidth="1"/>
    <col min="10" max="10" width="14.7109375" bestFit="1" customWidth="1"/>
    <col min="11" max="11" width="17" customWidth="1"/>
    <col min="12" max="12" width="17.42578125" customWidth="1"/>
    <col min="13" max="13" width="13" style="151" customWidth="1"/>
    <col min="14" max="14" width="11.140625" customWidth="1"/>
    <col min="17" max="17" width="13.85546875" customWidth="1"/>
    <col min="18" max="18" width="21.7109375" bestFit="1" customWidth="1"/>
    <col min="19" max="19" width="21.42578125" customWidth="1"/>
    <col min="20" max="20" width="21.5703125" bestFit="1" customWidth="1"/>
    <col min="21" max="21" width="6" customWidth="1"/>
    <col min="22" max="22" width="21.140625" bestFit="1" customWidth="1"/>
    <col min="23" max="23" width="6" customWidth="1"/>
    <col min="24" max="24" width="26.5703125" bestFit="1" customWidth="1"/>
    <col min="25" max="26" width="26.28515625" bestFit="1" customWidth="1"/>
  </cols>
  <sheetData>
    <row r="1" spans="1:20" s="139" customFormat="1" ht="30" x14ac:dyDescent="0.25">
      <c r="A1" s="469" t="s">
        <v>560</v>
      </c>
      <c r="B1" s="470" t="s">
        <v>1087</v>
      </c>
      <c r="C1" s="470" t="s">
        <v>556</v>
      </c>
      <c r="D1" s="470" t="s">
        <v>0</v>
      </c>
      <c r="E1" s="470" t="s">
        <v>2</v>
      </c>
      <c r="F1" s="470" t="s">
        <v>1088</v>
      </c>
      <c r="G1" s="470" t="s">
        <v>1006</v>
      </c>
      <c r="H1" s="470" t="s">
        <v>1007</v>
      </c>
      <c r="I1" s="470" t="s">
        <v>1008</v>
      </c>
      <c r="J1" s="470" t="s">
        <v>1089</v>
      </c>
      <c r="K1" s="470" t="s">
        <v>1091</v>
      </c>
      <c r="L1" s="470" t="s">
        <v>1090</v>
      </c>
      <c r="M1" s="471" t="s">
        <v>1098</v>
      </c>
      <c r="N1" s="472" t="s">
        <v>1095</v>
      </c>
      <c r="Q1" s="139">
        <f>SUM(N:N)</f>
        <v>0</v>
      </c>
      <c r="R1" s="139">
        <f>COUNTA(A:A)-1</f>
        <v>167</v>
      </c>
    </row>
    <row r="2" spans="1:20" x14ac:dyDescent="0.25">
      <c r="A2" s="381" t="s">
        <v>30</v>
      </c>
      <c r="B2" s="26" t="str">
        <f ca="1">OFFSET(CampList[Priority],MATCH(Table10[[#This Row],[Pcode]],CampList[CP_Pcode],0)-1,0,1,1)</f>
        <v>P1</v>
      </c>
      <c r="C2" s="26" t="str">
        <f ca="1">OFFSET(CampList[Camp],MATCH(Table10[[#This Row],[Pcode]],CampList[CP_Pcode],0)-1,0,1,1)</f>
        <v>Chipwi KBC camp</v>
      </c>
      <c r="D2" s="26" t="str">
        <f ca="1">OFFSET(CampList[Township],MATCH(Table10[[#This Row],[Pcode]],CampList[CP_Pcode],0)-1,0,1,1)</f>
        <v>Chipwi</v>
      </c>
      <c r="E2" s="26">
        <f ca="1">OFFSET(CampList[HH],MATCH(Table10[[#This Row],[Pcode]],CampList[CP_Pcode],0)-1,0,1,1)</f>
        <v>108</v>
      </c>
      <c r="F2" s="26">
        <f ca="1">OFFSET(CampList[Total],MATCH(Table10[[#This Row],[Pcode]],CampList[CP_Pcode],0)-1,0,1,1)</f>
        <v>518</v>
      </c>
      <c r="G2" s="422">
        <f>SUMIF('NFI Tracking'!AO$6:AO$1048576,Table10[[#This Row],[Pcode]],'NFI Tracking'!AI$6:AI$1048576)</f>
        <v>293</v>
      </c>
      <c r="H2" s="422">
        <f>SUMIF('NFI Tracking'!AO$6:AO$1048576,Table10[[#This Row],[Pcode]],'NFI Tracking'!AJ$6:AJ$1048576)</f>
        <v>190</v>
      </c>
      <c r="I2" s="422">
        <f>SUMIF('NFI Tracking'!AO$6:AO$1048576,Table10[[#This Row],[Pcode]],'NFI Tracking'!AK$6:AK$1048576)</f>
        <v>0</v>
      </c>
      <c r="J2" s="422">
        <f ca="1">MAX(Table10[[#This Row],[HH]]*VLOOKUP("Winter Clothes Adult",NFI,6)-Table10[[#This Row],[Winter Clothes Adult ]],0)</f>
        <v>0</v>
      </c>
      <c r="K2" s="422">
        <f ca="1">MAX(Table10[[#This Row],[HH]]*VLOOKUP("Winter Clothes Children ",NFI,6)-Table10[[#This Row],[Winter Clothes Children ]],0)</f>
        <v>0</v>
      </c>
      <c r="L2" s="422">
        <f ca="1">MAX(Table10[[#This Row],[HH]]*VLOOKUP("Winter Items Other ",NFI,6)-Table10[[#This Row],[Winter Items Other ]],0)</f>
        <v>108</v>
      </c>
      <c r="M2" s="464" t="str">
        <f>IF(OR(Table10[[#This Row],[Winter Clothes Adult ]]&lt;&gt;0,Table10[[#This Row],[Winter Clothes Children ]]&lt;&gt;0,Table10[[#This Row],[Winter Items Other ]]&lt;&gt;0),"No","")</f>
        <v>No</v>
      </c>
      <c r="N2" s="465">
        <f>COUNTIF(A:A,Table10[[#This Row],[Pcode]])-1</f>
        <v>0</v>
      </c>
    </row>
    <row r="3" spans="1:20" x14ac:dyDescent="0.25">
      <c r="A3" s="381" t="s">
        <v>31</v>
      </c>
      <c r="B3" s="26" t="str">
        <f ca="1">OFFSET(CampList[Priority],MATCH(Table10[[#This Row],[Pcode]],CampList[CP_Pcode],0)-1,0,1,1)</f>
        <v>P1</v>
      </c>
      <c r="C3" s="26" t="str">
        <f ca="1">OFFSET(CampList[Camp],MATCH(Table10[[#This Row],[Pcode]],CampList[CP_Pcode],0)-1,0,1,1)</f>
        <v>Gant Gwin</v>
      </c>
      <c r="D3" s="26" t="str">
        <f ca="1">OFFSET(CampList[Township],MATCH(Table10[[#This Row],[Pcode]],CampList[CP_Pcode],0)-1,0,1,1)</f>
        <v>Chipwi</v>
      </c>
      <c r="E3" s="26">
        <f ca="1">OFFSET(CampList[HH],MATCH(Table10[[#This Row],[Pcode]],CampList[CP_Pcode],0)-1,0,1,1)</f>
        <v>0</v>
      </c>
      <c r="F3" s="26">
        <f ca="1">OFFSET(CampList[Total],MATCH(Table10[[#This Row],[Pcode]],CampList[CP_Pcode],0)-1,0,1,1)</f>
        <v>0</v>
      </c>
      <c r="G3" s="422">
        <f>SUMIF('NFI Tracking'!AO$6:AO$1048576,Table10[[#This Row],[Pcode]],'NFI Tracking'!AI$6:AI$1048576)</f>
        <v>0</v>
      </c>
      <c r="H3" s="422">
        <f>SUMIF('NFI Tracking'!AO$6:AO$1048576,Table10[[#This Row],[Pcode]],'NFI Tracking'!AJ$6:AJ$1048576)</f>
        <v>0</v>
      </c>
      <c r="I3" s="422">
        <f>SUMIF('NFI Tracking'!AO$6:AO$1048576,Table10[[#This Row],[Pcode]],'NFI Tracking'!AK$6:AK$1048576)</f>
        <v>0</v>
      </c>
      <c r="J3" s="422">
        <f ca="1">MAX(Table10[[#This Row],[HH]]*VLOOKUP("Winter Clothes Adult",NFI,6)-Table10[[#This Row],[Winter Clothes Adult ]],0)</f>
        <v>0</v>
      </c>
      <c r="K3" s="422">
        <f ca="1">MAX(Table10[[#This Row],[HH]]*VLOOKUP("Winter Clothes Children ",NFI,6)-Table10[[#This Row],[Winter Clothes Children ]],0)</f>
        <v>0</v>
      </c>
      <c r="L3" s="422">
        <f ca="1">MAX(Table10[[#This Row],[HH]]*VLOOKUP("Winter Items Other ",NFI,6)-Table10[[#This Row],[Winter Items Other ]],0)</f>
        <v>0</v>
      </c>
      <c r="M3" s="464" t="str">
        <f>IF(OR(Table10[[#This Row],[Winter Clothes Adult ]]&lt;&gt;0,Table10[[#This Row],[Winter Clothes Children ]]&lt;&gt;0,Table10[[#This Row],[Winter Items Other ]]&lt;&gt;0),"No","")</f>
        <v/>
      </c>
      <c r="N3" s="465">
        <f>COUNTIF(A:A,Table10[[#This Row],[Pcode]])-1</f>
        <v>0</v>
      </c>
    </row>
    <row r="4" spans="1:20" x14ac:dyDescent="0.25">
      <c r="A4" s="381" t="s">
        <v>29</v>
      </c>
      <c r="B4" s="26" t="str">
        <f ca="1">OFFSET(CampList[Priority],MATCH(Table10[[#This Row],[Pcode]],CampList[CP_Pcode],0)-1,0,1,1)</f>
        <v>P1</v>
      </c>
      <c r="C4" s="26" t="str">
        <f ca="1">OFFSET(CampList[Camp],MATCH(Table10[[#This Row],[Pcode]],CampList[CP_Pcode],0)-1,0,1,1)</f>
        <v>Hpare Hkyer - BP6</v>
      </c>
      <c r="D4" s="26" t="str">
        <f ca="1">OFFSET(CampList[Township],MATCH(Table10[[#This Row],[Pcode]],CampList[CP_Pcode],0)-1,0,1,1)</f>
        <v>Chipwi</v>
      </c>
      <c r="E4" s="26">
        <f ca="1">OFFSET(CampList[HH],MATCH(Table10[[#This Row],[Pcode]],CampList[CP_Pcode],0)-1,0,1,1)</f>
        <v>154</v>
      </c>
      <c r="F4" s="26">
        <f ca="1">OFFSET(CampList[Total],MATCH(Table10[[#This Row],[Pcode]],CampList[CP_Pcode],0)-1,0,1,1)</f>
        <v>920</v>
      </c>
      <c r="G4" s="422">
        <f>SUMIF('NFI Tracking'!AO$6:AO$1048576,Table10[[#This Row],[Pcode]],'NFI Tracking'!AI$6:AI$1048576)</f>
        <v>0</v>
      </c>
      <c r="H4" s="422">
        <f>SUMIF('NFI Tracking'!AO$6:AO$1048576,Table10[[#This Row],[Pcode]],'NFI Tracking'!AJ$6:AJ$1048576)</f>
        <v>0</v>
      </c>
      <c r="I4" s="422">
        <f>SUMIF('NFI Tracking'!AO$6:AO$1048576,Table10[[#This Row],[Pcode]],'NFI Tracking'!AK$6:AK$1048576)</f>
        <v>0</v>
      </c>
      <c r="J4" s="422">
        <f ca="1">MAX(Table10[[#This Row],[HH]]*VLOOKUP("Winter Clothes Adult",NFI,6)-Table10[[#This Row],[Winter Clothes Adult ]],0)</f>
        <v>308</v>
      </c>
      <c r="K4" s="422">
        <f ca="1">MAX(Table10[[#This Row],[HH]]*VLOOKUP("Winter Clothes Children ",NFI,6)-Table10[[#This Row],[Winter Clothes Children ]],0)</f>
        <v>154</v>
      </c>
      <c r="L4" s="422">
        <f ca="1">MAX(Table10[[#This Row],[HH]]*VLOOKUP("Winter Items Other ",NFI,6)-Table10[[#This Row],[Winter Items Other ]],0)</f>
        <v>154</v>
      </c>
      <c r="M4" s="464" t="str">
        <f>IF(OR(Table10[[#This Row],[Winter Clothes Adult ]]&lt;&gt;0,Table10[[#This Row],[Winter Clothes Children ]]&lt;&gt;0,Table10[[#This Row],[Winter Items Other ]]&lt;&gt;0),"No","")</f>
        <v/>
      </c>
      <c r="N4" s="465">
        <f>COUNTIF(A:A,Table10[[#This Row],[Pcode]])-1</f>
        <v>0</v>
      </c>
    </row>
    <row r="5" spans="1:20" x14ac:dyDescent="0.25">
      <c r="A5" s="381" t="s">
        <v>33</v>
      </c>
      <c r="B5" s="26" t="str">
        <f ca="1">OFFSET(CampList[Priority],MATCH(Table10[[#This Row],[Pcode]],CampList[CP_Pcode],0)-1,0,1,1)</f>
        <v>P1</v>
      </c>
      <c r="C5" s="26" t="str">
        <f ca="1">OFFSET(CampList[Camp],MATCH(Table10[[#This Row],[Pcode]],CampList[CP_Pcode],0)-1,0,1,1)</f>
        <v xml:space="preserve">Lan Jaw </v>
      </c>
      <c r="D5" s="26" t="str">
        <f ca="1">OFFSET(CampList[Township],MATCH(Table10[[#This Row],[Pcode]],CampList[CP_Pcode],0)-1,0,1,1)</f>
        <v>Chipwi</v>
      </c>
      <c r="E5" s="26">
        <f ca="1">OFFSET(CampList[HH],MATCH(Table10[[#This Row],[Pcode]],CampList[CP_Pcode],0)-1,0,1,1)</f>
        <v>0</v>
      </c>
      <c r="F5" s="26">
        <f ca="1">OFFSET(CampList[Total],MATCH(Table10[[#This Row],[Pcode]],CampList[CP_Pcode],0)-1,0,1,1)</f>
        <v>0</v>
      </c>
      <c r="G5" s="422">
        <f>SUMIF('NFI Tracking'!AO$6:AO$1048576,Table10[[#This Row],[Pcode]],'NFI Tracking'!AI$6:AI$1048576)</f>
        <v>0</v>
      </c>
      <c r="H5" s="422">
        <f>SUMIF('NFI Tracking'!AO$6:AO$1048576,Table10[[#This Row],[Pcode]],'NFI Tracking'!AJ$6:AJ$1048576)</f>
        <v>0</v>
      </c>
      <c r="I5" s="422">
        <f>SUMIF('NFI Tracking'!AO$6:AO$1048576,Table10[[#This Row],[Pcode]],'NFI Tracking'!AK$6:AK$1048576)</f>
        <v>0</v>
      </c>
      <c r="J5" s="422">
        <f ca="1">MAX(Table10[[#This Row],[HH]]*VLOOKUP("Winter Clothes Adult",NFI,6)-Table10[[#This Row],[Winter Clothes Adult ]],0)</f>
        <v>0</v>
      </c>
      <c r="K5" s="422">
        <f ca="1">MAX(Table10[[#This Row],[HH]]*VLOOKUP("Winter Clothes Children ",NFI,6)-Table10[[#This Row],[Winter Clothes Children ]],0)</f>
        <v>0</v>
      </c>
      <c r="L5" s="422">
        <f ca="1">MAX(Table10[[#This Row],[HH]]*VLOOKUP("Winter Items Other ",NFI,6)-Table10[[#This Row],[Winter Items Other ]],0)</f>
        <v>0</v>
      </c>
      <c r="M5" s="464" t="str">
        <f>IF(OR(Table10[[#This Row],[Winter Clothes Adult ]]&lt;&gt;0,Table10[[#This Row],[Winter Clothes Children ]]&lt;&gt;0,Table10[[#This Row],[Winter Items Other ]]&lt;&gt;0),"No","")</f>
        <v/>
      </c>
      <c r="N5" s="465">
        <f>COUNTIF(A:A,Table10[[#This Row],[Pcode]])-1</f>
        <v>0</v>
      </c>
    </row>
    <row r="6" spans="1:20" x14ac:dyDescent="0.25">
      <c r="A6" s="381" t="s">
        <v>378</v>
      </c>
      <c r="B6" s="26" t="str">
        <f ca="1">OFFSET(CampList[Priority],MATCH(Table10[[#This Row],[Pcode]],CampList[CP_Pcode],0)-1,0,1,1)</f>
        <v>P1</v>
      </c>
      <c r="C6" s="26" t="str">
        <f ca="1">OFFSET(CampList[Camp],MATCH(Table10[[#This Row],[Pcode]],CampList[CP_Pcode],0)-1,0,1,1)</f>
        <v>Lhaovao Baptist Church (LBC)</v>
      </c>
      <c r="D6" s="26" t="str">
        <f ca="1">OFFSET(CampList[Township],MATCH(Table10[[#This Row],[Pcode]],CampList[CP_Pcode],0)-1,0,1,1)</f>
        <v>Chipwi</v>
      </c>
      <c r="E6" s="26">
        <f ca="1">OFFSET(CampList[HH],MATCH(Table10[[#This Row],[Pcode]],CampList[CP_Pcode],0)-1,0,1,1)</f>
        <v>144</v>
      </c>
      <c r="F6" s="26">
        <f ca="1">OFFSET(CampList[Total],MATCH(Table10[[#This Row],[Pcode]],CampList[CP_Pcode],0)-1,0,1,1)</f>
        <v>645</v>
      </c>
      <c r="G6" s="422">
        <f>SUMIF('NFI Tracking'!AO$6:AO$1048576,Table10[[#This Row],[Pcode]],'NFI Tracking'!AI$6:AI$1048576)</f>
        <v>350</v>
      </c>
      <c r="H6" s="422">
        <f>SUMIF('NFI Tracking'!AO$6:AO$1048576,Table10[[#This Row],[Pcode]],'NFI Tracking'!AJ$6:AJ$1048576)</f>
        <v>236</v>
      </c>
      <c r="I6" s="422">
        <f>SUMIF('NFI Tracking'!AO$6:AO$1048576,Table10[[#This Row],[Pcode]],'NFI Tracking'!AK$6:AK$1048576)</f>
        <v>0</v>
      </c>
      <c r="J6" s="422">
        <f ca="1">MAX(Table10[[#This Row],[HH]]*VLOOKUP("Winter Clothes Adult",NFI,6)-Table10[[#This Row],[Winter Clothes Adult ]],0)</f>
        <v>0</v>
      </c>
      <c r="K6" s="422">
        <f ca="1">MAX(Table10[[#This Row],[HH]]*VLOOKUP("Winter Clothes Children ",NFI,6)-Table10[[#This Row],[Winter Clothes Children ]],0)</f>
        <v>0</v>
      </c>
      <c r="L6" s="422">
        <f ca="1">MAX(Table10[[#This Row],[HH]]*VLOOKUP("Winter Items Other ",NFI,6)-Table10[[#This Row],[Winter Items Other ]],0)</f>
        <v>144</v>
      </c>
      <c r="M6" s="464" t="str">
        <f>IF(OR(Table10[[#This Row],[Winter Clothes Adult ]]&lt;&gt;0,Table10[[#This Row],[Winter Clothes Children ]]&lt;&gt;0,Table10[[#This Row],[Winter Items Other ]]&lt;&gt;0),"No","")</f>
        <v>No</v>
      </c>
      <c r="N6" s="465">
        <f>COUNTIF(A:A,Table10[[#This Row],[Pcode]])-1</f>
        <v>0</v>
      </c>
    </row>
    <row r="7" spans="1:20" x14ac:dyDescent="0.25">
      <c r="A7" s="381" t="s">
        <v>1027</v>
      </c>
      <c r="B7" s="26" t="str">
        <f ca="1">OFFSET(CampList[Priority],MATCH(Table10[[#This Row],[Pcode]],CampList[CP_Pcode],0)-1,0,1,1)</f>
        <v>P1</v>
      </c>
      <c r="C7" s="26" t="str">
        <f ca="1">OFFSET(CampList[Camp],MATCH(Table10[[#This Row],[Pcode]],CampList[CP_Pcode],0)-1,0,1,1)</f>
        <v>Saw Zam</v>
      </c>
      <c r="D7" s="26" t="str">
        <f ca="1">OFFSET(CampList[Township],MATCH(Table10[[#This Row],[Pcode]],CampList[CP_Pcode],0)-1,0,1,1)</f>
        <v>Chipwi</v>
      </c>
      <c r="E7" s="26">
        <f ca="1">OFFSET(CampList[HH],MATCH(Table10[[#This Row],[Pcode]],CampList[CP_Pcode],0)-1,0,1,1)</f>
        <v>30</v>
      </c>
      <c r="F7" s="26">
        <f ca="1">OFFSET(CampList[Total],MATCH(Table10[[#This Row],[Pcode]],CampList[CP_Pcode],0)-1,0,1,1)</f>
        <v>181</v>
      </c>
      <c r="G7" s="422">
        <f>SUMIF('NFI Tracking'!AO$6:AO$1048576,Table10[[#This Row],[Pcode]],'NFI Tracking'!AI$6:AI$1048576)</f>
        <v>111</v>
      </c>
      <c r="H7" s="422">
        <f>SUMIF('NFI Tracking'!AO$6:AO$1048576,Table10[[#This Row],[Pcode]],'NFI Tracking'!AJ$6:AJ$1048576)</f>
        <v>56</v>
      </c>
      <c r="I7" s="422">
        <f>SUMIF('NFI Tracking'!AO$6:AO$1048576,Table10[[#This Row],[Pcode]],'NFI Tracking'!AK$6:AK$1048576)</f>
        <v>0</v>
      </c>
      <c r="J7" s="422">
        <f ca="1">MAX(Table10[[#This Row],[HH]]*VLOOKUP("Winter Clothes Adult",NFI,6)-Table10[[#This Row],[Winter Clothes Adult ]],0)</f>
        <v>0</v>
      </c>
      <c r="K7" s="422">
        <f ca="1">MAX(Table10[[#This Row],[HH]]*VLOOKUP("Winter Clothes Children ",NFI,6)-Table10[[#This Row],[Winter Clothes Children ]],0)</f>
        <v>0</v>
      </c>
      <c r="L7" s="422">
        <f ca="1">MAX(Table10[[#This Row],[HH]]*VLOOKUP("Winter Items Other ",NFI,6)-Table10[[#This Row],[Winter Items Other ]],0)</f>
        <v>30</v>
      </c>
      <c r="M7" s="464" t="str">
        <f>IF(OR(Table10[[#This Row],[Winter Clothes Adult ]]&lt;&gt;0,Table10[[#This Row],[Winter Clothes Children ]]&lt;&gt;0,Table10[[#This Row],[Winter Items Other ]]&lt;&gt;0),"No","")</f>
        <v>No</v>
      </c>
      <c r="N7" s="465">
        <f>COUNTIF(A:A,Table10[[#This Row],[Pcode]])-1</f>
        <v>0</v>
      </c>
    </row>
    <row r="8" spans="1:20" x14ac:dyDescent="0.25">
      <c r="A8" s="381" t="s">
        <v>869</v>
      </c>
      <c r="B8" s="26" t="str">
        <f ca="1">OFFSET(CampList[Priority],MATCH(Table10[[#This Row],[Pcode]],CampList[CP_Pcode],0)-1,0,1,1)</f>
        <v>P1</v>
      </c>
      <c r="C8" s="26" t="str">
        <f ca="1">OFFSET(CampList[Camp],MATCH(Table10[[#This Row],[Pcode]],CampList[CP_Pcode],0)-1,0,1,1)</f>
        <v>Pan Wa</v>
      </c>
      <c r="D8" s="26" t="str">
        <f ca="1">OFFSET(CampList[Township],MATCH(Table10[[#This Row],[Pcode]],CampList[CP_Pcode],0)-1,0,1,1)</f>
        <v>Chipwi</v>
      </c>
      <c r="E8" s="26">
        <f ca="1">OFFSET(CampList[HH],MATCH(Table10[[#This Row],[Pcode]],CampList[CP_Pcode],0)-1,0,1,1)</f>
        <v>65</v>
      </c>
      <c r="F8" s="26">
        <f ca="1">OFFSET(CampList[Total],MATCH(Table10[[#This Row],[Pcode]],CampList[CP_Pcode],0)-1,0,1,1)</f>
        <v>306</v>
      </c>
      <c r="G8" s="422">
        <f>SUMIF('NFI Tracking'!AO$6:AO$1048576,Table10[[#This Row],[Pcode]],'NFI Tracking'!AI$6:AI$1048576)</f>
        <v>187</v>
      </c>
      <c r="H8" s="422">
        <f>SUMIF('NFI Tracking'!AO$6:AO$1048576,Table10[[#This Row],[Pcode]],'NFI Tracking'!AJ$6:AJ$1048576)</f>
        <v>137</v>
      </c>
      <c r="I8" s="422">
        <f>SUMIF('NFI Tracking'!AO$6:AO$1048576,Table10[[#This Row],[Pcode]],'NFI Tracking'!AK$6:AK$1048576)</f>
        <v>0</v>
      </c>
      <c r="J8" s="422">
        <f ca="1">MAX(Table10[[#This Row],[HH]]*VLOOKUP("Winter Clothes Adult",NFI,6)-Table10[[#This Row],[Winter Clothes Adult ]],0)</f>
        <v>0</v>
      </c>
      <c r="K8" s="422">
        <f ca="1">MAX(Table10[[#This Row],[HH]]*VLOOKUP("Winter Clothes Children ",NFI,6)-Table10[[#This Row],[Winter Clothes Children ]],0)</f>
        <v>0</v>
      </c>
      <c r="L8" s="422">
        <f ca="1">MAX(Table10[[#This Row],[HH]]*VLOOKUP("Winter Items Other ",NFI,6)-Table10[[#This Row],[Winter Items Other ]],0)</f>
        <v>65</v>
      </c>
      <c r="M8" s="464" t="str">
        <f>IF(OR(Table10[[#This Row],[Winter Clothes Adult ]]&lt;&gt;0,Table10[[#This Row],[Winter Clothes Children ]]&lt;&gt;0,Table10[[#This Row],[Winter Items Other ]]&lt;&gt;0),"No","")</f>
        <v>No</v>
      </c>
      <c r="N8" s="465">
        <f>COUNTIF(A:A,Table10[[#This Row],[Pcode]])-1</f>
        <v>0</v>
      </c>
    </row>
    <row r="9" spans="1:20" x14ac:dyDescent="0.25">
      <c r="A9" s="381" t="s">
        <v>335</v>
      </c>
      <c r="B9" s="26" t="str">
        <f ca="1">OFFSET(CampList[Priority],MATCH(Table10[[#This Row],[Pcode]],CampList[CP_Pcode],0)-1,0,1,1)</f>
        <v>P1</v>
      </c>
      <c r="C9" s="26" t="str">
        <f ca="1">OFFSET(CampList[Camp],MATCH(Table10[[#This Row],[Pcode]],CampList[CP_Pcode],0)-1,0,1,1)</f>
        <v>Hkau Shau (BP 12)</v>
      </c>
      <c r="D9" s="26" t="str">
        <f ca="1">OFFSET(CampList[Township],MATCH(Table10[[#This Row],[Pcode]],CampList[CP_Pcode],0)-1,0,1,1)</f>
        <v>Waingmaw</v>
      </c>
      <c r="E9" s="26">
        <f ca="1">OFFSET(CampList[HH],MATCH(Table10[[#This Row],[Pcode]],CampList[CP_Pcode],0)-1,0,1,1)</f>
        <v>154</v>
      </c>
      <c r="F9" s="26">
        <f ca="1">OFFSET(CampList[Total],MATCH(Table10[[#This Row],[Pcode]],CampList[CP_Pcode],0)-1,0,1,1)</f>
        <v>1153</v>
      </c>
      <c r="G9" s="422">
        <f>SUMIF('NFI Tracking'!AO$6:AO$1048576,Table10[[#This Row],[Pcode]],'NFI Tracking'!AI$6:AI$1048576)</f>
        <v>0</v>
      </c>
      <c r="H9" s="422">
        <f>SUMIF('NFI Tracking'!AO$6:AO$1048576,Table10[[#This Row],[Pcode]],'NFI Tracking'!AJ$6:AJ$1048576)</f>
        <v>0</v>
      </c>
      <c r="I9" s="422">
        <f>SUMIF('NFI Tracking'!AO$6:AO$1048576,Table10[[#This Row],[Pcode]],'NFI Tracking'!AK$6:AK$1048576)</f>
        <v>0</v>
      </c>
      <c r="J9" s="422">
        <f ca="1">MAX(Table10[[#This Row],[HH]]*VLOOKUP("Winter Clothes Adult",NFI,6)-Table10[[#This Row],[Winter Clothes Adult ]],0)</f>
        <v>308</v>
      </c>
      <c r="K9" s="422">
        <f ca="1">MAX(Table10[[#This Row],[HH]]*VLOOKUP("Winter Clothes Children ",NFI,6)-Table10[[#This Row],[Winter Clothes Children ]],0)</f>
        <v>154</v>
      </c>
      <c r="L9" s="422">
        <f ca="1">MAX(Table10[[#This Row],[HH]]*VLOOKUP("Winter Items Other ",NFI,6)-Table10[[#This Row],[Winter Items Other ]],0)</f>
        <v>154</v>
      </c>
      <c r="M9" s="464" t="str">
        <f>IF(OR(Table10[[#This Row],[Winter Clothes Adult ]]&lt;&gt;0,Table10[[#This Row],[Winter Clothes Children ]]&lt;&gt;0,Table10[[#This Row],[Winter Items Other ]]&lt;&gt;0),"No","")</f>
        <v/>
      </c>
      <c r="N9" s="465">
        <f>COUNTIF(A:A,Table10[[#This Row],[Pcode]])-1</f>
        <v>0</v>
      </c>
    </row>
    <row r="10" spans="1:20" x14ac:dyDescent="0.25">
      <c r="A10" s="381" t="s">
        <v>345</v>
      </c>
      <c r="B10" s="26" t="str">
        <f ca="1">OFFSET(CampList[Priority],MATCH(Table10[[#This Row],[Pcode]],CampList[CP_Pcode],0)-1,0,1,1)</f>
        <v>P1</v>
      </c>
      <c r="C10" s="26" t="str">
        <f ca="1">OFFSET(CampList[Camp],MATCH(Table10[[#This Row],[Pcode]],CampList[CP_Pcode],0)-1,0,1,1)</f>
        <v>Pajau - Jan Mai</v>
      </c>
      <c r="D10" s="26" t="str">
        <f ca="1">OFFSET(CampList[Township],MATCH(Table10[[#This Row],[Pcode]],CampList[CP_Pcode],0)-1,0,1,1)</f>
        <v>Waingmaw</v>
      </c>
      <c r="E10" s="26">
        <f ca="1">OFFSET(CampList[HH],MATCH(Table10[[#This Row],[Pcode]],CampList[CP_Pcode],0)-1,0,1,1)</f>
        <v>191</v>
      </c>
      <c r="F10" s="26">
        <f ca="1">OFFSET(CampList[Total],MATCH(Table10[[#This Row],[Pcode]],CampList[CP_Pcode],0)-1,0,1,1)</f>
        <v>768</v>
      </c>
      <c r="G10" s="422">
        <f>SUMIF('NFI Tracking'!AO$6:AO$1048576,Table10[[#This Row],[Pcode]],'NFI Tracking'!AI$6:AI$1048576)</f>
        <v>0</v>
      </c>
      <c r="H10" s="422">
        <f>SUMIF('NFI Tracking'!AO$6:AO$1048576,Table10[[#This Row],[Pcode]],'NFI Tracking'!AJ$6:AJ$1048576)</f>
        <v>0</v>
      </c>
      <c r="I10" s="422">
        <f>SUMIF('NFI Tracking'!AO$6:AO$1048576,Table10[[#This Row],[Pcode]],'NFI Tracking'!AK$6:AK$1048576)</f>
        <v>0</v>
      </c>
      <c r="J10" s="422">
        <f ca="1">MAX(Table10[[#This Row],[HH]]*VLOOKUP("Winter Clothes Adult",NFI,6)-Table10[[#This Row],[Winter Clothes Adult ]],0)</f>
        <v>382</v>
      </c>
      <c r="K10" s="422">
        <f ca="1">MAX(Table10[[#This Row],[HH]]*VLOOKUP("Winter Clothes Children ",NFI,6)-Table10[[#This Row],[Winter Clothes Children ]],0)</f>
        <v>191</v>
      </c>
      <c r="L10" s="422">
        <f ca="1">MAX(Table10[[#This Row],[HH]]*VLOOKUP("Winter Items Other ",NFI,6)-Table10[[#This Row],[Winter Items Other ]],0)</f>
        <v>191</v>
      </c>
      <c r="M10" s="464" t="str">
        <f>IF(OR(Table10[[#This Row],[Winter Clothes Adult ]]&lt;&gt;0,Table10[[#This Row],[Winter Clothes Children ]]&lt;&gt;0,Table10[[#This Row],[Winter Items Other ]]&lt;&gt;0),"No","")</f>
        <v/>
      </c>
      <c r="N10" s="465">
        <f>COUNTIF(A:A,Table10[[#This Row],[Pcode]])-1</f>
        <v>0</v>
      </c>
    </row>
    <row r="11" spans="1:20" x14ac:dyDescent="0.25">
      <c r="A11" s="381" t="s">
        <v>354</v>
      </c>
      <c r="B11" s="26" t="str">
        <f ca="1">OFFSET(CampList[Priority],MATCH(Table10[[#This Row],[Pcode]],CampList[CP_Pcode],0)-1,0,1,1)</f>
        <v>P1</v>
      </c>
      <c r="C11" s="26" t="str">
        <f ca="1">OFFSET(CampList[Camp],MATCH(Table10[[#This Row],[Pcode]],CampList[CP_Pcode],0)-1,0,1,1)</f>
        <v>Post 6 Camp</v>
      </c>
      <c r="D11" s="26" t="str">
        <f ca="1">OFFSET(CampList[Township],MATCH(Table10[[#This Row],[Pcode]],CampList[CP_Pcode],0)-1,0,1,1)</f>
        <v>Waingmaw</v>
      </c>
      <c r="E11" s="26">
        <f ca="1">OFFSET(CampList[HH],MATCH(Table10[[#This Row],[Pcode]],CampList[CP_Pcode],0)-1,0,1,1)</f>
        <v>108</v>
      </c>
      <c r="F11" s="26">
        <f ca="1">OFFSET(CampList[Total],MATCH(Table10[[#This Row],[Pcode]],CampList[CP_Pcode],0)-1,0,1,1)</f>
        <v>647</v>
      </c>
      <c r="G11" s="422">
        <f>SUMIF('NFI Tracking'!AO$6:AO$1048576,Table10[[#This Row],[Pcode]],'NFI Tracking'!AI$6:AI$1048576)</f>
        <v>0</v>
      </c>
      <c r="H11" s="422">
        <f>SUMIF('NFI Tracking'!AO$6:AO$1048576,Table10[[#This Row],[Pcode]],'NFI Tracking'!AJ$6:AJ$1048576)</f>
        <v>0</v>
      </c>
      <c r="I11" s="422">
        <f>SUMIF('NFI Tracking'!AO$6:AO$1048576,Table10[[#This Row],[Pcode]],'NFI Tracking'!AK$6:AK$1048576)</f>
        <v>0</v>
      </c>
      <c r="J11" s="422">
        <f ca="1">MAX(Table10[[#This Row],[HH]]*VLOOKUP("Winter Clothes Adult",NFI,6)-Table10[[#This Row],[Winter Clothes Adult ]],0)</f>
        <v>216</v>
      </c>
      <c r="K11" s="422">
        <f ca="1">MAX(Table10[[#This Row],[HH]]*VLOOKUP("Winter Clothes Children ",NFI,6)-Table10[[#This Row],[Winter Clothes Children ]],0)</f>
        <v>108</v>
      </c>
      <c r="L11" s="422">
        <f ca="1">MAX(Table10[[#This Row],[HH]]*VLOOKUP("Winter Items Other ",NFI,6)-Table10[[#This Row],[Winter Items Other ]],0)</f>
        <v>108</v>
      </c>
      <c r="M11" s="464" t="str">
        <f>IF(OR(Table10[[#This Row],[Winter Clothes Adult ]]&lt;&gt;0,Table10[[#This Row],[Winter Clothes Children ]]&lt;&gt;0,Table10[[#This Row],[Winter Items Other ]]&lt;&gt;0),"No","")</f>
        <v/>
      </c>
      <c r="N11" s="465">
        <f>COUNTIF(A:A,Table10[[#This Row],[Pcode]])-1</f>
        <v>0</v>
      </c>
    </row>
    <row r="12" spans="1:20" x14ac:dyDescent="0.25">
      <c r="A12" s="381" t="s">
        <v>333</v>
      </c>
      <c r="B12" s="26" t="str">
        <f ca="1">OFFSET(CampList[Priority],MATCH(Table10[[#This Row],[Pcode]],CampList[CP_Pcode],0)-1,0,1,1)</f>
        <v>P1</v>
      </c>
      <c r="C12" s="26" t="str">
        <f ca="1">OFFSET(CampList[Camp],MATCH(Table10[[#This Row],[Pcode]],CampList[CP_Pcode],0)-1,0,1,1)</f>
        <v>Border Post 8</v>
      </c>
      <c r="D12" s="26" t="str">
        <f ca="1">OFFSET(CampList[Township],MATCH(Table10[[#This Row],[Pcode]],CampList[CP_Pcode],0)-1,0,1,1)</f>
        <v>Waingmaw</v>
      </c>
      <c r="E12" s="26">
        <f ca="1">OFFSET(CampList[HH],MATCH(Table10[[#This Row],[Pcode]],CampList[CP_Pcode],0)-1,0,1,1)</f>
        <v>155</v>
      </c>
      <c r="F12" s="26">
        <f ca="1">OFFSET(CampList[Total],MATCH(Table10[[#This Row],[Pcode]],CampList[CP_Pcode],0)-1,0,1,1)</f>
        <v>640</v>
      </c>
      <c r="G12" s="422">
        <f>SUMIF('NFI Tracking'!AO$6:AO$1048576,Table10[[#This Row],[Pcode]],'NFI Tracking'!AI$6:AI$1048576)</f>
        <v>0</v>
      </c>
      <c r="H12" s="422">
        <f>SUMIF('NFI Tracking'!AO$6:AO$1048576,Table10[[#This Row],[Pcode]],'NFI Tracking'!AJ$6:AJ$1048576)</f>
        <v>0</v>
      </c>
      <c r="I12" s="422">
        <f>SUMIF('NFI Tracking'!AO$6:AO$1048576,Table10[[#This Row],[Pcode]],'NFI Tracking'!AK$6:AK$1048576)</f>
        <v>0</v>
      </c>
      <c r="J12" s="422">
        <f ca="1">MAX(Table10[[#This Row],[HH]]*VLOOKUP("Winter Clothes Adult",NFI,6)-Table10[[#This Row],[Winter Clothes Adult ]],0)</f>
        <v>310</v>
      </c>
      <c r="K12" s="422">
        <f ca="1">MAX(Table10[[#This Row],[HH]]*VLOOKUP("Winter Clothes Children ",NFI,6)-Table10[[#This Row],[Winter Clothes Children ]],0)</f>
        <v>155</v>
      </c>
      <c r="L12" s="422">
        <f ca="1">MAX(Table10[[#This Row],[HH]]*VLOOKUP("Winter Items Other ",NFI,6)-Table10[[#This Row],[Winter Items Other ]],0)</f>
        <v>155</v>
      </c>
      <c r="M12" s="464" t="str">
        <f>IF(OR(Table10[[#This Row],[Winter Clothes Adult ]]&lt;&gt;0,Table10[[#This Row],[Winter Clothes Children ]]&lt;&gt;0,Table10[[#This Row],[Winter Items Other ]]&lt;&gt;0),"No","")</f>
        <v/>
      </c>
      <c r="N12" s="465">
        <f>COUNTIF(A:A,Table10[[#This Row],[Pcode]])-1</f>
        <v>0</v>
      </c>
    </row>
    <row r="13" spans="1:20" x14ac:dyDescent="0.25">
      <c r="A13" s="381" t="s">
        <v>346</v>
      </c>
      <c r="B13" s="26" t="str">
        <f ca="1">OFFSET(CampList[Priority],MATCH(Table10[[#This Row],[Pcode]],CampList[CP_Pcode],0)-1,0,1,1)</f>
        <v>P1</v>
      </c>
      <c r="C13" s="26" t="str">
        <f ca="1">OFFSET(CampList[Camp],MATCH(Table10[[#This Row],[Pcode]],CampList[CP_Pcode],0)-1,0,1,1)</f>
        <v>Shing Jai</v>
      </c>
      <c r="D13" s="26" t="str">
        <f ca="1">OFFSET(CampList[Township],MATCH(Table10[[#This Row],[Pcode]],CampList[CP_Pcode],0)-1,0,1,1)</f>
        <v>Waingmaw</v>
      </c>
      <c r="E13" s="26">
        <f ca="1">OFFSET(CampList[HH],MATCH(Table10[[#This Row],[Pcode]],CampList[CP_Pcode],0)-1,0,1,1)</f>
        <v>183</v>
      </c>
      <c r="F13" s="26">
        <f ca="1">OFFSET(CampList[Total],MATCH(Table10[[#This Row],[Pcode]],CampList[CP_Pcode],0)-1,0,1,1)</f>
        <v>919</v>
      </c>
      <c r="G13" s="422">
        <f>SUMIF('NFI Tracking'!AO$6:AO$1048576,Table10[[#This Row],[Pcode]],'NFI Tracking'!AI$6:AI$1048576)</f>
        <v>0</v>
      </c>
      <c r="H13" s="422">
        <f>SUMIF('NFI Tracking'!AO$6:AO$1048576,Table10[[#This Row],[Pcode]],'NFI Tracking'!AJ$6:AJ$1048576)</f>
        <v>0</v>
      </c>
      <c r="I13" s="422">
        <f>SUMIF('NFI Tracking'!AO$6:AO$1048576,Table10[[#This Row],[Pcode]],'NFI Tracking'!AK$6:AK$1048576)</f>
        <v>0</v>
      </c>
      <c r="J13" s="422">
        <f ca="1">MAX(Table10[[#This Row],[HH]]*VLOOKUP("Winter Clothes Adult",NFI,6)-Table10[[#This Row],[Winter Clothes Adult ]],0)</f>
        <v>366</v>
      </c>
      <c r="K13" s="422">
        <f ca="1">MAX(Table10[[#This Row],[HH]]*VLOOKUP("Winter Clothes Children ",NFI,6)-Table10[[#This Row],[Winter Clothes Children ]],0)</f>
        <v>183</v>
      </c>
      <c r="L13" s="422">
        <f ca="1">MAX(Table10[[#This Row],[HH]]*VLOOKUP("Winter Items Other ",NFI,6)-Table10[[#This Row],[Winter Items Other ]],0)</f>
        <v>183</v>
      </c>
      <c r="M13" s="464" t="str">
        <f>IF(OR(Table10[[#This Row],[Winter Clothes Adult ]]&lt;&gt;0,Table10[[#This Row],[Winter Clothes Children ]]&lt;&gt;0,Table10[[#This Row],[Winter Items Other ]]&lt;&gt;0),"No","")</f>
        <v/>
      </c>
      <c r="N13" s="465">
        <f>COUNTIF(A:A,Table10[[#This Row],[Pcode]])-1</f>
        <v>0</v>
      </c>
    </row>
    <row r="14" spans="1:20" x14ac:dyDescent="0.25">
      <c r="A14" s="381" t="s">
        <v>214</v>
      </c>
      <c r="B14" s="26" t="str">
        <f ca="1">OFFSET(CampList[Priority],MATCH(Table10[[#This Row],[Pcode]],CampList[CP_Pcode],0)-1,0,1,1)</f>
        <v>P1</v>
      </c>
      <c r="C14" s="26" t="str">
        <f ca="1">OFFSET(CampList[Camp],MATCH(Table10[[#This Row],[Pcode]],CampList[CP_Pcode],0)-1,0,1,1)</f>
        <v xml:space="preserve">Nhkawng Pa </v>
      </c>
      <c r="D14" s="26" t="str">
        <f ca="1">OFFSET(CampList[Township],MATCH(Table10[[#This Row],[Pcode]],CampList[CP_Pcode],0)-1,0,1,1)</f>
        <v>Momauk</v>
      </c>
      <c r="E14" s="26">
        <f ca="1">OFFSET(CampList[HH],MATCH(Table10[[#This Row],[Pcode]],CampList[CP_Pcode],0)-1,0,1,1)</f>
        <v>375</v>
      </c>
      <c r="F14" s="26">
        <f ca="1">OFFSET(CampList[Total],MATCH(Table10[[#This Row],[Pcode]],CampList[CP_Pcode],0)-1,0,1,1)</f>
        <v>1598</v>
      </c>
      <c r="G14" s="422">
        <f>SUMIF('NFI Tracking'!AO$6:AO$1048576,Table10[[#This Row],[Pcode]],'NFI Tracking'!AI$6:AI$1048576)</f>
        <v>0</v>
      </c>
      <c r="H14" s="422">
        <f>SUMIF('NFI Tracking'!AO$6:AO$1048576,Table10[[#This Row],[Pcode]],'NFI Tracking'!AJ$6:AJ$1048576)</f>
        <v>0</v>
      </c>
      <c r="I14" s="422">
        <f>SUMIF('NFI Tracking'!AO$6:AO$1048576,Table10[[#This Row],[Pcode]],'NFI Tracking'!AK$6:AK$1048576)</f>
        <v>0</v>
      </c>
      <c r="J14" s="422">
        <f ca="1">MAX(Table10[[#This Row],[HH]]*VLOOKUP("Winter Clothes Adult",NFI,6)-Table10[[#This Row],[Winter Clothes Adult ]],0)</f>
        <v>750</v>
      </c>
      <c r="K14" s="422">
        <f ca="1">MAX(Table10[[#This Row],[HH]]*VLOOKUP("Winter Clothes Children ",NFI,6)-Table10[[#This Row],[Winter Clothes Children ]],0)</f>
        <v>375</v>
      </c>
      <c r="L14" s="422">
        <f ca="1">MAX(Table10[[#This Row],[HH]]*VLOOKUP("Winter Items Other ",NFI,6)-Table10[[#This Row],[Winter Items Other ]],0)</f>
        <v>375</v>
      </c>
      <c r="M14" s="464" t="str">
        <f>IF(OR(Table10[[#This Row],[Winter Clothes Adult ]]&lt;&gt;0,Table10[[#This Row],[Winter Clothes Children ]]&lt;&gt;0,Table10[[#This Row],[Winter Items Other ]]&lt;&gt;0),"No","")</f>
        <v/>
      </c>
      <c r="N14" s="465">
        <f>COUNTIF(A:A,Table10[[#This Row],[Pcode]])-1</f>
        <v>0</v>
      </c>
    </row>
    <row r="15" spans="1:20" x14ac:dyDescent="0.25">
      <c r="A15" s="381" t="s">
        <v>147</v>
      </c>
      <c r="B15" s="26" t="str">
        <f ca="1">OFFSET(CampList[Priority],MATCH(Table10[[#This Row],[Pcode]],CampList[CP_Pcode],0)-1,0,1,1)</f>
        <v>P1</v>
      </c>
      <c r="C15" s="26" t="str">
        <f ca="1">OFFSET(CampList[Camp],MATCH(Table10[[#This Row],[Pcode]],CampList[CP_Pcode],0)-1,0,1,1)</f>
        <v xml:space="preserve">Mungji Pa Dabang (Baptist Church)         </v>
      </c>
      <c r="D15" s="26" t="str">
        <f ca="1">OFFSET(CampList[Township],MATCH(Table10[[#This Row],[Pcode]],CampList[CP_Pcode],0)-1,0,1,1)</f>
        <v>Kutkai</v>
      </c>
      <c r="E15" s="26">
        <f ca="1">OFFSET(CampList[HH],MATCH(Table10[[#This Row],[Pcode]],CampList[CP_Pcode],0)-1,0,1,1)</f>
        <v>51</v>
      </c>
      <c r="F15" s="26">
        <f ca="1">OFFSET(CampList[Total],MATCH(Table10[[#This Row],[Pcode]],CampList[CP_Pcode],0)-1,0,1,1)</f>
        <v>261</v>
      </c>
      <c r="G15" s="422">
        <f>SUMIF('NFI Tracking'!AO$6:AO$1048576,Table10[[#This Row],[Pcode]],'NFI Tracking'!AI$6:AI$1048576)</f>
        <v>0</v>
      </c>
      <c r="H15" s="422">
        <f>SUMIF('NFI Tracking'!AO$6:AO$1048576,Table10[[#This Row],[Pcode]],'NFI Tracking'!AJ$6:AJ$1048576)</f>
        <v>0</v>
      </c>
      <c r="I15" s="422">
        <f>SUMIF('NFI Tracking'!AO$6:AO$1048576,Table10[[#This Row],[Pcode]],'NFI Tracking'!AK$6:AK$1048576)</f>
        <v>0</v>
      </c>
      <c r="J15" s="422">
        <f ca="1">MAX(Table10[[#This Row],[HH]]*VLOOKUP("Winter Clothes Adult",NFI,6)-Table10[[#This Row],[Winter Clothes Adult ]],0)</f>
        <v>102</v>
      </c>
      <c r="K15" s="422">
        <f ca="1">MAX(Table10[[#This Row],[HH]]*VLOOKUP("Winter Clothes Children ",NFI,6)-Table10[[#This Row],[Winter Clothes Children ]],0)</f>
        <v>51</v>
      </c>
      <c r="L15" s="422">
        <f ca="1">MAX(Table10[[#This Row],[HH]]*VLOOKUP("Winter Items Other ",NFI,6)-Table10[[#This Row],[Winter Items Other ]],0)</f>
        <v>51</v>
      </c>
      <c r="M15" s="464" t="str">
        <f>IF(OR(Table10[[#This Row],[Winter Clothes Adult ]]&lt;&gt;0,Table10[[#This Row],[Winter Clothes Children ]]&lt;&gt;0,Table10[[#This Row],[Winter Items Other ]]&lt;&gt;0),"No","")</f>
        <v/>
      </c>
      <c r="N15" s="465">
        <f>COUNTIF(A:A,Table10[[#This Row],[Pcode]])-1</f>
        <v>0</v>
      </c>
    </row>
    <row r="16" spans="1:20" x14ac:dyDescent="0.25">
      <c r="A16" s="381" t="s">
        <v>234</v>
      </c>
      <c r="B16" s="26" t="str">
        <f ca="1">OFFSET(CampList[Priority],MATCH(Table10[[#This Row],[Pcode]],CampList[CP_Pcode],0)-1,0,1,1)</f>
        <v>P1</v>
      </c>
      <c r="C16" s="26" t="str">
        <f ca="1">OFFSET(CampList[Camp],MATCH(Table10[[#This Row],[Pcode]],CampList[CP_Pcode],0)-1,0,1,1)</f>
        <v xml:space="preserve">Mung Baw </v>
      </c>
      <c r="D16" s="26" t="str">
        <f ca="1">OFFSET(CampList[Township],MATCH(Table10[[#This Row],[Pcode]],CampList[CP_Pcode],0)-1,0,1,1)</f>
        <v>Muse</v>
      </c>
      <c r="E16" s="26">
        <f ca="1">OFFSET(CampList[HH],MATCH(Table10[[#This Row],[Pcode]],CampList[CP_Pcode],0)-1,0,1,1)</f>
        <v>123</v>
      </c>
      <c r="F16" s="26">
        <f ca="1">OFFSET(CampList[Total],MATCH(Table10[[#This Row],[Pcode]],CampList[CP_Pcode],0)-1,0,1,1)</f>
        <v>503</v>
      </c>
      <c r="G16" s="422">
        <f>SUMIF('NFI Tracking'!AO$6:AO$1048576,Table10[[#This Row],[Pcode]],'NFI Tracking'!AI$6:AI$1048576)</f>
        <v>0</v>
      </c>
      <c r="H16" s="422">
        <f>SUMIF('NFI Tracking'!AO$6:AO$1048576,Table10[[#This Row],[Pcode]],'NFI Tracking'!AJ$6:AJ$1048576)</f>
        <v>0</v>
      </c>
      <c r="I16" s="422">
        <f>SUMIF('NFI Tracking'!AO$6:AO$1048576,Table10[[#This Row],[Pcode]],'NFI Tracking'!AK$6:AK$1048576)</f>
        <v>0</v>
      </c>
      <c r="J16" s="422">
        <f ca="1">MAX(Table10[[#This Row],[HH]]*VLOOKUP("Winter Clothes Adult",NFI,6)-Table10[[#This Row],[Winter Clothes Adult ]],0)</f>
        <v>246</v>
      </c>
      <c r="K16" s="422">
        <f ca="1">MAX(Table10[[#This Row],[HH]]*VLOOKUP("Winter Clothes Children ",NFI,6)-Table10[[#This Row],[Winter Clothes Children ]],0)</f>
        <v>123</v>
      </c>
      <c r="L16" s="422">
        <f ca="1">MAX(Table10[[#This Row],[HH]]*VLOOKUP("Winter Items Other ",NFI,6)-Table10[[#This Row],[Winter Items Other ]],0)</f>
        <v>123</v>
      </c>
      <c r="M16" s="464" t="str">
        <f>IF(OR(Table10[[#This Row],[Winter Clothes Adult ]]&lt;&gt;0,Table10[[#This Row],[Winter Clothes Children ]]&lt;&gt;0,Table10[[#This Row],[Winter Items Other ]]&lt;&gt;0),"No","")</f>
        <v/>
      </c>
      <c r="N16" s="465">
        <f>COUNTIF(A:A,Table10[[#This Row],[Pcode]])-1</f>
        <v>0</v>
      </c>
      <c r="Q16" s="421" t="s">
        <v>415</v>
      </c>
      <c r="R16" s="26" t="s">
        <v>1092</v>
      </c>
      <c r="S16" s="26" t="s">
        <v>1093</v>
      </c>
      <c r="T16" s="26" t="s">
        <v>1094</v>
      </c>
    </row>
    <row r="17" spans="1:20" x14ac:dyDescent="0.25">
      <c r="A17" s="381" t="s">
        <v>232</v>
      </c>
      <c r="B17" s="26" t="str">
        <f ca="1">OFFSET(CampList[Priority],MATCH(Table10[[#This Row],[Pcode]],CampList[CP_Pcode],0)-1,0,1,1)</f>
        <v>P1</v>
      </c>
      <c r="C17" s="26" t="str">
        <f ca="1">OFFSET(CampList[Camp],MATCH(Table10[[#This Row],[Pcode]],CampList[CP_Pcode],0)-1,0,1,1)</f>
        <v xml:space="preserve">Munekoe Pa (Giwang) - Hka San (Mung  Go  Pa ) </v>
      </c>
      <c r="D17" s="26" t="str">
        <f ca="1">OFFSET(CampList[Township],MATCH(Table10[[#This Row],[Pcode]],CampList[CP_Pcode],0)-1,0,1,1)</f>
        <v>Muse</v>
      </c>
      <c r="E17" s="26">
        <f ca="1">OFFSET(CampList[HH],MATCH(Table10[[#This Row],[Pcode]],CampList[CP_Pcode],0)-1,0,1,1)</f>
        <v>9</v>
      </c>
      <c r="F17" s="26">
        <f ca="1">OFFSET(CampList[Total],MATCH(Table10[[#This Row],[Pcode]],CampList[CP_Pcode],0)-1,0,1,1)</f>
        <v>52</v>
      </c>
      <c r="G17" s="422">
        <f>SUMIF('NFI Tracking'!AO$6:AO$1048576,Table10[[#This Row],[Pcode]],'NFI Tracking'!AI$6:AI$1048576)</f>
        <v>0</v>
      </c>
      <c r="H17" s="422">
        <f>SUMIF('NFI Tracking'!AO$6:AO$1048576,Table10[[#This Row],[Pcode]],'NFI Tracking'!AJ$6:AJ$1048576)</f>
        <v>0</v>
      </c>
      <c r="I17" s="422">
        <f>SUMIF('NFI Tracking'!AO$6:AO$1048576,Table10[[#This Row],[Pcode]],'NFI Tracking'!AK$6:AK$1048576)</f>
        <v>0</v>
      </c>
      <c r="J17" s="422">
        <f ca="1">MAX(Table10[[#This Row],[HH]]*VLOOKUP("Winter Clothes Adult",NFI,6)-Table10[[#This Row],[Winter Clothes Adult ]],0)</f>
        <v>18</v>
      </c>
      <c r="K17" s="422">
        <f ca="1">MAX(Table10[[#This Row],[HH]]*VLOOKUP("Winter Clothes Children ",NFI,6)-Table10[[#This Row],[Winter Clothes Children ]],0)</f>
        <v>9</v>
      </c>
      <c r="L17" s="422">
        <f ca="1">MAX(Table10[[#This Row],[HH]]*VLOOKUP("Winter Items Other ",NFI,6)-Table10[[#This Row],[Winter Items Other ]],0)</f>
        <v>9</v>
      </c>
      <c r="M17" s="464" t="str">
        <f>IF(OR(Table10[[#This Row],[Winter Clothes Adult ]]&lt;&gt;0,Table10[[#This Row],[Winter Clothes Children ]]&lt;&gt;0,Table10[[#This Row],[Winter Items Other ]]&lt;&gt;0),"No","")</f>
        <v/>
      </c>
      <c r="N17" s="465">
        <f>COUNTIF(A:A,Table10[[#This Row],[Pcode]])-1</f>
        <v>0</v>
      </c>
      <c r="Q17" s="420" t="s">
        <v>1084</v>
      </c>
      <c r="R17" s="424">
        <v>1982</v>
      </c>
      <c r="S17" s="424">
        <v>3386</v>
      </c>
      <c r="T17" s="424">
        <v>3902</v>
      </c>
    </row>
    <row r="18" spans="1:20" x14ac:dyDescent="0.25">
      <c r="A18" s="381" t="s">
        <v>187</v>
      </c>
      <c r="B18" s="26" t="str">
        <f ca="1">OFFSET(CampList[Priority],MATCH(Table10[[#This Row],[Pcode]],CampList[CP_Pcode],0)-1,0,1,1)</f>
        <v>P2</v>
      </c>
      <c r="C18" s="26" t="str">
        <f ca="1">OFFSET(CampList[Camp],MATCH(Table10[[#This Row],[Pcode]],CampList[CP_Pcode],0)-1,0,1,1)</f>
        <v xml:space="preserve">Bum Tsit Pa </v>
      </c>
      <c r="D18" s="26" t="str">
        <f ca="1">OFFSET(CampList[Township],MATCH(Table10[[#This Row],[Pcode]],CampList[CP_Pcode],0)-1,0,1,1)</f>
        <v>Mansi</v>
      </c>
      <c r="E18" s="26">
        <f ca="1">OFFSET(CampList[HH],MATCH(Table10[[#This Row],[Pcode]],CampList[CP_Pcode],0)-1,0,1,1)</f>
        <v>245</v>
      </c>
      <c r="F18" s="26">
        <f ca="1">OFFSET(CampList[Total],MATCH(Table10[[#This Row],[Pcode]],CampList[CP_Pcode],0)-1,0,1,1)</f>
        <v>1232</v>
      </c>
      <c r="G18" s="422">
        <f>SUMIF('NFI Tracking'!AO$6:AO$1048576,Table10[[#This Row],[Pcode]],'NFI Tracking'!AI$6:AI$1048576)</f>
        <v>0</v>
      </c>
      <c r="H18" s="422">
        <f>SUMIF('NFI Tracking'!AO$6:AO$1048576,Table10[[#This Row],[Pcode]],'NFI Tracking'!AJ$6:AJ$1048576)</f>
        <v>0</v>
      </c>
      <c r="I18" s="422">
        <f>SUMIF('NFI Tracking'!AO$6:AO$1048576,Table10[[#This Row],[Pcode]],'NFI Tracking'!AK$6:AK$1048576)</f>
        <v>0</v>
      </c>
      <c r="J18" s="422">
        <f ca="1">MAX(Table10[[#This Row],[HH]]*VLOOKUP("Winter Clothes Adult",NFI,6)-Table10[[#This Row],[Winter Clothes Adult ]],0)</f>
        <v>490</v>
      </c>
      <c r="K18" s="422">
        <f ca="1">MAX(Table10[[#This Row],[HH]]*VLOOKUP("Winter Clothes Children ",NFI,6)-Table10[[#This Row],[Winter Clothes Children ]],0)</f>
        <v>245</v>
      </c>
      <c r="L18" s="422">
        <f ca="1">MAX(Table10[[#This Row],[HH]]*VLOOKUP("Winter Items Other ",NFI,6)-Table10[[#This Row],[Winter Items Other ]],0)</f>
        <v>245</v>
      </c>
      <c r="M18" s="464" t="str">
        <f>IF(OR(Table10[[#This Row],[Winter Clothes Adult ]]&lt;&gt;0,Table10[[#This Row],[Winter Clothes Children ]]&lt;&gt;0,Table10[[#This Row],[Winter Items Other ]]&lt;&gt;0),"No","")</f>
        <v/>
      </c>
      <c r="N18" s="465">
        <f>COUNTIF(A:A,Table10[[#This Row],[Pcode]])-1</f>
        <v>0</v>
      </c>
      <c r="Q18" s="420" t="s">
        <v>1085</v>
      </c>
      <c r="R18" s="424">
        <v>8138</v>
      </c>
      <c r="S18" s="424">
        <v>11436</v>
      </c>
      <c r="T18" s="424">
        <v>11898</v>
      </c>
    </row>
    <row r="19" spans="1:20" x14ac:dyDescent="0.25">
      <c r="A19" s="381" t="s">
        <v>1042</v>
      </c>
      <c r="B19" s="26" t="str">
        <f ca="1">OFFSET(CampList[Priority],MATCH(Table10[[#This Row],[Pcode]],CampList[CP_Pcode],0)-1,0,1,1)</f>
        <v>P2</v>
      </c>
      <c r="C19" s="26" t="str">
        <f ca="1">OFFSET(CampList[Camp],MATCH(Table10[[#This Row],[Pcode]],CampList[CP_Pcode],0)-1,0,1,1)</f>
        <v>Bum Tsit Pa Camp II</v>
      </c>
      <c r="D19" s="26" t="str">
        <f ca="1">OFFSET(CampList[Township],MATCH(Table10[[#This Row],[Pcode]],CampList[CP_Pcode],0)-1,0,1,1)</f>
        <v>Mansi</v>
      </c>
      <c r="E19" s="26">
        <f ca="1">OFFSET(CampList[HH],MATCH(Table10[[#This Row],[Pcode]],CampList[CP_Pcode],0)-1,0,1,1)</f>
        <v>219</v>
      </c>
      <c r="F19" s="26">
        <f ca="1">OFFSET(CampList[Total],MATCH(Table10[[#This Row],[Pcode]],CampList[CP_Pcode],0)-1,0,1,1)</f>
        <v>891</v>
      </c>
      <c r="G19" s="422">
        <f>SUMIF('NFI Tracking'!AO$6:AO$1048576,Table10[[#This Row],[Pcode]],'NFI Tracking'!AI$6:AI$1048576)</f>
        <v>0</v>
      </c>
      <c r="H19" s="422">
        <f>SUMIF('NFI Tracking'!AO$6:AO$1048576,Table10[[#This Row],[Pcode]],'NFI Tracking'!AJ$6:AJ$1048576)</f>
        <v>0</v>
      </c>
      <c r="I19" s="422">
        <f>SUMIF('NFI Tracking'!AO$6:AO$1048576,Table10[[#This Row],[Pcode]],'NFI Tracking'!AK$6:AK$1048576)</f>
        <v>0</v>
      </c>
      <c r="J19" s="422">
        <f ca="1">MAX(Table10[[#This Row],[HH]]*VLOOKUP("Winter Clothes Adult",NFI,6)-Table10[[#This Row],[Winter Clothes Adult ]],0)</f>
        <v>438</v>
      </c>
      <c r="K19" s="422">
        <f ca="1">MAX(Table10[[#This Row],[HH]]*VLOOKUP("Winter Clothes Children ",NFI,6)-Table10[[#This Row],[Winter Clothes Children ]],0)</f>
        <v>219</v>
      </c>
      <c r="L19" s="422">
        <f ca="1">MAX(Table10[[#This Row],[HH]]*VLOOKUP("Winter Items Other ",NFI,6)-Table10[[#This Row],[Winter Items Other ]],0)</f>
        <v>219</v>
      </c>
      <c r="M19" s="464" t="str">
        <f>IF(OR(Table10[[#This Row],[Winter Clothes Adult ]]&lt;&gt;0,Table10[[#This Row],[Winter Clothes Children ]]&lt;&gt;0,Table10[[#This Row],[Winter Items Other ]]&lt;&gt;0),"No","")</f>
        <v/>
      </c>
      <c r="N19" s="465">
        <f>COUNTIF(A:A,Table10[[#This Row],[Pcode]])-1</f>
        <v>0</v>
      </c>
      <c r="Q19" s="420" t="s">
        <v>1086</v>
      </c>
      <c r="R19" s="424">
        <v>1850</v>
      </c>
      <c r="S19" s="424">
        <v>3280</v>
      </c>
      <c r="T19" s="424">
        <v>2658</v>
      </c>
    </row>
    <row r="20" spans="1:20" x14ac:dyDescent="0.25">
      <c r="A20" s="381" t="s">
        <v>197</v>
      </c>
      <c r="B20" s="26" t="str">
        <f ca="1">OFFSET(CampList[Priority],MATCH(Table10[[#This Row],[Pcode]],CampList[CP_Pcode],0)-1,0,1,1)</f>
        <v>P2</v>
      </c>
      <c r="C20" s="26" t="str">
        <f ca="1">OFFSET(CampList[Camp],MATCH(Table10[[#This Row],[Pcode]],CampList[CP_Pcode],0)-1,0,1,1)</f>
        <v xml:space="preserve">Lana Zup Ja </v>
      </c>
      <c r="D20" s="26" t="str">
        <f ca="1">OFFSET(CampList[Township],MATCH(Table10[[#This Row],[Pcode]],CampList[CP_Pcode],0)-1,0,1,1)</f>
        <v>Mansi</v>
      </c>
      <c r="E20" s="26">
        <f ca="1">OFFSET(CampList[HH],MATCH(Table10[[#This Row],[Pcode]],CampList[CP_Pcode],0)-1,0,1,1)</f>
        <v>545</v>
      </c>
      <c r="F20" s="26">
        <f ca="1">OFFSET(CampList[Total],MATCH(Table10[[#This Row],[Pcode]],CampList[CP_Pcode],0)-1,0,1,1)</f>
        <v>2560</v>
      </c>
      <c r="G20" s="422">
        <f>SUMIF('NFI Tracking'!AO$6:AO$1048576,Table10[[#This Row],[Pcode]],'NFI Tracking'!AI$6:AI$1048576)</f>
        <v>0</v>
      </c>
      <c r="H20" s="422">
        <f>SUMIF('NFI Tracking'!AO$6:AO$1048576,Table10[[#This Row],[Pcode]],'NFI Tracking'!AJ$6:AJ$1048576)</f>
        <v>0</v>
      </c>
      <c r="I20" s="422">
        <f>SUMIF('NFI Tracking'!AO$6:AO$1048576,Table10[[#This Row],[Pcode]],'NFI Tracking'!AK$6:AK$1048576)</f>
        <v>0</v>
      </c>
      <c r="J20" s="422">
        <f ca="1">MAX(Table10[[#This Row],[HH]]*VLOOKUP("Winter Clothes Adult",NFI,6)-Table10[[#This Row],[Winter Clothes Adult ]],0)</f>
        <v>1090</v>
      </c>
      <c r="K20" s="422">
        <f ca="1">MAX(Table10[[#This Row],[HH]]*VLOOKUP("Winter Clothes Children ",NFI,6)-Table10[[#This Row],[Winter Clothes Children ]],0)</f>
        <v>545</v>
      </c>
      <c r="L20" s="422">
        <f ca="1">MAX(Table10[[#This Row],[HH]]*VLOOKUP("Winter Items Other ",NFI,6)-Table10[[#This Row],[Winter Items Other ]],0)</f>
        <v>545</v>
      </c>
      <c r="M20" s="464" t="str">
        <f>IF(OR(Table10[[#This Row],[Winter Clothes Adult ]]&lt;&gt;0,Table10[[#This Row],[Winter Clothes Children ]]&lt;&gt;0,Table10[[#This Row],[Winter Items Other ]]&lt;&gt;0),"No","")</f>
        <v/>
      </c>
      <c r="N20" s="465">
        <f>COUNTIF(A:A,Table10[[#This Row],[Pcode]])-1</f>
        <v>0</v>
      </c>
      <c r="Q20" s="420" t="s">
        <v>1100</v>
      </c>
      <c r="R20" s="424">
        <v>17942</v>
      </c>
      <c r="S20" s="424">
        <v>27631</v>
      </c>
      <c r="T20" s="424">
        <v>20936</v>
      </c>
    </row>
    <row r="21" spans="1:20" x14ac:dyDescent="0.25">
      <c r="A21" s="381" t="s">
        <v>157</v>
      </c>
      <c r="B21" s="26" t="str">
        <f ca="1">OFFSET(CampList[Priority],MATCH(Table10[[#This Row],[Pcode]],CampList[CP_Pcode],0)-1,0,1,1)</f>
        <v>P2</v>
      </c>
      <c r="C21" s="26" t="str">
        <f ca="1">OFFSET(CampList[Camp],MATCH(Table10[[#This Row],[Pcode]],CampList[CP_Pcode],0)-1,0,1,1)</f>
        <v>Lung Kawk  ( Hka Hkye Zup)</v>
      </c>
      <c r="D21" s="26" t="str">
        <f ca="1">OFFSET(CampList[Township],MATCH(Table10[[#This Row],[Pcode]],CampList[CP_Pcode],0)-1,0,1,1)</f>
        <v>Mansi</v>
      </c>
      <c r="E21" s="26">
        <f ca="1">OFFSET(CampList[HH],MATCH(Table10[[#This Row],[Pcode]],CampList[CP_Pcode],0)-1,0,1,1)</f>
        <v>0</v>
      </c>
      <c r="F21" s="26">
        <f ca="1">OFFSET(CampList[Total],MATCH(Table10[[#This Row],[Pcode]],CampList[CP_Pcode],0)-1,0,1,1)</f>
        <v>0</v>
      </c>
      <c r="G21" s="422">
        <f>SUMIF('NFI Tracking'!AO$6:AO$1048576,Table10[[#This Row],[Pcode]],'NFI Tracking'!AI$6:AI$1048576)</f>
        <v>0</v>
      </c>
      <c r="H21" s="422">
        <f>SUMIF('NFI Tracking'!AO$6:AO$1048576,Table10[[#This Row],[Pcode]],'NFI Tracking'!AJ$6:AJ$1048576)</f>
        <v>0</v>
      </c>
      <c r="I21" s="422">
        <f>SUMIF('NFI Tracking'!AO$6:AO$1048576,Table10[[#This Row],[Pcode]],'NFI Tracking'!AK$6:AK$1048576)</f>
        <v>0</v>
      </c>
      <c r="J21" s="422">
        <f ca="1">MAX(Table10[[#This Row],[HH]]*VLOOKUP("Winter Clothes Adult",NFI,6)-Table10[[#This Row],[Winter Clothes Adult ]],0)</f>
        <v>0</v>
      </c>
      <c r="K21" s="422">
        <f ca="1">MAX(Table10[[#This Row],[HH]]*VLOOKUP("Winter Clothes Children ",NFI,6)-Table10[[#This Row],[Winter Clothes Children ]],0)</f>
        <v>0</v>
      </c>
      <c r="L21" s="422">
        <f ca="1">MAX(Table10[[#This Row],[HH]]*VLOOKUP("Winter Items Other ",NFI,6)-Table10[[#This Row],[Winter Items Other ]],0)</f>
        <v>0</v>
      </c>
      <c r="M21" s="464" t="str">
        <f>IF(OR(Table10[[#This Row],[Winter Clothes Adult ]]&lt;&gt;0,Table10[[#This Row],[Winter Clothes Children ]]&lt;&gt;0,Table10[[#This Row],[Winter Items Other ]]&lt;&gt;0),"No","")</f>
        <v/>
      </c>
      <c r="N21" s="465">
        <f>COUNTIF(A:A,Table10[[#This Row],[Pcode]])-1</f>
        <v>0</v>
      </c>
      <c r="Q21" s="420" t="s">
        <v>416</v>
      </c>
      <c r="R21" s="424">
        <v>29912</v>
      </c>
      <c r="S21" s="424">
        <v>45733</v>
      </c>
      <c r="T21" s="424">
        <v>39394</v>
      </c>
    </row>
    <row r="22" spans="1:20" x14ac:dyDescent="0.25">
      <c r="A22" s="381" t="s">
        <v>193</v>
      </c>
      <c r="B22" s="26" t="str">
        <f ca="1">OFFSET(CampList[Priority],MATCH(Table10[[#This Row],[Pcode]],CampList[CP_Pcode],0)-1,0,1,1)</f>
        <v>P2</v>
      </c>
      <c r="C22" s="26" t="str">
        <f ca="1">OFFSET(CampList[Camp],MATCH(Table10[[#This Row],[Pcode]],CampList[CP_Pcode],0)-1,0,1,1)</f>
        <v xml:space="preserve">Hpun Lum Yang </v>
      </c>
      <c r="D22" s="26" t="str">
        <f ca="1">OFFSET(CampList[Township],MATCH(Table10[[#This Row],[Pcode]],CampList[CP_Pcode],0)-1,0,1,1)</f>
        <v>Momauk</v>
      </c>
      <c r="E22" s="26">
        <f ca="1">OFFSET(CampList[HH],MATCH(Table10[[#This Row],[Pcode]],CampList[CP_Pcode],0)-1,0,1,1)</f>
        <v>614</v>
      </c>
      <c r="F22" s="26">
        <f ca="1">OFFSET(CampList[Total],MATCH(Table10[[#This Row],[Pcode]],CampList[CP_Pcode],0)-1,0,1,1)</f>
        <v>2915</v>
      </c>
      <c r="G22" s="422">
        <f>SUMIF('NFI Tracking'!AO$6:AO$1048576,Table10[[#This Row],[Pcode]],'NFI Tracking'!AI$6:AI$1048576)</f>
        <v>865</v>
      </c>
      <c r="H22" s="422">
        <f>SUMIF('NFI Tracking'!AO$6:AO$1048576,Table10[[#This Row],[Pcode]],'NFI Tracking'!AJ$6:AJ$1048576)</f>
        <v>924</v>
      </c>
      <c r="I22" s="422">
        <f>SUMIF('NFI Tracking'!AO$6:AO$1048576,Table10[[#This Row],[Pcode]],'NFI Tracking'!AK$6:AK$1048576)</f>
        <v>0</v>
      </c>
      <c r="J22" s="422">
        <f ca="1">MAX(Table10[[#This Row],[HH]]*VLOOKUP("Winter Clothes Adult",NFI,6)-Table10[[#This Row],[Winter Clothes Adult ]],0)</f>
        <v>363</v>
      </c>
      <c r="K22" s="422">
        <f ca="1">MAX(Table10[[#This Row],[HH]]*VLOOKUP("Winter Clothes Children ",NFI,6)-Table10[[#This Row],[Winter Clothes Children ]],0)</f>
        <v>0</v>
      </c>
      <c r="L22" s="422">
        <f ca="1">MAX(Table10[[#This Row],[HH]]*VLOOKUP("Winter Items Other ",NFI,6)-Table10[[#This Row],[Winter Items Other ]],0)</f>
        <v>614</v>
      </c>
      <c r="M22" s="464" t="str">
        <f>IF(OR(Table10[[#This Row],[Winter Clothes Adult ]]&lt;&gt;0,Table10[[#This Row],[Winter Clothes Children ]]&lt;&gt;0,Table10[[#This Row],[Winter Items Other ]]&lt;&gt;0),"No","")</f>
        <v>No</v>
      </c>
      <c r="N22" s="465">
        <f>COUNTIF(A:A,Table10[[#This Row],[Pcode]])-1</f>
        <v>0</v>
      </c>
    </row>
    <row r="23" spans="1:20" x14ac:dyDescent="0.25">
      <c r="A23" s="381" t="s">
        <v>195</v>
      </c>
      <c r="B23" s="26" t="str">
        <f ca="1">OFFSET(CampList[Priority],MATCH(Table10[[#This Row],[Pcode]],CampList[CP_Pcode],0)-1,0,1,1)</f>
        <v>P2</v>
      </c>
      <c r="C23" s="26" t="str">
        <f ca="1">OFFSET(CampList[Camp],MATCH(Table10[[#This Row],[Pcode]],CampList[CP_Pcode],0)-1,0,1,1)</f>
        <v xml:space="preserve">Je Yang Hka </v>
      </c>
      <c r="D23" s="26" t="str">
        <f ca="1">OFFSET(CampList[Township],MATCH(Table10[[#This Row],[Pcode]],CampList[CP_Pcode],0)-1,0,1,1)</f>
        <v>Momauk</v>
      </c>
      <c r="E23" s="26">
        <f ca="1">OFFSET(CampList[HH],MATCH(Table10[[#This Row],[Pcode]],CampList[CP_Pcode],0)-1,0,1,1)</f>
        <v>1695</v>
      </c>
      <c r="F23" s="26">
        <f ca="1">OFFSET(CampList[Total],MATCH(Table10[[#This Row],[Pcode]],CampList[CP_Pcode],0)-1,0,1,1)</f>
        <v>8848</v>
      </c>
      <c r="G23" s="422">
        <f>SUMIF('NFI Tracking'!AO$6:AO$1048576,Table10[[#This Row],[Pcode]],'NFI Tracking'!AI$6:AI$1048576)</f>
        <v>2676</v>
      </c>
      <c r="H23" s="422">
        <f>SUMIF('NFI Tracking'!AO$6:AO$1048576,Table10[[#This Row],[Pcode]],'NFI Tracking'!AJ$6:AJ$1048576)</f>
        <v>2672</v>
      </c>
      <c r="I23" s="422">
        <f>SUMIF('NFI Tracking'!AO$6:AO$1048576,Table10[[#This Row],[Pcode]],'NFI Tracking'!AK$6:AK$1048576)</f>
        <v>0</v>
      </c>
      <c r="J23" s="422">
        <f ca="1">MAX(Table10[[#This Row],[HH]]*VLOOKUP("Winter Clothes Adult",NFI,6)-Table10[[#This Row],[Winter Clothes Adult ]],0)</f>
        <v>714</v>
      </c>
      <c r="K23" s="422">
        <f ca="1">MAX(Table10[[#This Row],[HH]]*VLOOKUP("Winter Clothes Children ",NFI,6)-Table10[[#This Row],[Winter Clothes Children ]],0)</f>
        <v>0</v>
      </c>
      <c r="L23" s="422">
        <f ca="1">MAX(Table10[[#This Row],[HH]]*VLOOKUP("Winter Items Other ",NFI,6)-Table10[[#This Row],[Winter Items Other ]],0)</f>
        <v>1695</v>
      </c>
      <c r="M23" s="464" t="str">
        <f>IF(OR(Table10[[#This Row],[Winter Clothes Adult ]]&lt;&gt;0,Table10[[#This Row],[Winter Clothes Children ]]&lt;&gt;0,Table10[[#This Row],[Winter Items Other ]]&lt;&gt;0),"No","")</f>
        <v>No</v>
      </c>
      <c r="N23" s="465">
        <f>COUNTIF(A:A,Table10[[#This Row],[Pcode]])-1</f>
        <v>0</v>
      </c>
    </row>
    <row r="24" spans="1:20" x14ac:dyDescent="0.25">
      <c r="A24" s="381" t="s">
        <v>218</v>
      </c>
      <c r="B24" s="26" t="str">
        <f ca="1">OFFSET(CampList[Priority],MATCH(Table10[[#This Row],[Pcode]],CampList[CP_Pcode],0)-1,0,1,1)</f>
        <v>P2</v>
      </c>
      <c r="C24" s="26" t="str">
        <f ca="1">OFFSET(CampList[Camp],MATCH(Table10[[#This Row],[Pcode]],CampList[CP_Pcode],0)-1,0,1,1)</f>
        <v xml:space="preserve">Pa Kahtawng </v>
      </c>
      <c r="D24" s="26" t="str">
        <f ca="1">OFFSET(CampList[Township],MATCH(Table10[[#This Row],[Pcode]],CampList[CP_Pcode],0)-1,0,1,1)</f>
        <v>Momauk</v>
      </c>
      <c r="E24" s="26">
        <f ca="1">OFFSET(CampList[HH],MATCH(Table10[[#This Row],[Pcode]],CampList[CP_Pcode],0)-1,0,1,1)</f>
        <v>677</v>
      </c>
      <c r="F24" s="26">
        <f ca="1">OFFSET(CampList[Total],MATCH(Table10[[#This Row],[Pcode]],CampList[CP_Pcode],0)-1,0,1,1)</f>
        <v>3622</v>
      </c>
      <c r="G24" s="422">
        <f>SUMIF('NFI Tracking'!AO$6:AO$1048576,Table10[[#This Row],[Pcode]],'NFI Tracking'!AI$6:AI$1048576)</f>
        <v>0</v>
      </c>
      <c r="H24" s="422">
        <f>SUMIF('NFI Tracking'!AO$6:AO$1048576,Table10[[#This Row],[Pcode]],'NFI Tracking'!AJ$6:AJ$1048576)</f>
        <v>0</v>
      </c>
      <c r="I24" s="422">
        <f>SUMIF('NFI Tracking'!AO$6:AO$1048576,Table10[[#This Row],[Pcode]],'NFI Tracking'!AK$6:AK$1048576)</f>
        <v>0</v>
      </c>
      <c r="J24" s="422">
        <f ca="1">MAX(Table10[[#This Row],[HH]]*VLOOKUP("Winter Clothes Adult",NFI,6)-Table10[[#This Row],[Winter Clothes Adult ]],0)</f>
        <v>1354</v>
      </c>
      <c r="K24" s="422">
        <f ca="1">MAX(Table10[[#This Row],[HH]]*VLOOKUP("Winter Clothes Children ",NFI,6)-Table10[[#This Row],[Winter Clothes Children ]],0)</f>
        <v>677</v>
      </c>
      <c r="L24" s="422">
        <f ca="1">MAX(Table10[[#This Row],[HH]]*VLOOKUP("Winter Items Other ",NFI,6)-Table10[[#This Row],[Winter Items Other ]],0)</f>
        <v>677</v>
      </c>
      <c r="M24" s="464" t="str">
        <f>IF(OR(Table10[[#This Row],[Winter Clothes Adult ]]&lt;&gt;0,Table10[[#This Row],[Winter Clothes Children ]]&lt;&gt;0,Table10[[#This Row],[Winter Items Other ]]&lt;&gt;0),"No","")</f>
        <v/>
      </c>
      <c r="N24" s="465">
        <f>COUNTIF(A:A,Table10[[#This Row],[Pcode]])-1</f>
        <v>0</v>
      </c>
    </row>
    <row r="25" spans="1:20" x14ac:dyDescent="0.25">
      <c r="A25" s="381" t="s">
        <v>191</v>
      </c>
      <c r="B25" s="26" t="str">
        <f ca="1">OFFSET(CampList[Priority],MATCH(Table10[[#This Row],[Pcode]],CampList[CP_Pcode],0)-1,0,1,1)</f>
        <v>P2</v>
      </c>
      <c r="C25" s="26" t="str">
        <f ca="1">OFFSET(CampList[Camp],MATCH(Table10[[#This Row],[Pcode]],CampList[CP_Pcode],0)-1,0,1,1)</f>
        <v xml:space="preserve">Dum Bung </v>
      </c>
      <c r="D25" s="26" t="str">
        <f ca="1">OFFSET(CampList[Township],MATCH(Table10[[#This Row],[Pcode]],CampList[CP_Pcode],0)-1,0,1,1)</f>
        <v>Momauk</v>
      </c>
      <c r="E25" s="26">
        <f ca="1">OFFSET(CampList[HH],MATCH(Table10[[#This Row],[Pcode]],CampList[CP_Pcode],0)-1,0,1,1)</f>
        <v>116</v>
      </c>
      <c r="F25" s="26">
        <f ca="1">OFFSET(CampList[Total],MATCH(Table10[[#This Row],[Pcode]],CampList[CP_Pcode],0)-1,0,1,1)</f>
        <v>595</v>
      </c>
      <c r="G25" s="422">
        <f>SUMIF('NFI Tracking'!AO$6:AO$1048576,Table10[[#This Row],[Pcode]],'NFI Tracking'!AI$6:AI$1048576)</f>
        <v>0</v>
      </c>
      <c r="H25" s="422">
        <f>SUMIF('NFI Tracking'!AO$6:AO$1048576,Table10[[#This Row],[Pcode]],'NFI Tracking'!AJ$6:AJ$1048576)</f>
        <v>0</v>
      </c>
      <c r="I25" s="422">
        <f>SUMIF('NFI Tracking'!AO$6:AO$1048576,Table10[[#This Row],[Pcode]],'NFI Tracking'!AK$6:AK$1048576)</f>
        <v>0</v>
      </c>
      <c r="J25" s="422">
        <f ca="1">MAX(Table10[[#This Row],[HH]]*VLOOKUP("Winter Clothes Adult",NFI,6)-Table10[[#This Row],[Winter Clothes Adult ]],0)</f>
        <v>232</v>
      </c>
      <c r="K25" s="422">
        <f ca="1">MAX(Table10[[#This Row],[HH]]*VLOOKUP("Winter Clothes Children ",NFI,6)-Table10[[#This Row],[Winter Clothes Children ]],0)</f>
        <v>116</v>
      </c>
      <c r="L25" s="422">
        <f ca="1">MAX(Table10[[#This Row],[HH]]*VLOOKUP("Winter Items Other ",NFI,6)-Table10[[#This Row],[Winter Items Other ]],0)</f>
        <v>116</v>
      </c>
      <c r="M25" s="464" t="str">
        <f>IF(OR(Table10[[#This Row],[Winter Clothes Adult ]]&lt;&gt;0,Table10[[#This Row],[Winter Clothes Children ]]&lt;&gt;0,Table10[[#This Row],[Winter Items Other ]]&lt;&gt;0),"No","")</f>
        <v/>
      </c>
      <c r="N25" s="465">
        <f>COUNTIF(A:A,Table10[[#This Row],[Pcode]])-1</f>
        <v>0</v>
      </c>
    </row>
    <row r="26" spans="1:20" x14ac:dyDescent="0.25">
      <c r="A26" s="381" t="s">
        <v>819</v>
      </c>
      <c r="B26" s="26" t="str">
        <f ca="1">OFFSET(CampList[Priority],MATCH(Table10[[#This Row],[Pcode]],CampList[CP_Pcode],0)-1,0,1,1)</f>
        <v>P2</v>
      </c>
      <c r="C26" s="26" t="str">
        <f ca="1">OFFSET(CampList[Camp],MATCH(Table10[[#This Row],[Pcode]],CampList[CP_Pcode],0)-1,0,1,1)</f>
        <v>IDP Boarding School, A Len Bum</v>
      </c>
      <c r="D26" s="26" t="str">
        <f ca="1">OFFSET(CampList[Township],MATCH(Table10[[#This Row],[Pcode]],CampList[CP_Pcode],0)-1,0,1,1)</f>
        <v>Waingmaw</v>
      </c>
      <c r="E26" s="26">
        <f ca="1">OFFSET(CampList[HH],MATCH(Table10[[#This Row],[Pcode]],CampList[CP_Pcode],0)-1,0,1,1)</f>
        <v>0</v>
      </c>
      <c r="F26" s="26">
        <f ca="1">OFFSET(CampList[Total],MATCH(Table10[[#This Row],[Pcode]],CampList[CP_Pcode],0)-1,0,1,1)</f>
        <v>1047</v>
      </c>
      <c r="G26" s="422">
        <f>SUMIF('NFI Tracking'!AO$6:AO$1048576,Table10[[#This Row],[Pcode]],'NFI Tracking'!AI$6:AI$1048576)</f>
        <v>0</v>
      </c>
      <c r="H26" s="422">
        <f>SUMIF('NFI Tracking'!AO$6:AO$1048576,Table10[[#This Row],[Pcode]],'NFI Tracking'!AJ$6:AJ$1048576)</f>
        <v>0</v>
      </c>
      <c r="I26" s="422">
        <f>SUMIF('NFI Tracking'!AO$6:AO$1048576,Table10[[#This Row],[Pcode]],'NFI Tracking'!AK$6:AK$1048576)</f>
        <v>0</v>
      </c>
      <c r="J26" s="422">
        <f ca="1">MAX(Table10[[#This Row],[HH]]*VLOOKUP("Winter Clothes Adult",NFI,6)-Table10[[#This Row],[Winter Clothes Adult ]],0)</f>
        <v>0</v>
      </c>
      <c r="K26" s="422">
        <f ca="1">MAX(Table10[[#This Row],[HH]]*VLOOKUP("Winter Clothes Children ",NFI,6)-Table10[[#This Row],[Winter Clothes Children ]],0)</f>
        <v>0</v>
      </c>
      <c r="L26" s="422">
        <f ca="1">MAX(Table10[[#This Row],[HH]]*VLOOKUP("Winter Items Other ",NFI,6)-Table10[[#This Row],[Winter Items Other ]],0)</f>
        <v>0</v>
      </c>
      <c r="M26" s="464" t="str">
        <f>IF(OR(Table10[[#This Row],[Winter Clothes Adult ]]&lt;&gt;0,Table10[[#This Row],[Winter Clothes Children ]]&lt;&gt;0,Table10[[#This Row],[Winter Items Other ]]&lt;&gt;0),"No","")</f>
        <v/>
      </c>
      <c r="N26" s="465">
        <f>COUNTIF(A:A,Table10[[#This Row],[Pcode]])-1</f>
        <v>0</v>
      </c>
    </row>
    <row r="27" spans="1:20" x14ac:dyDescent="0.25">
      <c r="A27" s="381" t="s">
        <v>314</v>
      </c>
      <c r="B27" s="26" t="str">
        <f ca="1">OFFSET(CampList[Priority],MATCH(Table10[[#This Row],[Pcode]],CampList[CP_Pcode],0)-1,0,1,1)</f>
        <v>P2</v>
      </c>
      <c r="C27" s="26" t="str">
        <f ca="1">OFFSET(CampList[Camp],MATCH(Table10[[#This Row],[Pcode]],CampList[CP_Pcode],0)-1,0,1,1)</f>
        <v>Laiza Market 3 - Laiza Gat</v>
      </c>
      <c r="D27" s="26" t="str">
        <f ca="1">OFFSET(CampList[Township],MATCH(Table10[[#This Row],[Pcode]],CampList[CP_Pcode],0)-1,0,1,1)</f>
        <v>Waingmaw</v>
      </c>
      <c r="E27" s="26">
        <f ca="1">OFFSET(CampList[HH],MATCH(Table10[[#This Row],[Pcode]],CampList[CP_Pcode],0)-1,0,1,1)</f>
        <v>0</v>
      </c>
      <c r="F27" s="26">
        <f ca="1">OFFSET(CampList[Total],MATCH(Table10[[#This Row],[Pcode]],CampList[CP_Pcode],0)-1,0,1,1)</f>
        <v>0</v>
      </c>
      <c r="G27" s="422">
        <f>SUMIF('NFI Tracking'!AO$6:AO$1048576,Table10[[#This Row],[Pcode]],'NFI Tracking'!AI$6:AI$1048576)</f>
        <v>1119</v>
      </c>
      <c r="H27" s="422">
        <f>SUMIF('NFI Tracking'!AO$6:AO$1048576,Table10[[#This Row],[Pcode]],'NFI Tracking'!AJ$6:AJ$1048576)</f>
        <v>1455</v>
      </c>
      <c r="I27" s="422">
        <f>SUMIF('NFI Tracking'!AO$6:AO$1048576,Table10[[#This Row],[Pcode]],'NFI Tracking'!AK$6:AK$1048576)</f>
        <v>0</v>
      </c>
      <c r="J27" s="422">
        <f ca="1">MAX(Table10[[#This Row],[HH]]*VLOOKUP("Winter Clothes Adult",NFI,6)-Table10[[#This Row],[Winter Clothes Adult ]],0)</f>
        <v>0</v>
      </c>
      <c r="K27" s="422">
        <f ca="1">MAX(Table10[[#This Row],[HH]]*VLOOKUP("Winter Clothes Children ",NFI,6)-Table10[[#This Row],[Winter Clothes Children ]],0)</f>
        <v>0</v>
      </c>
      <c r="L27" s="422">
        <f ca="1">MAX(Table10[[#This Row],[HH]]*VLOOKUP("Winter Items Other ",NFI,6)-Table10[[#This Row],[Winter Items Other ]],0)</f>
        <v>0</v>
      </c>
      <c r="M27" s="464" t="str">
        <f>IF(OR(Table10[[#This Row],[Winter Clothes Adult ]]&lt;&gt;0,Table10[[#This Row],[Winter Clothes Children ]]&lt;&gt;0,Table10[[#This Row],[Winter Items Other ]]&lt;&gt;0),"No","")</f>
        <v>No</v>
      </c>
      <c r="N27" s="465">
        <f>COUNTIF(A:A,Table10[[#This Row],[Pcode]])-1</f>
        <v>0</v>
      </c>
    </row>
    <row r="28" spans="1:20" x14ac:dyDescent="0.25">
      <c r="A28" s="381" t="s">
        <v>356</v>
      </c>
      <c r="B28" s="26" t="str">
        <f ca="1">OFFSET(CampList[Priority],MATCH(Table10[[#This Row],[Pcode]],CampList[CP_Pcode],0)-1,0,1,1)</f>
        <v>P2</v>
      </c>
      <c r="C28" s="26" t="str">
        <f ca="1">OFFSET(CampList[Camp],MATCH(Table10[[#This Row],[Pcode]],CampList[CP_Pcode],0)-1,0,1,1)</f>
        <v>Zai Awng - Mung Ga Zup</v>
      </c>
      <c r="D28" s="26" t="str">
        <f ca="1">OFFSET(CampList[Township],MATCH(Table10[[#This Row],[Pcode]],CampList[CP_Pcode],0)-1,0,1,1)</f>
        <v>Waingmaw</v>
      </c>
      <c r="E28" s="26">
        <f ca="1">OFFSET(CampList[HH],MATCH(Table10[[#This Row],[Pcode]],CampList[CP_Pcode],0)-1,0,1,1)</f>
        <v>620</v>
      </c>
      <c r="F28" s="26">
        <f ca="1">OFFSET(CampList[Total],MATCH(Table10[[#This Row],[Pcode]],CampList[CP_Pcode],0)-1,0,1,1)</f>
        <v>2782</v>
      </c>
      <c r="G28" s="422">
        <f>SUMIF('NFI Tracking'!AO$6:AO$1048576,Table10[[#This Row],[Pcode]],'NFI Tracking'!AI$6:AI$1048576)</f>
        <v>0</v>
      </c>
      <c r="H28" s="422">
        <f>SUMIF('NFI Tracking'!AO$6:AO$1048576,Table10[[#This Row],[Pcode]],'NFI Tracking'!AJ$6:AJ$1048576)</f>
        <v>0</v>
      </c>
      <c r="I28" s="422">
        <f>SUMIF('NFI Tracking'!AO$6:AO$1048576,Table10[[#This Row],[Pcode]],'NFI Tracking'!AK$6:AK$1048576)</f>
        <v>0</v>
      </c>
      <c r="J28" s="422">
        <f ca="1">MAX(Table10[[#This Row],[HH]]*VLOOKUP("Winter Clothes Adult",NFI,6)-Table10[[#This Row],[Winter Clothes Adult ]],0)</f>
        <v>1240</v>
      </c>
      <c r="K28" s="422">
        <f ca="1">MAX(Table10[[#This Row],[HH]]*VLOOKUP("Winter Clothes Children ",NFI,6)-Table10[[#This Row],[Winter Clothes Children ]],0)</f>
        <v>620</v>
      </c>
      <c r="L28" s="422">
        <f ca="1">MAX(Table10[[#This Row],[HH]]*VLOOKUP("Winter Items Other ",NFI,6)-Table10[[#This Row],[Winter Items Other ]],0)</f>
        <v>620</v>
      </c>
      <c r="M28" s="464" t="str">
        <f>IF(OR(Table10[[#This Row],[Winter Clothes Adult ]]&lt;&gt;0,Table10[[#This Row],[Winter Clothes Children ]]&lt;&gt;0,Table10[[#This Row],[Winter Items Other ]]&lt;&gt;0),"No","")</f>
        <v/>
      </c>
      <c r="N28" s="465">
        <f>COUNTIF(A:A,Table10[[#This Row],[Pcode]])-1</f>
        <v>0</v>
      </c>
    </row>
    <row r="29" spans="1:20" x14ac:dyDescent="0.25">
      <c r="A29" s="381" t="s">
        <v>321</v>
      </c>
      <c r="B29" s="26" t="str">
        <f ca="1">OFFSET(CampList[Priority],MATCH(Table10[[#This Row],[Pcode]],CampList[CP_Pcode],0)-1,0,1,1)</f>
        <v>P2</v>
      </c>
      <c r="C29" s="26" t="str">
        <f ca="1">OFFSET(CampList[Camp],MATCH(Table10[[#This Row],[Pcode]],CampList[CP_Pcode],0)-1,0,1,1)</f>
        <v xml:space="preserve">Maga Yang </v>
      </c>
      <c r="D29" s="26" t="str">
        <f ca="1">OFFSET(CampList[Township],MATCH(Table10[[#This Row],[Pcode]],CampList[CP_Pcode],0)-1,0,1,1)</f>
        <v>Waingmaw</v>
      </c>
      <c r="E29" s="26">
        <f ca="1">OFFSET(CampList[HH],MATCH(Table10[[#This Row],[Pcode]],CampList[CP_Pcode],0)-1,0,1,1)</f>
        <v>608</v>
      </c>
      <c r="F29" s="26">
        <f ca="1">OFFSET(CampList[Total],MATCH(Table10[[#This Row],[Pcode]],CampList[CP_Pcode],0)-1,0,1,1)</f>
        <v>2636</v>
      </c>
      <c r="G29" s="422">
        <f>SUMIF('NFI Tracking'!AO$6:AO$1048576,Table10[[#This Row],[Pcode]],'NFI Tracking'!AI$6:AI$1048576)</f>
        <v>0</v>
      </c>
      <c r="H29" s="422">
        <f>SUMIF('NFI Tracking'!AO$6:AO$1048576,Table10[[#This Row],[Pcode]],'NFI Tracking'!AJ$6:AJ$1048576)</f>
        <v>0</v>
      </c>
      <c r="I29" s="422">
        <f>SUMIF('NFI Tracking'!AO$6:AO$1048576,Table10[[#This Row],[Pcode]],'NFI Tracking'!AK$6:AK$1048576)</f>
        <v>0</v>
      </c>
      <c r="J29" s="422">
        <f ca="1">MAX(Table10[[#This Row],[HH]]*VLOOKUP("Winter Clothes Adult",NFI,6)-Table10[[#This Row],[Winter Clothes Adult ]],0)</f>
        <v>1216</v>
      </c>
      <c r="K29" s="422">
        <f ca="1">MAX(Table10[[#This Row],[HH]]*VLOOKUP("Winter Clothes Children ",NFI,6)-Table10[[#This Row],[Winter Clothes Children ]],0)</f>
        <v>608</v>
      </c>
      <c r="L29" s="422">
        <f ca="1">MAX(Table10[[#This Row],[HH]]*VLOOKUP("Winter Items Other ",NFI,6)-Table10[[#This Row],[Winter Items Other ]],0)</f>
        <v>608</v>
      </c>
      <c r="M29" s="464" t="str">
        <f>IF(OR(Table10[[#This Row],[Winter Clothes Adult ]]&lt;&gt;0,Table10[[#This Row],[Winter Clothes Children ]]&lt;&gt;0,Table10[[#This Row],[Winter Items Other ]]&lt;&gt;0),"No","")</f>
        <v/>
      </c>
      <c r="N29" s="465">
        <f>COUNTIF(A:A,Table10[[#This Row],[Pcode]])-1</f>
        <v>0</v>
      </c>
    </row>
    <row r="30" spans="1:20" x14ac:dyDescent="0.25">
      <c r="A30" s="381" t="s">
        <v>165</v>
      </c>
      <c r="B30" s="26" t="str">
        <f ca="1">OFFSET(CampList[Priority],MATCH(Table10[[#This Row],[Pcode]],CampList[CP_Pcode],0)-1,0,1,1)</f>
        <v>P2</v>
      </c>
      <c r="C30" s="26" t="str">
        <f ca="1">OFFSET(CampList[Camp],MATCH(Table10[[#This Row],[Pcode]],CampList[CP_Pcode],0)-1,0,1,1)</f>
        <v>Mandung - Jinghpaw</v>
      </c>
      <c r="D30" s="26" t="str">
        <f ca="1">OFFSET(CampList[Township],MATCH(Table10[[#This Row],[Pcode]],CampList[CP_Pcode],0)-1,0,1,1)</f>
        <v>Manton</v>
      </c>
      <c r="E30" s="26">
        <f ca="1">OFFSET(CampList[HH],MATCH(Table10[[#This Row],[Pcode]],CampList[CP_Pcode],0)-1,0,1,1)</f>
        <v>38</v>
      </c>
      <c r="F30" s="26">
        <f ca="1">OFFSET(CampList[Total],MATCH(Table10[[#This Row],[Pcode]],CampList[CP_Pcode],0)-1,0,1,1)</f>
        <v>164</v>
      </c>
      <c r="G30" s="422">
        <f>SUMIF('NFI Tracking'!AO$6:AO$1048576,Table10[[#This Row],[Pcode]],'NFI Tracking'!AI$6:AI$1048576)</f>
        <v>0</v>
      </c>
      <c r="H30" s="422">
        <f>SUMIF('NFI Tracking'!AO$6:AO$1048576,Table10[[#This Row],[Pcode]],'NFI Tracking'!AJ$6:AJ$1048576)</f>
        <v>0</v>
      </c>
      <c r="I30" s="422">
        <f>SUMIF('NFI Tracking'!AO$6:AO$1048576,Table10[[#This Row],[Pcode]],'NFI Tracking'!AK$6:AK$1048576)</f>
        <v>0</v>
      </c>
      <c r="J30" s="422">
        <f ca="1">MAX(Table10[[#This Row],[HH]]*VLOOKUP("Winter Clothes Adult",NFI,6)-Table10[[#This Row],[Winter Clothes Adult ]],0)</f>
        <v>76</v>
      </c>
      <c r="K30" s="422">
        <f ca="1">MAX(Table10[[#This Row],[HH]]*VLOOKUP("Winter Clothes Children ",NFI,6)-Table10[[#This Row],[Winter Clothes Children ]],0)</f>
        <v>38</v>
      </c>
      <c r="L30" s="422">
        <f ca="1">MAX(Table10[[#This Row],[HH]]*VLOOKUP("Winter Items Other ",NFI,6)-Table10[[#This Row],[Winter Items Other ]],0)</f>
        <v>38</v>
      </c>
      <c r="M30" s="464" t="str">
        <f>IF(OR(Table10[[#This Row],[Winter Clothes Adult ]]&lt;&gt;0,Table10[[#This Row],[Winter Clothes Children ]]&lt;&gt;0,Table10[[#This Row],[Winter Items Other ]]&lt;&gt;0),"No","")</f>
        <v/>
      </c>
      <c r="N30" s="465">
        <f>COUNTIF(A:A,Table10[[#This Row],[Pcode]])-1</f>
        <v>0</v>
      </c>
    </row>
    <row r="31" spans="1:20" x14ac:dyDescent="0.25">
      <c r="A31" s="381" t="s">
        <v>843</v>
      </c>
      <c r="B31" s="26" t="str">
        <f ca="1">OFFSET(CampList[Priority],MATCH(Table10[[#This Row],[Pcode]],CampList[CP_Pcode],0)-1,0,1,1)</f>
        <v>P2</v>
      </c>
      <c r="C31" s="26" t="str">
        <f ca="1">OFFSET(CampList[Camp],MATCH(Table10[[#This Row],[Pcode]],CampList[CP_Pcode],0)-1,0,1,1)</f>
        <v>Nam Hkawng</v>
      </c>
      <c r="D31" s="26" t="str">
        <f ca="1">OFFSET(CampList[Township],MATCH(Table10[[#This Row],[Pcode]],CampList[CP_Pcode],0)-1,0,1,1)</f>
        <v>Muse</v>
      </c>
      <c r="E31" s="26">
        <f ca="1">OFFSET(CampList[HH],MATCH(Table10[[#This Row],[Pcode]],CampList[CP_Pcode],0)-1,0,1,1)</f>
        <v>0</v>
      </c>
      <c r="F31" s="26">
        <f ca="1">OFFSET(CampList[Total],MATCH(Table10[[#This Row],[Pcode]],CampList[CP_Pcode],0)-1,0,1,1)</f>
        <v>0</v>
      </c>
      <c r="G31" s="422">
        <f>SUMIF('NFI Tracking'!AO$6:AO$1048576,Table10[[#This Row],[Pcode]],'NFI Tracking'!AI$6:AI$1048576)</f>
        <v>0</v>
      </c>
      <c r="H31" s="422">
        <f>SUMIF('NFI Tracking'!AO$6:AO$1048576,Table10[[#This Row],[Pcode]],'NFI Tracking'!AJ$6:AJ$1048576)</f>
        <v>0</v>
      </c>
      <c r="I31" s="422">
        <f>SUMIF('NFI Tracking'!AO$6:AO$1048576,Table10[[#This Row],[Pcode]],'NFI Tracking'!AK$6:AK$1048576)</f>
        <v>0</v>
      </c>
      <c r="J31" s="422">
        <f ca="1">MAX(Table10[[#This Row],[HH]]*VLOOKUP("Winter Clothes Adult",NFI,6)-Table10[[#This Row],[Winter Clothes Adult ]],0)</f>
        <v>0</v>
      </c>
      <c r="K31" s="422">
        <f ca="1">MAX(Table10[[#This Row],[HH]]*VLOOKUP("Winter Clothes Children ",NFI,6)-Table10[[#This Row],[Winter Clothes Children ]],0)</f>
        <v>0</v>
      </c>
      <c r="L31" s="422">
        <f ca="1">MAX(Table10[[#This Row],[HH]]*VLOOKUP("Winter Items Other ",NFI,6)-Table10[[#This Row],[Winter Items Other ]],0)</f>
        <v>0</v>
      </c>
      <c r="M31" s="464" t="str">
        <f>IF(OR(Table10[[#This Row],[Winter Clothes Adult ]]&lt;&gt;0,Table10[[#This Row],[Winter Clothes Children ]]&lt;&gt;0,Table10[[#This Row],[Winter Items Other ]]&lt;&gt;0),"No","")</f>
        <v/>
      </c>
      <c r="N31" s="465">
        <f>COUNTIF(A:A,Table10[[#This Row],[Pcode]])-1</f>
        <v>0</v>
      </c>
    </row>
    <row r="32" spans="1:20" x14ac:dyDescent="0.25">
      <c r="A32" s="381" t="s">
        <v>184</v>
      </c>
      <c r="B32" s="26" t="str">
        <f ca="1">OFFSET(CampList[Priority],MATCH(Table10[[#This Row],[Pcode]],CampList[CP_Pcode],0)-1,0,1,1)</f>
        <v>P3</v>
      </c>
      <c r="C32" s="26" t="str">
        <f ca="1">OFFSET(CampList[Camp],MATCH(Table10[[#This Row],[Pcode]],CampList[CP_Pcode],0)-1,0,1,1)</f>
        <v>Loi Je Baptist Church</v>
      </c>
      <c r="D32" s="26" t="str">
        <f ca="1">OFFSET(CampList[Township],MATCH(Table10[[#This Row],[Pcode]],CampList[CP_Pcode],0)-1,0,1,1)</f>
        <v>Momauk</v>
      </c>
      <c r="E32" s="26">
        <f ca="1">OFFSET(CampList[HH],MATCH(Table10[[#This Row],[Pcode]],CampList[CP_Pcode],0)-1,0,1,1)</f>
        <v>29</v>
      </c>
      <c r="F32" s="26">
        <f ca="1">OFFSET(CampList[Total],MATCH(Table10[[#This Row],[Pcode]],CampList[CP_Pcode],0)-1,0,1,1)</f>
        <v>182</v>
      </c>
      <c r="G32" s="422">
        <f>SUMIF('NFI Tracking'!AO$6:AO$1048576,Table10[[#This Row],[Pcode]],'NFI Tracking'!AI$6:AI$1048576)</f>
        <v>0</v>
      </c>
      <c r="H32" s="422">
        <f>SUMIF('NFI Tracking'!AO$6:AO$1048576,Table10[[#This Row],[Pcode]],'NFI Tracking'!AJ$6:AJ$1048576)</f>
        <v>0</v>
      </c>
      <c r="I32" s="422">
        <f>SUMIF('NFI Tracking'!AO$6:AO$1048576,Table10[[#This Row],[Pcode]],'NFI Tracking'!AK$6:AK$1048576)</f>
        <v>0</v>
      </c>
      <c r="J32" s="422">
        <f ca="1">MAX(Table10[[#This Row],[HH]]*VLOOKUP("Winter Clothes Adult",NFI,6)-Table10[[#This Row],[Winter Clothes Adult ]],0)</f>
        <v>58</v>
      </c>
      <c r="K32" s="422">
        <f ca="1">MAX(Table10[[#This Row],[HH]]*VLOOKUP("Winter Clothes Children ",NFI,6)-Table10[[#This Row],[Winter Clothes Children ]],0)</f>
        <v>29</v>
      </c>
      <c r="L32" s="422">
        <f ca="1">MAX(Table10[[#This Row],[HH]]*VLOOKUP("Winter Items Other ",NFI,6)-Table10[[#This Row],[Winter Items Other ]],0)</f>
        <v>29</v>
      </c>
      <c r="M32" s="464" t="str">
        <f>IF(OR(Table10[[#This Row],[Winter Clothes Adult ]]&lt;&gt;0,Table10[[#This Row],[Winter Clothes Children ]]&lt;&gt;0,Table10[[#This Row],[Winter Items Other ]]&lt;&gt;0),"No","")</f>
        <v/>
      </c>
      <c r="N32" s="465">
        <f>COUNTIF(A:A,Table10[[#This Row],[Pcode]])-1</f>
        <v>0</v>
      </c>
    </row>
    <row r="33" spans="1:14" x14ac:dyDescent="0.25">
      <c r="A33" s="381" t="s">
        <v>222</v>
      </c>
      <c r="B33" s="26" t="str">
        <f ca="1">OFFSET(CampList[Priority],MATCH(Table10[[#This Row],[Pcode]],CampList[CP_Pcode],0)-1,0,1,1)</f>
        <v>P3</v>
      </c>
      <c r="C33" s="26" t="str">
        <f ca="1">OFFSET(CampList[Camp],MATCH(Table10[[#This Row],[Pcode]],CampList[CP_Pcode],0)-1,0,1,1)</f>
        <v>Loi Je Catholic Church</v>
      </c>
      <c r="D33" s="26" t="str">
        <f ca="1">OFFSET(CampList[Township],MATCH(Table10[[#This Row],[Pcode]],CampList[CP_Pcode],0)-1,0,1,1)</f>
        <v>Momauk</v>
      </c>
      <c r="E33" s="26">
        <f ca="1">OFFSET(CampList[HH],MATCH(Table10[[#This Row],[Pcode]],CampList[CP_Pcode],0)-1,0,1,1)</f>
        <v>124</v>
      </c>
      <c r="F33" s="26">
        <f ca="1">OFFSET(CampList[Total],MATCH(Table10[[#This Row],[Pcode]],CampList[CP_Pcode],0)-1,0,1,1)</f>
        <v>544</v>
      </c>
      <c r="G33" s="422">
        <f>SUMIF('NFI Tracking'!AO$6:AO$1048576,Table10[[#This Row],[Pcode]],'NFI Tracking'!AI$6:AI$1048576)</f>
        <v>0</v>
      </c>
      <c r="H33" s="422">
        <f>SUMIF('NFI Tracking'!AO$6:AO$1048576,Table10[[#This Row],[Pcode]],'NFI Tracking'!AJ$6:AJ$1048576)</f>
        <v>0</v>
      </c>
      <c r="I33" s="422">
        <f>SUMIF('NFI Tracking'!AO$6:AO$1048576,Table10[[#This Row],[Pcode]],'NFI Tracking'!AK$6:AK$1048576)</f>
        <v>0</v>
      </c>
      <c r="J33" s="422">
        <f ca="1">MAX(Table10[[#This Row],[HH]]*VLOOKUP("Winter Clothes Adult",NFI,6)-Table10[[#This Row],[Winter Clothes Adult ]],0)</f>
        <v>248</v>
      </c>
      <c r="K33" s="422">
        <f ca="1">MAX(Table10[[#This Row],[HH]]*VLOOKUP("Winter Clothes Children ",NFI,6)-Table10[[#This Row],[Winter Clothes Children ]],0)</f>
        <v>124</v>
      </c>
      <c r="L33" s="422">
        <f ca="1">MAX(Table10[[#This Row],[HH]]*VLOOKUP("Winter Items Other ",NFI,6)-Table10[[#This Row],[Winter Items Other ]],0)</f>
        <v>124</v>
      </c>
      <c r="M33" s="464" t="str">
        <f>IF(OR(Table10[[#This Row],[Winter Clothes Adult ]]&lt;&gt;0,Table10[[#This Row],[Winter Clothes Children ]]&lt;&gt;0,Table10[[#This Row],[Winter Items Other ]]&lt;&gt;0),"No","")</f>
        <v/>
      </c>
      <c r="N33" s="465">
        <f>COUNTIF(A:A,Table10[[#This Row],[Pcode]])-1</f>
        <v>0</v>
      </c>
    </row>
    <row r="34" spans="1:14" x14ac:dyDescent="0.25">
      <c r="A34" s="381" t="s">
        <v>189</v>
      </c>
      <c r="B34" s="26" t="str">
        <f ca="1">OFFSET(CampList[Priority],MATCH(Table10[[#This Row],[Pcode]],CampList[CP_Pcode],0)-1,0,1,1)</f>
        <v>P3</v>
      </c>
      <c r="C34" s="26" t="str">
        <f ca="1">OFFSET(CampList[Camp],MATCH(Table10[[#This Row],[Pcode]],CampList[CP_Pcode],0)-1,0,1,1)</f>
        <v>Loi Je Lisu Camp</v>
      </c>
      <c r="D34" s="26" t="str">
        <f ca="1">OFFSET(CampList[Township],MATCH(Table10[[#This Row],[Pcode]],CampList[CP_Pcode],0)-1,0,1,1)</f>
        <v>Momauk</v>
      </c>
      <c r="E34" s="26">
        <f ca="1">OFFSET(CampList[HH],MATCH(Table10[[#This Row],[Pcode]],CampList[CP_Pcode],0)-1,0,1,1)</f>
        <v>188</v>
      </c>
      <c r="F34" s="26">
        <f ca="1">OFFSET(CampList[Total],MATCH(Table10[[#This Row],[Pcode]],CampList[CP_Pcode],0)-1,0,1,1)</f>
        <v>993</v>
      </c>
      <c r="G34" s="422">
        <f>SUMIF('NFI Tracking'!AO$6:AO$1048576,Table10[[#This Row],[Pcode]],'NFI Tracking'!AI$6:AI$1048576)</f>
        <v>0</v>
      </c>
      <c r="H34" s="422">
        <f>SUMIF('NFI Tracking'!AO$6:AO$1048576,Table10[[#This Row],[Pcode]],'NFI Tracking'!AJ$6:AJ$1048576)</f>
        <v>0</v>
      </c>
      <c r="I34" s="422">
        <f>SUMIF('NFI Tracking'!AO$6:AO$1048576,Table10[[#This Row],[Pcode]],'NFI Tracking'!AK$6:AK$1048576)</f>
        <v>0</v>
      </c>
      <c r="J34" s="422">
        <f ca="1">MAX(Table10[[#This Row],[HH]]*VLOOKUP("Winter Clothes Adult",NFI,6)-Table10[[#This Row],[Winter Clothes Adult ]],0)</f>
        <v>376</v>
      </c>
      <c r="K34" s="422">
        <f ca="1">MAX(Table10[[#This Row],[HH]]*VLOOKUP("Winter Clothes Children ",NFI,6)-Table10[[#This Row],[Winter Clothes Children ]],0)</f>
        <v>188</v>
      </c>
      <c r="L34" s="422">
        <f ca="1">MAX(Table10[[#This Row],[HH]]*VLOOKUP("Winter Items Other ",NFI,6)-Table10[[#This Row],[Winter Items Other ]],0)</f>
        <v>188</v>
      </c>
      <c r="M34" s="464" t="str">
        <f>IF(OR(Table10[[#This Row],[Winter Clothes Adult ]]&lt;&gt;0,Table10[[#This Row],[Winter Clothes Children ]]&lt;&gt;0,Table10[[#This Row],[Winter Items Other ]]&lt;&gt;0),"No","")</f>
        <v/>
      </c>
      <c r="N34" s="465">
        <f>COUNTIF(A:A,Table10[[#This Row],[Pcode]])-1</f>
        <v>0</v>
      </c>
    </row>
    <row r="35" spans="1:14" x14ac:dyDescent="0.25">
      <c r="A35" s="381" t="s">
        <v>224</v>
      </c>
      <c r="B35" s="26" t="str">
        <f ca="1">OFFSET(CampList[Priority],MATCH(Table10[[#This Row],[Pcode]],CampList[CP_Pcode],0)-1,0,1,1)</f>
        <v>P3</v>
      </c>
      <c r="C35" s="26" t="str">
        <f ca="1">OFFSET(CampList[Camp],MATCH(Table10[[#This Row],[Pcode]],CampList[CP_Pcode],0)-1,0,1,1)</f>
        <v xml:space="preserve">Seng Ja </v>
      </c>
      <c r="D35" s="26" t="str">
        <f ca="1">OFFSET(CampList[Township],MATCH(Table10[[#This Row],[Pcode]],CampList[CP_Pcode],0)-1,0,1,1)</f>
        <v>Momauk</v>
      </c>
      <c r="E35" s="26">
        <f ca="1">OFFSET(CampList[HH],MATCH(Table10[[#This Row],[Pcode]],CampList[CP_Pcode],0)-1,0,1,1)</f>
        <v>45</v>
      </c>
      <c r="F35" s="26">
        <f ca="1">OFFSET(CampList[Total],MATCH(Table10[[#This Row],[Pcode]],CampList[CP_Pcode],0)-1,0,1,1)</f>
        <v>269</v>
      </c>
      <c r="G35" s="422">
        <f>SUMIF('NFI Tracking'!AO$6:AO$1048576,Table10[[#This Row],[Pcode]],'NFI Tracking'!AI$6:AI$1048576)</f>
        <v>155</v>
      </c>
      <c r="H35" s="422">
        <f>SUMIF('NFI Tracking'!AO$6:AO$1048576,Table10[[#This Row],[Pcode]],'NFI Tracking'!AJ$6:AJ$1048576)</f>
        <v>73</v>
      </c>
      <c r="I35" s="422">
        <f>SUMIF('NFI Tracking'!AO$6:AO$1048576,Table10[[#This Row],[Pcode]],'NFI Tracking'!AK$6:AK$1048576)</f>
        <v>0</v>
      </c>
      <c r="J35" s="422">
        <f ca="1">MAX(Table10[[#This Row],[HH]]*VLOOKUP("Winter Clothes Adult",NFI,6)-Table10[[#This Row],[Winter Clothes Adult ]],0)</f>
        <v>0</v>
      </c>
      <c r="K35" s="422">
        <f ca="1">MAX(Table10[[#This Row],[HH]]*VLOOKUP("Winter Clothes Children ",NFI,6)-Table10[[#This Row],[Winter Clothes Children ]],0)</f>
        <v>0</v>
      </c>
      <c r="L35" s="422">
        <f ca="1">MAX(Table10[[#This Row],[HH]]*VLOOKUP("Winter Items Other ",NFI,6)-Table10[[#This Row],[Winter Items Other ]],0)</f>
        <v>45</v>
      </c>
      <c r="M35" s="464" t="str">
        <f>IF(OR(Table10[[#This Row],[Winter Clothes Adult ]]&lt;&gt;0,Table10[[#This Row],[Winter Clothes Children ]]&lt;&gt;0,Table10[[#This Row],[Winter Items Other ]]&lt;&gt;0),"No","")</f>
        <v>No</v>
      </c>
      <c r="N35" s="465">
        <f>COUNTIF(A:A,Table10[[#This Row],[Pcode]])-1</f>
        <v>0</v>
      </c>
    </row>
    <row r="36" spans="1:14" x14ac:dyDescent="0.25">
      <c r="A36" s="381" t="s">
        <v>228</v>
      </c>
      <c r="B36" s="26" t="str">
        <f ca="1">OFFSET(CampList[Priority],MATCH(Table10[[#This Row],[Pcode]],CampList[CP_Pcode],0)-1,0,1,1)</f>
        <v>P3</v>
      </c>
      <c r="C36" s="26" t="str">
        <f ca="1">OFFSET(CampList[Camp],MATCH(Table10[[#This Row],[Pcode]],CampList[CP_Pcode],0)-1,0,1,1)</f>
        <v xml:space="preserve">Nyaung Na Pin </v>
      </c>
      <c r="D36" s="26" t="str">
        <f ca="1">OFFSET(CampList[Township],MATCH(Table10[[#This Row],[Pcode]],CampList[CP_Pcode],0)-1,0,1,1)</f>
        <v>Momauk</v>
      </c>
      <c r="E36" s="26">
        <f ca="1">OFFSET(CampList[HH],MATCH(Table10[[#This Row],[Pcode]],CampList[CP_Pcode],0)-1,0,1,1)</f>
        <v>50</v>
      </c>
      <c r="F36" s="26">
        <f ca="1">OFFSET(CampList[Total],MATCH(Table10[[#This Row],[Pcode]],CampList[CP_Pcode],0)-1,0,1,1)</f>
        <v>293</v>
      </c>
      <c r="G36" s="422">
        <f>SUMIF('NFI Tracking'!AO$6:AO$1048576,Table10[[#This Row],[Pcode]],'NFI Tracking'!AI$6:AI$1048576)</f>
        <v>195</v>
      </c>
      <c r="H36" s="422">
        <f>SUMIF('NFI Tracking'!AO$6:AO$1048576,Table10[[#This Row],[Pcode]],'NFI Tracking'!AJ$6:AJ$1048576)</f>
        <v>91</v>
      </c>
      <c r="I36" s="422">
        <f>SUMIF('NFI Tracking'!AO$6:AO$1048576,Table10[[#This Row],[Pcode]],'NFI Tracking'!AK$6:AK$1048576)</f>
        <v>0</v>
      </c>
      <c r="J36" s="422">
        <f ca="1">MAX(Table10[[#This Row],[HH]]*VLOOKUP("Winter Clothes Adult",NFI,6)-Table10[[#This Row],[Winter Clothes Adult ]],0)</f>
        <v>0</v>
      </c>
      <c r="K36" s="422">
        <f ca="1">MAX(Table10[[#This Row],[HH]]*VLOOKUP("Winter Clothes Children ",NFI,6)-Table10[[#This Row],[Winter Clothes Children ]],0)</f>
        <v>0</v>
      </c>
      <c r="L36" s="422">
        <f ca="1">MAX(Table10[[#This Row],[HH]]*VLOOKUP("Winter Items Other ",NFI,6)-Table10[[#This Row],[Winter Items Other ]],0)</f>
        <v>50</v>
      </c>
      <c r="M36" s="464" t="str">
        <f>IF(OR(Table10[[#This Row],[Winter Clothes Adult ]]&lt;&gt;0,Table10[[#This Row],[Winter Clothes Children ]]&lt;&gt;0,Table10[[#This Row],[Winter Items Other ]]&lt;&gt;0),"No","")</f>
        <v>No</v>
      </c>
      <c r="N36" s="465">
        <f>COUNTIF(A:A,Table10[[#This Row],[Pcode]])-1</f>
        <v>0</v>
      </c>
    </row>
    <row r="37" spans="1:14" x14ac:dyDescent="0.25">
      <c r="A37" s="381" t="s">
        <v>902</v>
      </c>
      <c r="B37" s="26" t="str">
        <f ca="1">OFFSET(CampList[Priority],MATCH(Table10[[#This Row],[Pcode]],CampList[CP_Pcode],0)-1,0,1,1)</f>
        <v>P3</v>
      </c>
      <c r="C37" s="26" t="str">
        <f ca="1">OFFSET(CampList[Camp],MATCH(Table10[[#This Row],[Pcode]],CampList[CP_Pcode],0)-1,0,1,1)</f>
        <v>Machanbaw - KBC</v>
      </c>
      <c r="D37" s="26" t="str">
        <f ca="1">OFFSET(CampList[Township],MATCH(Table10[[#This Row],[Pcode]],CampList[CP_Pcode],0)-1,0,1,1)</f>
        <v>Machanbaw</v>
      </c>
      <c r="E37" s="26">
        <f ca="1">OFFSET(CampList[HH],MATCH(Table10[[#This Row],[Pcode]],CampList[CP_Pcode],0)-1,0,1,1)</f>
        <v>0</v>
      </c>
      <c r="F37" s="26">
        <f ca="1">OFFSET(CampList[Total],MATCH(Table10[[#This Row],[Pcode]],CampList[CP_Pcode],0)-1,0,1,1)</f>
        <v>0</v>
      </c>
      <c r="G37" s="422">
        <f>SUMIF('NFI Tracking'!AO$6:AO$1048576,Table10[[#This Row],[Pcode]],'NFI Tracking'!AI$6:AI$1048576)</f>
        <v>0</v>
      </c>
      <c r="H37" s="422">
        <f>SUMIF('NFI Tracking'!AO$6:AO$1048576,Table10[[#This Row],[Pcode]],'NFI Tracking'!AJ$6:AJ$1048576)</f>
        <v>0</v>
      </c>
      <c r="I37" s="422">
        <f>SUMIF('NFI Tracking'!AO$6:AO$1048576,Table10[[#This Row],[Pcode]],'NFI Tracking'!AK$6:AK$1048576)</f>
        <v>0</v>
      </c>
      <c r="J37" s="422">
        <f ca="1">MAX(Table10[[#This Row],[HH]]*VLOOKUP("Winter Clothes Adult",NFI,6)-Table10[[#This Row],[Winter Clothes Adult ]],0)</f>
        <v>0</v>
      </c>
      <c r="K37" s="422">
        <f ca="1">MAX(Table10[[#This Row],[HH]]*VLOOKUP("Winter Clothes Children ",NFI,6)-Table10[[#This Row],[Winter Clothes Children ]],0)</f>
        <v>0</v>
      </c>
      <c r="L37" s="422">
        <f ca="1">MAX(Table10[[#This Row],[HH]]*VLOOKUP("Winter Items Other ",NFI,6)-Table10[[#This Row],[Winter Items Other ]],0)</f>
        <v>0</v>
      </c>
      <c r="M37" s="464" t="str">
        <f>IF(OR(Table10[[#This Row],[Winter Clothes Adult ]]&lt;&gt;0,Table10[[#This Row],[Winter Clothes Children ]]&lt;&gt;0,Table10[[#This Row],[Winter Items Other ]]&lt;&gt;0),"No","")</f>
        <v/>
      </c>
      <c r="N37" s="465">
        <f>COUNTIF(A:A,Table10[[#This Row],[Pcode]])-1</f>
        <v>0</v>
      </c>
    </row>
    <row r="38" spans="1:14" x14ac:dyDescent="0.25">
      <c r="A38" s="381" t="s">
        <v>1050</v>
      </c>
      <c r="B38" s="26" t="str">
        <f ca="1">OFFSET(CampList[Priority],MATCH(Table10[[#This Row],[Pcode]],CampList[CP_Pcode],0)-1,0,1,1)</f>
        <v>P3</v>
      </c>
      <c r="C38" s="26" t="str">
        <f ca="1">OFFSET(CampList[Camp],MATCH(Table10[[#This Row],[Pcode]],CampList[CP_Pcode],0)-1,0,1,1)</f>
        <v>Inn Lel Yan - Host Families</v>
      </c>
      <c r="D38" s="26" t="str">
        <f ca="1">OFFSET(CampList[Township],MATCH(Table10[[#This Row],[Pcode]],CampList[CP_Pcode],0)-1,0,1,1)</f>
        <v>Puta-O</v>
      </c>
      <c r="E38" s="26">
        <f ca="1">OFFSET(CampList[HH],MATCH(Table10[[#This Row],[Pcode]],CampList[CP_Pcode],0)-1,0,1,1)</f>
        <v>10</v>
      </c>
      <c r="F38" s="26">
        <f ca="1">OFFSET(CampList[Total],MATCH(Table10[[#This Row],[Pcode]],CampList[CP_Pcode],0)-1,0,1,1)</f>
        <v>56</v>
      </c>
      <c r="G38" s="422">
        <f>SUMIF('NFI Tracking'!AO$6:AO$1048576,Table10[[#This Row],[Pcode]],'NFI Tracking'!AI$6:AI$1048576)</f>
        <v>0</v>
      </c>
      <c r="H38" s="422">
        <f>SUMIF('NFI Tracking'!AO$6:AO$1048576,Table10[[#This Row],[Pcode]],'NFI Tracking'!AJ$6:AJ$1048576)</f>
        <v>0</v>
      </c>
      <c r="I38" s="422">
        <f>SUMIF('NFI Tracking'!AO$6:AO$1048576,Table10[[#This Row],[Pcode]],'NFI Tracking'!AK$6:AK$1048576)</f>
        <v>0</v>
      </c>
      <c r="J38" s="422">
        <f ca="1">MAX(Table10[[#This Row],[HH]]*VLOOKUP("Winter Clothes Adult",NFI,6)-Table10[[#This Row],[Winter Clothes Adult ]],0)</f>
        <v>20</v>
      </c>
      <c r="K38" s="422">
        <f ca="1">MAX(Table10[[#This Row],[HH]]*VLOOKUP("Winter Clothes Children ",NFI,6)-Table10[[#This Row],[Winter Clothes Children ]],0)</f>
        <v>10</v>
      </c>
      <c r="L38" s="422">
        <f ca="1">MAX(Table10[[#This Row],[HH]]*VLOOKUP("Winter Items Other ",NFI,6)-Table10[[#This Row],[Winter Items Other ]],0)</f>
        <v>10</v>
      </c>
      <c r="M38" s="464" t="str">
        <f>IF(OR(Table10[[#This Row],[Winter Clothes Adult ]]&lt;&gt;0,Table10[[#This Row],[Winter Clothes Children ]]&lt;&gt;0,Table10[[#This Row],[Winter Items Other ]]&lt;&gt;0),"No","")</f>
        <v/>
      </c>
      <c r="N38" s="465">
        <f>COUNTIF(A:A,Table10[[#This Row],[Pcode]])-1</f>
        <v>0</v>
      </c>
    </row>
    <row r="39" spans="1:14" x14ac:dyDescent="0.25">
      <c r="A39" s="381" t="s">
        <v>898</v>
      </c>
      <c r="B39" s="26" t="str">
        <f ca="1">OFFSET(CampList[Priority],MATCH(Table10[[#This Row],[Pcode]],CampList[CP_Pcode],0)-1,0,1,1)</f>
        <v>P3</v>
      </c>
      <c r="C39" s="26" t="str">
        <f ca="1">OFFSET(CampList[Camp],MATCH(Table10[[#This Row],[Pcode]],CampList[CP_Pcode],0)-1,0,1,1)</f>
        <v>Naung Khaing</v>
      </c>
      <c r="D39" s="26" t="str">
        <f ca="1">OFFSET(CampList[Township],MATCH(Table10[[#This Row],[Pcode]],CampList[CP_Pcode],0)-1,0,1,1)</f>
        <v>Puta-O</v>
      </c>
      <c r="E39" s="26">
        <f ca="1">OFFSET(CampList[HH],MATCH(Table10[[#This Row],[Pcode]],CampList[CP_Pcode],0)-1,0,1,1)</f>
        <v>0</v>
      </c>
      <c r="F39" s="26">
        <f ca="1">OFFSET(CampList[Total],MATCH(Table10[[#This Row],[Pcode]],CampList[CP_Pcode],0)-1,0,1,1)</f>
        <v>0</v>
      </c>
      <c r="G39" s="422">
        <f>SUMIF('NFI Tracking'!AO$6:AO$1048576,Table10[[#This Row],[Pcode]],'NFI Tracking'!AI$6:AI$1048576)</f>
        <v>0</v>
      </c>
      <c r="H39" s="422">
        <f>SUMIF('NFI Tracking'!AO$6:AO$1048576,Table10[[#This Row],[Pcode]],'NFI Tracking'!AJ$6:AJ$1048576)</f>
        <v>0</v>
      </c>
      <c r="I39" s="422">
        <f>SUMIF('NFI Tracking'!AO$6:AO$1048576,Table10[[#This Row],[Pcode]],'NFI Tracking'!AK$6:AK$1048576)</f>
        <v>0</v>
      </c>
      <c r="J39" s="422">
        <f ca="1">MAX(Table10[[#This Row],[HH]]*VLOOKUP("Winter Clothes Adult",NFI,6)-Table10[[#This Row],[Winter Clothes Adult ]],0)</f>
        <v>0</v>
      </c>
      <c r="K39" s="422">
        <f ca="1">MAX(Table10[[#This Row],[HH]]*VLOOKUP("Winter Clothes Children ",NFI,6)-Table10[[#This Row],[Winter Clothes Children ]],0)</f>
        <v>0</v>
      </c>
      <c r="L39" s="422">
        <f ca="1">MAX(Table10[[#This Row],[HH]]*VLOOKUP("Winter Items Other ",NFI,6)-Table10[[#This Row],[Winter Items Other ]],0)</f>
        <v>0</v>
      </c>
      <c r="M39" s="464" t="str">
        <f>IF(OR(Table10[[#This Row],[Winter Clothes Adult ]]&lt;&gt;0,Table10[[#This Row],[Winter Clothes Children ]]&lt;&gt;0,Table10[[#This Row],[Winter Items Other ]]&lt;&gt;0),"No","")</f>
        <v/>
      </c>
      <c r="N39" s="465">
        <f>COUNTIF(A:A,Table10[[#This Row],[Pcode]])-1</f>
        <v>0</v>
      </c>
    </row>
    <row r="40" spans="1:14" x14ac:dyDescent="0.25">
      <c r="A40" s="381" t="s">
        <v>299</v>
      </c>
      <c r="B40" s="26" t="str">
        <f ca="1">OFFSET(CampList[Priority],MATCH(Table10[[#This Row],[Pcode]],CampList[CP_Pcode],0)-1,0,1,1)</f>
        <v>P3</v>
      </c>
      <c r="C40" s="26" t="str">
        <f ca="1">OFFSET(CampList[Camp],MATCH(Table10[[#This Row],[Pcode]],CampList[CP_Pcode],0)-1,0,1,1)</f>
        <v>Tote Tan Ward</v>
      </c>
      <c r="D40" s="26" t="str">
        <f ca="1">OFFSET(CampList[Township],MATCH(Table10[[#This Row],[Pcode]],CampList[CP_Pcode],0)-1,0,1,1)</f>
        <v>Puta-O</v>
      </c>
      <c r="E40" s="26">
        <f ca="1">OFFSET(CampList[HH],MATCH(Table10[[#This Row],[Pcode]],CampList[CP_Pcode],0)-1,0,1,1)</f>
        <v>14</v>
      </c>
      <c r="F40" s="26">
        <f ca="1">OFFSET(CampList[Total],MATCH(Table10[[#This Row],[Pcode]],CampList[CP_Pcode],0)-1,0,1,1)</f>
        <v>64</v>
      </c>
      <c r="G40" s="422">
        <f>SUMIF('NFI Tracking'!AO$6:AO$1048576,Table10[[#This Row],[Pcode]],'NFI Tracking'!AI$6:AI$1048576)</f>
        <v>0</v>
      </c>
      <c r="H40" s="422">
        <f>SUMIF('NFI Tracking'!AO$6:AO$1048576,Table10[[#This Row],[Pcode]],'NFI Tracking'!AJ$6:AJ$1048576)</f>
        <v>0</v>
      </c>
      <c r="I40" s="422">
        <f>SUMIF('NFI Tracking'!AO$6:AO$1048576,Table10[[#This Row],[Pcode]],'NFI Tracking'!AK$6:AK$1048576)</f>
        <v>0</v>
      </c>
      <c r="J40" s="422">
        <f ca="1">MAX(Table10[[#This Row],[HH]]*VLOOKUP("Winter Clothes Adult",NFI,6)-Table10[[#This Row],[Winter Clothes Adult ]],0)</f>
        <v>28</v>
      </c>
      <c r="K40" s="422">
        <f ca="1">MAX(Table10[[#This Row],[HH]]*VLOOKUP("Winter Clothes Children ",NFI,6)-Table10[[#This Row],[Winter Clothes Children ]],0)</f>
        <v>14</v>
      </c>
      <c r="L40" s="422">
        <f ca="1">MAX(Table10[[#This Row],[HH]]*VLOOKUP("Winter Items Other ",NFI,6)-Table10[[#This Row],[Winter Items Other ]],0)</f>
        <v>14</v>
      </c>
      <c r="M40" s="464" t="str">
        <f>IF(OR(Table10[[#This Row],[Winter Clothes Adult ]]&lt;&gt;0,Table10[[#This Row],[Winter Clothes Children ]]&lt;&gt;0,Table10[[#This Row],[Winter Items Other ]]&lt;&gt;0),"No","")</f>
        <v/>
      </c>
      <c r="N40" s="465">
        <f>COUNTIF(A:A,Table10[[#This Row],[Pcode]])-1</f>
        <v>0</v>
      </c>
    </row>
    <row r="41" spans="1:14" x14ac:dyDescent="0.25">
      <c r="A41" s="381" t="s">
        <v>382</v>
      </c>
      <c r="B41" s="26" t="str">
        <f ca="1">OFFSET(CampList[Priority],MATCH(Table10[[#This Row],[Pcode]],CampList[CP_Pcode],0)-1,0,1,1)</f>
        <v>P3</v>
      </c>
      <c r="C41" s="26" t="str">
        <f ca="1">OFFSET(CampList[Camp],MATCH(Table10[[#This Row],[Pcode]],CampList[CP_Pcode],0)-1,0,1,1)</f>
        <v>Kone Khem Camp</v>
      </c>
      <c r="D41" s="26" t="str">
        <f ca="1">OFFSET(CampList[Township],MATCH(Table10[[#This Row],[Pcode]],CampList[CP_Pcode],0)-1,0,1,1)</f>
        <v>Kutkai</v>
      </c>
      <c r="E41" s="26">
        <f ca="1">OFFSET(CampList[HH],MATCH(Table10[[#This Row],[Pcode]],CampList[CP_Pcode],0)-1,0,1,1)</f>
        <v>87</v>
      </c>
      <c r="F41" s="26">
        <f ca="1">OFFSET(CampList[Total],MATCH(Table10[[#This Row],[Pcode]],CampList[CP_Pcode],0)-1,0,1,1)</f>
        <v>488</v>
      </c>
      <c r="G41" s="422">
        <f>SUMIF('NFI Tracking'!AO$6:AO$1048576,Table10[[#This Row],[Pcode]],'NFI Tracking'!AI$6:AI$1048576)</f>
        <v>0</v>
      </c>
      <c r="H41" s="422">
        <f>SUMIF('NFI Tracking'!AO$6:AO$1048576,Table10[[#This Row],[Pcode]],'NFI Tracking'!AJ$6:AJ$1048576)</f>
        <v>0</v>
      </c>
      <c r="I41" s="422">
        <f>SUMIF('NFI Tracking'!AO$6:AO$1048576,Table10[[#This Row],[Pcode]],'NFI Tracking'!AK$6:AK$1048576)</f>
        <v>0</v>
      </c>
      <c r="J41" s="422">
        <f ca="1">MAX(Table10[[#This Row],[HH]]*VLOOKUP("Winter Clothes Adult",NFI,6)-Table10[[#This Row],[Winter Clothes Adult ]],0)</f>
        <v>174</v>
      </c>
      <c r="K41" s="422">
        <f ca="1">MAX(Table10[[#This Row],[HH]]*VLOOKUP("Winter Clothes Children ",NFI,6)-Table10[[#This Row],[Winter Clothes Children ]],0)</f>
        <v>87</v>
      </c>
      <c r="L41" s="422">
        <f ca="1">MAX(Table10[[#This Row],[HH]]*VLOOKUP("Winter Items Other ",NFI,6)-Table10[[#This Row],[Winter Items Other ]],0)</f>
        <v>87</v>
      </c>
      <c r="M41" s="464" t="str">
        <f>IF(OR(Table10[[#This Row],[Winter Clothes Adult ]]&lt;&gt;0,Table10[[#This Row],[Winter Clothes Children ]]&lt;&gt;0,Table10[[#This Row],[Winter Items Other ]]&lt;&gt;0),"No","")</f>
        <v/>
      </c>
      <c r="N41" s="465">
        <f>COUNTIF(A:A,Table10[[#This Row],[Pcode]])-1</f>
        <v>0</v>
      </c>
    </row>
    <row r="42" spans="1:14" x14ac:dyDescent="0.25">
      <c r="A42" s="381" t="s">
        <v>383</v>
      </c>
      <c r="B42" s="26" t="str">
        <f ca="1">OFFSET(CampList[Priority],MATCH(Table10[[#This Row],[Pcode]],CampList[CP_Pcode],0)-1,0,1,1)</f>
        <v>P3</v>
      </c>
      <c r="C42" s="26" t="str">
        <f ca="1">OFFSET(CampList[Camp],MATCH(Table10[[#This Row],[Pcode]],CampList[CP_Pcode],0)-1,0,1,1)</f>
        <v>Kutkai downtown (KBC Church)</v>
      </c>
      <c r="D42" s="26" t="str">
        <f ca="1">OFFSET(CampList[Township],MATCH(Table10[[#This Row],[Pcode]],CampList[CP_Pcode],0)-1,0,1,1)</f>
        <v>Kutkai</v>
      </c>
      <c r="E42" s="26">
        <f ca="1">OFFSET(CampList[HH],MATCH(Table10[[#This Row],[Pcode]],CampList[CP_Pcode],0)-1,0,1,1)</f>
        <v>64</v>
      </c>
      <c r="F42" s="26">
        <f ca="1">OFFSET(CampList[Total],MATCH(Table10[[#This Row],[Pcode]],CampList[CP_Pcode],0)-1,0,1,1)</f>
        <v>305</v>
      </c>
      <c r="G42" s="422">
        <f>SUMIF('NFI Tracking'!AO$6:AO$1048576,Table10[[#This Row],[Pcode]],'NFI Tracking'!AI$6:AI$1048576)</f>
        <v>0</v>
      </c>
      <c r="H42" s="422">
        <f>SUMIF('NFI Tracking'!AO$6:AO$1048576,Table10[[#This Row],[Pcode]],'NFI Tracking'!AJ$6:AJ$1048576)</f>
        <v>0</v>
      </c>
      <c r="I42" s="422">
        <f>SUMIF('NFI Tracking'!AO$6:AO$1048576,Table10[[#This Row],[Pcode]],'NFI Tracking'!AK$6:AK$1048576)</f>
        <v>0</v>
      </c>
      <c r="J42" s="422">
        <f ca="1">MAX(Table10[[#This Row],[HH]]*VLOOKUP("Winter Clothes Adult",NFI,6)-Table10[[#This Row],[Winter Clothes Adult ]],0)</f>
        <v>128</v>
      </c>
      <c r="K42" s="422">
        <f ca="1">MAX(Table10[[#This Row],[HH]]*VLOOKUP("Winter Clothes Children ",NFI,6)-Table10[[#This Row],[Winter Clothes Children ]],0)</f>
        <v>64</v>
      </c>
      <c r="L42" s="422">
        <f ca="1">MAX(Table10[[#This Row],[HH]]*VLOOKUP("Winter Items Other ",NFI,6)-Table10[[#This Row],[Winter Items Other ]],0)</f>
        <v>64</v>
      </c>
      <c r="M42" s="464" t="str">
        <f>IF(OR(Table10[[#This Row],[Winter Clothes Adult ]]&lt;&gt;0,Table10[[#This Row],[Winter Clothes Children ]]&lt;&gt;0,Table10[[#This Row],[Winter Items Other ]]&lt;&gt;0),"No","")</f>
        <v/>
      </c>
      <c r="N42" s="465">
        <f>COUNTIF(A:A,Table10[[#This Row],[Pcode]])-1</f>
        <v>0</v>
      </c>
    </row>
    <row r="43" spans="1:14" x14ac:dyDescent="0.25">
      <c r="A43" s="381" t="s">
        <v>384</v>
      </c>
      <c r="B43" s="26" t="str">
        <f ca="1">OFFSET(CampList[Priority],MATCH(Table10[[#This Row],[Pcode]],CampList[CP_Pcode],0)-1,0,1,1)</f>
        <v>P3</v>
      </c>
      <c r="C43" s="26" t="str">
        <f ca="1">OFFSET(CampList[Camp],MATCH(Table10[[#This Row],[Pcode]],CampList[CP_Pcode],0)-1,0,1,1)</f>
        <v>Kutkai downtown (RC Church)</v>
      </c>
      <c r="D43" s="26" t="str">
        <f ca="1">OFFSET(CampList[Township],MATCH(Table10[[#This Row],[Pcode]],CampList[CP_Pcode],0)-1,0,1,1)</f>
        <v>Kutkai</v>
      </c>
      <c r="E43" s="26">
        <f ca="1">OFFSET(CampList[HH],MATCH(Table10[[#This Row],[Pcode]],CampList[CP_Pcode],0)-1,0,1,1)</f>
        <v>31</v>
      </c>
      <c r="F43" s="26">
        <f ca="1">OFFSET(CampList[Total],MATCH(Table10[[#This Row],[Pcode]],CampList[CP_Pcode],0)-1,0,1,1)</f>
        <v>144</v>
      </c>
      <c r="G43" s="422">
        <f>SUMIF('NFI Tracking'!AO$6:AO$1048576,Table10[[#This Row],[Pcode]],'NFI Tracking'!AI$6:AI$1048576)</f>
        <v>0</v>
      </c>
      <c r="H43" s="422">
        <f>SUMIF('NFI Tracking'!AO$6:AO$1048576,Table10[[#This Row],[Pcode]],'NFI Tracking'!AJ$6:AJ$1048576)</f>
        <v>0</v>
      </c>
      <c r="I43" s="422">
        <f>SUMIF('NFI Tracking'!AO$6:AO$1048576,Table10[[#This Row],[Pcode]],'NFI Tracking'!AK$6:AK$1048576)</f>
        <v>0</v>
      </c>
      <c r="J43" s="422">
        <f ca="1">MAX(Table10[[#This Row],[HH]]*VLOOKUP("Winter Clothes Adult",NFI,6)-Table10[[#This Row],[Winter Clothes Adult ]],0)</f>
        <v>62</v>
      </c>
      <c r="K43" s="422">
        <f ca="1">MAX(Table10[[#This Row],[HH]]*VLOOKUP("Winter Clothes Children ",NFI,6)-Table10[[#This Row],[Winter Clothes Children ]],0)</f>
        <v>31</v>
      </c>
      <c r="L43" s="422">
        <f ca="1">MAX(Table10[[#This Row],[HH]]*VLOOKUP("Winter Items Other ",NFI,6)-Table10[[#This Row],[Winter Items Other ]],0)</f>
        <v>31</v>
      </c>
      <c r="M43" s="464" t="str">
        <f>IF(OR(Table10[[#This Row],[Winter Clothes Adult ]]&lt;&gt;0,Table10[[#This Row],[Winter Clothes Children ]]&lt;&gt;0,Table10[[#This Row],[Winter Items Other ]]&lt;&gt;0),"No","")</f>
        <v/>
      </c>
      <c r="N43" s="465">
        <f>COUNTIF(A:A,Table10[[#This Row],[Pcode]])-1</f>
        <v>0</v>
      </c>
    </row>
    <row r="44" spans="1:14" x14ac:dyDescent="0.25">
      <c r="A44" s="381" t="s">
        <v>385</v>
      </c>
      <c r="B44" s="26" t="str">
        <f ca="1">OFFSET(CampList[Priority],MATCH(Table10[[#This Row],[Pcode]],CampList[CP_Pcode],0)-1,0,1,1)</f>
        <v>P3</v>
      </c>
      <c r="C44" s="26" t="str">
        <f ca="1">OFFSET(CampList[Camp],MATCH(Table10[[#This Row],[Pcode]],CampList[CP_Pcode],0)-1,0,1,1)</f>
        <v>Mine Yu Lay village</v>
      </c>
      <c r="D44" s="26" t="str">
        <f ca="1">OFFSET(CampList[Township],MATCH(Table10[[#This Row],[Pcode]],CampList[CP_Pcode],0)-1,0,1,1)</f>
        <v>Kutkai</v>
      </c>
      <c r="E44" s="26">
        <f ca="1">OFFSET(CampList[HH],MATCH(Table10[[#This Row],[Pcode]],CampList[CP_Pcode],0)-1,0,1,1)</f>
        <v>79</v>
      </c>
      <c r="F44" s="26">
        <f ca="1">OFFSET(CampList[Total],MATCH(Table10[[#This Row],[Pcode]],CampList[CP_Pcode],0)-1,0,1,1)</f>
        <v>318</v>
      </c>
      <c r="G44" s="422">
        <f>SUMIF('NFI Tracking'!AO$6:AO$1048576,Table10[[#This Row],[Pcode]],'NFI Tracking'!AI$6:AI$1048576)</f>
        <v>0</v>
      </c>
      <c r="H44" s="422">
        <f>SUMIF('NFI Tracking'!AO$6:AO$1048576,Table10[[#This Row],[Pcode]],'NFI Tracking'!AJ$6:AJ$1048576)</f>
        <v>0</v>
      </c>
      <c r="I44" s="422">
        <f>SUMIF('NFI Tracking'!AO$6:AO$1048576,Table10[[#This Row],[Pcode]],'NFI Tracking'!AK$6:AK$1048576)</f>
        <v>0</v>
      </c>
      <c r="J44" s="422">
        <f ca="1">MAX(Table10[[#This Row],[HH]]*VLOOKUP("Winter Clothes Adult",NFI,6)-Table10[[#This Row],[Winter Clothes Adult ]],0)</f>
        <v>158</v>
      </c>
      <c r="K44" s="422">
        <f ca="1">MAX(Table10[[#This Row],[HH]]*VLOOKUP("Winter Clothes Children ",NFI,6)-Table10[[#This Row],[Winter Clothes Children ]],0)</f>
        <v>79</v>
      </c>
      <c r="L44" s="422">
        <f ca="1">MAX(Table10[[#This Row],[HH]]*VLOOKUP("Winter Items Other ",NFI,6)-Table10[[#This Row],[Winter Items Other ]],0)</f>
        <v>79</v>
      </c>
      <c r="M44" s="464" t="str">
        <f>IF(OR(Table10[[#This Row],[Winter Clothes Adult ]]&lt;&gt;0,Table10[[#This Row],[Winter Clothes Children ]]&lt;&gt;0,Table10[[#This Row],[Winter Items Other ]]&lt;&gt;0),"No","")</f>
        <v/>
      </c>
      <c r="N44" s="465">
        <f>COUNTIF(A:A,Table10[[#This Row],[Pcode]])-1</f>
        <v>0</v>
      </c>
    </row>
    <row r="45" spans="1:14" x14ac:dyDescent="0.25">
      <c r="A45" s="381" t="s">
        <v>148</v>
      </c>
      <c r="B45" s="26" t="str">
        <f ca="1">OFFSET(CampList[Priority],MATCH(Table10[[#This Row],[Pcode]],CampList[CP_Pcode],0)-1,0,1,1)</f>
        <v>P3</v>
      </c>
      <c r="C45" s="26" t="str">
        <f ca="1">OFFSET(CampList[Camp],MATCH(Table10[[#This Row],[Pcode]],CampList[CP_Pcode],0)-1,0,1,1)</f>
        <v xml:space="preserve">Nam Hpak Ka Mare </v>
      </c>
      <c r="D45" s="26" t="str">
        <f ca="1">OFFSET(CampList[Township],MATCH(Table10[[#This Row],[Pcode]],CampList[CP_Pcode],0)-1,0,1,1)</f>
        <v>Kutkai</v>
      </c>
      <c r="E45" s="26">
        <f ca="1">OFFSET(CampList[HH],MATCH(Table10[[#This Row],[Pcode]],CampList[CP_Pcode],0)-1,0,1,1)</f>
        <v>71</v>
      </c>
      <c r="F45" s="26">
        <f ca="1">OFFSET(CampList[Total],MATCH(Table10[[#This Row],[Pcode]],CampList[CP_Pcode],0)-1,0,1,1)</f>
        <v>278</v>
      </c>
      <c r="G45" s="422">
        <f>SUMIF('NFI Tracking'!AO$6:AO$1048576,Table10[[#This Row],[Pcode]],'NFI Tracking'!AI$6:AI$1048576)</f>
        <v>0</v>
      </c>
      <c r="H45" s="422">
        <f>SUMIF('NFI Tracking'!AO$6:AO$1048576,Table10[[#This Row],[Pcode]],'NFI Tracking'!AJ$6:AJ$1048576)</f>
        <v>0</v>
      </c>
      <c r="I45" s="422">
        <f>SUMIF('NFI Tracking'!AO$6:AO$1048576,Table10[[#This Row],[Pcode]],'NFI Tracking'!AK$6:AK$1048576)</f>
        <v>0</v>
      </c>
      <c r="J45" s="422">
        <f ca="1">MAX(Table10[[#This Row],[HH]]*VLOOKUP("Winter Clothes Adult",NFI,6)-Table10[[#This Row],[Winter Clothes Adult ]],0)</f>
        <v>142</v>
      </c>
      <c r="K45" s="422">
        <f ca="1">MAX(Table10[[#This Row],[HH]]*VLOOKUP("Winter Clothes Children ",NFI,6)-Table10[[#This Row],[Winter Clothes Children ]],0)</f>
        <v>71</v>
      </c>
      <c r="L45" s="422">
        <f ca="1">MAX(Table10[[#This Row],[HH]]*VLOOKUP("Winter Items Other ",NFI,6)-Table10[[#This Row],[Winter Items Other ]],0)</f>
        <v>71</v>
      </c>
      <c r="M45" s="464" t="str">
        <f>IF(OR(Table10[[#This Row],[Winter Clothes Adult ]]&lt;&gt;0,Table10[[#This Row],[Winter Clothes Children ]]&lt;&gt;0,Table10[[#This Row],[Winter Items Other ]]&lt;&gt;0),"No","")</f>
        <v/>
      </c>
      <c r="N45" s="465">
        <f>COUNTIF(A:A,Table10[[#This Row],[Pcode]])-1</f>
        <v>0</v>
      </c>
    </row>
    <row r="46" spans="1:14" x14ac:dyDescent="0.25">
      <c r="A46" s="381" t="s">
        <v>387</v>
      </c>
      <c r="B46" s="26" t="str">
        <f ca="1">OFFSET(CampList[Priority],MATCH(Table10[[#This Row],[Pcode]],CampList[CP_Pcode],0)-1,0,1,1)</f>
        <v>P3</v>
      </c>
      <c r="C46" s="26" t="str">
        <f ca="1">OFFSET(CampList[Camp],MATCH(Table10[[#This Row],[Pcode]],CampList[CP_Pcode],0)-1,0,1,1)</f>
        <v>Zup Aung Camp</v>
      </c>
      <c r="D46" s="26" t="str">
        <f ca="1">OFFSET(CampList[Township],MATCH(Table10[[#This Row],[Pcode]],CampList[CP_Pcode],0)-1,0,1,1)</f>
        <v>Kutkai</v>
      </c>
      <c r="E46" s="26">
        <f ca="1">OFFSET(CampList[HH],MATCH(Table10[[#This Row],[Pcode]],CampList[CP_Pcode],0)-1,0,1,1)</f>
        <v>189</v>
      </c>
      <c r="F46" s="26">
        <f ca="1">OFFSET(CampList[Total],MATCH(Table10[[#This Row],[Pcode]],CampList[CP_Pcode],0)-1,0,1,1)</f>
        <v>935</v>
      </c>
      <c r="G46" s="422">
        <f>SUMIF('NFI Tracking'!AO$6:AO$1048576,Table10[[#This Row],[Pcode]],'NFI Tracking'!AI$6:AI$1048576)</f>
        <v>0</v>
      </c>
      <c r="H46" s="422">
        <f>SUMIF('NFI Tracking'!AO$6:AO$1048576,Table10[[#This Row],[Pcode]],'NFI Tracking'!AJ$6:AJ$1048576)</f>
        <v>0</v>
      </c>
      <c r="I46" s="422">
        <f>SUMIF('NFI Tracking'!AO$6:AO$1048576,Table10[[#This Row],[Pcode]],'NFI Tracking'!AK$6:AK$1048576)</f>
        <v>0</v>
      </c>
      <c r="J46" s="422">
        <f ca="1">MAX(Table10[[#This Row],[HH]]*VLOOKUP("Winter Clothes Adult",NFI,6)-Table10[[#This Row],[Winter Clothes Adult ]],0)</f>
        <v>378</v>
      </c>
      <c r="K46" s="422">
        <f ca="1">MAX(Table10[[#This Row],[HH]]*VLOOKUP("Winter Clothes Children ",NFI,6)-Table10[[#This Row],[Winter Clothes Children ]],0)</f>
        <v>189</v>
      </c>
      <c r="L46" s="422">
        <f ca="1">MAX(Table10[[#This Row],[HH]]*VLOOKUP("Winter Items Other ",NFI,6)-Table10[[#This Row],[Winter Items Other ]],0)</f>
        <v>189</v>
      </c>
      <c r="M46" s="464" t="str">
        <f>IF(OR(Table10[[#This Row],[Winter Clothes Adult ]]&lt;&gt;0,Table10[[#This Row],[Winter Clothes Children ]]&lt;&gt;0,Table10[[#This Row],[Winter Items Other ]]&lt;&gt;0),"No","")</f>
        <v/>
      </c>
      <c r="N46" s="465">
        <f>COUNTIF(A:A,Table10[[#This Row],[Pcode]])-1</f>
        <v>0</v>
      </c>
    </row>
    <row r="47" spans="1:14" x14ac:dyDescent="0.25">
      <c r="A47" s="381" t="s">
        <v>829</v>
      </c>
      <c r="B47" s="26" t="str">
        <f ca="1">OFFSET(CampList[Priority],MATCH(Table10[[#This Row],[Pcode]],CampList[CP_Pcode],0)-1,0,1,1)</f>
        <v>P3</v>
      </c>
      <c r="C47" s="26" t="str">
        <f ca="1">OFFSET(CampList[Camp],MATCH(Table10[[#This Row],[Pcode]],CampList[CP_Pcode],0)-1,0,1,1)</f>
        <v>Mandung - RC</v>
      </c>
      <c r="D47" s="26" t="str">
        <f ca="1">OFFSET(CampList[Township],MATCH(Table10[[#This Row],[Pcode]],CampList[CP_Pcode],0)-1,0,1,1)</f>
        <v>Manton</v>
      </c>
      <c r="E47" s="26">
        <f ca="1">OFFSET(CampList[HH],MATCH(Table10[[#This Row],[Pcode]],CampList[CP_Pcode],0)-1,0,1,1)</f>
        <v>31</v>
      </c>
      <c r="F47" s="26">
        <f ca="1">OFFSET(CampList[Total],MATCH(Table10[[#This Row],[Pcode]],CampList[CP_Pcode],0)-1,0,1,1)</f>
        <v>183</v>
      </c>
      <c r="G47" s="422">
        <f>SUMIF('NFI Tracking'!AO$6:AO$1048576,Table10[[#This Row],[Pcode]],'NFI Tracking'!AI$6:AI$1048576)</f>
        <v>0</v>
      </c>
      <c r="H47" s="422">
        <f>SUMIF('NFI Tracking'!AO$6:AO$1048576,Table10[[#This Row],[Pcode]],'NFI Tracking'!AJ$6:AJ$1048576)</f>
        <v>0</v>
      </c>
      <c r="I47" s="422">
        <f>SUMIF('NFI Tracking'!AO$6:AO$1048576,Table10[[#This Row],[Pcode]],'NFI Tracking'!AK$6:AK$1048576)</f>
        <v>0</v>
      </c>
      <c r="J47" s="422">
        <f ca="1">MAX(Table10[[#This Row],[HH]]*VLOOKUP("Winter Clothes Adult",NFI,6)-Table10[[#This Row],[Winter Clothes Adult ]],0)</f>
        <v>62</v>
      </c>
      <c r="K47" s="422">
        <f ca="1">MAX(Table10[[#This Row],[HH]]*VLOOKUP("Winter Clothes Children ",NFI,6)-Table10[[#This Row],[Winter Clothes Children ]],0)</f>
        <v>31</v>
      </c>
      <c r="L47" s="422">
        <f ca="1">MAX(Table10[[#This Row],[HH]]*VLOOKUP("Winter Items Other ",NFI,6)-Table10[[#This Row],[Winter Items Other ]],0)</f>
        <v>31</v>
      </c>
      <c r="M47" s="464" t="str">
        <f>IF(OR(Table10[[#This Row],[Winter Clothes Adult ]]&lt;&gt;0,Table10[[#This Row],[Winter Clothes Children ]]&lt;&gt;0,Table10[[#This Row],[Winter Items Other ]]&lt;&gt;0),"No","")</f>
        <v/>
      </c>
      <c r="N47" s="465">
        <f>COUNTIF(A:A,Table10[[#This Row],[Pcode]])-1</f>
        <v>0</v>
      </c>
    </row>
    <row r="48" spans="1:14" x14ac:dyDescent="0.25">
      <c r="A48" s="381" t="s">
        <v>168</v>
      </c>
      <c r="B48" s="26" t="str">
        <f ca="1">OFFSET(CampList[Priority],MATCH(Table10[[#This Row],[Pcode]],CampList[CP_Pcode],0)-1,0,1,1)</f>
        <v>P3</v>
      </c>
      <c r="C48" s="26" t="str">
        <f ca="1">OFFSET(CampList[Camp],MATCH(Table10[[#This Row],[Pcode]],CampList[CP_Pcode],0)-1,0,1,1)</f>
        <v>Howa</v>
      </c>
      <c r="D48" s="26" t="str">
        <f ca="1">OFFSET(CampList[Township],MATCH(Table10[[#This Row],[Pcode]],CampList[CP_Pcode],0)-1,0,1,1)</f>
        <v>Muse</v>
      </c>
      <c r="E48" s="26">
        <f ca="1">OFFSET(CampList[HH],MATCH(Table10[[#This Row],[Pcode]],CampList[CP_Pcode],0)-1,0,1,1)</f>
        <v>32</v>
      </c>
      <c r="F48" s="26">
        <f ca="1">OFFSET(CampList[Total],MATCH(Table10[[#This Row],[Pcode]],CampList[CP_Pcode],0)-1,0,1,1)</f>
        <v>0</v>
      </c>
      <c r="G48" s="422">
        <f>SUMIF('NFI Tracking'!AO$6:AO$1048576,Table10[[#This Row],[Pcode]],'NFI Tracking'!AI$6:AI$1048576)</f>
        <v>0</v>
      </c>
      <c r="H48" s="422">
        <f>SUMIF('NFI Tracking'!AO$6:AO$1048576,Table10[[#This Row],[Pcode]],'NFI Tracking'!AJ$6:AJ$1048576)</f>
        <v>0</v>
      </c>
      <c r="I48" s="422">
        <f>SUMIF('NFI Tracking'!AO$6:AO$1048576,Table10[[#This Row],[Pcode]],'NFI Tracking'!AK$6:AK$1048576)</f>
        <v>0</v>
      </c>
      <c r="J48" s="422">
        <f ca="1">MAX(Table10[[#This Row],[HH]]*VLOOKUP("Winter Clothes Adult",NFI,6)-Table10[[#This Row],[Winter Clothes Adult ]],0)</f>
        <v>64</v>
      </c>
      <c r="K48" s="422">
        <f ca="1">MAX(Table10[[#This Row],[HH]]*VLOOKUP("Winter Clothes Children ",NFI,6)-Table10[[#This Row],[Winter Clothes Children ]],0)</f>
        <v>32</v>
      </c>
      <c r="L48" s="422">
        <f ca="1">MAX(Table10[[#This Row],[HH]]*VLOOKUP("Winter Items Other ",NFI,6)-Table10[[#This Row],[Winter Items Other ]],0)</f>
        <v>32</v>
      </c>
      <c r="M48" s="464" t="str">
        <f>IF(OR(Table10[[#This Row],[Winter Clothes Adult ]]&lt;&gt;0,Table10[[#This Row],[Winter Clothes Children ]]&lt;&gt;0,Table10[[#This Row],[Winter Items Other ]]&lt;&gt;0),"No","")</f>
        <v/>
      </c>
      <c r="N48" s="465">
        <f>COUNTIF(A:A,Table10[[#This Row],[Pcode]])-1</f>
        <v>0</v>
      </c>
    </row>
    <row r="49" spans="1:14" x14ac:dyDescent="0.25">
      <c r="A49" s="381" t="s">
        <v>170</v>
      </c>
      <c r="B49" s="26" t="str">
        <f ca="1">OFFSET(CampList[Priority],MATCH(Table10[[#This Row],[Pcode]],CampList[CP_Pcode],0)-1,0,1,1)</f>
        <v>P3</v>
      </c>
      <c r="C49" s="26" t="str">
        <f ca="1">OFFSET(CampList[Camp],MATCH(Table10[[#This Row],[Pcode]],CampList[CP_Pcode],0)-1,0,1,1)</f>
        <v>Nam Hkyet</v>
      </c>
      <c r="D49" s="26" t="str">
        <f ca="1">OFFSET(CampList[Township],MATCH(Table10[[#This Row],[Pcode]],CampList[CP_Pcode],0)-1,0,1,1)</f>
        <v>Muse</v>
      </c>
      <c r="E49" s="26">
        <f ca="1">OFFSET(CampList[HH],MATCH(Table10[[#This Row],[Pcode]],CampList[CP_Pcode],0)-1,0,1,1)</f>
        <v>6</v>
      </c>
      <c r="F49" s="26">
        <f ca="1">OFFSET(CampList[Total],MATCH(Table10[[#This Row],[Pcode]],CampList[CP_Pcode],0)-1,0,1,1)</f>
        <v>0</v>
      </c>
      <c r="G49" s="422">
        <f>SUMIF('NFI Tracking'!AO$6:AO$1048576,Table10[[#This Row],[Pcode]],'NFI Tracking'!AI$6:AI$1048576)</f>
        <v>0</v>
      </c>
      <c r="H49" s="422">
        <f>SUMIF('NFI Tracking'!AO$6:AO$1048576,Table10[[#This Row],[Pcode]],'NFI Tracking'!AJ$6:AJ$1048576)</f>
        <v>0</v>
      </c>
      <c r="I49" s="422">
        <f>SUMIF('NFI Tracking'!AO$6:AO$1048576,Table10[[#This Row],[Pcode]],'NFI Tracking'!AK$6:AK$1048576)</f>
        <v>0</v>
      </c>
      <c r="J49" s="422">
        <f ca="1">MAX(Table10[[#This Row],[HH]]*VLOOKUP("Winter Clothes Adult",NFI,6)-Table10[[#This Row],[Winter Clothes Adult ]],0)</f>
        <v>12</v>
      </c>
      <c r="K49" s="422">
        <f ca="1">MAX(Table10[[#This Row],[HH]]*VLOOKUP("Winter Clothes Children ",NFI,6)-Table10[[#This Row],[Winter Clothes Children ]],0)</f>
        <v>6</v>
      </c>
      <c r="L49" s="422">
        <f ca="1">MAX(Table10[[#This Row],[HH]]*VLOOKUP("Winter Items Other ",NFI,6)-Table10[[#This Row],[Winter Items Other ]],0)</f>
        <v>6</v>
      </c>
      <c r="M49" s="464" t="str">
        <f>IF(OR(Table10[[#This Row],[Winter Clothes Adult ]]&lt;&gt;0,Table10[[#This Row],[Winter Clothes Children ]]&lt;&gt;0,Table10[[#This Row],[Winter Items Other ]]&lt;&gt;0),"No","")</f>
        <v/>
      </c>
      <c r="N49" s="465">
        <f>COUNTIF(A:A,Table10[[#This Row],[Pcode]])-1</f>
        <v>0</v>
      </c>
    </row>
    <row r="50" spans="1:14" x14ac:dyDescent="0.25">
      <c r="A50" s="381" t="s">
        <v>291</v>
      </c>
      <c r="B50" s="26" t="str">
        <f ca="1">OFFSET(CampList[Priority],MATCH(Table10[[#This Row],[Pcode]],CampList[CP_Pcode],0)-1,0,1,1)</f>
        <v>P3</v>
      </c>
      <c r="C50" s="26" t="str">
        <f ca="1">OFFSET(CampList[Camp],MATCH(Table10[[#This Row],[Pcode]],CampList[CP_Pcode],0)-1,0,1,1)</f>
        <v>Nam Hkam - Nay Win Ni (Palawng)</v>
      </c>
      <c r="D50" s="26" t="str">
        <f ca="1">OFFSET(CampList[Township],MATCH(Table10[[#This Row],[Pcode]],CampList[CP_Pcode],0)-1,0,1,1)</f>
        <v>Namhkan</v>
      </c>
      <c r="E50" s="26">
        <f ca="1">OFFSET(CampList[HH],MATCH(Table10[[#This Row],[Pcode]],CampList[CP_Pcode],0)-1,0,1,1)</f>
        <v>82</v>
      </c>
      <c r="F50" s="26">
        <f ca="1">OFFSET(CampList[Total],MATCH(Table10[[#This Row],[Pcode]],CampList[CP_Pcode],0)-1,0,1,1)</f>
        <v>408</v>
      </c>
      <c r="G50" s="422">
        <f>SUMIF('NFI Tracking'!AO$6:AO$1048576,Table10[[#This Row],[Pcode]],'NFI Tracking'!AI$6:AI$1048576)</f>
        <v>0</v>
      </c>
      <c r="H50" s="422">
        <f>SUMIF('NFI Tracking'!AO$6:AO$1048576,Table10[[#This Row],[Pcode]],'NFI Tracking'!AJ$6:AJ$1048576)</f>
        <v>0</v>
      </c>
      <c r="I50" s="422">
        <f>SUMIF('NFI Tracking'!AO$6:AO$1048576,Table10[[#This Row],[Pcode]],'NFI Tracking'!AK$6:AK$1048576)</f>
        <v>0</v>
      </c>
      <c r="J50" s="422">
        <f ca="1">MAX(Table10[[#This Row],[HH]]*VLOOKUP("Winter Clothes Adult",NFI,6)-Table10[[#This Row],[Winter Clothes Adult ]],0)</f>
        <v>164</v>
      </c>
      <c r="K50" s="422">
        <f ca="1">MAX(Table10[[#This Row],[HH]]*VLOOKUP("Winter Clothes Children ",NFI,6)-Table10[[#This Row],[Winter Clothes Children ]],0)</f>
        <v>82</v>
      </c>
      <c r="L50" s="422">
        <f ca="1">MAX(Table10[[#This Row],[HH]]*VLOOKUP("Winter Items Other ",NFI,6)-Table10[[#This Row],[Winter Items Other ]],0)</f>
        <v>82</v>
      </c>
      <c r="M50" s="464" t="str">
        <f>IF(OR(Table10[[#This Row],[Winter Clothes Adult ]]&lt;&gt;0,Table10[[#This Row],[Winter Clothes Children ]]&lt;&gt;0,Table10[[#This Row],[Winter Items Other ]]&lt;&gt;0),"No","")</f>
        <v/>
      </c>
      <c r="N50" s="465">
        <f>COUNTIF(A:A,Table10[[#This Row],[Pcode]])-1</f>
        <v>0</v>
      </c>
    </row>
    <row r="51" spans="1:14" x14ac:dyDescent="0.25">
      <c r="A51" s="381" t="s">
        <v>288</v>
      </c>
      <c r="B51" s="26" t="str">
        <f ca="1">OFFSET(CampList[Priority],MATCH(Table10[[#This Row],[Pcode]],CampList[CP_Pcode],0)-1,0,1,1)</f>
        <v>P3</v>
      </c>
      <c r="C51" s="26" t="str">
        <f ca="1">OFFSET(CampList[Camp],MATCH(Table10[[#This Row],[Pcode]],CampList[CP_Pcode],0)-1,0,1,1)</f>
        <v>Nam Hkam (KBC Jaw Wang)</v>
      </c>
      <c r="D51" s="26" t="str">
        <f ca="1">OFFSET(CampList[Township],MATCH(Table10[[#This Row],[Pcode]],CampList[CP_Pcode],0)-1,0,1,1)</f>
        <v>Namhkan</v>
      </c>
      <c r="E51" s="26">
        <f ca="1">OFFSET(CampList[HH],MATCH(Table10[[#This Row],[Pcode]],CampList[CP_Pcode],0)-1,0,1,1)</f>
        <v>68</v>
      </c>
      <c r="F51" s="26">
        <f ca="1">OFFSET(CampList[Total],MATCH(Table10[[#This Row],[Pcode]],CampList[CP_Pcode],0)-1,0,1,1)</f>
        <v>376</v>
      </c>
      <c r="G51" s="422">
        <f>SUMIF('NFI Tracking'!AO$6:AO$1048576,Table10[[#This Row],[Pcode]],'NFI Tracking'!AI$6:AI$1048576)</f>
        <v>0</v>
      </c>
      <c r="H51" s="422">
        <f>SUMIF('NFI Tracking'!AO$6:AO$1048576,Table10[[#This Row],[Pcode]],'NFI Tracking'!AJ$6:AJ$1048576)</f>
        <v>0</v>
      </c>
      <c r="I51" s="422">
        <f>SUMIF('NFI Tracking'!AO$6:AO$1048576,Table10[[#This Row],[Pcode]],'NFI Tracking'!AK$6:AK$1048576)</f>
        <v>0</v>
      </c>
      <c r="J51" s="422">
        <f ca="1">MAX(Table10[[#This Row],[HH]]*VLOOKUP("Winter Clothes Adult",NFI,6)-Table10[[#This Row],[Winter Clothes Adult ]],0)</f>
        <v>136</v>
      </c>
      <c r="K51" s="422">
        <f ca="1">MAX(Table10[[#This Row],[HH]]*VLOOKUP("Winter Clothes Children ",NFI,6)-Table10[[#This Row],[Winter Clothes Children ]],0)</f>
        <v>68</v>
      </c>
      <c r="L51" s="422">
        <f ca="1">MAX(Table10[[#This Row],[HH]]*VLOOKUP("Winter Items Other ",NFI,6)-Table10[[#This Row],[Winter Items Other ]],0)</f>
        <v>68</v>
      </c>
      <c r="M51" s="464" t="str">
        <f>IF(OR(Table10[[#This Row],[Winter Clothes Adult ]]&lt;&gt;0,Table10[[#This Row],[Winter Clothes Children ]]&lt;&gt;0,Table10[[#This Row],[Winter Items Other ]]&lt;&gt;0),"No","")</f>
        <v/>
      </c>
      <c r="N51" s="465">
        <f>COUNTIF(A:A,Table10[[#This Row],[Pcode]])-1</f>
        <v>0</v>
      </c>
    </row>
    <row r="52" spans="1:14" x14ac:dyDescent="0.25">
      <c r="A52" s="381" t="s">
        <v>295</v>
      </c>
      <c r="B52" s="26" t="str">
        <f ca="1">OFFSET(CampList[Priority],MATCH(Table10[[#This Row],[Pcode]],CampList[CP_Pcode],0)-1,0,1,1)</f>
        <v>P3</v>
      </c>
      <c r="C52" s="26" t="str">
        <f ca="1">OFFSET(CampList[Camp],MATCH(Table10[[#This Row],[Pcode]],CampList[CP_Pcode],0)-1,0,1,1)</f>
        <v>Nam Hkam Catholic Church ( St. Thomas I)</v>
      </c>
      <c r="D52" s="26" t="str">
        <f ca="1">OFFSET(CampList[Township],MATCH(Table10[[#This Row],[Pcode]],CampList[CP_Pcode],0)-1,0,1,1)</f>
        <v>Namhkan</v>
      </c>
      <c r="E52" s="26">
        <f ca="1">OFFSET(CampList[HH],MATCH(Table10[[#This Row],[Pcode]],CampList[CP_Pcode],0)-1,0,1,1)</f>
        <v>48</v>
      </c>
      <c r="F52" s="26">
        <f ca="1">OFFSET(CampList[Total],MATCH(Table10[[#This Row],[Pcode]],CampList[CP_Pcode],0)-1,0,1,1)</f>
        <v>218</v>
      </c>
      <c r="G52" s="422">
        <f>SUMIF('NFI Tracking'!AO$6:AO$1048576,Table10[[#This Row],[Pcode]],'NFI Tracking'!AI$6:AI$1048576)</f>
        <v>0</v>
      </c>
      <c r="H52" s="422">
        <f>SUMIF('NFI Tracking'!AO$6:AO$1048576,Table10[[#This Row],[Pcode]],'NFI Tracking'!AJ$6:AJ$1048576)</f>
        <v>0</v>
      </c>
      <c r="I52" s="422">
        <f>SUMIF('NFI Tracking'!AO$6:AO$1048576,Table10[[#This Row],[Pcode]],'NFI Tracking'!AK$6:AK$1048576)</f>
        <v>0</v>
      </c>
      <c r="J52" s="422">
        <f ca="1">MAX(Table10[[#This Row],[HH]]*VLOOKUP("Winter Clothes Adult",NFI,6)-Table10[[#This Row],[Winter Clothes Adult ]],0)</f>
        <v>96</v>
      </c>
      <c r="K52" s="422">
        <f ca="1">MAX(Table10[[#This Row],[HH]]*VLOOKUP("Winter Clothes Children ",NFI,6)-Table10[[#This Row],[Winter Clothes Children ]],0)</f>
        <v>48</v>
      </c>
      <c r="L52" s="422">
        <f ca="1">MAX(Table10[[#This Row],[HH]]*VLOOKUP("Winter Items Other ",NFI,6)-Table10[[#This Row],[Winter Items Other ]],0)</f>
        <v>48</v>
      </c>
      <c r="M52" s="464" t="str">
        <f>IF(OR(Table10[[#This Row],[Winter Clothes Adult ]]&lt;&gt;0,Table10[[#This Row],[Winter Clothes Children ]]&lt;&gt;0,Table10[[#This Row],[Winter Items Other ]]&lt;&gt;0),"No","")</f>
        <v/>
      </c>
      <c r="N52" s="465">
        <f>COUNTIF(A:A,Table10[[#This Row],[Pcode]])-1</f>
        <v>0</v>
      </c>
    </row>
    <row r="53" spans="1:14" x14ac:dyDescent="0.25">
      <c r="A53" s="381" t="s">
        <v>297</v>
      </c>
      <c r="B53" s="26" t="str">
        <f ca="1">OFFSET(CampList[Priority],MATCH(Table10[[#This Row],[Pcode]],CampList[CP_Pcode],0)-1,0,1,1)</f>
        <v>P3</v>
      </c>
      <c r="C53" s="26" t="str">
        <f ca="1">OFFSET(CampList[Camp],MATCH(Table10[[#This Row],[Pcode]],CampList[CP_Pcode],0)-1,0,1,1)</f>
        <v>Nam Tu Baptist</v>
      </c>
      <c r="D53" s="26" t="str">
        <f ca="1">OFFSET(CampList[Township],MATCH(Table10[[#This Row],[Pcode]],CampList[CP_Pcode],0)-1,0,1,1)</f>
        <v>Namtu</v>
      </c>
      <c r="E53" s="26">
        <f ca="1">OFFSET(CampList[HH],MATCH(Table10[[#This Row],[Pcode]],CampList[CP_Pcode],0)-1,0,1,1)</f>
        <v>10</v>
      </c>
      <c r="F53" s="26">
        <f ca="1">OFFSET(CampList[Total],MATCH(Table10[[#This Row],[Pcode]],CampList[CP_Pcode],0)-1,0,1,1)</f>
        <v>41</v>
      </c>
      <c r="G53" s="422">
        <f>SUMIF('NFI Tracking'!AO$6:AO$1048576,Table10[[#This Row],[Pcode]],'NFI Tracking'!AI$6:AI$1048576)</f>
        <v>0</v>
      </c>
      <c r="H53" s="422">
        <f>SUMIF('NFI Tracking'!AO$6:AO$1048576,Table10[[#This Row],[Pcode]],'NFI Tracking'!AJ$6:AJ$1048576)</f>
        <v>0</v>
      </c>
      <c r="I53" s="422">
        <f>SUMIF('NFI Tracking'!AO$6:AO$1048576,Table10[[#This Row],[Pcode]],'NFI Tracking'!AK$6:AK$1048576)</f>
        <v>0</v>
      </c>
      <c r="J53" s="422">
        <f ca="1">MAX(Table10[[#This Row],[HH]]*VLOOKUP("Winter Clothes Adult",NFI,6)-Table10[[#This Row],[Winter Clothes Adult ]],0)</f>
        <v>20</v>
      </c>
      <c r="K53" s="422">
        <f ca="1">MAX(Table10[[#This Row],[HH]]*VLOOKUP("Winter Clothes Children ",NFI,6)-Table10[[#This Row],[Winter Clothes Children ]],0)</f>
        <v>10</v>
      </c>
      <c r="L53" s="422">
        <f ca="1">MAX(Table10[[#This Row],[HH]]*VLOOKUP("Winter Items Other ",NFI,6)-Table10[[#This Row],[Winter Items Other ]],0)</f>
        <v>10</v>
      </c>
      <c r="M53" s="464" t="str">
        <f>IF(OR(Table10[[#This Row],[Winter Clothes Adult ]]&lt;&gt;0,Table10[[#This Row],[Winter Clothes Children ]]&lt;&gt;0,Table10[[#This Row],[Winter Items Other ]]&lt;&gt;0),"No","")</f>
        <v/>
      </c>
      <c r="N53" s="465">
        <f>COUNTIF(A:A,Table10[[#This Row],[Pcode]])-1</f>
        <v>0</v>
      </c>
    </row>
    <row r="54" spans="1:14" x14ac:dyDescent="0.25">
      <c r="A54" s="381" t="s">
        <v>830</v>
      </c>
      <c r="B54" s="26" t="str">
        <f ca="1">OFFSET(CampList[Priority],MATCH(Table10[[#This Row],[Pcode]],CampList[CP_Pcode],0)-1,0,1,1)</f>
        <v>P3</v>
      </c>
      <c r="C54" s="26" t="str">
        <f ca="1">OFFSET(CampList[Camp],MATCH(Table10[[#This Row],[Pcode]],CampList[CP_Pcode],0)-1,0,1,1)</f>
        <v>Nam Tu RC</v>
      </c>
      <c r="D54" s="26" t="str">
        <f ca="1">OFFSET(CampList[Township],MATCH(Table10[[#This Row],[Pcode]],CampList[CP_Pcode],0)-1,0,1,1)</f>
        <v>Namtu</v>
      </c>
      <c r="E54" s="26">
        <f ca="1">OFFSET(CampList[HH],MATCH(Table10[[#This Row],[Pcode]],CampList[CP_Pcode],0)-1,0,1,1)</f>
        <v>118</v>
      </c>
      <c r="F54" s="26">
        <f ca="1">OFFSET(CampList[Total],MATCH(Table10[[#This Row],[Pcode]],CampList[CP_Pcode],0)-1,0,1,1)</f>
        <v>520</v>
      </c>
      <c r="G54" s="422">
        <f>SUMIF('NFI Tracking'!AO$6:AO$1048576,Table10[[#This Row],[Pcode]],'NFI Tracking'!AI$6:AI$1048576)</f>
        <v>0</v>
      </c>
      <c r="H54" s="422">
        <f>SUMIF('NFI Tracking'!AO$6:AO$1048576,Table10[[#This Row],[Pcode]],'NFI Tracking'!AJ$6:AJ$1048576)</f>
        <v>0</v>
      </c>
      <c r="I54" s="422">
        <f>SUMIF('NFI Tracking'!AO$6:AO$1048576,Table10[[#This Row],[Pcode]],'NFI Tracking'!AK$6:AK$1048576)</f>
        <v>0</v>
      </c>
      <c r="J54" s="422">
        <f ca="1">MAX(Table10[[#This Row],[HH]]*VLOOKUP("Winter Clothes Adult",NFI,6)-Table10[[#This Row],[Winter Clothes Adult ]],0)</f>
        <v>236</v>
      </c>
      <c r="K54" s="422">
        <f ca="1">MAX(Table10[[#This Row],[HH]]*VLOOKUP("Winter Clothes Children ",NFI,6)-Table10[[#This Row],[Winter Clothes Children ]],0)</f>
        <v>118</v>
      </c>
      <c r="L54" s="422">
        <f ca="1">MAX(Table10[[#This Row],[HH]]*VLOOKUP("Winter Items Other ",NFI,6)-Table10[[#This Row],[Winter Items Other ]],0)</f>
        <v>118</v>
      </c>
      <c r="M54" s="464" t="str">
        <f>IF(OR(Table10[[#This Row],[Winter Clothes Adult ]]&lt;&gt;0,Table10[[#This Row],[Winter Clothes Children ]]&lt;&gt;0,Table10[[#This Row],[Winter Items Other ]]&lt;&gt;0),"No","")</f>
        <v/>
      </c>
      <c r="N54" s="465">
        <f>COUNTIF(A:A,Table10[[#This Row],[Pcode]])-1</f>
        <v>0</v>
      </c>
    </row>
    <row r="55" spans="1:14" x14ac:dyDescent="0.25">
      <c r="A55" s="381" t="s">
        <v>61</v>
      </c>
      <c r="B55" s="26" t="str">
        <f ca="1">OFFSET(CampList[Priority],MATCH(Table10[[#This Row],[Pcode]],CampList[CP_Pcode],0)-1,0,1,1)</f>
        <v>P4</v>
      </c>
      <c r="C55" s="26" t="str">
        <f ca="1">OFFSET(CampList[Camp],MATCH(Table10[[#This Row],[Pcode]],CampList[CP_Pcode],0)-1,0,1,1)</f>
        <v>5 Ward Baptist Church(lon Khin)</v>
      </c>
      <c r="D55" s="26" t="str">
        <f ca="1">OFFSET(CampList[Township],MATCH(Table10[[#This Row],[Pcode]],CampList[CP_Pcode],0)-1,0,1,1)</f>
        <v>Hpakant</v>
      </c>
      <c r="E55" s="422">
        <f ca="1">OFFSET(CampList[HH],MATCH(Table10[[#This Row],[Pcode]],CampList[CP_Pcode],0)-1,0,1,1)</f>
        <v>76</v>
      </c>
      <c r="F55" s="422">
        <f ca="1">OFFSET(CampList[Total],MATCH(Table10[[#This Row],[Pcode]],CampList[CP_Pcode],0)-1,0,1,1)</f>
        <v>344</v>
      </c>
      <c r="G55" s="422">
        <f>SUMIF('NFI Tracking'!AO$6:AO$1048576,Table10[[#This Row],[Pcode]],'NFI Tracking'!AI$6:AI$1048576)</f>
        <v>0</v>
      </c>
      <c r="H55" s="422">
        <f>SUMIF('NFI Tracking'!AO$6:AO$1048576,Table10[[#This Row],[Pcode]],'NFI Tracking'!AJ$6:AJ$1048576)</f>
        <v>0</v>
      </c>
      <c r="I55" s="422">
        <f>SUMIF('NFI Tracking'!AO$6:AO$1048576,Table10[[#This Row],[Pcode]],'NFI Tracking'!AK$6:AK$1048576)</f>
        <v>0</v>
      </c>
      <c r="J55" s="422">
        <f ca="1">MAX(Table10[[#This Row],[HH]]*VLOOKUP("Winter Clothes Adult",NFI,6)-Table10[[#This Row],[Winter Clothes Adult ]],0)</f>
        <v>152</v>
      </c>
      <c r="K55" s="422">
        <f ca="1">MAX(Table10[[#This Row],[HH]]*VLOOKUP("Winter Clothes Children ",NFI,6)-Table10[[#This Row],[Winter Clothes Children ]],0)</f>
        <v>76</v>
      </c>
      <c r="L55" s="422">
        <f ca="1">MAX(Table10[[#This Row],[HH]]*VLOOKUP("Winter Items Other ",NFI,6)-Table10[[#This Row],[Winter Items Other ]],0)</f>
        <v>76</v>
      </c>
      <c r="M55" s="464" t="str">
        <f>IF(OR(Table10[[#This Row],[Winter Clothes Adult ]]&lt;&gt;0,Table10[[#This Row],[Winter Clothes Children ]]&lt;&gt;0,Table10[[#This Row],[Winter Items Other ]]&lt;&gt;0),"No","")</f>
        <v/>
      </c>
      <c r="N55" s="465">
        <f>COUNTIF(A:A,Table10[[#This Row],[Pcode]])-1</f>
        <v>0</v>
      </c>
    </row>
    <row r="56" spans="1:14" x14ac:dyDescent="0.25">
      <c r="A56" s="381" t="s">
        <v>119</v>
      </c>
      <c r="B56" s="26" t="str">
        <f ca="1">OFFSET(CampList[Priority],MATCH(Table10[[#This Row],[Pcode]],CampList[CP_Pcode],0)-1,0,1,1)</f>
        <v>P4</v>
      </c>
      <c r="C56" s="26" t="str">
        <f ca="1">OFFSET(CampList[Camp],MATCH(Table10[[#This Row],[Pcode]],CampList[CP_Pcode],0)-1,0,1,1)</f>
        <v>5 Ward RC Church(lon Khin)</v>
      </c>
      <c r="D56" s="26" t="str">
        <f ca="1">OFFSET(CampList[Township],MATCH(Table10[[#This Row],[Pcode]],CampList[CP_Pcode],0)-1,0,1,1)</f>
        <v>Hpakant</v>
      </c>
      <c r="E56" s="422">
        <f ca="1">OFFSET(CampList[HH],MATCH(Table10[[#This Row],[Pcode]],CampList[CP_Pcode],0)-1,0,1,1)</f>
        <v>75</v>
      </c>
      <c r="F56" s="422">
        <f ca="1">OFFSET(CampList[Total],MATCH(Table10[[#This Row],[Pcode]],CampList[CP_Pcode],0)-1,0,1,1)</f>
        <v>404</v>
      </c>
      <c r="G56" s="422">
        <f>SUMIF('NFI Tracking'!AO$6:AO$1048576,Table10[[#This Row],[Pcode]],'NFI Tracking'!AI$6:AI$1048576)</f>
        <v>0</v>
      </c>
      <c r="H56" s="422">
        <f>SUMIF('NFI Tracking'!AO$6:AO$1048576,Table10[[#This Row],[Pcode]],'NFI Tracking'!AJ$6:AJ$1048576)</f>
        <v>0</v>
      </c>
      <c r="I56" s="422">
        <f>SUMIF('NFI Tracking'!AO$6:AO$1048576,Table10[[#This Row],[Pcode]],'NFI Tracking'!AK$6:AK$1048576)</f>
        <v>0</v>
      </c>
      <c r="J56" s="422">
        <f ca="1">MAX(Table10[[#This Row],[HH]]*VLOOKUP("Winter Clothes Adult",NFI,6)-Table10[[#This Row],[Winter Clothes Adult ]],0)</f>
        <v>150</v>
      </c>
      <c r="K56" s="422">
        <f ca="1">MAX(Table10[[#This Row],[HH]]*VLOOKUP("Winter Clothes Children ",NFI,6)-Table10[[#This Row],[Winter Clothes Children ]],0)</f>
        <v>75</v>
      </c>
      <c r="L56" s="422">
        <f ca="1">MAX(Table10[[#This Row],[HH]]*VLOOKUP("Winter Items Other ",NFI,6)-Table10[[#This Row],[Winter Items Other ]],0)</f>
        <v>75</v>
      </c>
      <c r="M56" s="464" t="str">
        <f>IF(OR(Table10[[#This Row],[Winter Clothes Adult ]]&lt;&gt;0,Table10[[#This Row],[Winter Clothes Children ]]&lt;&gt;0,Table10[[#This Row],[Winter Items Other ]]&lt;&gt;0),"No","")</f>
        <v/>
      </c>
      <c r="N56" s="465">
        <f>COUNTIF(A:A,Table10[[#This Row],[Pcode]])-1</f>
        <v>0</v>
      </c>
    </row>
    <row r="57" spans="1:14" x14ac:dyDescent="0.25">
      <c r="A57" s="381" t="s">
        <v>4</v>
      </c>
      <c r="B57" s="26" t="str">
        <f ca="1">OFFSET(CampList[Priority],MATCH(Table10[[#This Row],[Pcode]],CampList[CP_Pcode],0)-1,0,1,1)</f>
        <v>P4</v>
      </c>
      <c r="C57" s="26" t="str">
        <f ca="1">OFFSET(CampList[Camp],MATCH(Table10[[#This Row],[Pcode]],CampList[CP_Pcode],0)-1,0,1,1)</f>
        <v>AD-2000 Tharthana Compound</v>
      </c>
      <c r="D57" s="26" t="str">
        <f ca="1">OFFSET(CampList[Township],MATCH(Table10[[#This Row],[Pcode]],CampList[CP_Pcode],0)-1,0,1,1)</f>
        <v>Bhamo</v>
      </c>
      <c r="E57" s="422">
        <f ca="1">OFFSET(CampList[HH],MATCH(Table10[[#This Row],[Pcode]],CampList[CP_Pcode],0)-1,0,1,1)</f>
        <v>274</v>
      </c>
      <c r="F57" s="422">
        <f ca="1">OFFSET(CampList[Total],MATCH(Table10[[#This Row],[Pcode]],CampList[CP_Pcode],0)-1,0,1,1)</f>
        <v>1349</v>
      </c>
      <c r="G57" s="422">
        <f>SUMIF('NFI Tracking'!AO$6:AO$1048576,Table10[[#This Row],[Pcode]],'NFI Tracking'!AI$6:AI$1048576)</f>
        <v>0</v>
      </c>
      <c r="H57" s="422">
        <f>SUMIF('NFI Tracking'!AO$6:AO$1048576,Table10[[#This Row],[Pcode]],'NFI Tracking'!AJ$6:AJ$1048576)</f>
        <v>0</v>
      </c>
      <c r="I57" s="422">
        <f>SUMIF('NFI Tracking'!AO$6:AO$1048576,Table10[[#This Row],[Pcode]],'NFI Tracking'!AK$6:AK$1048576)</f>
        <v>0</v>
      </c>
      <c r="J57" s="422">
        <f ca="1">MAX(Table10[[#This Row],[HH]]*VLOOKUP("Winter Clothes Adult",NFI,6)-Table10[[#This Row],[Winter Clothes Adult ]],0)</f>
        <v>548</v>
      </c>
      <c r="K57" s="422">
        <f ca="1">MAX(Table10[[#This Row],[HH]]*VLOOKUP("Winter Clothes Children ",NFI,6)-Table10[[#This Row],[Winter Clothes Children ]],0)</f>
        <v>274</v>
      </c>
      <c r="L57" s="422">
        <f ca="1">MAX(Table10[[#This Row],[HH]]*VLOOKUP("Winter Items Other ",NFI,6)-Table10[[#This Row],[Winter Items Other ]],0)</f>
        <v>274</v>
      </c>
      <c r="M57" s="464" t="str">
        <f>IF(OR(Table10[[#This Row],[Winter Clothes Adult ]]&lt;&gt;0,Table10[[#This Row],[Winter Clothes Children ]]&lt;&gt;0,Table10[[#This Row],[Winter Items Other ]]&lt;&gt;0),"No","")</f>
        <v/>
      </c>
      <c r="N57" s="465">
        <f>COUNTIF(A:A,Table10[[#This Row],[Pcode]])-1</f>
        <v>0</v>
      </c>
    </row>
    <row r="58" spans="1:14" x14ac:dyDescent="0.25">
      <c r="A58" s="381" t="s">
        <v>40</v>
      </c>
      <c r="B58" s="26" t="str">
        <f ca="1">OFFSET(CampList[Priority],MATCH(Table10[[#This Row],[Pcode]],CampList[CP_Pcode],0)-1,0,1,1)</f>
        <v>P4</v>
      </c>
      <c r="C58" s="26" t="str">
        <f ca="1">OFFSET(CampList[Camp],MATCH(Table10[[#This Row],[Pcode]],CampList[CP_Pcode],0)-1,0,1,1)</f>
        <v>AG Church, Hmaw Si Sa</v>
      </c>
      <c r="D58" s="26" t="str">
        <f ca="1">OFFSET(CampList[Township],MATCH(Table10[[#This Row],[Pcode]],CampList[CP_Pcode],0)-1,0,1,1)</f>
        <v>Hpakant</v>
      </c>
      <c r="E58" s="422">
        <f ca="1">OFFSET(CampList[HH],MATCH(Table10[[#This Row],[Pcode]],CampList[CP_Pcode],0)-1,0,1,1)</f>
        <v>67</v>
      </c>
      <c r="F58" s="422">
        <f ca="1">OFFSET(CampList[Total],MATCH(Table10[[#This Row],[Pcode]],CampList[CP_Pcode],0)-1,0,1,1)</f>
        <v>350</v>
      </c>
      <c r="G58" s="422">
        <f>SUMIF('NFI Tracking'!AO$6:AO$1048576,Table10[[#This Row],[Pcode]],'NFI Tracking'!AI$6:AI$1048576)</f>
        <v>0</v>
      </c>
      <c r="H58" s="422">
        <f>SUMIF('NFI Tracking'!AO$6:AO$1048576,Table10[[#This Row],[Pcode]],'NFI Tracking'!AJ$6:AJ$1048576)</f>
        <v>0</v>
      </c>
      <c r="I58" s="422">
        <f>SUMIF('NFI Tracking'!AO$6:AO$1048576,Table10[[#This Row],[Pcode]],'NFI Tracking'!AK$6:AK$1048576)</f>
        <v>0</v>
      </c>
      <c r="J58" s="422">
        <f ca="1">MAX(Table10[[#This Row],[HH]]*VLOOKUP("Winter Clothes Adult",NFI,6)-Table10[[#This Row],[Winter Clothes Adult ]],0)</f>
        <v>134</v>
      </c>
      <c r="K58" s="422">
        <f ca="1">MAX(Table10[[#This Row],[HH]]*VLOOKUP("Winter Clothes Children ",NFI,6)-Table10[[#This Row],[Winter Clothes Children ]],0)</f>
        <v>67</v>
      </c>
      <c r="L58" s="422">
        <f ca="1">MAX(Table10[[#This Row],[HH]]*VLOOKUP("Winter Items Other ",NFI,6)-Table10[[#This Row],[Winter Items Other ]],0)</f>
        <v>67</v>
      </c>
      <c r="M58" s="464" t="str">
        <f>IF(OR(Table10[[#This Row],[Winter Clothes Adult ]]&lt;&gt;0,Table10[[#This Row],[Winter Clothes Children ]]&lt;&gt;0,Table10[[#This Row],[Winter Items Other ]]&lt;&gt;0),"No","")</f>
        <v/>
      </c>
      <c r="N58" s="465">
        <f>COUNTIF(A:A,Table10[[#This Row],[Pcode]])-1</f>
        <v>0</v>
      </c>
    </row>
    <row r="59" spans="1:14" x14ac:dyDescent="0.25">
      <c r="A59" s="381" t="s">
        <v>42</v>
      </c>
      <c r="B59" s="26" t="str">
        <f ca="1">OFFSET(CampList[Priority],MATCH(Table10[[#This Row],[Pcode]],CampList[CP_Pcode],0)-1,0,1,1)</f>
        <v>P4</v>
      </c>
      <c r="C59" s="26" t="str">
        <f ca="1">OFFSET(CampList[Camp],MATCH(Table10[[#This Row],[Pcode]],CampList[CP_Pcode],0)-1,0,1,1)</f>
        <v>AG Church, Maw Wan</v>
      </c>
      <c r="D59" s="26" t="str">
        <f ca="1">OFFSET(CampList[Township],MATCH(Table10[[#This Row],[Pcode]],CampList[CP_Pcode],0)-1,0,1,1)</f>
        <v>Hpakant</v>
      </c>
      <c r="E59" s="422">
        <f ca="1">OFFSET(CampList[HH],MATCH(Table10[[#This Row],[Pcode]],CampList[CP_Pcode],0)-1,0,1,1)</f>
        <v>14</v>
      </c>
      <c r="F59" s="422">
        <f ca="1">OFFSET(CampList[Total],MATCH(Table10[[#This Row],[Pcode]],CampList[CP_Pcode],0)-1,0,1,1)</f>
        <v>83</v>
      </c>
      <c r="G59" s="422">
        <f>SUMIF('NFI Tracking'!AO$6:AO$1048576,Table10[[#This Row],[Pcode]],'NFI Tracking'!AI$6:AI$1048576)</f>
        <v>0</v>
      </c>
      <c r="H59" s="422">
        <f>SUMIF('NFI Tracking'!AO$6:AO$1048576,Table10[[#This Row],[Pcode]],'NFI Tracking'!AJ$6:AJ$1048576)</f>
        <v>0</v>
      </c>
      <c r="I59" s="422">
        <f>SUMIF('NFI Tracking'!AO$6:AO$1048576,Table10[[#This Row],[Pcode]],'NFI Tracking'!AK$6:AK$1048576)</f>
        <v>0</v>
      </c>
      <c r="J59" s="422">
        <f ca="1">MAX(Table10[[#This Row],[HH]]*VLOOKUP("Winter Clothes Adult",NFI,6)-Table10[[#This Row],[Winter Clothes Adult ]],0)</f>
        <v>28</v>
      </c>
      <c r="K59" s="422">
        <f ca="1">MAX(Table10[[#This Row],[HH]]*VLOOKUP("Winter Clothes Children ",NFI,6)-Table10[[#This Row],[Winter Clothes Children ]],0)</f>
        <v>14</v>
      </c>
      <c r="L59" s="422">
        <f ca="1">MAX(Table10[[#This Row],[HH]]*VLOOKUP("Winter Items Other ",NFI,6)-Table10[[#This Row],[Winter Items Other ]],0)</f>
        <v>14</v>
      </c>
      <c r="M59" s="464" t="str">
        <f>IF(OR(Table10[[#This Row],[Winter Clothes Adult ]]&lt;&gt;0,Table10[[#This Row],[Winter Clothes Children ]]&lt;&gt;0,Table10[[#This Row],[Winter Items Other ]]&lt;&gt;0),"No","")</f>
        <v/>
      </c>
      <c r="N59" s="465">
        <f>COUNTIF(A:A,Table10[[#This Row],[Pcode]])-1</f>
        <v>0</v>
      </c>
    </row>
    <row r="60" spans="1:14" x14ac:dyDescent="0.25">
      <c r="A60" s="381" t="s">
        <v>377</v>
      </c>
      <c r="B60" s="26" t="str">
        <f ca="1">OFFSET(CampList[Priority],MATCH(Table10[[#This Row],[Pcode]],CampList[CP_Pcode],0)-1,0,1,1)</f>
        <v>P4</v>
      </c>
      <c r="C60" s="26" t="str">
        <f ca="1">OFFSET(CampList[Camp],MATCH(Table10[[#This Row],[Pcode]],CampList[CP_Pcode],0)-1,0,1,1)</f>
        <v>Aung Thar Church</v>
      </c>
      <c r="D60" s="26" t="str">
        <f ca="1">OFFSET(CampList[Township],MATCH(Table10[[#This Row],[Pcode]],CampList[CP_Pcode],0)-1,0,1,1)</f>
        <v>Bhamo</v>
      </c>
      <c r="E60" s="422">
        <f ca="1">OFFSET(CampList[HH],MATCH(Table10[[#This Row],[Pcode]],CampList[CP_Pcode],0)-1,0,1,1)</f>
        <v>12</v>
      </c>
      <c r="F60" s="422">
        <f ca="1">OFFSET(CampList[Total],MATCH(Table10[[#This Row],[Pcode]],CampList[CP_Pcode],0)-1,0,1,1)</f>
        <v>52</v>
      </c>
      <c r="G60" s="422">
        <f>SUMIF('NFI Tracking'!AO$6:AO$1048576,Table10[[#This Row],[Pcode]],'NFI Tracking'!AI$6:AI$1048576)</f>
        <v>0</v>
      </c>
      <c r="H60" s="422">
        <f>SUMIF('NFI Tracking'!AO$6:AO$1048576,Table10[[#This Row],[Pcode]],'NFI Tracking'!AJ$6:AJ$1048576)</f>
        <v>0</v>
      </c>
      <c r="I60" s="422">
        <f>SUMIF('NFI Tracking'!AO$6:AO$1048576,Table10[[#This Row],[Pcode]],'NFI Tracking'!AK$6:AK$1048576)</f>
        <v>0</v>
      </c>
      <c r="J60" s="422">
        <f ca="1">MAX(Table10[[#This Row],[HH]]*VLOOKUP("Winter Clothes Adult",NFI,6)-Table10[[#This Row],[Winter Clothes Adult ]],0)</f>
        <v>24</v>
      </c>
      <c r="K60" s="422">
        <f ca="1">MAX(Table10[[#This Row],[HH]]*VLOOKUP("Winter Clothes Children ",NFI,6)-Table10[[#This Row],[Winter Clothes Children ]],0)</f>
        <v>12</v>
      </c>
      <c r="L60" s="422">
        <f ca="1">MAX(Table10[[#This Row],[HH]]*VLOOKUP("Winter Items Other ",NFI,6)-Table10[[#This Row],[Winter Items Other ]],0)</f>
        <v>12</v>
      </c>
      <c r="M60" s="464" t="str">
        <f>IF(OR(Table10[[#This Row],[Winter Clothes Adult ]]&lt;&gt;0,Table10[[#This Row],[Winter Clothes Children ]]&lt;&gt;0,Table10[[#This Row],[Winter Items Other ]]&lt;&gt;0),"No","")</f>
        <v/>
      </c>
      <c r="N60" s="465">
        <f>COUNTIF(A:A,Table10[[#This Row],[Pcode]])-1</f>
        <v>0</v>
      </c>
    </row>
    <row r="61" spans="1:14" x14ac:dyDescent="0.25">
      <c r="A61" s="381" t="s">
        <v>887</v>
      </c>
      <c r="B61" s="26" t="str">
        <f ca="1">OFFSET(CampList[Priority],MATCH(Table10[[#This Row],[Pcode]],CampList[CP_Pcode],0)-1,0,1,1)</f>
        <v>P4</v>
      </c>
      <c r="C61" s="26" t="str">
        <f ca="1">OFFSET(CampList[Camp],MATCH(Table10[[#This Row],[Pcode]],CampList[CP_Pcode],0)-1,0,1,1)</f>
        <v>Ban Hkung Yang</v>
      </c>
      <c r="D61" s="26" t="str">
        <f ca="1">OFFSET(CampList[Township],MATCH(Table10[[#This Row],[Pcode]],CampList[CP_Pcode],0)-1,0,1,1)</f>
        <v>Mansi</v>
      </c>
      <c r="E61" s="422">
        <f ca="1">OFFSET(CampList[HH],MATCH(Table10[[#This Row],[Pcode]],CampList[CP_Pcode],0)-1,0,1,1)</f>
        <v>0</v>
      </c>
      <c r="F61" s="422">
        <f ca="1">OFFSET(CampList[Total],MATCH(Table10[[#This Row],[Pcode]],CampList[CP_Pcode],0)-1,0,1,1)</f>
        <v>0</v>
      </c>
      <c r="G61" s="422">
        <f>SUMIF('NFI Tracking'!AO$6:AO$1048576,Table10[[#This Row],[Pcode]],'NFI Tracking'!AI$6:AI$1048576)</f>
        <v>0</v>
      </c>
      <c r="H61" s="422">
        <f>SUMIF('NFI Tracking'!AO$6:AO$1048576,Table10[[#This Row],[Pcode]],'NFI Tracking'!AJ$6:AJ$1048576)</f>
        <v>0</v>
      </c>
      <c r="I61" s="422">
        <f>SUMIF('NFI Tracking'!AO$6:AO$1048576,Table10[[#This Row],[Pcode]],'NFI Tracking'!AK$6:AK$1048576)</f>
        <v>0</v>
      </c>
      <c r="J61" s="422">
        <f ca="1">MAX(Table10[[#This Row],[HH]]*VLOOKUP("Winter Clothes Adult",NFI,6)-Table10[[#This Row],[Winter Clothes Adult ]],0)</f>
        <v>0</v>
      </c>
      <c r="K61" s="422">
        <f ca="1">MAX(Table10[[#This Row],[HH]]*VLOOKUP("Winter Clothes Children ",NFI,6)-Table10[[#This Row],[Winter Clothes Children ]],0)</f>
        <v>0</v>
      </c>
      <c r="L61" s="422">
        <f ca="1">MAX(Table10[[#This Row],[HH]]*VLOOKUP("Winter Items Other ",NFI,6)-Table10[[#This Row],[Winter Items Other ]],0)</f>
        <v>0</v>
      </c>
      <c r="M61" s="464" t="str">
        <f>IF(OR(Table10[[#This Row],[Winter Clothes Adult ]]&lt;&gt;0,Table10[[#This Row],[Winter Clothes Children ]]&lt;&gt;0,Table10[[#This Row],[Winter Items Other ]]&lt;&gt;0),"No","")</f>
        <v/>
      </c>
      <c r="N61" s="465">
        <f>COUNTIF(A:A,Table10[[#This Row],[Pcode]])-1</f>
        <v>0</v>
      </c>
    </row>
    <row r="62" spans="1:14" x14ac:dyDescent="0.25">
      <c r="A62" s="381" t="s">
        <v>51</v>
      </c>
      <c r="B62" s="26" t="str">
        <f ca="1">OFFSET(CampList[Priority],MATCH(Table10[[#This Row],[Pcode]],CampList[CP_Pcode],0)-1,0,1,1)</f>
        <v>P4</v>
      </c>
      <c r="C62" s="26" t="str">
        <f ca="1">OFFSET(CampList[Camp],MATCH(Table10[[#This Row],[Pcode]],CampList[CP_Pcode],0)-1,0,1,1)</f>
        <v>Baptist Church, Hmaw Si Sar(Lon Khin)</v>
      </c>
      <c r="D62" s="26" t="str">
        <f ca="1">OFFSET(CampList[Township],MATCH(Table10[[#This Row],[Pcode]],CampList[CP_Pcode],0)-1,0,1,1)</f>
        <v>Hpakant</v>
      </c>
      <c r="E62" s="422">
        <f ca="1">OFFSET(CampList[HH],MATCH(Table10[[#This Row],[Pcode]],CampList[CP_Pcode],0)-1,0,1,1)</f>
        <v>35</v>
      </c>
      <c r="F62" s="422">
        <f ca="1">OFFSET(CampList[Total],MATCH(Table10[[#This Row],[Pcode]],CampList[CP_Pcode],0)-1,0,1,1)</f>
        <v>214</v>
      </c>
      <c r="G62" s="422">
        <f>SUMIF('NFI Tracking'!AO$6:AO$1048576,Table10[[#This Row],[Pcode]],'NFI Tracking'!AI$6:AI$1048576)</f>
        <v>0</v>
      </c>
      <c r="H62" s="422">
        <f>SUMIF('NFI Tracking'!AO$6:AO$1048576,Table10[[#This Row],[Pcode]],'NFI Tracking'!AJ$6:AJ$1048576)</f>
        <v>0</v>
      </c>
      <c r="I62" s="422">
        <f>SUMIF('NFI Tracking'!AO$6:AO$1048576,Table10[[#This Row],[Pcode]],'NFI Tracking'!AK$6:AK$1048576)</f>
        <v>0</v>
      </c>
      <c r="J62" s="422">
        <f ca="1">MAX(Table10[[#This Row],[HH]]*VLOOKUP("Winter Clothes Adult",NFI,6)-Table10[[#This Row],[Winter Clothes Adult ]],0)</f>
        <v>70</v>
      </c>
      <c r="K62" s="422">
        <f ca="1">MAX(Table10[[#This Row],[HH]]*VLOOKUP("Winter Clothes Children ",NFI,6)-Table10[[#This Row],[Winter Clothes Children ]],0)</f>
        <v>35</v>
      </c>
      <c r="L62" s="422">
        <f ca="1">MAX(Table10[[#This Row],[HH]]*VLOOKUP("Winter Items Other ",NFI,6)-Table10[[#This Row],[Winter Items Other ]],0)</f>
        <v>35</v>
      </c>
      <c r="M62" s="464" t="str">
        <f>IF(OR(Table10[[#This Row],[Winter Clothes Adult ]]&lt;&gt;0,Table10[[#This Row],[Winter Clothes Children ]]&lt;&gt;0,Table10[[#This Row],[Winter Items Other ]]&lt;&gt;0),"No","")</f>
        <v/>
      </c>
      <c r="N62" s="465">
        <f>COUNTIF(A:A,Table10[[#This Row],[Pcode]])-1</f>
        <v>0</v>
      </c>
    </row>
    <row r="63" spans="1:14" x14ac:dyDescent="0.25">
      <c r="A63" s="381" t="s">
        <v>57</v>
      </c>
      <c r="B63" s="26" t="str">
        <f ca="1">OFFSET(CampList[Priority],MATCH(Table10[[#This Row],[Pcode]],CampList[CP_Pcode],0)-1,0,1,1)</f>
        <v>P4</v>
      </c>
      <c r="C63" s="26" t="str">
        <f ca="1">OFFSET(CampList[Camp],MATCH(Table10[[#This Row],[Pcode]],CampList[CP_Pcode],0)-1,0,1,1)</f>
        <v>Baptist Church, Naung Hmee VT</v>
      </c>
      <c r="D63" s="26" t="str">
        <f ca="1">OFFSET(CampList[Township],MATCH(Table10[[#This Row],[Pcode]],CampList[CP_Pcode],0)-1,0,1,1)</f>
        <v>Hpakant</v>
      </c>
      <c r="E63" s="422">
        <f ca="1">OFFSET(CampList[HH],MATCH(Table10[[#This Row],[Pcode]],CampList[CP_Pcode],0)-1,0,1,1)</f>
        <v>0</v>
      </c>
      <c r="F63" s="422">
        <f ca="1">OFFSET(CampList[Total],MATCH(Table10[[#This Row],[Pcode]],CampList[CP_Pcode],0)-1,0,1,1)</f>
        <v>0</v>
      </c>
      <c r="G63" s="422">
        <f>SUMIF('NFI Tracking'!AO$6:AO$1048576,Table10[[#This Row],[Pcode]],'NFI Tracking'!AI$6:AI$1048576)</f>
        <v>0</v>
      </c>
      <c r="H63" s="422">
        <f>SUMIF('NFI Tracking'!AO$6:AO$1048576,Table10[[#This Row],[Pcode]],'NFI Tracking'!AJ$6:AJ$1048576)</f>
        <v>0</v>
      </c>
      <c r="I63" s="422">
        <f>SUMIF('NFI Tracking'!AO$6:AO$1048576,Table10[[#This Row],[Pcode]],'NFI Tracking'!AK$6:AK$1048576)</f>
        <v>0</v>
      </c>
      <c r="J63" s="422">
        <f ca="1">MAX(Table10[[#This Row],[HH]]*VLOOKUP("Winter Clothes Adult",NFI,6)-Table10[[#This Row],[Winter Clothes Adult ]],0)</f>
        <v>0</v>
      </c>
      <c r="K63" s="422">
        <f ca="1">MAX(Table10[[#This Row],[HH]]*VLOOKUP("Winter Clothes Children ",NFI,6)-Table10[[#This Row],[Winter Clothes Children ]],0)</f>
        <v>0</v>
      </c>
      <c r="L63" s="422">
        <f ca="1">MAX(Table10[[#This Row],[HH]]*VLOOKUP("Winter Items Other ",NFI,6)-Table10[[#This Row],[Winter Items Other ]],0)</f>
        <v>0</v>
      </c>
      <c r="M63" s="464" t="str">
        <f>IF(OR(Table10[[#This Row],[Winter Clothes Adult ]]&lt;&gt;0,Table10[[#This Row],[Winter Clothes Children ]]&lt;&gt;0,Table10[[#This Row],[Winter Items Other ]]&lt;&gt;0),"No","")</f>
        <v/>
      </c>
      <c r="N63" s="465">
        <f>COUNTIF(A:A,Table10[[#This Row],[Pcode]])-1</f>
        <v>0</v>
      </c>
    </row>
    <row r="64" spans="1:14" x14ac:dyDescent="0.25">
      <c r="A64" s="381" t="s">
        <v>71</v>
      </c>
      <c r="B64" s="26" t="str">
        <f ca="1">OFFSET(CampList[Priority],MATCH(Table10[[#This Row],[Pcode]],CampList[CP_Pcode],0)-1,0,1,1)</f>
        <v>P4</v>
      </c>
      <c r="C64" s="26" t="str">
        <f ca="1">OFFSET(CampList[Camp],MATCH(Table10[[#This Row],[Pcode]],CampList[CP_Pcode],0)-1,0,1,1)</f>
        <v>Chin Church, Seik Mu</v>
      </c>
      <c r="D64" s="26" t="str">
        <f ca="1">OFFSET(CampList[Township],MATCH(Table10[[#This Row],[Pcode]],CampList[CP_Pcode],0)-1,0,1,1)</f>
        <v>Hpakant</v>
      </c>
      <c r="E64" s="422">
        <f ca="1">OFFSET(CampList[HH],MATCH(Table10[[#This Row],[Pcode]],CampList[CP_Pcode],0)-1,0,1,1)</f>
        <v>6</v>
      </c>
      <c r="F64" s="422">
        <f ca="1">OFFSET(CampList[Total],MATCH(Table10[[#This Row],[Pcode]],CampList[CP_Pcode],0)-1,0,1,1)</f>
        <v>30</v>
      </c>
      <c r="G64" s="422">
        <f>SUMIF('NFI Tracking'!AO$6:AO$1048576,Table10[[#This Row],[Pcode]],'NFI Tracking'!AI$6:AI$1048576)</f>
        <v>0</v>
      </c>
      <c r="H64" s="422">
        <f>SUMIF('NFI Tracking'!AO$6:AO$1048576,Table10[[#This Row],[Pcode]],'NFI Tracking'!AJ$6:AJ$1048576)</f>
        <v>0</v>
      </c>
      <c r="I64" s="422">
        <f>SUMIF('NFI Tracking'!AO$6:AO$1048576,Table10[[#This Row],[Pcode]],'NFI Tracking'!AK$6:AK$1048576)</f>
        <v>0</v>
      </c>
      <c r="J64" s="422">
        <f ca="1">MAX(Table10[[#This Row],[HH]]*VLOOKUP("Winter Clothes Adult",NFI,6)-Table10[[#This Row],[Winter Clothes Adult ]],0)</f>
        <v>12</v>
      </c>
      <c r="K64" s="422">
        <f ca="1">MAX(Table10[[#This Row],[HH]]*VLOOKUP("Winter Clothes Children ",NFI,6)-Table10[[#This Row],[Winter Clothes Children ]],0)</f>
        <v>6</v>
      </c>
      <c r="L64" s="422">
        <f ca="1">MAX(Table10[[#This Row],[HH]]*VLOOKUP("Winter Items Other ",NFI,6)-Table10[[#This Row],[Winter Items Other ]],0)</f>
        <v>6</v>
      </c>
      <c r="M64" s="464" t="str">
        <f>IF(OR(Table10[[#This Row],[Winter Clothes Adult ]]&lt;&gt;0,Table10[[#This Row],[Winter Clothes Children ]]&lt;&gt;0,Table10[[#This Row],[Winter Items Other ]]&lt;&gt;0),"No","")</f>
        <v/>
      </c>
      <c r="N64" s="465">
        <f>COUNTIF(A:A,Table10[[#This Row],[Pcode]])-1</f>
        <v>0</v>
      </c>
    </row>
    <row r="65" spans="1:14" x14ac:dyDescent="0.25">
      <c r="A65" s="381" t="s">
        <v>75</v>
      </c>
      <c r="B65" s="26" t="str">
        <f ca="1">OFFSET(CampList[Priority],MATCH(Table10[[#This Row],[Pcode]],CampList[CP_Pcode],0)-1,0,1,1)</f>
        <v>P4</v>
      </c>
      <c r="C65" s="26" t="str">
        <f ca="1">OFFSET(CampList[Camp],MATCH(Table10[[#This Row],[Pcode]],CampList[CP_Pcode],0)-1,0,1,1)</f>
        <v>Dhama Rakhita, Nyein Chan Tar Yar Ward(Lon Khin)</v>
      </c>
      <c r="D65" s="26" t="str">
        <f ca="1">OFFSET(CampList[Township],MATCH(Table10[[#This Row],[Pcode]],CampList[CP_Pcode],0)-1,0,1,1)</f>
        <v>Hpakant</v>
      </c>
      <c r="E65" s="422">
        <f ca="1">OFFSET(CampList[HH],MATCH(Table10[[#This Row],[Pcode]],CampList[CP_Pcode],0)-1,0,1,1)</f>
        <v>65</v>
      </c>
      <c r="F65" s="422">
        <f ca="1">OFFSET(CampList[Total],MATCH(Table10[[#This Row],[Pcode]],CampList[CP_Pcode],0)-1,0,1,1)</f>
        <v>347</v>
      </c>
      <c r="G65" s="422">
        <f>SUMIF('NFI Tracking'!AO$6:AO$1048576,Table10[[#This Row],[Pcode]],'NFI Tracking'!AI$6:AI$1048576)</f>
        <v>0</v>
      </c>
      <c r="H65" s="422">
        <f>SUMIF('NFI Tracking'!AO$6:AO$1048576,Table10[[#This Row],[Pcode]],'NFI Tracking'!AJ$6:AJ$1048576)</f>
        <v>0</v>
      </c>
      <c r="I65" s="422">
        <f>SUMIF('NFI Tracking'!AO$6:AO$1048576,Table10[[#This Row],[Pcode]],'NFI Tracking'!AK$6:AK$1048576)</f>
        <v>0</v>
      </c>
      <c r="J65" s="422">
        <f ca="1">MAX(Table10[[#This Row],[HH]]*VLOOKUP("Winter Clothes Adult",NFI,6)-Table10[[#This Row],[Winter Clothes Adult ]],0)</f>
        <v>130</v>
      </c>
      <c r="K65" s="422">
        <f ca="1">MAX(Table10[[#This Row],[HH]]*VLOOKUP("Winter Clothes Children ",NFI,6)-Table10[[#This Row],[Winter Clothes Children ]],0)</f>
        <v>65</v>
      </c>
      <c r="L65" s="422">
        <f ca="1">MAX(Table10[[#This Row],[HH]]*VLOOKUP("Winter Items Other ",NFI,6)-Table10[[#This Row],[Winter Items Other ]],0)</f>
        <v>65</v>
      </c>
      <c r="M65" s="464" t="str">
        <f>IF(OR(Table10[[#This Row],[Winter Clothes Adult ]]&lt;&gt;0,Table10[[#This Row],[Winter Clothes Children ]]&lt;&gt;0,Table10[[#This Row],[Winter Items Other ]]&lt;&gt;0),"No","")</f>
        <v/>
      </c>
      <c r="N65" s="465">
        <f>COUNTIF(A:A,Table10[[#This Row],[Pcode]])-1</f>
        <v>0</v>
      </c>
    </row>
    <row r="66" spans="1:14" x14ac:dyDescent="0.25">
      <c r="A66" s="381" t="s">
        <v>242</v>
      </c>
      <c r="B66" s="26" t="str">
        <f ca="1">OFFSET(CampList[Priority],MATCH(Table10[[#This Row],[Pcode]],CampList[CP_Pcode],0)-1,0,1,1)</f>
        <v>P4</v>
      </c>
      <c r="C66" s="26" t="str">
        <f ca="1">OFFSET(CampList[Camp],MATCH(Table10[[#This Row],[Pcode]],CampList[CP_Pcode],0)-1,0,1,1)</f>
        <v>Du Kahtawng Qtr. 14</v>
      </c>
      <c r="D66" s="26" t="str">
        <f ca="1">OFFSET(CampList[Township],MATCH(Table10[[#This Row],[Pcode]],CampList[CP_Pcode],0)-1,0,1,1)</f>
        <v>Myitkyina</v>
      </c>
      <c r="E66" s="422">
        <f ca="1">OFFSET(CampList[HH],MATCH(Table10[[#This Row],[Pcode]],CampList[CP_Pcode],0)-1,0,1,1)</f>
        <v>6</v>
      </c>
      <c r="F66" s="422">
        <f ca="1">OFFSET(CampList[Total],MATCH(Table10[[#This Row],[Pcode]],CampList[CP_Pcode],0)-1,0,1,1)</f>
        <v>28</v>
      </c>
      <c r="G66" s="422">
        <f>SUMIF('NFI Tracking'!AO$6:AO$1048576,Table10[[#This Row],[Pcode]],'NFI Tracking'!AI$6:AI$1048576)</f>
        <v>0</v>
      </c>
      <c r="H66" s="422">
        <f>SUMIF('NFI Tracking'!AO$6:AO$1048576,Table10[[#This Row],[Pcode]],'NFI Tracking'!AJ$6:AJ$1048576)</f>
        <v>0</v>
      </c>
      <c r="I66" s="422">
        <f>SUMIF('NFI Tracking'!AO$6:AO$1048576,Table10[[#This Row],[Pcode]],'NFI Tracking'!AK$6:AK$1048576)</f>
        <v>0</v>
      </c>
      <c r="J66" s="422">
        <f ca="1">MAX(Table10[[#This Row],[HH]]*VLOOKUP("Winter Clothes Adult",NFI,6)-Table10[[#This Row],[Winter Clothes Adult ]],0)</f>
        <v>12</v>
      </c>
      <c r="K66" s="422">
        <f ca="1">MAX(Table10[[#This Row],[HH]]*VLOOKUP("Winter Clothes Children ",NFI,6)-Table10[[#This Row],[Winter Clothes Children ]],0)</f>
        <v>6</v>
      </c>
      <c r="L66" s="422">
        <f ca="1">MAX(Table10[[#This Row],[HH]]*VLOOKUP("Winter Items Other ",NFI,6)-Table10[[#This Row],[Winter Items Other ]],0)</f>
        <v>6</v>
      </c>
      <c r="M66" s="464" t="str">
        <f>IF(OR(Table10[[#This Row],[Winter Clothes Adult ]]&lt;&gt;0,Table10[[#This Row],[Winter Clothes Children ]]&lt;&gt;0,Table10[[#This Row],[Winter Items Other ]]&lt;&gt;0),"No","")</f>
        <v/>
      </c>
      <c r="N66" s="465">
        <f>COUNTIF(A:A,Table10[[#This Row],[Pcode]])-1</f>
        <v>0</v>
      </c>
    </row>
    <row r="67" spans="1:14" x14ac:dyDescent="0.25">
      <c r="A67" s="381" t="s">
        <v>244</v>
      </c>
      <c r="B67" s="26" t="str">
        <f ca="1">OFFSET(CampList[Priority],MATCH(Table10[[#This Row],[Pcode]],CampList[CP_Pcode],0)-1,0,1,1)</f>
        <v>P4</v>
      </c>
      <c r="C67" s="26" t="str">
        <f ca="1">OFFSET(CampList[Camp],MATCH(Table10[[#This Row],[Pcode]],CampList[CP_Pcode],0)-1,0,1,1)</f>
        <v>Du Kahtawng Qtr. 4</v>
      </c>
      <c r="D67" s="26" t="str">
        <f ca="1">OFFSET(CampList[Township],MATCH(Table10[[#This Row],[Pcode]],CampList[CP_Pcode],0)-1,0,1,1)</f>
        <v>Myitkyina</v>
      </c>
      <c r="E67" s="422">
        <f ca="1">OFFSET(CampList[HH],MATCH(Table10[[#This Row],[Pcode]],CampList[CP_Pcode],0)-1,0,1,1)</f>
        <v>6</v>
      </c>
      <c r="F67" s="422">
        <f ca="1">OFFSET(CampList[Total],MATCH(Table10[[#This Row],[Pcode]],CampList[CP_Pcode],0)-1,0,1,1)</f>
        <v>39</v>
      </c>
      <c r="G67" s="422">
        <f>SUMIF('NFI Tracking'!AO$6:AO$1048576,Table10[[#This Row],[Pcode]],'NFI Tracking'!AI$6:AI$1048576)</f>
        <v>0</v>
      </c>
      <c r="H67" s="422">
        <f>SUMIF('NFI Tracking'!AO$6:AO$1048576,Table10[[#This Row],[Pcode]],'NFI Tracking'!AJ$6:AJ$1048576)</f>
        <v>0</v>
      </c>
      <c r="I67" s="422">
        <f>SUMIF('NFI Tracking'!AO$6:AO$1048576,Table10[[#This Row],[Pcode]],'NFI Tracking'!AK$6:AK$1048576)</f>
        <v>0</v>
      </c>
      <c r="J67" s="422">
        <f ca="1">MAX(Table10[[#This Row],[HH]]*VLOOKUP("Winter Clothes Adult",NFI,6)-Table10[[#This Row],[Winter Clothes Adult ]],0)</f>
        <v>12</v>
      </c>
      <c r="K67" s="422">
        <f ca="1">MAX(Table10[[#This Row],[HH]]*VLOOKUP("Winter Clothes Children ",NFI,6)-Table10[[#This Row],[Winter Clothes Children ]],0)</f>
        <v>6</v>
      </c>
      <c r="L67" s="422">
        <f ca="1">MAX(Table10[[#This Row],[HH]]*VLOOKUP("Winter Items Other ",NFI,6)-Table10[[#This Row],[Winter Items Other ]],0)</f>
        <v>6</v>
      </c>
      <c r="M67" s="464" t="str">
        <f>IF(OR(Table10[[#This Row],[Winter Clothes Adult ]]&lt;&gt;0,Table10[[#This Row],[Winter Clothes Children ]]&lt;&gt;0,Table10[[#This Row],[Winter Items Other ]]&lt;&gt;0),"No","")</f>
        <v/>
      </c>
      <c r="N67" s="465">
        <f>COUNTIF(A:A,Table10[[#This Row],[Pcode]])-1</f>
        <v>0</v>
      </c>
    </row>
    <row r="68" spans="1:14" x14ac:dyDescent="0.25">
      <c r="A68" s="381" t="s">
        <v>246</v>
      </c>
      <c r="B68" s="26" t="str">
        <f ca="1">OFFSET(CampList[Priority],MATCH(Table10[[#This Row],[Pcode]],CampList[CP_Pcode],0)-1,0,1,1)</f>
        <v>P4</v>
      </c>
      <c r="C68" s="26" t="str">
        <f ca="1">OFFSET(CampList[Camp],MATCH(Table10[[#This Row],[Pcode]],CampList[CP_Pcode],0)-1,0,1,1)</f>
        <v>Du Kahtawng Qtr. 5</v>
      </c>
      <c r="D68" s="26" t="str">
        <f ca="1">OFFSET(CampList[Township],MATCH(Table10[[#This Row],[Pcode]],CampList[CP_Pcode],0)-1,0,1,1)</f>
        <v>Myitkyina</v>
      </c>
      <c r="E68" s="422">
        <f ca="1">OFFSET(CampList[HH],MATCH(Table10[[#This Row],[Pcode]],CampList[CP_Pcode],0)-1,0,1,1)</f>
        <v>50</v>
      </c>
      <c r="F68" s="422">
        <f ca="1">OFFSET(CampList[Total],MATCH(Table10[[#This Row],[Pcode]],CampList[CP_Pcode],0)-1,0,1,1)</f>
        <v>236</v>
      </c>
      <c r="G68" s="422">
        <f>SUMIF('NFI Tracking'!AO$6:AO$1048576,Table10[[#This Row],[Pcode]],'NFI Tracking'!AI$6:AI$1048576)</f>
        <v>0</v>
      </c>
      <c r="H68" s="422">
        <f>SUMIF('NFI Tracking'!AO$6:AO$1048576,Table10[[#This Row],[Pcode]],'NFI Tracking'!AJ$6:AJ$1048576)</f>
        <v>0</v>
      </c>
      <c r="I68" s="422">
        <f>SUMIF('NFI Tracking'!AO$6:AO$1048576,Table10[[#This Row],[Pcode]],'NFI Tracking'!AK$6:AK$1048576)</f>
        <v>0</v>
      </c>
      <c r="J68" s="422">
        <f ca="1">MAX(Table10[[#This Row],[HH]]*VLOOKUP("Winter Clothes Adult",NFI,6)-Table10[[#This Row],[Winter Clothes Adult ]],0)</f>
        <v>100</v>
      </c>
      <c r="K68" s="422">
        <f ca="1">MAX(Table10[[#This Row],[HH]]*VLOOKUP("Winter Clothes Children ",NFI,6)-Table10[[#This Row],[Winter Clothes Children ]],0)</f>
        <v>50</v>
      </c>
      <c r="L68" s="422">
        <f ca="1">MAX(Table10[[#This Row],[HH]]*VLOOKUP("Winter Items Other ",NFI,6)-Table10[[#This Row],[Winter Items Other ]],0)</f>
        <v>50</v>
      </c>
      <c r="M68" s="464" t="str">
        <f>IF(OR(Table10[[#This Row],[Winter Clothes Adult ]]&lt;&gt;0,Table10[[#This Row],[Winter Clothes Children ]]&lt;&gt;0,Table10[[#This Row],[Winter Items Other ]]&lt;&gt;0),"No","")</f>
        <v/>
      </c>
      <c r="N68" s="465">
        <f>COUNTIF(A:A,Table10[[#This Row],[Pcode]])-1</f>
        <v>0</v>
      </c>
    </row>
    <row r="69" spans="1:14" x14ac:dyDescent="0.25">
      <c r="A69" s="381" t="s">
        <v>312</v>
      </c>
      <c r="B69" s="26" t="str">
        <f ca="1">OFFSET(CampList[Priority],MATCH(Table10[[#This Row],[Pcode]],CampList[CP_Pcode],0)-1,0,1,1)</f>
        <v>P4</v>
      </c>
      <c r="C69" s="26" t="str">
        <f ca="1">OFFSET(CampList[Camp],MATCH(Table10[[#This Row],[Pcode]],CampList[CP_Pcode],0)-1,0,1,1)</f>
        <v xml:space="preserve">Hkat Cho </v>
      </c>
      <c r="D69" s="26" t="str">
        <f ca="1">OFFSET(CampList[Township],MATCH(Table10[[#This Row],[Pcode]],CampList[CP_Pcode],0)-1,0,1,1)</f>
        <v>Waingmaw</v>
      </c>
      <c r="E69" s="422">
        <f ca="1">OFFSET(CampList[HH],MATCH(Table10[[#This Row],[Pcode]],CampList[CP_Pcode],0)-1,0,1,1)</f>
        <v>111</v>
      </c>
      <c r="F69" s="422">
        <f ca="1">OFFSET(CampList[Total],MATCH(Table10[[#This Row],[Pcode]],CampList[CP_Pcode],0)-1,0,1,1)</f>
        <v>511</v>
      </c>
      <c r="G69" s="422">
        <f>SUMIF('NFI Tracking'!AO$6:AO$1048576,Table10[[#This Row],[Pcode]],'NFI Tracking'!AI$6:AI$1048576)</f>
        <v>0</v>
      </c>
      <c r="H69" s="422">
        <f>SUMIF('NFI Tracking'!AO$6:AO$1048576,Table10[[#This Row],[Pcode]],'NFI Tracking'!AJ$6:AJ$1048576)</f>
        <v>0</v>
      </c>
      <c r="I69" s="422">
        <f>SUMIF('NFI Tracking'!AO$6:AO$1048576,Table10[[#This Row],[Pcode]],'NFI Tracking'!AK$6:AK$1048576)</f>
        <v>0</v>
      </c>
      <c r="J69" s="422">
        <f ca="1">MAX(Table10[[#This Row],[HH]]*VLOOKUP("Winter Clothes Adult",NFI,6)-Table10[[#This Row],[Winter Clothes Adult ]],0)</f>
        <v>222</v>
      </c>
      <c r="K69" s="422">
        <f ca="1">MAX(Table10[[#This Row],[HH]]*VLOOKUP("Winter Clothes Children ",NFI,6)-Table10[[#This Row],[Winter Clothes Children ]],0)</f>
        <v>111</v>
      </c>
      <c r="L69" s="422">
        <f ca="1">MAX(Table10[[#This Row],[HH]]*VLOOKUP("Winter Items Other ",NFI,6)-Table10[[#This Row],[Winter Items Other ]],0)</f>
        <v>111</v>
      </c>
      <c r="M69" s="464" t="str">
        <f>IF(OR(Table10[[#This Row],[Winter Clothes Adult ]]&lt;&gt;0,Table10[[#This Row],[Winter Clothes Children ]]&lt;&gt;0,Table10[[#This Row],[Winter Items Other ]]&lt;&gt;0),"No","")</f>
        <v/>
      </c>
      <c r="N69" s="465">
        <f>COUNTIF(A:A,Table10[[#This Row],[Pcode]])-1</f>
        <v>0</v>
      </c>
    </row>
    <row r="70" spans="1:14" x14ac:dyDescent="0.25">
      <c r="A70" s="381" t="s">
        <v>87</v>
      </c>
      <c r="B70" s="26" t="str">
        <f ca="1">OFFSET(CampList[Priority],MATCH(Table10[[#This Row],[Pcode]],CampList[CP_Pcode],0)-1,0,1,1)</f>
        <v>P4</v>
      </c>
      <c r="C70" s="26" t="str">
        <f ca="1">OFFSET(CampList[Camp],MATCH(Table10[[#This Row],[Pcode]],CampList[CP_Pcode],0)-1,0,1,1)</f>
        <v>Hlaing Naung Baptist</v>
      </c>
      <c r="D70" s="26" t="str">
        <f ca="1">OFFSET(CampList[Township],MATCH(Table10[[#This Row],[Pcode]],CampList[CP_Pcode],0)-1,0,1,1)</f>
        <v>Hpakant</v>
      </c>
      <c r="E70" s="422">
        <f ca="1">OFFSET(CampList[HH],MATCH(Table10[[#This Row],[Pcode]],CampList[CP_Pcode],0)-1,0,1,1)</f>
        <v>12</v>
      </c>
      <c r="F70" s="422">
        <f ca="1">OFFSET(CampList[Total],MATCH(Table10[[#This Row],[Pcode]],CampList[CP_Pcode],0)-1,0,1,1)</f>
        <v>52</v>
      </c>
      <c r="G70" s="422">
        <f>SUMIF('NFI Tracking'!AO$6:AO$1048576,Table10[[#This Row],[Pcode]],'NFI Tracking'!AI$6:AI$1048576)</f>
        <v>0</v>
      </c>
      <c r="H70" s="422">
        <f>SUMIF('NFI Tracking'!AO$6:AO$1048576,Table10[[#This Row],[Pcode]],'NFI Tracking'!AJ$6:AJ$1048576)</f>
        <v>0</v>
      </c>
      <c r="I70" s="422">
        <f>SUMIF('NFI Tracking'!AO$6:AO$1048576,Table10[[#This Row],[Pcode]],'NFI Tracking'!AK$6:AK$1048576)</f>
        <v>0</v>
      </c>
      <c r="J70" s="422">
        <f ca="1">MAX(Table10[[#This Row],[HH]]*VLOOKUP("Winter Clothes Adult",NFI,6)-Table10[[#This Row],[Winter Clothes Adult ]],0)</f>
        <v>24</v>
      </c>
      <c r="K70" s="422">
        <f ca="1">MAX(Table10[[#This Row],[HH]]*VLOOKUP("Winter Clothes Children ",NFI,6)-Table10[[#This Row],[Winter Clothes Children ]],0)</f>
        <v>12</v>
      </c>
      <c r="L70" s="422">
        <f ca="1">MAX(Table10[[#This Row],[HH]]*VLOOKUP("Winter Items Other ",NFI,6)-Table10[[#This Row],[Winter Items Other ]],0)</f>
        <v>12</v>
      </c>
      <c r="M70" s="464" t="str">
        <f>IF(OR(Table10[[#This Row],[Winter Clothes Adult ]]&lt;&gt;0,Table10[[#This Row],[Winter Clothes Children ]]&lt;&gt;0,Table10[[#This Row],[Winter Items Other ]]&lt;&gt;0),"No","")</f>
        <v/>
      </c>
      <c r="N70" s="465">
        <f>COUNTIF(A:A,Table10[[#This Row],[Pcode]])-1</f>
        <v>0</v>
      </c>
    </row>
    <row r="71" spans="1:14" x14ac:dyDescent="0.25">
      <c r="A71" s="381" t="s">
        <v>45</v>
      </c>
      <c r="B71" s="26" t="str">
        <f ca="1">OFFSET(CampList[Priority],MATCH(Table10[[#This Row],[Pcode]],CampList[CP_Pcode],0)-1,0,1,1)</f>
        <v>P4</v>
      </c>
      <c r="C71" s="26" t="str">
        <f ca="1">OFFSET(CampList[Camp],MATCH(Table10[[#This Row],[Pcode]],CampList[CP_Pcode],0)-1,0,1,1)</f>
        <v>Hmaw Wan, Anglican</v>
      </c>
      <c r="D71" s="26" t="str">
        <f ca="1">OFFSET(CampList[Township],MATCH(Table10[[#This Row],[Pcode]],CampList[CP_Pcode],0)-1,0,1,1)</f>
        <v>Hpakant</v>
      </c>
      <c r="E71" s="422">
        <f ca="1">OFFSET(CampList[HH],MATCH(Table10[[#This Row],[Pcode]],CampList[CP_Pcode],0)-1,0,1,1)</f>
        <v>13</v>
      </c>
      <c r="F71" s="422">
        <f ca="1">OFFSET(CampList[Total],MATCH(Table10[[#This Row],[Pcode]],CampList[CP_Pcode],0)-1,0,1,1)</f>
        <v>75</v>
      </c>
      <c r="G71" s="422">
        <f>SUMIF('NFI Tracking'!AO$6:AO$1048576,Table10[[#This Row],[Pcode]],'NFI Tracking'!AI$6:AI$1048576)</f>
        <v>0</v>
      </c>
      <c r="H71" s="422">
        <f>SUMIF('NFI Tracking'!AO$6:AO$1048576,Table10[[#This Row],[Pcode]],'NFI Tracking'!AJ$6:AJ$1048576)</f>
        <v>0</v>
      </c>
      <c r="I71" s="422">
        <f>SUMIF('NFI Tracking'!AO$6:AO$1048576,Table10[[#This Row],[Pcode]],'NFI Tracking'!AK$6:AK$1048576)</f>
        <v>0</v>
      </c>
      <c r="J71" s="422">
        <f ca="1">MAX(Table10[[#This Row],[HH]]*VLOOKUP("Winter Clothes Adult",NFI,6)-Table10[[#This Row],[Winter Clothes Adult ]],0)</f>
        <v>26</v>
      </c>
      <c r="K71" s="422">
        <f ca="1">MAX(Table10[[#This Row],[HH]]*VLOOKUP("Winter Clothes Children ",NFI,6)-Table10[[#This Row],[Winter Clothes Children ]],0)</f>
        <v>13</v>
      </c>
      <c r="L71" s="422">
        <f ca="1">MAX(Table10[[#This Row],[HH]]*VLOOKUP("Winter Items Other ",NFI,6)-Table10[[#This Row],[Winter Items Other ]],0)</f>
        <v>13</v>
      </c>
      <c r="M71" s="464" t="str">
        <f>IF(OR(Table10[[#This Row],[Winter Clothes Adult ]]&lt;&gt;0,Table10[[#This Row],[Winter Clothes Children ]]&lt;&gt;0,Table10[[#This Row],[Winter Items Other ]]&lt;&gt;0),"No","")</f>
        <v/>
      </c>
      <c r="N71" s="465">
        <f>COUNTIF(A:A,Table10[[#This Row],[Pcode]])-1</f>
        <v>0</v>
      </c>
    </row>
    <row r="72" spans="1:14" x14ac:dyDescent="0.25">
      <c r="A72" s="381" t="s">
        <v>11</v>
      </c>
      <c r="B72" s="26" t="str">
        <f ca="1">OFFSET(CampList[Priority],MATCH(Table10[[#This Row],[Pcode]],CampList[CP_Pcode],0)-1,0,1,1)</f>
        <v>P4</v>
      </c>
      <c r="C72" s="26" t="str">
        <f ca="1">OFFSET(CampList[Camp],MATCH(Table10[[#This Row],[Pcode]],CampList[CP_Pcode],0)-1,0,1,1)</f>
        <v>Host Families</v>
      </c>
      <c r="D72" s="26" t="str">
        <f ca="1">OFFSET(CampList[Township],MATCH(Table10[[#This Row],[Pcode]],CampList[CP_Pcode],0)-1,0,1,1)</f>
        <v>Bhamo</v>
      </c>
      <c r="E72" s="422">
        <f ca="1">OFFSET(CampList[HH],MATCH(Table10[[#This Row],[Pcode]],CampList[CP_Pcode],0)-1,0,1,1)</f>
        <v>211</v>
      </c>
      <c r="F72" s="422">
        <f ca="1">OFFSET(CampList[Total],MATCH(Table10[[#This Row],[Pcode]],CampList[CP_Pcode],0)-1,0,1,1)</f>
        <v>989</v>
      </c>
      <c r="G72" s="422">
        <f>SUMIF('NFI Tracking'!AO$6:AO$1048576,Table10[[#This Row],[Pcode]],'NFI Tracking'!AI$6:AI$1048576)</f>
        <v>0</v>
      </c>
      <c r="H72" s="422">
        <f>SUMIF('NFI Tracking'!AO$6:AO$1048576,Table10[[#This Row],[Pcode]],'NFI Tracking'!AJ$6:AJ$1048576)</f>
        <v>0</v>
      </c>
      <c r="I72" s="422">
        <f>SUMIF('NFI Tracking'!AO$6:AO$1048576,Table10[[#This Row],[Pcode]],'NFI Tracking'!AK$6:AK$1048576)</f>
        <v>0</v>
      </c>
      <c r="J72" s="422">
        <f ca="1">MAX(Table10[[#This Row],[HH]]*VLOOKUP("Winter Clothes Adult",NFI,6)-Table10[[#This Row],[Winter Clothes Adult ]],0)</f>
        <v>422</v>
      </c>
      <c r="K72" s="422">
        <f ca="1">MAX(Table10[[#This Row],[HH]]*VLOOKUP("Winter Clothes Children ",NFI,6)-Table10[[#This Row],[Winter Clothes Children ]],0)</f>
        <v>211</v>
      </c>
      <c r="L72" s="422">
        <f ca="1">MAX(Table10[[#This Row],[HH]]*VLOOKUP("Winter Items Other ",NFI,6)-Table10[[#This Row],[Winter Items Other ]],0)</f>
        <v>211</v>
      </c>
      <c r="M72" s="464" t="str">
        <f>IF(OR(Table10[[#This Row],[Winter Clothes Adult ]]&lt;&gt;0,Table10[[#This Row],[Winter Clothes Children ]]&lt;&gt;0,Table10[[#This Row],[Winter Items Other ]]&lt;&gt;0),"No","")</f>
        <v/>
      </c>
      <c r="N72" s="465">
        <f>COUNTIF(A:A,Table10[[#This Row],[Pcode]])-1</f>
        <v>0</v>
      </c>
    </row>
    <row r="73" spans="1:14" x14ac:dyDescent="0.25">
      <c r="A73" s="381" t="s">
        <v>391</v>
      </c>
      <c r="B73" s="26" t="str">
        <f ca="1">OFFSET(CampList[Priority],MATCH(Table10[[#This Row],[Pcode]],CampList[CP_Pcode],0)-1,0,1,1)</f>
        <v>P4</v>
      </c>
      <c r="C73" s="26" t="str">
        <f ca="1">OFFSET(CampList[Camp],MATCH(Table10[[#This Row],[Pcode]],CampList[CP_Pcode],0)-1,0,1,1)</f>
        <v>Host Families</v>
      </c>
      <c r="D73" s="26" t="str">
        <f ca="1">OFFSET(CampList[Township],MATCH(Table10[[#This Row],[Pcode]],CampList[CP_Pcode],0)-1,0,1,1)</f>
        <v>Mansi</v>
      </c>
      <c r="E73" s="422">
        <f ca="1">OFFSET(CampList[HH],MATCH(Table10[[#This Row],[Pcode]],CampList[CP_Pcode],0)-1,0,1,1)</f>
        <v>76</v>
      </c>
      <c r="F73" s="422">
        <f ca="1">OFFSET(CampList[Total],MATCH(Table10[[#This Row],[Pcode]],CampList[CP_Pcode],0)-1,0,1,1)</f>
        <v>256</v>
      </c>
      <c r="G73" s="422">
        <f>SUMIF('NFI Tracking'!AO$6:AO$1048576,Table10[[#This Row],[Pcode]],'NFI Tracking'!AI$6:AI$1048576)</f>
        <v>0</v>
      </c>
      <c r="H73" s="422">
        <f>SUMIF('NFI Tracking'!AO$6:AO$1048576,Table10[[#This Row],[Pcode]],'NFI Tracking'!AJ$6:AJ$1048576)</f>
        <v>0</v>
      </c>
      <c r="I73" s="422">
        <f>SUMIF('NFI Tracking'!AO$6:AO$1048576,Table10[[#This Row],[Pcode]],'NFI Tracking'!AK$6:AK$1048576)</f>
        <v>0</v>
      </c>
      <c r="J73" s="422">
        <f ca="1">MAX(Table10[[#This Row],[HH]]*VLOOKUP("Winter Clothes Adult",NFI,6)-Table10[[#This Row],[Winter Clothes Adult ]],0)</f>
        <v>152</v>
      </c>
      <c r="K73" s="422">
        <f ca="1">MAX(Table10[[#This Row],[HH]]*VLOOKUP("Winter Clothes Children ",NFI,6)-Table10[[#This Row],[Winter Clothes Children ]],0)</f>
        <v>76</v>
      </c>
      <c r="L73" s="422">
        <f ca="1">MAX(Table10[[#This Row],[HH]]*VLOOKUP("Winter Items Other ",NFI,6)-Table10[[#This Row],[Winter Items Other ]],0)</f>
        <v>76</v>
      </c>
      <c r="M73" s="464" t="str">
        <f>IF(OR(Table10[[#This Row],[Winter Clothes Adult ]]&lt;&gt;0,Table10[[#This Row],[Winter Clothes Children ]]&lt;&gt;0,Table10[[#This Row],[Winter Items Other ]]&lt;&gt;0),"No","")</f>
        <v/>
      </c>
      <c r="N73" s="465">
        <f>COUNTIF(A:A,Table10[[#This Row],[Pcode]])-1</f>
        <v>0</v>
      </c>
    </row>
    <row r="74" spans="1:14" x14ac:dyDescent="0.25">
      <c r="A74" s="381" t="s">
        <v>392</v>
      </c>
      <c r="B74" s="26" t="str">
        <f ca="1">OFFSET(CampList[Priority],MATCH(Table10[[#This Row],[Pcode]],CampList[CP_Pcode],0)-1,0,1,1)</f>
        <v>P4</v>
      </c>
      <c r="C74" s="26" t="str">
        <f ca="1">OFFSET(CampList[Camp],MATCH(Table10[[#This Row],[Pcode]],CampList[CP_Pcode],0)-1,0,1,1)</f>
        <v>Host Families</v>
      </c>
      <c r="D74" s="26" t="str">
        <f ca="1">OFFSET(CampList[Township],MATCH(Table10[[#This Row],[Pcode]],CampList[CP_Pcode],0)-1,0,1,1)</f>
        <v>Momauk</v>
      </c>
      <c r="E74" s="422">
        <f ca="1">OFFSET(CampList[HH],MATCH(Table10[[#This Row],[Pcode]],CampList[CP_Pcode],0)-1,0,1,1)</f>
        <v>320</v>
      </c>
      <c r="F74" s="422">
        <f ca="1">OFFSET(CampList[Total],MATCH(Table10[[#This Row],[Pcode]],CampList[CP_Pcode],0)-1,0,1,1)</f>
        <v>1125</v>
      </c>
      <c r="G74" s="422">
        <f>SUMIF('NFI Tracking'!AO$6:AO$1048576,Table10[[#This Row],[Pcode]],'NFI Tracking'!AI$6:AI$1048576)</f>
        <v>0</v>
      </c>
      <c r="H74" s="422">
        <f>SUMIF('NFI Tracking'!AO$6:AO$1048576,Table10[[#This Row],[Pcode]],'NFI Tracking'!AJ$6:AJ$1048576)</f>
        <v>0</v>
      </c>
      <c r="I74" s="422">
        <f>SUMIF('NFI Tracking'!AO$6:AO$1048576,Table10[[#This Row],[Pcode]],'NFI Tracking'!AK$6:AK$1048576)</f>
        <v>0</v>
      </c>
      <c r="J74" s="422">
        <f ca="1">MAX(Table10[[#This Row],[HH]]*VLOOKUP("Winter Clothes Adult",NFI,6)-Table10[[#This Row],[Winter Clothes Adult ]],0)</f>
        <v>640</v>
      </c>
      <c r="K74" s="422">
        <f ca="1">MAX(Table10[[#This Row],[HH]]*VLOOKUP("Winter Clothes Children ",NFI,6)-Table10[[#This Row],[Winter Clothes Children ]],0)</f>
        <v>320</v>
      </c>
      <c r="L74" s="422">
        <f ca="1">MAX(Table10[[#This Row],[HH]]*VLOOKUP("Winter Items Other ",NFI,6)-Table10[[#This Row],[Winter Items Other ]],0)</f>
        <v>320</v>
      </c>
      <c r="M74" s="464" t="str">
        <f>IF(OR(Table10[[#This Row],[Winter Clothes Adult ]]&lt;&gt;0,Table10[[#This Row],[Winter Clothes Children ]]&lt;&gt;0,Table10[[#This Row],[Winter Items Other ]]&lt;&gt;0),"No","")</f>
        <v/>
      </c>
      <c r="N74" s="465">
        <f>COUNTIF(A:A,Table10[[#This Row],[Pcode]])-1</f>
        <v>0</v>
      </c>
    </row>
    <row r="75" spans="1:14" x14ac:dyDescent="0.25">
      <c r="A75" s="381" t="s">
        <v>394</v>
      </c>
      <c r="B75" s="26" t="str">
        <f ca="1">OFFSET(CampList[Priority],MATCH(Table10[[#This Row],[Pcode]],CampList[CP_Pcode],0)-1,0,1,1)</f>
        <v>P4</v>
      </c>
      <c r="C75" s="26" t="str">
        <f ca="1">OFFSET(CampList[Camp],MATCH(Table10[[#This Row],[Pcode]],CampList[CP_Pcode],0)-1,0,1,1)</f>
        <v>Host Families</v>
      </c>
      <c r="D75" s="26" t="str">
        <f ca="1">OFFSET(CampList[Township],MATCH(Table10[[#This Row],[Pcode]],CampList[CP_Pcode],0)-1,0,1,1)</f>
        <v>Shwegu</v>
      </c>
      <c r="E75" s="422">
        <f ca="1">OFFSET(CampList[HH],MATCH(Table10[[#This Row],[Pcode]],CampList[CP_Pcode],0)-1,0,1,1)</f>
        <v>9</v>
      </c>
      <c r="F75" s="422">
        <f ca="1">OFFSET(CampList[Total],MATCH(Table10[[#This Row],[Pcode]],CampList[CP_Pcode],0)-1,0,1,1)</f>
        <v>30</v>
      </c>
      <c r="G75" s="422">
        <f>SUMIF('NFI Tracking'!AO$6:AO$1048576,Table10[[#This Row],[Pcode]],'NFI Tracking'!AI$6:AI$1048576)</f>
        <v>0</v>
      </c>
      <c r="H75" s="422">
        <f>SUMIF('NFI Tracking'!AO$6:AO$1048576,Table10[[#This Row],[Pcode]],'NFI Tracking'!AJ$6:AJ$1048576)</f>
        <v>0</v>
      </c>
      <c r="I75" s="422">
        <f>SUMIF('NFI Tracking'!AO$6:AO$1048576,Table10[[#This Row],[Pcode]],'NFI Tracking'!AK$6:AK$1048576)</f>
        <v>0</v>
      </c>
      <c r="J75" s="422">
        <f ca="1">MAX(Table10[[#This Row],[HH]]*VLOOKUP("Winter Clothes Adult",NFI,6)-Table10[[#This Row],[Winter Clothes Adult ]],0)</f>
        <v>18</v>
      </c>
      <c r="K75" s="422">
        <f ca="1">MAX(Table10[[#This Row],[HH]]*VLOOKUP("Winter Clothes Children ",NFI,6)-Table10[[#This Row],[Winter Clothes Children ]],0)</f>
        <v>9</v>
      </c>
      <c r="L75" s="422">
        <f ca="1">MAX(Table10[[#This Row],[HH]]*VLOOKUP("Winter Items Other ",NFI,6)-Table10[[#This Row],[Winter Items Other ]],0)</f>
        <v>9</v>
      </c>
      <c r="M75" s="464" t="str">
        <f>IF(OR(Table10[[#This Row],[Winter Clothes Adult ]]&lt;&gt;0,Table10[[#This Row],[Winter Clothes Children ]]&lt;&gt;0,Table10[[#This Row],[Winter Items Other ]]&lt;&gt;0),"No","")</f>
        <v/>
      </c>
      <c r="N75" s="465">
        <f>COUNTIF(A:A,Table10[[#This Row],[Pcode]])-1</f>
        <v>0</v>
      </c>
    </row>
    <row r="76" spans="1:14" x14ac:dyDescent="0.25">
      <c r="A76" s="381" t="s">
        <v>388</v>
      </c>
      <c r="B76" s="26" t="str">
        <f ca="1">OFFSET(CampList[Priority],MATCH(Table10[[#This Row],[Pcode]],CampList[CP_Pcode],0)-1,0,1,1)</f>
        <v>P4</v>
      </c>
      <c r="C76" s="26" t="str">
        <f ca="1">OFFSET(CampList[Camp],MATCH(Table10[[#This Row],[Pcode]],CampList[CP_Pcode],0)-1,0,1,1)</f>
        <v>Hpai Kawng Mare</v>
      </c>
      <c r="D76" s="26" t="str">
        <f ca="1">OFFSET(CampList[Township],MATCH(Table10[[#This Row],[Pcode]],CampList[CP_Pcode],0)-1,0,1,1)</f>
        <v>Muse</v>
      </c>
      <c r="E76" s="422">
        <f ca="1">OFFSET(CampList[HH],MATCH(Table10[[#This Row],[Pcode]],CampList[CP_Pcode],0)-1,0,1,1)</f>
        <v>32</v>
      </c>
      <c r="F76" s="422">
        <f ca="1">OFFSET(CampList[Total],MATCH(Table10[[#This Row],[Pcode]],CampList[CP_Pcode],0)-1,0,1,1)</f>
        <v>187</v>
      </c>
      <c r="G76" s="422">
        <f>SUMIF('NFI Tracking'!AO$6:AO$1048576,Table10[[#This Row],[Pcode]],'NFI Tracking'!AI$6:AI$1048576)</f>
        <v>0</v>
      </c>
      <c r="H76" s="422">
        <f>SUMIF('NFI Tracking'!AO$6:AO$1048576,Table10[[#This Row],[Pcode]],'NFI Tracking'!AJ$6:AJ$1048576)</f>
        <v>0</v>
      </c>
      <c r="I76" s="422">
        <f>SUMIF('NFI Tracking'!AO$6:AO$1048576,Table10[[#This Row],[Pcode]],'NFI Tracking'!AK$6:AK$1048576)</f>
        <v>0</v>
      </c>
      <c r="J76" s="422">
        <f ca="1">MAX(Table10[[#This Row],[HH]]*VLOOKUP("Winter Clothes Adult",NFI,6)-Table10[[#This Row],[Winter Clothes Adult ]],0)</f>
        <v>64</v>
      </c>
      <c r="K76" s="422">
        <f ca="1">MAX(Table10[[#This Row],[HH]]*VLOOKUP("Winter Clothes Children ",NFI,6)-Table10[[#This Row],[Winter Clothes Children ]],0)</f>
        <v>32</v>
      </c>
      <c r="L76" s="422">
        <f ca="1">MAX(Table10[[#This Row],[HH]]*VLOOKUP("Winter Items Other ",NFI,6)-Table10[[#This Row],[Winter Items Other ]],0)</f>
        <v>32</v>
      </c>
      <c r="M76" s="464" t="str">
        <f>IF(OR(Table10[[#This Row],[Winter Clothes Adult ]]&lt;&gt;0,Table10[[#This Row],[Winter Clothes Children ]]&lt;&gt;0,Table10[[#This Row],[Winter Items Other ]]&lt;&gt;0),"No","")</f>
        <v/>
      </c>
      <c r="N76" s="465">
        <f>COUNTIF(A:A,Table10[[#This Row],[Pcode]])-1</f>
        <v>0</v>
      </c>
    </row>
    <row r="77" spans="1:14" x14ac:dyDescent="0.25">
      <c r="A77" s="381" t="s">
        <v>1073</v>
      </c>
      <c r="B77" s="26" t="str">
        <f ca="1">OFFSET(CampList[Priority],MATCH(Table10[[#This Row],[Pcode]],CampList[CP_Pcode],0)-1,0,1,1)</f>
        <v>P4</v>
      </c>
      <c r="C77" s="26" t="str">
        <f ca="1">OFFSET(CampList[Camp],MATCH(Table10[[#This Row],[Pcode]],CampList[CP_Pcode],0)-1,0,1,1)</f>
        <v>Hpakant Baptist Church, Nam Ma Hpit</v>
      </c>
      <c r="D77" s="26" t="str">
        <f ca="1">OFFSET(CampList[Township],MATCH(Table10[[#This Row],[Pcode]],CampList[CP_Pcode],0)-1,0,1,1)</f>
        <v>Hpakant</v>
      </c>
      <c r="E77" s="422">
        <f ca="1">OFFSET(CampList[HH],MATCH(Table10[[#This Row],[Pcode]],CampList[CP_Pcode],0)-1,0,1,1)</f>
        <v>116</v>
      </c>
      <c r="F77" s="422">
        <f ca="1">OFFSET(CampList[Total],MATCH(Table10[[#This Row],[Pcode]],CampList[CP_Pcode],0)-1,0,1,1)</f>
        <v>530</v>
      </c>
      <c r="G77" s="422">
        <f>SUMIF('NFI Tracking'!AO$6:AO$1048576,Table10[[#This Row],[Pcode]],'NFI Tracking'!AI$6:AI$1048576)</f>
        <v>0</v>
      </c>
      <c r="H77" s="422">
        <f>SUMIF('NFI Tracking'!AO$6:AO$1048576,Table10[[#This Row],[Pcode]],'NFI Tracking'!AJ$6:AJ$1048576)</f>
        <v>0</v>
      </c>
      <c r="I77" s="422">
        <f>SUMIF('NFI Tracking'!AO$6:AO$1048576,Table10[[#This Row],[Pcode]],'NFI Tracking'!AK$6:AK$1048576)</f>
        <v>0</v>
      </c>
      <c r="J77" s="422">
        <f ca="1">MAX(Table10[[#This Row],[HH]]*VLOOKUP("Winter Clothes Adult",NFI,6)-Table10[[#This Row],[Winter Clothes Adult ]],0)</f>
        <v>232</v>
      </c>
      <c r="K77" s="422">
        <f ca="1">MAX(Table10[[#This Row],[HH]]*VLOOKUP("Winter Clothes Children ",NFI,6)-Table10[[#This Row],[Winter Clothes Children ]],0)</f>
        <v>116</v>
      </c>
      <c r="L77" s="422">
        <f ca="1">MAX(Table10[[#This Row],[HH]]*VLOOKUP("Winter Items Other ",NFI,6)-Table10[[#This Row],[Winter Items Other ]],0)</f>
        <v>116</v>
      </c>
      <c r="M77" s="464" t="str">
        <f>IF(OR(Table10[[#This Row],[Winter Clothes Adult ]]&lt;&gt;0,Table10[[#This Row],[Winter Clothes Children ]]&lt;&gt;0,Table10[[#This Row],[Winter Items Other ]]&lt;&gt;0),"No","")</f>
        <v/>
      </c>
      <c r="N77" s="465">
        <f>COUNTIF(A:A,Table10[[#This Row],[Pcode]])-1</f>
        <v>0</v>
      </c>
    </row>
    <row r="78" spans="1:14" x14ac:dyDescent="0.25">
      <c r="A78" s="381" t="s">
        <v>13</v>
      </c>
      <c r="B78" s="26" t="str">
        <f ca="1">OFFSET(CampList[Priority],MATCH(Table10[[#This Row],[Pcode]],CampList[CP_Pcode],0)-1,0,1,1)</f>
        <v>P4</v>
      </c>
      <c r="C78" s="26" t="str">
        <f ca="1">OFFSET(CampList[Camp],MATCH(Table10[[#This Row],[Pcode]],CampList[CP_Pcode],0)-1,0,1,1)</f>
        <v>Htoi San Church</v>
      </c>
      <c r="D78" s="26" t="str">
        <f ca="1">OFFSET(CampList[Township],MATCH(Table10[[#This Row],[Pcode]],CampList[CP_Pcode],0)-1,0,1,1)</f>
        <v>Bhamo</v>
      </c>
      <c r="E78" s="422">
        <f ca="1">OFFSET(CampList[HH],MATCH(Table10[[#This Row],[Pcode]],CampList[CP_Pcode],0)-1,0,1,1)</f>
        <v>43</v>
      </c>
      <c r="F78" s="422">
        <f ca="1">OFFSET(CampList[Total],MATCH(Table10[[#This Row],[Pcode]],CampList[CP_Pcode],0)-1,0,1,1)</f>
        <v>237</v>
      </c>
      <c r="G78" s="422">
        <f>SUMIF('NFI Tracking'!AO$6:AO$1048576,Table10[[#This Row],[Pcode]],'NFI Tracking'!AI$6:AI$1048576)</f>
        <v>0</v>
      </c>
      <c r="H78" s="422">
        <f>SUMIF('NFI Tracking'!AO$6:AO$1048576,Table10[[#This Row],[Pcode]],'NFI Tracking'!AJ$6:AJ$1048576)</f>
        <v>0</v>
      </c>
      <c r="I78" s="422">
        <f>SUMIF('NFI Tracking'!AO$6:AO$1048576,Table10[[#This Row],[Pcode]],'NFI Tracking'!AK$6:AK$1048576)</f>
        <v>0</v>
      </c>
      <c r="J78" s="422">
        <f ca="1">MAX(Table10[[#This Row],[HH]]*VLOOKUP("Winter Clothes Adult",NFI,6)-Table10[[#This Row],[Winter Clothes Adult ]],0)</f>
        <v>86</v>
      </c>
      <c r="K78" s="422">
        <f ca="1">MAX(Table10[[#This Row],[HH]]*VLOOKUP("Winter Clothes Children ",NFI,6)-Table10[[#This Row],[Winter Clothes Children ]],0)</f>
        <v>43</v>
      </c>
      <c r="L78" s="422">
        <f ca="1">MAX(Table10[[#This Row],[HH]]*VLOOKUP("Winter Items Other ",NFI,6)-Table10[[#This Row],[Winter Items Other ]],0)</f>
        <v>43</v>
      </c>
      <c r="M78" s="464" t="str">
        <f>IF(OR(Table10[[#This Row],[Winter Clothes Adult ]]&lt;&gt;0,Table10[[#This Row],[Winter Clothes Children ]]&lt;&gt;0,Table10[[#This Row],[Winter Items Other ]]&lt;&gt;0),"No","")</f>
        <v/>
      </c>
      <c r="N78" s="465">
        <f>COUNTIF(A:A,Table10[[#This Row],[Pcode]])-1</f>
        <v>0</v>
      </c>
    </row>
    <row r="79" spans="1:14" x14ac:dyDescent="0.25">
      <c r="A79" s="381" t="s">
        <v>252</v>
      </c>
      <c r="B79" s="26" t="str">
        <f ca="1">OFFSET(CampList[Priority],MATCH(Table10[[#This Row],[Pcode]],CampList[CP_Pcode],0)-1,0,1,1)</f>
        <v>P4</v>
      </c>
      <c r="C79" s="26" t="str">
        <f ca="1">OFFSET(CampList[Camp],MATCH(Table10[[#This Row],[Pcode]],CampList[CP_Pcode],0)-1,0,1,1)</f>
        <v>Jan Mai Kawng Baptist Church</v>
      </c>
      <c r="D79" s="26" t="str">
        <f ca="1">OFFSET(CampList[Township],MATCH(Table10[[#This Row],[Pcode]],CampList[CP_Pcode],0)-1,0,1,1)</f>
        <v>Myitkyina</v>
      </c>
      <c r="E79" s="422">
        <f ca="1">OFFSET(CampList[HH],MATCH(Table10[[#This Row],[Pcode]],CampList[CP_Pcode],0)-1,0,1,1)</f>
        <v>203</v>
      </c>
      <c r="F79" s="422">
        <f ca="1">OFFSET(CampList[Total],MATCH(Table10[[#This Row],[Pcode]],CampList[CP_Pcode],0)-1,0,1,1)</f>
        <v>1072</v>
      </c>
      <c r="G79" s="422">
        <f>SUMIF('NFI Tracking'!AO$6:AO$1048576,Table10[[#This Row],[Pcode]],'NFI Tracking'!AI$6:AI$1048576)</f>
        <v>0</v>
      </c>
      <c r="H79" s="422">
        <f>SUMIF('NFI Tracking'!AO$6:AO$1048576,Table10[[#This Row],[Pcode]],'NFI Tracking'!AJ$6:AJ$1048576)</f>
        <v>0</v>
      </c>
      <c r="I79" s="422">
        <f>SUMIF('NFI Tracking'!AO$6:AO$1048576,Table10[[#This Row],[Pcode]],'NFI Tracking'!AK$6:AK$1048576)</f>
        <v>0</v>
      </c>
      <c r="J79" s="422">
        <f ca="1">MAX(Table10[[#This Row],[HH]]*VLOOKUP("Winter Clothes Adult",NFI,6)-Table10[[#This Row],[Winter Clothes Adult ]],0)</f>
        <v>406</v>
      </c>
      <c r="K79" s="422">
        <f ca="1">MAX(Table10[[#This Row],[HH]]*VLOOKUP("Winter Clothes Children ",NFI,6)-Table10[[#This Row],[Winter Clothes Children ]],0)</f>
        <v>203</v>
      </c>
      <c r="L79" s="422">
        <f ca="1">MAX(Table10[[#This Row],[HH]]*VLOOKUP("Winter Items Other ",NFI,6)-Table10[[#This Row],[Winter Items Other ]],0)</f>
        <v>203</v>
      </c>
      <c r="M79" s="464" t="str">
        <f>IF(OR(Table10[[#This Row],[Winter Clothes Adult ]]&lt;&gt;0,Table10[[#This Row],[Winter Clothes Children ]]&lt;&gt;0,Table10[[#This Row],[Winter Items Other ]]&lt;&gt;0),"No","")</f>
        <v/>
      </c>
      <c r="N79" s="465">
        <f>COUNTIF(A:A,Table10[[#This Row],[Pcode]])-1</f>
        <v>0</v>
      </c>
    </row>
    <row r="80" spans="1:14" x14ac:dyDescent="0.25">
      <c r="A80" s="381" t="s">
        <v>254</v>
      </c>
      <c r="B80" s="26" t="str">
        <f ca="1">OFFSET(CampList[Priority],MATCH(Table10[[#This Row],[Pcode]],CampList[CP_Pcode],0)-1,0,1,1)</f>
        <v>P4</v>
      </c>
      <c r="C80" s="26" t="str">
        <f ca="1">OFFSET(CampList[Camp],MATCH(Table10[[#This Row],[Pcode]],CampList[CP_Pcode],0)-1,0,1,1)</f>
        <v>Jan Mai Kawng Catholic Church</v>
      </c>
      <c r="D80" s="26" t="str">
        <f ca="1">OFFSET(CampList[Township],MATCH(Table10[[#This Row],[Pcode]],CampList[CP_Pcode],0)-1,0,1,1)</f>
        <v>Myitkyina</v>
      </c>
      <c r="E80" s="422">
        <f ca="1">OFFSET(CampList[HH],MATCH(Table10[[#This Row],[Pcode]],CampList[CP_Pcode],0)-1,0,1,1)</f>
        <v>109</v>
      </c>
      <c r="F80" s="422">
        <f ca="1">OFFSET(CampList[Total],MATCH(Table10[[#This Row],[Pcode]],CampList[CP_Pcode],0)-1,0,1,1)</f>
        <v>487</v>
      </c>
      <c r="G80" s="422">
        <f>SUMIF('NFI Tracking'!AO$6:AO$1048576,Table10[[#This Row],[Pcode]],'NFI Tracking'!AI$6:AI$1048576)</f>
        <v>0</v>
      </c>
      <c r="H80" s="422">
        <f>SUMIF('NFI Tracking'!AO$6:AO$1048576,Table10[[#This Row],[Pcode]],'NFI Tracking'!AJ$6:AJ$1048576)</f>
        <v>0</v>
      </c>
      <c r="I80" s="422">
        <f>SUMIF('NFI Tracking'!AO$6:AO$1048576,Table10[[#This Row],[Pcode]],'NFI Tracking'!AK$6:AK$1048576)</f>
        <v>0</v>
      </c>
      <c r="J80" s="422">
        <f ca="1">MAX(Table10[[#This Row],[HH]]*VLOOKUP("Winter Clothes Adult",NFI,6)-Table10[[#This Row],[Winter Clothes Adult ]],0)</f>
        <v>218</v>
      </c>
      <c r="K80" s="422">
        <f ca="1">MAX(Table10[[#This Row],[HH]]*VLOOKUP("Winter Clothes Children ",NFI,6)-Table10[[#This Row],[Winter Clothes Children ]],0)</f>
        <v>109</v>
      </c>
      <c r="L80" s="422">
        <f ca="1">MAX(Table10[[#This Row],[HH]]*VLOOKUP("Winter Items Other ",NFI,6)-Table10[[#This Row],[Winter Items Other ]],0)</f>
        <v>109</v>
      </c>
      <c r="M80" s="464" t="str">
        <f>IF(OR(Table10[[#This Row],[Winter Clothes Adult ]]&lt;&gt;0,Table10[[#This Row],[Winter Clothes Children ]]&lt;&gt;0,Table10[[#This Row],[Winter Items Other ]]&lt;&gt;0),"No","")</f>
        <v/>
      </c>
      <c r="N80" s="465">
        <f>COUNTIF(A:A,Table10[[#This Row],[Pcode]])-1</f>
        <v>0</v>
      </c>
    </row>
    <row r="81" spans="1:14" x14ac:dyDescent="0.25">
      <c r="A81" s="381" t="s">
        <v>524</v>
      </c>
      <c r="B81" s="26" t="str">
        <f ca="1">OFFSET(CampList[Priority],MATCH(Table10[[#This Row],[Pcode]],CampList[CP_Pcode],0)-1,0,1,1)</f>
        <v>P4</v>
      </c>
      <c r="C81" s="26" t="str">
        <f ca="1">OFFSET(CampList[Camp],MATCH(Table10[[#This Row],[Pcode]],CampList[CP_Pcode],0)-1,0,1,1)</f>
        <v>Khun Sint Village</v>
      </c>
      <c r="D81" s="26" t="str">
        <f ca="1">OFFSET(CampList[Township],MATCH(Table10[[#This Row],[Pcode]],CampList[CP_Pcode],0)-1,0,1,1)</f>
        <v>Momauk</v>
      </c>
      <c r="E81" s="422">
        <f ca="1">OFFSET(CampList[HH],MATCH(Table10[[#This Row],[Pcode]],CampList[CP_Pcode],0)-1,0,1,1)</f>
        <v>4</v>
      </c>
      <c r="F81" s="422">
        <f ca="1">OFFSET(CampList[Total],MATCH(Table10[[#This Row],[Pcode]],CampList[CP_Pcode],0)-1,0,1,1)</f>
        <v>26</v>
      </c>
      <c r="G81" s="422">
        <f>SUMIF('NFI Tracking'!AO$6:AO$1048576,Table10[[#This Row],[Pcode]],'NFI Tracking'!AI$6:AI$1048576)</f>
        <v>0</v>
      </c>
      <c r="H81" s="422">
        <f>SUMIF('NFI Tracking'!AO$6:AO$1048576,Table10[[#This Row],[Pcode]],'NFI Tracking'!AJ$6:AJ$1048576)</f>
        <v>0</v>
      </c>
      <c r="I81" s="422">
        <f>SUMIF('NFI Tracking'!AO$6:AO$1048576,Table10[[#This Row],[Pcode]],'NFI Tracking'!AK$6:AK$1048576)</f>
        <v>0</v>
      </c>
      <c r="J81" s="422">
        <f ca="1">MAX(Table10[[#This Row],[HH]]*VLOOKUP("Winter Clothes Adult",NFI,6)-Table10[[#This Row],[Winter Clothes Adult ]],0)</f>
        <v>8</v>
      </c>
      <c r="K81" s="422">
        <f ca="1">MAX(Table10[[#This Row],[HH]]*VLOOKUP("Winter Clothes Children ",NFI,6)-Table10[[#This Row],[Winter Clothes Children ]],0)</f>
        <v>4</v>
      </c>
      <c r="L81" s="422">
        <f ca="1">MAX(Table10[[#This Row],[HH]]*VLOOKUP("Winter Items Other ",NFI,6)-Table10[[#This Row],[Winter Items Other ]],0)</f>
        <v>4</v>
      </c>
      <c r="M81" s="464" t="str">
        <f>IF(OR(Table10[[#This Row],[Winter Clothes Adult ]]&lt;&gt;0,Table10[[#This Row],[Winter Clothes Children ]]&lt;&gt;0,Table10[[#This Row],[Winter Items Other ]]&lt;&gt;0),"No","")</f>
        <v/>
      </c>
      <c r="N81" s="465">
        <f>COUNTIF(A:A,Table10[[#This Row],[Pcode]])-1</f>
        <v>0</v>
      </c>
    </row>
    <row r="82" spans="1:14" x14ac:dyDescent="0.25">
      <c r="A82" s="381" t="s">
        <v>256</v>
      </c>
      <c r="B82" s="26" t="str">
        <f ca="1">OFFSET(CampList[Priority],MATCH(Table10[[#This Row],[Pcode]],CampList[CP_Pcode],0)-1,0,1,1)</f>
        <v>P4</v>
      </c>
      <c r="C82" s="26" t="str">
        <f ca="1">OFFSET(CampList[Camp],MATCH(Table10[[#This Row],[Pcode]],CampList[CP_Pcode],0)-1,0,1,1)</f>
        <v>Kyun Pin Thar Baptist Church</v>
      </c>
      <c r="D82" s="26" t="str">
        <f ca="1">OFFSET(CampList[Township],MATCH(Table10[[#This Row],[Pcode]],CampList[CP_Pcode],0)-1,0,1,1)</f>
        <v>Myitkyina</v>
      </c>
      <c r="E82" s="422">
        <f ca="1">OFFSET(CampList[HH],MATCH(Table10[[#This Row],[Pcode]],CampList[CP_Pcode],0)-1,0,1,1)</f>
        <v>45</v>
      </c>
      <c r="F82" s="422">
        <f ca="1">OFFSET(CampList[Total],MATCH(Table10[[#This Row],[Pcode]],CampList[CP_Pcode],0)-1,0,1,1)</f>
        <v>194</v>
      </c>
      <c r="G82" s="422">
        <f>SUMIF('NFI Tracking'!AO$6:AO$1048576,Table10[[#This Row],[Pcode]],'NFI Tracking'!AI$6:AI$1048576)</f>
        <v>0</v>
      </c>
      <c r="H82" s="422">
        <f>SUMIF('NFI Tracking'!AO$6:AO$1048576,Table10[[#This Row],[Pcode]],'NFI Tracking'!AJ$6:AJ$1048576)</f>
        <v>0</v>
      </c>
      <c r="I82" s="422">
        <f>SUMIF('NFI Tracking'!AO$6:AO$1048576,Table10[[#This Row],[Pcode]],'NFI Tracking'!AK$6:AK$1048576)</f>
        <v>0</v>
      </c>
      <c r="J82" s="422">
        <f ca="1">MAX(Table10[[#This Row],[HH]]*VLOOKUP("Winter Clothes Adult",NFI,6)-Table10[[#This Row],[Winter Clothes Adult ]],0)</f>
        <v>90</v>
      </c>
      <c r="K82" s="422">
        <f ca="1">MAX(Table10[[#This Row],[HH]]*VLOOKUP("Winter Clothes Children ",NFI,6)-Table10[[#This Row],[Winter Clothes Children ]],0)</f>
        <v>45</v>
      </c>
      <c r="L82" s="422">
        <f ca="1">MAX(Table10[[#This Row],[HH]]*VLOOKUP("Winter Items Other ",NFI,6)-Table10[[#This Row],[Winter Items Other ]],0)</f>
        <v>45</v>
      </c>
      <c r="M82" s="464" t="str">
        <f>IF(OR(Table10[[#This Row],[Winter Clothes Adult ]]&lt;&gt;0,Table10[[#This Row],[Winter Clothes Children ]]&lt;&gt;0,Table10[[#This Row],[Winter Items Other ]]&lt;&gt;0),"No","")</f>
        <v/>
      </c>
      <c r="N82" s="465">
        <f>COUNTIF(A:A,Table10[[#This Row],[Pcode]])-1</f>
        <v>0</v>
      </c>
    </row>
    <row r="83" spans="1:14" x14ac:dyDescent="0.25">
      <c r="A83" s="381" t="s">
        <v>172</v>
      </c>
      <c r="B83" s="26" t="str">
        <f ca="1">OFFSET(CampList[Priority],MATCH(Table10[[#This Row],[Pcode]],CampList[CP_Pcode],0)-1,0,1,1)</f>
        <v>P4</v>
      </c>
      <c r="C83" s="26" t="str">
        <f ca="1">OFFSET(CampList[Camp],MATCH(Table10[[#This Row],[Pcode]],CampList[CP_Pcode],0)-1,0,1,1)</f>
        <v xml:space="preserve">Kyun Taw Baptist Church </v>
      </c>
      <c r="D83" s="26" t="str">
        <f ca="1">OFFSET(CampList[Township],MATCH(Table10[[#This Row],[Pcode]],CampList[CP_Pcode],0)-1,0,1,1)</f>
        <v>Mogaung</v>
      </c>
      <c r="E83" s="422">
        <f ca="1">OFFSET(CampList[HH],MATCH(Table10[[#This Row],[Pcode]],CampList[CP_Pcode],0)-1,0,1,1)</f>
        <v>16</v>
      </c>
      <c r="F83" s="422">
        <f ca="1">OFFSET(CampList[Total],MATCH(Table10[[#This Row],[Pcode]],CampList[CP_Pcode],0)-1,0,1,1)</f>
        <v>69</v>
      </c>
      <c r="G83" s="422">
        <f>SUMIF('NFI Tracking'!AO$6:AO$1048576,Table10[[#This Row],[Pcode]],'NFI Tracking'!AI$6:AI$1048576)</f>
        <v>0</v>
      </c>
      <c r="H83" s="422">
        <f>SUMIF('NFI Tracking'!AO$6:AO$1048576,Table10[[#This Row],[Pcode]],'NFI Tracking'!AJ$6:AJ$1048576)</f>
        <v>0</v>
      </c>
      <c r="I83" s="422">
        <f>SUMIF('NFI Tracking'!AO$6:AO$1048576,Table10[[#This Row],[Pcode]],'NFI Tracking'!AK$6:AK$1048576)</f>
        <v>0</v>
      </c>
      <c r="J83" s="422">
        <f ca="1">MAX(Table10[[#This Row],[HH]]*VLOOKUP("Winter Clothes Adult",NFI,6)-Table10[[#This Row],[Winter Clothes Adult ]],0)</f>
        <v>32</v>
      </c>
      <c r="K83" s="422">
        <f ca="1">MAX(Table10[[#This Row],[HH]]*VLOOKUP("Winter Clothes Children ",NFI,6)-Table10[[#This Row],[Winter Clothes Children ]],0)</f>
        <v>16</v>
      </c>
      <c r="L83" s="422">
        <f ca="1">MAX(Table10[[#This Row],[HH]]*VLOOKUP("Winter Items Other ",NFI,6)-Table10[[#This Row],[Winter Items Other ]],0)</f>
        <v>16</v>
      </c>
      <c r="M83" s="464" t="str">
        <f>IF(OR(Table10[[#This Row],[Winter Clothes Adult ]]&lt;&gt;0,Table10[[#This Row],[Winter Clothes Children ]]&lt;&gt;0,Table10[[#This Row],[Winter Items Other ]]&lt;&gt;0),"No","")</f>
        <v/>
      </c>
      <c r="N83" s="465">
        <f>COUNTIF(A:A,Table10[[#This Row],[Pcode]])-1</f>
        <v>0</v>
      </c>
    </row>
    <row r="84" spans="1:14" x14ac:dyDescent="0.25">
      <c r="A84" s="381" t="s">
        <v>143</v>
      </c>
      <c r="B84" s="26" t="str">
        <f ca="1">OFFSET(CampList[Priority],MATCH(Table10[[#This Row],[Pcode]],CampList[CP_Pcode],0)-1,0,1,1)</f>
        <v>P4</v>
      </c>
      <c r="C84" s="26" t="str">
        <f ca="1">OFFSET(CampList[Camp],MATCH(Table10[[#This Row],[Pcode]],CampList[CP_Pcode],0)-1,0,1,1)</f>
        <v>La Ja</v>
      </c>
      <c r="D84" s="26" t="str">
        <f ca="1">OFFSET(CampList[Township],MATCH(Table10[[#This Row],[Pcode]],CampList[CP_Pcode],0)-1,0,1,1)</f>
        <v>Khaunglanhpu</v>
      </c>
      <c r="E84" s="422">
        <f ca="1">OFFSET(CampList[HH],MATCH(Table10[[#This Row],[Pcode]],CampList[CP_Pcode],0)-1,0,1,1)</f>
        <v>11</v>
      </c>
      <c r="F84" s="422">
        <f ca="1">OFFSET(CampList[Total],MATCH(Table10[[#This Row],[Pcode]],CampList[CP_Pcode],0)-1,0,1,1)</f>
        <v>17</v>
      </c>
      <c r="G84" s="422">
        <f>SUMIF('NFI Tracking'!AO$6:AO$1048576,Table10[[#This Row],[Pcode]],'NFI Tracking'!AI$6:AI$1048576)</f>
        <v>0</v>
      </c>
      <c r="H84" s="422">
        <f>SUMIF('NFI Tracking'!AO$6:AO$1048576,Table10[[#This Row],[Pcode]],'NFI Tracking'!AJ$6:AJ$1048576)</f>
        <v>0</v>
      </c>
      <c r="I84" s="422">
        <f>SUMIF('NFI Tracking'!AO$6:AO$1048576,Table10[[#This Row],[Pcode]],'NFI Tracking'!AK$6:AK$1048576)</f>
        <v>0</v>
      </c>
      <c r="J84" s="422">
        <f ca="1">MAX(Table10[[#This Row],[HH]]*VLOOKUP("Winter Clothes Adult",NFI,6)-Table10[[#This Row],[Winter Clothes Adult ]],0)</f>
        <v>22</v>
      </c>
      <c r="K84" s="422">
        <f ca="1">MAX(Table10[[#This Row],[HH]]*VLOOKUP("Winter Clothes Children ",NFI,6)-Table10[[#This Row],[Winter Clothes Children ]],0)</f>
        <v>11</v>
      </c>
      <c r="L84" s="422">
        <f ca="1">MAX(Table10[[#This Row],[HH]]*VLOOKUP("Winter Items Other ",NFI,6)-Table10[[#This Row],[Winter Items Other ]],0)</f>
        <v>11</v>
      </c>
      <c r="M84" s="464" t="str">
        <f>IF(OR(Table10[[#This Row],[Winter Clothes Adult ]]&lt;&gt;0,Table10[[#This Row],[Winter Clothes Children ]]&lt;&gt;0,Table10[[#This Row],[Winter Items Other ]]&lt;&gt;0),"No","")</f>
        <v/>
      </c>
      <c r="N84" s="465">
        <f>COUNTIF(A:A,Table10[[#This Row],[Pcode]])-1</f>
        <v>0</v>
      </c>
    </row>
    <row r="85" spans="1:14" x14ac:dyDescent="0.25">
      <c r="A85" s="381" t="s">
        <v>519</v>
      </c>
      <c r="B85" s="26" t="str">
        <f ca="1">OFFSET(CampList[Priority],MATCH(Table10[[#This Row],[Pcode]],CampList[CP_Pcode],0)-1,0,1,1)</f>
        <v>P4</v>
      </c>
      <c r="C85" s="26" t="str">
        <f ca="1">OFFSET(CampList[Camp],MATCH(Table10[[#This Row],[Pcode]],CampList[CP_Pcode],0)-1,0,1,1)</f>
        <v xml:space="preserve">Lagatyan </v>
      </c>
      <c r="D85" s="26" t="str">
        <f ca="1">OFFSET(CampList[Township],MATCH(Table10[[#This Row],[Pcode]],CampList[CP_Pcode],0)-1,0,1,1)</f>
        <v>Mansi</v>
      </c>
      <c r="E85" s="422">
        <f ca="1">OFFSET(CampList[HH],MATCH(Table10[[#This Row],[Pcode]],CampList[CP_Pcode],0)-1,0,1,1)</f>
        <v>0</v>
      </c>
      <c r="F85" s="422">
        <f ca="1">OFFSET(CampList[Total],MATCH(Table10[[#This Row],[Pcode]],CampList[CP_Pcode],0)-1,0,1,1)</f>
        <v>0</v>
      </c>
      <c r="G85" s="422">
        <f>SUMIF('NFI Tracking'!AO$6:AO$1048576,Table10[[#This Row],[Pcode]],'NFI Tracking'!AI$6:AI$1048576)</f>
        <v>0</v>
      </c>
      <c r="H85" s="422">
        <f>SUMIF('NFI Tracking'!AO$6:AO$1048576,Table10[[#This Row],[Pcode]],'NFI Tracking'!AJ$6:AJ$1048576)</f>
        <v>0</v>
      </c>
      <c r="I85" s="422">
        <f>SUMIF('NFI Tracking'!AO$6:AO$1048576,Table10[[#This Row],[Pcode]],'NFI Tracking'!AK$6:AK$1048576)</f>
        <v>0</v>
      </c>
      <c r="J85" s="422">
        <f ca="1">MAX(Table10[[#This Row],[HH]]*VLOOKUP("Winter Clothes Adult",NFI,6)-Table10[[#This Row],[Winter Clothes Adult ]],0)</f>
        <v>0</v>
      </c>
      <c r="K85" s="422">
        <f ca="1">MAX(Table10[[#This Row],[HH]]*VLOOKUP("Winter Clothes Children ",NFI,6)-Table10[[#This Row],[Winter Clothes Children ]],0)</f>
        <v>0</v>
      </c>
      <c r="L85" s="422">
        <f ca="1">MAX(Table10[[#This Row],[HH]]*VLOOKUP("Winter Items Other ",NFI,6)-Table10[[#This Row],[Winter Items Other ]],0)</f>
        <v>0</v>
      </c>
      <c r="M85" s="464" t="str">
        <f>IF(OR(Table10[[#This Row],[Winter Clothes Adult ]]&lt;&gt;0,Table10[[#This Row],[Winter Clothes Children ]]&lt;&gt;0,Table10[[#This Row],[Winter Items Other ]]&lt;&gt;0),"No","")</f>
        <v/>
      </c>
      <c r="N85" s="465">
        <f>COUNTIF(A:A,Table10[[#This Row],[Pcode]])-1</f>
        <v>0</v>
      </c>
    </row>
    <row r="86" spans="1:14" x14ac:dyDescent="0.25">
      <c r="A86" s="381" t="s">
        <v>339</v>
      </c>
      <c r="B86" s="26" t="str">
        <f ca="1">OFFSET(CampList[Priority],MATCH(Table10[[#This Row],[Pcode]],CampList[CP_Pcode],0)-1,0,1,1)</f>
        <v>P4</v>
      </c>
      <c r="C86" s="26" t="str">
        <f ca="1">OFFSET(CampList[Camp],MATCH(Table10[[#This Row],[Pcode]],CampList[CP_Pcode],0)-1,0,1,1)</f>
        <v>Laiza Muklum Hpyen  Yen Mungshawa ni</v>
      </c>
      <c r="D86" s="26" t="str">
        <f ca="1">OFFSET(CampList[Township],MATCH(Table10[[#This Row],[Pcode]],CampList[CP_Pcode],0)-1,0,1,1)</f>
        <v>Waingmaw</v>
      </c>
      <c r="E86" s="422">
        <f ca="1">OFFSET(CampList[HH],MATCH(Table10[[#This Row],[Pcode]],CampList[CP_Pcode],0)-1,0,1,1)</f>
        <v>355</v>
      </c>
      <c r="F86" s="422">
        <f ca="1">OFFSET(CampList[Total],MATCH(Table10[[#This Row],[Pcode]],CampList[CP_Pcode],0)-1,0,1,1)</f>
        <v>4450</v>
      </c>
      <c r="G86" s="422">
        <f>SUMIF('NFI Tracking'!AO$6:AO$1048576,Table10[[#This Row],[Pcode]],'NFI Tracking'!AI$6:AI$1048576)</f>
        <v>0</v>
      </c>
      <c r="H86" s="422">
        <f>SUMIF('NFI Tracking'!AO$6:AO$1048576,Table10[[#This Row],[Pcode]],'NFI Tracking'!AJ$6:AJ$1048576)</f>
        <v>0</v>
      </c>
      <c r="I86" s="422">
        <f>SUMIF('NFI Tracking'!AO$6:AO$1048576,Table10[[#This Row],[Pcode]],'NFI Tracking'!AK$6:AK$1048576)</f>
        <v>0</v>
      </c>
      <c r="J86" s="422">
        <f ca="1">MAX(Table10[[#This Row],[HH]]*VLOOKUP("Winter Clothes Adult",NFI,6)-Table10[[#This Row],[Winter Clothes Adult ]],0)</f>
        <v>710</v>
      </c>
      <c r="K86" s="422">
        <f ca="1">MAX(Table10[[#This Row],[HH]]*VLOOKUP("Winter Clothes Children ",NFI,6)-Table10[[#This Row],[Winter Clothes Children ]],0)</f>
        <v>355</v>
      </c>
      <c r="L86" s="422">
        <f ca="1">MAX(Table10[[#This Row],[HH]]*VLOOKUP("Winter Items Other ",NFI,6)-Table10[[#This Row],[Winter Items Other ]],0)</f>
        <v>355</v>
      </c>
      <c r="M86" s="464" t="str">
        <f>IF(OR(Table10[[#This Row],[Winter Clothes Adult ]]&lt;&gt;0,Table10[[#This Row],[Winter Clothes Children ]]&lt;&gt;0,Table10[[#This Row],[Winter Items Other ]]&lt;&gt;0),"No","")</f>
        <v/>
      </c>
      <c r="N86" s="465">
        <f>COUNTIF(A:A,Table10[[#This Row],[Pcode]])-1</f>
        <v>0</v>
      </c>
    </row>
    <row r="87" spans="1:14" x14ac:dyDescent="0.25">
      <c r="A87" s="381" t="s">
        <v>303</v>
      </c>
      <c r="B87" s="26" t="str">
        <f ca="1">OFFSET(CampList[Priority],MATCH(Table10[[#This Row],[Pcode]],CampList[CP_Pcode],0)-1,0,1,1)</f>
        <v>P4</v>
      </c>
      <c r="C87" s="26" t="str">
        <f ca="1">OFFSET(CampList[Camp],MATCH(Table10[[#This Row],[Pcode]],CampList[CP_Pcode],0)-1,0,1,1)</f>
        <v>Lawk Awng Mare D. (Sinbo Area)</v>
      </c>
      <c r="D87" s="26" t="str">
        <f ca="1">OFFSET(CampList[Township],MATCH(Table10[[#This Row],[Pcode]],CampList[CP_Pcode],0)-1,0,1,1)</f>
        <v>Shwegu</v>
      </c>
      <c r="E87" s="422">
        <f ca="1">OFFSET(CampList[HH],MATCH(Table10[[#This Row],[Pcode]],CampList[CP_Pcode],0)-1,0,1,1)</f>
        <v>375</v>
      </c>
      <c r="F87" s="422">
        <f ca="1">OFFSET(CampList[Total],MATCH(Table10[[#This Row],[Pcode]],CampList[CP_Pcode],0)-1,0,1,1)</f>
        <v>1691</v>
      </c>
      <c r="G87" s="422">
        <f>SUMIF('NFI Tracking'!AO$6:AO$1048576,Table10[[#This Row],[Pcode]],'NFI Tracking'!AI$6:AI$1048576)</f>
        <v>0</v>
      </c>
      <c r="H87" s="422">
        <f>SUMIF('NFI Tracking'!AO$6:AO$1048576,Table10[[#This Row],[Pcode]],'NFI Tracking'!AJ$6:AJ$1048576)</f>
        <v>0</v>
      </c>
      <c r="I87" s="422">
        <f>SUMIF('NFI Tracking'!AO$6:AO$1048576,Table10[[#This Row],[Pcode]],'NFI Tracking'!AK$6:AK$1048576)</f>
        <v>0</v>
      </c>
      <c r="J87" s="422">
        <f ca="1">MAX(Table10[[#This Row],[HH]]*VLOOKUP("Winter Clothes Adult",NFI,6)-Table10[[#This Row],[Winter Clothes Adult ]],0)</f>
        <v>750</v>
      </c>
      <c r="K87" s="422">
        <f ca="1">MAX(Table10[[#This Row],[HH]]*VLOOKUP("Winter Clothes Children ",NFI,6)-Table10[[#This Row],[Winter Clothes Children ]],0)</f>
        <v>375</v>
      </c>
      <c r="L87" s="422">
        <f ca="1">MAX(Table10[[#This Row],[HH]]*VLOOKUP("Winter Items Other ",NFI,6)-Table10[[#This Row],[Winter Items Other ]],0)</f>
        <v>375</v>
      </c>
      <c r="M87" s="464" t="str">
        <f>IF(OR(Table10[[#This Row],[Winter Clothes Adult ]]&lt;&gt;0,Table10[[#This Row],[Winter Clothes Children ]]&lt;&gt;0,Table10[[#This Row],[Winter Items Other ]]&lt;&gt;0),"No","")</f>
        <v/>
      </c>
      <c r="N87" s="465">
        <f>COUNTIF(A:A,Table10[[#This Row],[Pcode]])-1</f>
        <v>0</v>
      </c>
    </row>
    <row r="88" spans="1:14" x14ac:dyDescent="0.25">
      <c r="A88" s="381" t="s">
        <v>239</v>
      </c>
      <c r="B88" s="26" t="str">
        <f ca="1">OFFSET(CampList[Priority],MATCH(Table10[[#This Row],[Pcode]],CampList[CP_Pcode],0)-1,0,1,1)</f>
        <v>P4</v>
      </c>
      <c r="C88" s="26" t="str">
        <f ca="1">OFFSET(CampList[Camp],MATCH(Table10[[#This Row],[Pcode]],CampList[CP_Pcode],0)-1,0,1,1)</f>
        <v>Le Kone Bethlehem Church</v>
      </c>
      <c r="D88" s="26" t="str">
        <f ca="1">OFFSET(CampList[Township],MATCH(Table10[[#This Row],[Pcode]],CampList[CP_Pcode],0)-1,0,1,1)</f>
        <v>Myitkyina</v>
      </c>
      <c r="E88" s="422">
        <f ca="1">OFFSET(CampList[HH],MATCH(Table10[[#This Row],[Pcode]],CampList[CP_Pcode],0)-1,0,1,1)</f>
        <v>108</v>
      </c>
      <c r="F88" s="422">
        <f ca="1">OFFSET(CampList[Total],MATCH(Table10[[#This Row],[Pcode]],CampList[CP_Pcode],0)-1,0,1,1)</f>
        <v>605</v>
      </c>
      <c r="G88" s="422">
        <f>SUMIF('NFI Tracking'!AO$6:AO$1048576,Table10[[#This Row],[Pcode]],'NFI Tracking'!AI$6:AI$1048576)</f>
        <v>0</v>
      </c>
      <c r="H88" s="422">
        <f>SUMIF('NFI Tracking'!AO$6:AO$1048576,Table10[[#This Row],[Pcode]],'NFI Tracking'!AJ$6:AJ$1048576)</f>
        <v>0</v>
      </c>
      <c r="I88" s="422">
        <f>SUMIF('NFI Tracking'!AO$6:AO$1048576,Table10[[#This Row],[Pcode]],'NFI Tracking'!AK$6:AK$1048576)</f>
        <v>0</v>
      </c>
      <c r="J88" s="422">
        <f ca="1">MAX(Table10[[#This Row],[HH]]*VLOOKUP("Winter Clothes Adult",NFI,6)-Table10[[#This Row],[Winter Clothes Adult ]],0)</f>
        <v>216</v>
      </c>
      <c r="K88" s="422">
        <f ca="1">MAX(Table10[[#This Row],[HH]]*VLOOKUP("Winter Clothes Children ",NFI,6)-Table10[[#This Row],[Winter Clothes Children ]],0)</f>
        <v>108</v>
      </c>
      <c r="L88" s="422">
        <f ca="1">MAX(Table10[[#This Row],[HH]]*VLOOKUP("Winter Items Other ",NFI,6)-Table10[[#This Row],[Winter Items Other ]],0)</f>
        <v>108</v>
      </c>
      <c r="M88" s="464" t="str">
        <f>IF(OR(Table10[[#This Row],[Winter Clothes Adult ]]&lt;&gt;0,Table10[[#This Row],[Winter Clothes Children ]]&lt;&gt;0,Table10[[#This Row],[Winter Items Other ]]&lt;&gt;0),"No","")</f>
        <v/>
      </c>
      <c r="N88" s="465">
        <f>COUNTIF(A:A,Table10[[#This Row],[Pcode]])-1</f>
        <v>0</v>
      </c>
    </row>
    <row r="89" spans="1:14" x14ac:dyDescent="0.25">
      <c r="A89" s="381" t="s">
        <v>284</v>
      </c>
      <c r="B89" s="26" t="str">
        <f ca="1">OFFSET(CampList[Priority],MATCH(Table10[[#This Row],[Pcode]],CampList[CP_Pcode],0)-1,0,1,1)</f>
        <v>P4</v>
      </c>
      <c r="C89" s="26" t="str">
        <f ca="1">OFFSET(CampList[Camp],MATCH(Table10[[#This Row],[Pcode]],CampList[CP_Pcode],0)-1,0,1,1)</f>
        <v xml:space="preserve">Le Kone Ziun Baptist Church </v>
      </c>
      <c r="D89" s="26" t="str">
        <f ca="1">OFFSET(CampList[Township],MATCH(Table10[[#This Row],[Pcode]],CampList[CP_Pcode],0)-1,0,1,1)</f>
        <v>Myitkyina</v>
      </c>
      <c r="E89" s="422">
        <f ca="1">OFFSET(CampList[HH],MATCH(Table10[[#This Row],[Pcode]],CampList[CP_Pcode],0)-1,0,1,1)</f>
        <v>163</v>
      </c>
      <c r="F89" s="422">
        <f ca="1">OFFSET(CampList[Total],MATCH(Table10[[#This Row],[Pcode]],CampList[CP_Pcode],0)-1,0,1,1)</f>
        <v>712</v>
      </c>
      <c r="G89" s="422">
        <f>SUMIF('NFI Tracking'!AO$6:AO$1048576,Table10[[#This Row],[Pcode]],'NFI Tracking'!AI$6:AI$1048576)</f>
        <v>0</v>
      </c>
      <c r="H89" s="422">
        <f>SUMIF('NFI Tracking'!AO$6:AO$1048576,Table10[[#This Row],[Pcode]],'NFI Tracking'!AJ$6:AJ$1048576)</f>
        <v>0</v>
      </c>
      <c r="I89" s="422">
        <f>SUMIF('NFI Tracking'!AO$6:AO$1048576,Table10[[#This Row],[Pcode]],'NFI Tracking'!AK$6:AK$1048576)</f>
        <v>0</v>
      </c>
      <c r="J89" s="422">
        <f ca="1">MAX(Table10[[#This Row],[HH]]*VLOOKUP("Winter Clothes Adult",NFI,6)-Table10[[#This Row],[Winter Clothes Adult ]],0)</f>
        <v>326</v>
      </c>
      <c r="K89" s="422">
        <f ca="1">MAX(Table10[[#This Row],[HH]]*VLOOKUP("Winter Clothes Children ",NFI,6)-Table10[[#This Row],[Winter Clothes Children ]],0)</f>
        <v>163</v>
      </c>
      <c r="L89" s="422">
        <f ca="1">MAX(Table10[[#This Row],[HH]]*VLOOKUP("Winter Items Other ",NFI,6)-Table10[[#This Row],[Winter Items Other ]],0)</f>
        <v>163</v>
      </c>
      <c r="M89" s="464" t="str">
        <f>IF(OR(Table10[[#This Row],[Winter Clothes Adult ]]&lt;&gt;0,Table10[[#This Row],[Winter Clothes Children ]]&lt;&gt;0,Table10[[#This Row],[Winter Items Other ]]&lt;&gt;0),"No","")</f>
        <v/>
      </c>
      <c r="N89" s="465">
        <f>COUNTIF(A:A,Table10[[#This Row],[Pcode]])-1</f>
        <v>0</v>
      </c>
    </row>
    <row r="90" spans="1:14" x14ac:dyDescent="0.25">
      <c r="A90" s="381" t="s">
        <v>89</v>
      </c>
      <c r="B90" s="26" t="str">
        <f ca="1">OFFSET(CampList[Priority],MATCH(Table10[[#This Row],[Pcode]],CampList[CP_Pcode],0)-1,0,1,1)</f>
        <v>P4</v>
      </c>
      <c r="C90" s="26" t="str">
        <f ca="1">OFFSET(CampList[Camp],MATCH(Table10[[#This Row],[Pcode]],CampList[CP_Pcode],0)-1,0,1,1)</f>
        <v>Lisu Baptist Church, Maw Shan Vil,. Seik Mu</v>
      </c>
      <c r="D90" s="26" t="str">
        <f ca="1">OFFSET(CampList[Township],MATCH(Table10[[#This Row],[Pcode]],CampList[CP_Pcode],0)-1,0,1,1)</f>
        <v>Hpakant</v>
      </c>
      <c r="E90" s="422">
        <f ca="1">OFFSET(CampList[HH],MATCH(Table10[[#This Row],[Pcode]],CampList[CP_Pcode],0)-1,0,1,1)</f>
        <v>25</v>
      </c>
      <c r="F90" s="422">
        <f ca="1">OFFSET(CampList[Total],MATCH(Table10[[#This Row],[Pcode]],CampList[CP_Pcode],0)-1,0,1,1)</f>
        <v>133</v>
      </c>
      <c r="G90" s="422">
        <f>SUMIF('NFI Tracking'!AO$6:AO$1048576,Table10[[#This Row],[Pcode]],'NFI Tracking'!AI$6:AI$1048576)</f>
        <v>0</v>
      </c>
      <c r="H90" s="422">
        <f>SUMIF('NFI Tracking'!AO$6:AO$1048576,Table10[[#This Row],[Pcode]],'NFI Tracking'!AJ$6:AJ$1048576)</f>
        <v>0</v>
      </c>
      <c r="I90" s="422">
        <f>SUMIF('NFI Tracking'!AO$6:AO$1048576,Table10[[#This Row],[Pcode]],'NFI Tracking'!AK$6:AK$1048576)</f>
        <v>0</v>
      </c>
      <c r="J90" s="422">
        <f ca="1">MAX(Table10[[#This Row],[HH]]*VLOOKUP("Winter Clothes Adult",NFI,6)-Table10[[#This Row],[Winter Clothes Adult ]],0)</f>
        <v>50</v>
      </c>
      <c r="K90" s="422">
        <f ca="1">MAX(Table10[[#This Row],[HH]]*VLOOKUP("Winter Clothes Children ",NFI,6)-Table10[[#This Row],[Winter Clothes Children ]],0)</f>
        <v>25</v>
      </c>
      <c r="L90" s="422">
        <f ca="1">MAX(Table10[[#This Row],[HH]]*VLOOKUP("Winter Items Other ",NFI,6)-Table10[[#This Row],[Winter Items Other ]],0)</f>
        <v>25</v>
      </c>
      <c r="M90" s="464" t="str">
        <f>IF(OR(Table10[[#This Row],[Winter Clothes Adult ]]&lt;&gt;0,Table10[[#This Row],[Winter Clothes Children ]]&lt;&gt;0,Table10[[#This Row],[Winter Items Other ]]&lt;&gt;0),"No","")</f>
        <v/>
      </c>
      <c r="N90" s="465">
        <f>COUNTIF(A:A,Table10[[#This Row],[Pcode]])-1</f>
        <v>0</v>
      </c>
    </row>
    <row r="91" spans="1:14" x14ac:dyDescent="0.25">
      <c r="A91" s="381" t="s">
        <v>91</v>
      </c>
      <c r="B91" s="26" t="str">
        <f ca="1">OFFSET(CampList[Priority],MATCH(Table10[[#This Row],[Pcode]],CampList[CP_Pcode],0)-1,0,1,1)</f>
        <v>P4</v>
      </c>
      <c r="C91" s="26" t="str">
        <f ca="1">OFFSET(CampList[Camp],MATCH(Table10[[#This Row],[Pcode]],CampList[CP_Pcode],0)-1,0,1,1)</f>
        <v>Lisu Baptist Church, Maw Wan Ward</v>
      </c>
      <c r="D91" s="26" t="str">
        <f ca="1">OFFSET(CampList[Township],MATCH(Table10[[#This Row],[Pcode]],CampList[CP_Pcode],0)-1,0,1,1)</f>
        <v>Hpakant</v>
      </c>
      <c r="E91" s="422">
        <f ca="1">OFFSET(CampList[HH],MATCH(Table10[[#This Row],[Pcode]],CampList[CP_Pcode],0)-1,0,1,1)</f>
        <v>15</v>
      </c>
      <c r="F91" s="422">
        <f ca="1">OFFSET(CampList[Total],MATCH(Table10[[#This Row],[Pcode]],CampList[CP_Pcode],0)-1,0,1,1)</f>
        <v>74</v>
      </c>
      <c r="G91" s="422">
        <f>SUMIF('NFI Tracking'!AO$6:AO$1048576,Table10[[#This Row],[Pcode]],'NFI Tracking'!AI$6:AI$1048576)</f>
        <v>0</v>
      </c>
      <c r="H91" s="422">
        <f>SUMIF('NFI Tracking'!AO$6:AO$1048576,Table10[[#This Row],[Pcode]],'NFI Tracking'!AJ$6:AJ$1048576)</f>
        <v>0</v>
      </c>
      <c r="I91" s="422">
        <f>SUMIF('NFI Tracking'!AO$6:AO$1048576,Table10[[#This Row],[Pcode]],'NFI Tracking'!AK$6:AK$1048576)</f>
        <v>0</v>
      </c>
      <c r="J91" s="422">
        <f ca="1">MAX(Table10[[#This Row],[HH]]*VLOOKUP("Winter Clothes Adult",NFI,6)-Table10[[#This Row],[Winter Clothes Adult ]],0)</f>
        <v>30</v>
      </c>
      <c r="K91" s="422">
        <f ca="1">MAX(Table10[[#This Row],[HH]]*VLOOKUP("Winter Clothes Children ",NFI,6)-Table10[[#This Row],[Winter Clothes Children ]],0)</f>
        <v>15</v>
      </c>
      <c r="L91" s="422">
        <f ca="1">MAX(Table10[[#This Row],[HH]]*VLOOKUP("Winter Items Other ",NFI,6)-Table10[[#This Row],[Winter Items Other ]],0)</f>
        <v>15</v>
      </c>
      <c r="M91" s="464" t="str">
        <f>IF(OR(Table10[[#This Row],[Winter Clothes Adult ]]&lt;&gt;0,Table10[[#This Row],[Winter Clothes Children ]]&lt;&gt;0,Table10[[#This Row],[Winter Items Other ]]&lt;&gt;0),"No","")</f>
        <v/>
      </c>
      <c r="N91" s="465">
        <f>COUNTIF(A:A,Table10[[#This Row],[Pcode]])-1</f>
        <v>0</v>
      </c>
    </row>
    <row r="92" spans="1:14" x14ac:dyDescent="0.25">
      <c r="A92" s="381" t="s">
        <v>17</v>
      </c>
      <c r="B92" s="26" t="str">
        <f ca="1">OFFSET(CampList[Priority],MATCH(Table10[[#This Row],[Pcode]],CampList[CP_Pcode],0)-1,0,1,1)</f>
        <v>P4</v>
      </c>
      <c r="C92" s="26" t="str">
        <f ca="1">OFFSET(CampList[Camp],MATCH(Table10[[#This Row],[Pcode]],CampList[CP_Pcode],0)-1,0,1,1)</f>
        <v>Lisu Boarding-House</v>
      </c>
      <c r="D92" s="26" t="str">
        <f ca="1">OFFSET(CampList[Township],MATCH(Table10[[#This Row],[Pcode]],CampList[CP_Pcode],0)-1,0,1,1)</f>
        <v>Bhamo</v>
      </c>
      <c r="E92" s="422">
        <f ca="1">OFFSET(CampList[HH],MATCH(Table10[[#This Row],[Pcode]],CampList[CP_Pcode],0)-1,0,1,1)</f>
        <v>116</v>
      </c>
      <c r="F92" s="422">
        <f ca="1">OFFSET(CampList[Total],MATCH(Table10[[#This Row],[Pcode]],CampList[CP_Pcode],0)-1,0,1,1)</f>
        <v>659</v>
      </c>
      <c r="G92" s="422">
        <f>SUMIF('NFI Tracking'!AO$6:AO$1048576,Table10[[#This Row],[Pcode]],'NFI Tracking'!AI$6:AI$1048576)</f>
        <v>0</v>
      </c>
      <c r="H92" s="422">
        <f>SUMIF('NFI Tracking'!AO$6:AO$1048576,Table10[[#This Row],[Pcode]],'NFI Tracking'!AJ$6:AJ$1048576)</f>
        <v>0</v>
      </c>
      <c r="I92" s="422">
        <f>SUMIF('NFI Tracking'!AO$6:AO$1048576,Table10[[#This Row],[Pcode]],'NFI Tracking'!AK$6:AK$1048576)</f>
        <v>0</v>
      </c>
      <c r="J92" s="422">
        <f ca="1">MAX(Table10[[#This Row],[HH]]*VLOOKUP("Winter Clothes Adult",NFI,6)-Table10[[#This Row],[Winter Clothes Adult ]],0)</f>
        <v>232</v>
      </c>
      <c r="K92" s="422">
        <f ca="1">MAX(Table10[[#This Row],[HH]]*VLOOKUP("Winter Clothes Children ",NFI,6)-Table10[[#This Row],[Winter Clothes Children ]],0)</f>
        <v>116</v>
      </c>
      <c r="L92" s="422">
        <f ca="1">MAX(Table10[[#This Row],[HH]]*VLOOKUP("Winter Items Other ",NFI,6)-Table10[[#This Row],[Winter Items Other ]],0)</f>
        <v>116</v>
      </c>
      <c r="M92" s="464" t="str">
        <f>IF(OR(Table10[[#This Row],[Winter Clothes Adult ]]&lt;&gt;0,Table10[[#This Row],[Winter Clothes Children ]]&lt;&gt;0,Table10[[#This Row],[Winter Items Other ]]&lt;&gt;0),"No","")</f>
        <v/>
      </c>
      <c r="N92" s="465">
        <f>COUNTIF(A:A,Table10[[#This Row],[Pcode]])-1</f>
        <v>0</v>
      </c>
    </row>
    <row r="93" spans="1:14" x14ac:dyDescent="0.25">
      <c r="A93" s="381" t="s">
        <v>319</v>
      </c>
      <c r="B93" s="26" t="str">
        <f ca="1">OFFSET(CampList[Priority],MATCH(Table10[[#This Row],[Pcode]],CampList[CP_Pcode],0)-1,0,1,1)</f>
        <v>P4</v>
      </c>
      <c r="C93" s="26" t="str">
        <f ca="1">OFFSET(CampList[Camp],MATCH(Table10[[#This Row],[Pcode]],CampList[CP_Pcode],0)-1,0,1,1)</f>
        <v>Mading Baptist Church</v>
      </c>
      <c r="D93" s="26" t="str">
        <f ca="1">OFFSET(CampList[Township],MATCH(Table10[[#This Row],[Pcode]],CampList[CP_Pcode],0)-1,0,1,1)</f>
        <v>Waingmaw</v>
      </c>
      <c r="E93" s="422">
        <f ca="1">OFFSET(CampList[HH],MATCH(Table10[[#This Row],[Pcode]],CampList[CP_Pcode],0)-1,0,1,1)</f>
        <v>25</v>
      </c>
      <c r="F93" s="422">
        <f ca="1">OFFSET(CampList[Total],MATCH(Table10[[#This Row],[Pcode]],CampList[CP_Pcode],0)-1,0,1,1)</f>
        <v>138</v>
      </c>
      <c r="G93" s="422">
        <f>SUMIF('NFI Tracking'!AO$6:AO$1048576,Table10[[#This Row],[Pcode]],'NFI Tracking'!AI$6:AI$1048576)</f>
        <v>0</v>
      </c>
      <c r="H93" s="422">
        <f>SUMIF('NFI Tracking'!AO$6:AO$1048576,Table10[[#This Row],[Pcode]],'NFI Tracking'!AJ$6:AJ$1048576)</f>
        <v>0</v>
      </c>
      <c r="I93" s="422">
        <f>SUMIF('NFI Tracking'!AO$6:AO$1048576,Table10[[#This Row],[Pcode]],'NFI Tracking'!AK$6:AK$1048576)</f>
        <v>0</v>
      </c>
      <c r="J93" s="422">
        <f ca="1">MAX(Table10[[#This Row],[HH]]*VLOOKUP("Winter Clothes Adult",NFI,6)-Table10[[#This Row],[Winter Clothes Adult ]],0)</f>
        <v>50</v>
      </c>
      <c r="K93" s="422">
        <f ca="1">MAX(Table10[[#This Row],[HH]]*VLOOKUP("Winter Clothes Children ",NFI,6)-Table10[[#This Row],[Winter Clothes Children ]],0)</f>
        <v>25</v>
      </c>
      <c r="L93" s="422">
        <f ca="1">MAX(Table10[[#This Row],[HH]]*VLOOKUP("Winter Items Other ",NFI,6)-Table10[[#This Row],[Winter Items Other ]],0)</f>
        <v>25</v>
      </c>
      <c r="M93" s="464" t="str">
        <f>IF(OR(Table10[[#This Row],[Winter Clothes Adult ]]&lt;&gt;0,Table10[[#This Row],[Winter Clothes Children ]]&lt;&gt;0,Table10[[#This Row],[Winter Items Other ]]&lt;&gt;0),"No","")</f>
        <v/>
      </c>
      <c r="N93" s="465">
        <f>COUNTIF(A:A,Table10[[#This Row],[Pcode]])-1</f>
        <v>0</v>
      </c>
    </row>
    <row r="94" spans="1:14" x14ac:dyDescent="0.25">
      <c r="A94" s="381" t="s">
        <v>199</v>
      </c>
      <c r="B94" s="26" t="str">
        <f ca="1">OFFSET(CampList[Priority],MATCH(Table10[[#This Row],[Pcode]],CampList[CP_Pcode],0)-1,0,1,1)</f>
        <v>P4</v>
      </c>
      <c r="C94" s="26" t="str">
        <f ca="1">OFFSET(CampList[Camp],MATCH(Table10[[#This Row],[Pcode]],CampList[CP_Pcode],0)-1,0,1,1)</f>
        <v xml:space="preserve">Mai Khat </v>
      </c>
      <c r="D94" s="26" t="str">
        <f ca="1">OFFSET(CampList[Township],MATCH(Table10[[#This Row],[Pcode]],CampList[CP_Pcode],0)-1,0,1,1)</f>
        <v>Momauk</v>
      </c>
      <c r="E94" s="422">
        <f ca="1">OFFSET(CampList[HH],MATCH(Table10[[#This Row],[Pcode]],CampList[CP_Pcode],0)-1,0,1,1)</f>
        <v>2</v>
      </c>
      <c r="F94" s="422">
        <f ca="1">OFFSET(CampList[Total],MATCH(Table10[[#This Row],[Pcode]],CampList[CP_Pcode],0)-1,0,1,1)</f>
        <v>9</v>
      </c>
      <c r="G94" s="422">
        <f>SUMIF('NFI Tracking'!AO$6:AO$1048576,Table10[[#This Row],[Pcode]],'NFI Tracking'!AI$6:AI$1048576)</f>
        <v>0</v>
      </c>
      <c r="H94" s="422">
        <f>SUMIF('NFI Tracking'!AO$6:AO$1048576,Table10[[#This Row],[Pcode]],'NFI Tracking'!AJ$6:AJ$1048576)</f>
        <v>0</v>
      </c>
      <c r="I94" s="422">
        <f>SUMIF('NFI Tracking'!AO$6:AO$1048576,Table10[[#This Row],[Pcode]],'NFI Tracking'!AK$6:AK$1048576)</f>
        <v>0</v>
      </c>
      <c r="J94" s="422">
        <f ca="1">MAX(Table10[[#This Row],[HH]]*VLOOKUP("Winter Clothes Adult",NFI,6)-Table10[[#This Row],[Winter Clothes Adult ]],0)</f>
        <v>4</v>
      </c>
      <c r="K94" s="422">
        <f ca="1">MAX(Table10[[#This Row],[HH]]*VLOOKUP("Winter Clothes Children ",NFI,6)-Table10[[#This Row],[Winter Clothes Children ]],0)</f>
        <v>2</v>
      </c>
      <c r="L94" s="422">
        <f ca="1">MAX(Table10[[#This Row],[HH]]*VLOOKUP("Winter Items Other ",NFI,6)-Table10[[#This Row],[Winter Items Other ]],0)</f>
        <v>2</v>
      </c>
      <c r="M94" s="464" t="str">
        <f>IF(OR(Table10[[#This Row],[Winter Clothes Adult ]]&lt;&gt;0,Table10[[#This Row],[Winter Clothes Children ]]&lt;&gt;0,Table10[[#This Row],[Winter Items Other ]]&lt;&gt;0),"No","")</f>
        <v/>
      </c>
      <c r="N94" s="465">
        <f>COUNTIF(A:A,Table10[[#This Row],[Pcode]])-1</f>
        <v>0</v>
      </c>
    </row>
    <row r="95" spans="1:14" x14ac:dyDescent="0.25">
      <c r="A95" s="381" t="s">
        <v>327</v>
      </c>
      <c r="B95" s="26" t="str">
        <f ca="1">OFFSET(CampList[Priority],MATCH(Table10[[#This Row],[Pcode]],CampList[CP_Pcode],0)-1,0,1,1)</f>
        <v>P4</v>
      </c>
      <c r="C95" s="26" t="str">
        <f ca="1">OFFSET(CampList[Camp],MATCH(Table10[[#This Row],[Pcode]],CampList[CP_Pcode],0)-1,0,1,1)</f>
        <v>Maina AG Church</v>
      </c>
      <c r="D95" s="26" t="str">
        <f ca="1">OFFSET(CampList[Township],MATCH(Table10[[#This Row],[Pcode]],CampList[CP_Pcode],0)-1,0,1,1)</f>
        <v>Waingmaw</v>
      </c>
      <c r="E95" s="422">
        <f ca="1">OFFSET(CampList[HH],MATCH(Table10[[#This Row],[Pcode]],CampList[CP_Pcode],0)-1,0,1,1)</f>
        <v>135</v>
      </c>
      <c r="F95" s="422">
        <f ca="1">OFFSET(CampList[Total],MATCH(Table10[[#This Row],[Pcode]],CampList[CP_Pcode],0)-1,0,1,1)</f>
        <v>729</v>
      </c>
      <c r="G95" s="422">
        <f>SUMIF('NFI Tracking'!AO$6:AO$1048576,Table10[[#This Row],[Pcode]],'NFI Tracking'!AI$6:AI$1048576)</f>
        <v>0</v>
      </c>
      <c r="H95" s="422">
        <f>SUMIF('NFI Tracking'!AO$6:AO$1048576,Table10[[#This Row],[Pcode]],'NFI Tracking'!AJ$6:AJ$1048576)</f>
        <v>0</v>
      </c>
      <c r="I95" s="422">
        <f>SUMIF('NFI Tracking'!AO$6:AO$1048576,Table10[[#This Row],[Pcode]],'NFI Tracking'!AK$6:AK$1048576)</f>
        <v>0</v>
      </c>
      <c r="J95" s="422">
        <f ca="1">MAX(Table10[[#This Row],[HH]]*VLOOKUP("Winter Clothes Adult",NFI,6)-Table10[[#This Row],[Winter Clothes Adult ]],0)</f>
        <v>270</v>
      </c>
      <c r="K95" s="422">
        <f ca="1">MAX(Table10[[#This Row],[HH]]*VLOOKUP("Winter Clothes Children ",NFI,6)-Table10[[#This Row],[Winter Clothes Children ]],0)</f>
        <v>135</v>
      </c>
      <c r="L95" s="422">
        <f ca="1">MAX(Table10[[#This Row],[HH]]*VLOOKUP("Winter Items Other ",NFI,6)-Table10[[#This Row],[Winter Items Other ]],0)</f>
        <v>135</v>
      </c>
      <c r="M95" s="464" t="str">
        <f>IF(OR(Table10[[#This Row],[Winter Clothes Adult ]]&lt;&gt;0,Table10[[#This Row],[Winter Clothes Children ]]&lt;&gt;0,Table10[[#This Row],[Winter Items Other ]]&lt;&gt;0),"No","")</f>
        <v/>
      </c>
      <c r="N95" s="465">
        <f>COUNTIF(A:A,Table10[[#This Row],[Pcode]])-1</f>
        <v>0</v>
      </c>
    </row>
    <row r="96" spans="1:14" x14ac:dyDescent="0.25">
      <c r="A96" s="381" t="s">
        <v>329</v>
      </c>
      <c r="B96" s="26" t="str">
        <f ca="1">OFFSET(CampList[Priority],MATCH(Table10[[#This Row],[Pcode]],CampList[CP_Pcode],0)-1,0,1,1)</f>
        <v>P4</v>
      </c>
      <c r="C96" s="26" t="str">
        <f ca="1">OFFSET(CampList[Camp],MATCH(Table10[[#This Row],[Pcode]],CampList[CP_Pcode],0)-1,0,1,1)</f>
        <v>Maina Catholic Church (St. Joseph)</v>
      </c>
      <c r="D96" s="26" t="str">
        <f ca="1">OFFSET(CampList[Township],MATCH(Table10[[#This Row],[Pcode]],CampList[CP_Pcode],0)-1,0,1,1)</f>
        <v>Waingmaw</v>
      </c>
      <c r="E96" s="422">
        <f ca="1">OFFSET(CampList[HH],MATCH(Table10[[#This Row],[Pcode]],CampList[CP_Pcode],0)-1,0,1,1)</f>
        <v>227</v>
      </c>
      <c r="F96" s="422">
        <f ca="1">OFFSET(CampList[Total],MATCH(Table10[[#This Row],[Pcode]],CampList[CP_Pcode],0)-1,0,1,1)</f>
        <v>1221</v>
      </c>
      <c r="G96" s="422">
        <f>SUMIF('NFI Tracking'!AO$6:AO$1048576,Table10[[#This Row],[Pcode]],'NFI Tracking'!AI$6:AI$1048576)</f>
        <v>0</v>
      </c>
      <c r="H96" s="422">
        <f>SUMIF('NFI Tracking'!AO$6:AO$1048576,Table10[[#This Row],[Pcode]],'NFI Tracking'!AJ$6:AJ$1048576)</f>
        <v>0</v>
      </c>
      <c r="I96" s="422">
        <f>SUMIF('NFI Tracking'!AO$6:AO$1048576,Table10[[#This Row],[Pcode]],'NFI Tracking'!AK$6:AK$1048576)</f>
        <v>0</v>
      </c>
      <c r="J96" s="422">
        <f ca="1">MAX(Table10[[#This Row],[HH]]*VLOOKUP("Winter Clothes Adult",NFI,6)-Table10[[#This Row],[Winter Clothes Adult ]],0)</f>
        <v>454</v>
      </c>
      <c r="K96" s="422">
        <f ca="1">MAX(Table10[[#This Row],[HH]]*VLOOKUP("Winter Clothes Children ",NFI,6)-Table10[[#This Row],[Winter Clothes Children ]],0)</f>
        <v>227</v>
      </c>
      <c r="L96" s="422">
        <f ca="1">MAX(Table10[[#This Row],[HH]]*VLOOKUP("Winter Items Other ",NFI,6)-Table10[[#This Row],[Winter Items Other ]],0)</f>
        <v>227</v>
      </c>
      <c r="M96" s="464" t="str">
        <f>IF(OR(Table10[[#This Row],[Winter Clothes Adult ]]&lt;&gt;0,Table10[[#This Row],[Winter Clothes Children ]]&lt;&gt;0,Table10[[#This Row],[Winter Items Other ]]&lt;&gt;0),"No","")</f>
        <v/>
      </c>
      <c r="N96" s="465">
        <f>COUNTIF(A:A,Table10[[#This Row],[Pcode]])-1</f>
        <v>0</v>
      </c>
    </row>
    <row r="97" spans="1:14" x14ac:dyDescent="0.25">
      <c r="A97" s="381" t="s">
        <v>323</v>
      </c>
      <c r="B97" s="26" t="str">
        <f ca="1">OFFSET(CampList[Priority],MATCH(Table10[[#This Row],[Pcode]],CampList[CP_Pcode],0)-1,0,1,1)</f>
        <v>P4</v>
      </c>
      <c r="C97" s="26" t="str">
        <f ca="1">OFFSET(CampList[Camp],MATCH(Table10[[#This Row],[Pcode]],CampList[CP_Pcode],0)-1,0,1,1)</f>
        <v>Maina KBC (Bawng Ring)</v>
      </c>
      <c r="D97" s="26" t="str">
        <f ca="1">OFFSET(CampList[Township],MATCH(Table10[[#This Row],[Pcode]],CampList[CP_Pcode],0)-1,0,1,1)</f>
        <v>Waingmaw</v>
      </c>
      <c r="E97" s="422">
        <f ca="1">OFFSET(CampList[HH],MATCH(Table10[[#This Row],[Pcode]],CampList[CP_Pcode],0)-1,0,1,1)</f>
        <v>428</v>
      </c>
      <c r="F97" s="422">
        <f ca="1">OFFSET(CampList[Total],MATCH(Table10[[#This Row],[Pcode]],CampList[CP_Pcode],0)-1,0,1,1)</f>
        <v>2219</v>
      </c>
      <c r="G97" s="422">
        <f>SUMIF('NFI Tracking'!AO$6:AO$1048576,Table10[[#This Row],[Pcode]],'NFI Tracking'!AI$6:AI$1048576)</f>
        <v>0</v>
      </c>
      <c r="H97" s="422">
        <f>SUMIF('NFI Tracking'!AO$6:AO$1048576,Table10[[#This Row],[Pcode]],'NFI Tracking'!AJ$6:AJ$1048576)</f>
        <v>0</v>
      </c>
      <c r="I97" s="422">
        <f>SUMIF('NFI Tracking'!AO$6:AO$1048576,Table10[[#This Row],[Pcode]],'NFI Tracking'!AK$6:AK$1048576)</f>
        <v>0</v>
      </c>
      <c r="J97" s="422">
        <f ca="1">MAX(Table10[[#This Row],[HH]]*VLOOKUP("Winter Clothes Adult",NFI,6)-Table10[[#This Row],[Winter Clothes Adult ]],0)</f>
        <v>856</v>
      </c>
      <c r="K97" s="422">
        <f ca="1">MAX(Table10[[#This Row],[HH]]*VLOOKUP("Winter Clothes Children ",NFI,6)-Table10[[#This Row],[Winter Clothes Children ]],0)</f>
        <v>428</v>
      </c>
      <c r="L97" s="422">
        <f ca="1">MAX(Table10[[#This Row],[HH]]*VLOOKUP("Winter Items Other ",NFI,6)-Table10[[#This Row],[Winter Items Other ]],0)</f>
        <v>428</v>
      </c>
      <c r="M97" s="464" t="str">
        <f>IF(OR(Table10[[#This Row],[Winter Clothes Adult ]]&lt;&gt;0,Table10[[#This Row],[Winter Clothes Children ]]&lt;&gt;0,Table10[[#This Row],[Winter Items Other ]]&lt;&gt;0),"No","")</f>
        <v/>
      </c>
      <c r="N97" s="465">
        <f>COUNTIF(A:A,Table10[[#This Row],[Pcode]])-1</f>
        <v>0</v>
      </c>
    </row>
    <row r="98" spans="1:14" x14ac:dyDescent="0.25">
      <c r="A98" s="381" t="s">
        <v>325</v>
      </c>
      <c r="B98" s="26" t="str">
        <f ca="1">OFFSET(CampList[Priority],MATCH(Table10[[#This Row],[Pcode]],CampList[CP_Pcode],0)-1,0,1,1)</f>
        <v>P4</v>
      </c>
      <c r="C98" s="26" t="str">
        <f ca="1">OFFSET(CampList[Camp],MATCH(Table10[[#This Row],[Pcode]],CampList[CP_Pcode],0)-1,0,1,1)</f>
        <v>Maina Lawang Baptist Church</v>
      </c>
      <c r="D98" s="26" t="str">
        <f ca="1">OFFSET(CampList[Township],MATCH(Table10[[#This Row],[Pcode]],CampList[CP_Pcode],0)-1,0,1,1)</f>
        <v>Waingmaw</v>
      </c>
      <c r="E98" s="422">
        <f ca="1">OFFSET(CampList[HH],MATCH(Table10[[#This Row],[Pcode]],CampList[CP_Pcode],0)-1,0,1,1)</f>
        <v>48</v>
      </c>
      <c r="F98" s="422">
        <f ca="1">OFFSET(CampList[Total],MATCH(Table10[[#This Row],[Pcode]],CampList[CP_Pcode],0)-1,0,1,1)</f>
        <v>199</v>
      </c>
      <c r="G98" s="422">
        <f>SUMIF('NFI Tracking'!AO$6:AO$1048576,Table10[[#This Row],[Pcode]],'NFI Tracking'!AI$6:AI$1048576)</f>
        <v>0</v>
      </c>
      <c r="H98" s="422">
        <f>SUMIF('NFI Tracking'!AO$6:AO$1048576,Table10[[#This Row],[Pcode]],'NFI Tracking'!AJ$6:AJ$1048576)</f>
        <v>0</v>
      </c>
      <c r="I98" s="422">
        <f>SUMIF('NFI Tracking'!AO$6:AO$1048576,Table10[[#This Row],[Pcode]],'NFI Tracking'!AK$6:AK$1048576)</f>
        <v>0</v>
      </c>
      <c r="J98" s="422">
        <f ca="1">MAX(Table10[[#This Row],[HH]]*VLOOKUP("Winter Clothes Adult",NFI,6)-Table10[[#This Row],[Winter Clothes Adult ]],0)</f>
        <v>96</v>
      </c>
      <c r="K98" s="422">
        <f ca="1">MAX(Table10[[#This Row],[HH]]*VLOOKUP("Winter Clothes Children ",NFI,6)-Table10[[#This Row],[Winter Clothes Children ]],0)</f>
        <v>48</v>
      </c>
      <c r="L98" s="422">
        <f ca="1">MAX(Table10[[#This Row],[HH]]*VLOOKUP("Winter Items Other ",NFI,6)-Table10[[#This Row],[Winter Items Other ]],0)</f>
        <v>48</v>
      </c>
      <c r="M98" s="464" t="str">
        <f>IF(OR(Table10[[#This Row],[Winter Clothes Adult ]]&lt;&gt;0,Table10[[#This Row],[Winter Clothes Children ]]&lt;&gt;0,Table10[[#This Row],[Winter Items Other ]]&lt;&gt;0),"No","")</f>
        <v/>
      </c>
      <c r="N98" s="465">
        <f>COUNTIF(A:A,Table10[[#This Row],[Pcode]])-1</f>
        <v>0</v>
      </c>
    </row>
    <row r="99" spans="1:14" x14ac:dyDescent="0.25">
      <c r="A99" s="381" t="s">
        <v>892</v>
      </c>
      <c r="B99" s="26" t="str">
        <f ca="1">OFFSET(CampList[Priority],MATCH(Table10[[#This Row],[Pcode]],CampList[CP_Pcode],0)-1,0,1,1)</f>
        <v>P4</v>
      </c>
      <c r="C99" s="26" t="str">
        <f ca="1">OFFSET(CampList[Camp],MATCH(Table10[[#This Row],[Pcode]],CampList[CP_Pcode],0)-1,0,1,1)</f>
        <v>Maing Khaung</v>
      </c>
      <c r="D99" s="26" t="str">
        <f ca="1">OFFSET(CampList[Township],MATCH(Table10[[#This Row],[Pcode]],CampList[CP_Pcode],0)-1,0,1,1)</f>
        <v>Mansi</v>
      </c>
      <c r="E99" s="422">
        <f ca="1">OFFSET(CampList[HH],MATCH(Table10[[#This Row],[Pcode]],CampList[CP_Pcode],0)-1,0,1,1)</f>
        <v>372</v>
      </c>
      <c r="F99" s="422">
        <f ca="1">OFFSET(CampList[Total],MATCH(Table10[[#This Row],[Pcode]],CampList[CP_Pcode],0)-1,0,1,1)</f>
        <v>1443</v>
      </c>
      <c r="G99" s="422">
        <f>SUMIF('NFI Tracking'!AO$6:AO$1048576,Table10[[#This Row],[Pcode]],'NFI Tracking'!AI$6:AI$1048576)</f>
        <v>0</v>
      </c>
      <c r="H99" s="422">
        <f>SUMIF('NFI Tracking'!AO$6:AO$1048576,Table10[[#This Row],[Pcode]],'NFI Tracking'!AJ$6:AJ$1048576)</f>
        <v>0</v>
      </c>
      <c r="I99" s="422">
        <f>SUMIF('NFI Tracking'!AO$6:AO$1048576,Table10[[#This Row],[Pcode]],'NFI Tracking'!AK$6:AK$1048576)</f>
        <v>0</v>
      </c>
      <c r="J99" s="422">
        <f ca="1">MAX(Table10[[#This Row],[HH]]*VLOOKUP("Winter Clothes Adult",NFI,6)-Table10[[#This Row],[Winter Clothes Adult ]],0)</f>
        <v>744</v>
      </c>
      <c r="K99" s="422">
        <f ca="1">MAX(Table10[[#This Row],[HH]]*VLOOKUP("Winter Clothes Children ",NFI,6)-Table10[[#This Row],[Winter Clothes Children ]],0)</f>
        <v>372</v>
      </c>
      <c r="L99" s="422">
        <f ca="1">MAX(Table10[[#This Row],[HH]]*VLOOKUP("Winter Items Other ",NFI,6)-Table10[[#This Row],[Winter Items Other ]],0)</f>
        <v>372</v>
      </c>
      <c r="M99" s="464" t="str">
        <f>IF(OR(Table10[[#This Row],[Winter Clothes Adult ]]&lt;&gt;0,Table10[[#This Row],[Winter Clothes Children ]]&lt;&gt;0,Table10[[#This Row],[Winter Items Other ]]&lt;&gt;0),"No","")</f>
        <v/>
      </c>
      <c r="N99" s="465">
        <f>COUNTIF(A:A,Table10[[#This Row],[Pcode]])-1</f>
        <v>0</v>
      </c>
    </row>
    <row r="100" spans="1:14" x14ac:dyDescent="0.25">
      <c r="A100" s="381" t="s">
        <v>948</v>
      </c>
      <c r="B100" s="26" t="str">
        <f ca="1">OFFSET(CampList[Priority],MATCH(Table10[[#This Row],[Pcode]],CampList[CP_Pcode],0)-1,0,1,1)</f>
        <v>P4</v>
      </c>
      <c r="C100" s="26" t="str">
        <f ca="1">OFFSET(CampList[Camp],MATCH(Table10[[#This Row],[Pcode]],CampList[CP_Pcode],0)-1,0,1,1)</f>
        <v>Maing Khaung Catholic Church</v>
      </c>
      <c r="D100" s="26" t="str">
        <f ca="1">OFFSET(CampList[Township],MATCH(Table10[[#This Row],[Pcode]],CampList[CP_Pcode],0)-1,0,1,1)</f>
        <v>Mansi</v>
      </c>
      <c r="E100" s="422">
        <f ca="1">OFFSET(CampList[HH],MATCH(Table10[[#This Row],[Pcode]],CampList[CP_Pcode],0)-1,0,1,1)</f>
        <v>123</v>
      </c>
      <c r="F100" s="422">
        <f ca="1">OFFSET(CampList[Total],MATCH(Table10[[#This Row],[Pcode]],CampList[CP_Pcode],0)-1,0,1,1)</f>
        <v>582</v>
      </c>
      <c r="G100" s="422">
        <f>SUMIF('NFI Tracking'!AO$6:AO$1048576,Table10[[#This Row],[Pcode]],'NFI Tracking'!AI$6:AI$1048576)</f>
        <v>0</v>
      </c>
      <c r="H100" s="422">
        <f>SUMIF('NFI Tracking'!AO$6:AO$1048576,Table10[[#This Row],[Pcode]],'NFI Tracking'!AJ$6:AJ$1048576)</f>
        <v>0</v>
      </c>
      <c r="I100" s="422">
        <f>SUMIF('NFI Tracking'!AO$6:AO$1048576,Table10[[#This Row],[Pcode]],'NFI Tracking'!AK$6:AK$1048576)</f>
        <v>0</v>
      </c>
      <c r="J100" s="422">
        <f ca="1">MAX(Table10[[#This Row],[HH]]*VLOOKUP("Winter Clothes Adult",NFI,6)-Table10[[#This Row],[Winter Clothes Adult ]],0)</f>
        <v>246</v>
      </c>
      <c r="K100" s="422">
        <f ca="1">MAX(Table10[[#This Row],[HH]]*VLOOKUP("Winter Clothes Children ",NFI,6)-Table10[[#This Row],[Winter Clothes Children ]],0)</f>
        <v>123</v>
      </c>
      <c r="L100" s="422">
        <f ca="1">MAX(Table10[[#This Row],[HH]]*VLOOKUP("Winter Items Other ",NFI,6)-Table10[[#This Row],[Winter Items Other ]],0)</f>
        <v>123</v>
      </c>
      <c r="M100" s="464" t="str">
        <f>IF(OR(Table10[[#This Row],[Winter Clothes Adult ]]&lt;&gt;0,Table10[[#This Row],[Winter Clothes Children ]]&lt;&gt;0,Table10[[#This Row],[Winter Items Other ]]&lt;&gt;0),"No","")</f>
        <v/>
      </c>
      <c r="N100" s="465">
        <f>COUNTIF(A:A,Table10[[#This Row],[Pcode]])-1</f>
        <v>0</v>
      </c>
    </row>
    <row r="101" spans="1:14" x14ac:dyDescent="0.25">
      <c r="A101" s="381" t="s">
        <v>258</v>
      </c>
      <c r="B101" s="26" t="str">
        <f ca="1">OFFSET(CampList[Priority],MATCH(Table10[[#This Row],[Pcode]],CampList[CP_Pcode],0)-1,0,1,1)</f>
        <v>P4</v>
      </c>
      <c r="C101" s="26" t="str">
        <f ca="1">OFFSET(CampList[Camp],MATCH(Table10[[#This Row],[Pcode]],CampList[CP_Pcode],0)-1,0,1,1)</f>
        <v>Maliyang Baptist Church</v>
      </c>
      <c r="D101" s="26" t="str">
        <f ca="1">OFFSET(CampList[Township],MATCH(Table10[[#This Row],[Pcode]],CampList[CP_Pcode],0)-1,0,1,1)</f>
        <v>Myitkyina</v>
      </c>
      <c r="E101" s="422">
        <f ca="1">OFFSET(CampList[HH],MATCH(Table10[[#This Row],[Pcode]],CampList[CP_Pcode],0)-1,0,1,1)</f>
        <v>72</v>
      </c>
      <c r="F101" s="422">
        <f ca="1">OFFSET(CampList[Total],MATCH(Table10[[#This Row],[Pcode]],CampList[CP_Pcode],0)-1,0,1,1)</f>
        <v>375</v>
      </c>
      <c r="G101" s="422">
        <f>SUMIF('NFI Tracking'!AO$6:AO$1048576,Table10[[#This Row],[Pcode]],'NFI Tracking'!AI$6:AI$1048576)</f>
        <v>0</v>
      </c>
      <c r="H101" s="422">
        <f>SUMIF('NFI Tracking'!AO$6:AO$1048576,Table10[[#This Row],[Pcode]],'NFI Tracking'!AJ$6:AJ$1048576)</f>
        <v>0</v>
      </c>
      <c r="I101" s="422">
        <f>SUMIF('NFI Tracking'!AO$6:AO$1048576,Table10[[#This Row],[Pcode]],'NFI Tracking'!AK$6:AK$1048576)</f>
        <v>0</v>
      </c>
      <c r="J101" s="422">
        <f ca="1">MAX(Table10[[#This Row],[HH]]*VLOOKUP("Winter Clothes Adult",NFI,6)-Table10[[#This Row],[Winter Clothes Adult ]],0)</f>
        <v>144</v>
      </c>
      <c r="K101" s="422">
        <f ca="1">MAX(Table10[[#This Row],[HH]]*VLOOKUP("Winter Clothes Children ",NFI,6)-Table10[[#This Row],[Winter Clothes Children ]],0)</f>
        <v>72</v>
      </c>
      <c r="L101" s="422">
        <f ca="1">MAX(Table10[[#This Row],[HH]]*VLOOKUP("Winter Items Other ",NFI,6)-Table10[[#This Row],[Winter Items Other ]],0)</f>
        <v>72</v>
      </c>
      <c r="M101" s="464" t="str">
        <f>IF(OR(Table10[[#This Row],[Winter Clothes Adult ]]&lt;&gt;0,Table10[[#This Row],[Winter Clothes Children ]]&lt;&gt;0,Table10[[#This Row],[Winter Items Other ]]&lt;&gt;0),"No","")</f>
        <v/>
      </c>
      <c r="N101" s="465">
        <f>COUNTIF(A:A,Table10[[#This Row],[Pcode]])-1</f>
        <v>0</v>
      </c>
    </row>
    <row r="102" spans="1:14" x14ac:dyDescent="0.25">
      <c r="A102" s="381" t="s">
        <v>201</v>
      </c>
      <c r="B102" s="26" t="str">
        <f ca="1">OFFSET(CampList[Priority],MATCH(Table10[[#This Row],[Pcode]],CampList[CP_Pcode],0)-1,0,1,1)</f>
        <v>P4</v>
      </c>
      <c r="C102" s="26" t="str">
        <f ca="1">OFFSET(CampList[Camp],MATCH(Table10[[#This Row],[Pcode]],CampList[CP_Pcode],0)-1,0,1,1)</f>
        <v>Man Bung Catholic compound</v>
      </c>
      <c r="D102" s="26" t="str">
        <f ca="1">OFFSET(CampList[Township],MATCH(Table10[[#This Row],[Pcode]],CampList[CP_Pcode],0)-1,0,1,1)</f>
        <v>Momauk</v>
      </c>
      <c r="E102" s="422">
        <f ca="1">OFFSET(CampList[HH],MATCH(Table10[[#This Row],[Pcode]],CampList[CP_Pcode],0)-1,0,1,1)</f>
        <v>261</v>
      </c>
      <c r="F102" s="422">
        <f ca="1">OFFSET(CampList[Total],MATCH(Table10[[#This Row],[Pcode]],CampList[CP_Pcode],0)-1,0,1,1)</f>
        <v>1155</v>
      </c>
      <c r="G102" s="422">
        <f>SUMIF('NFI Tracking'!AO$6:AO$1048576,Table10[[#This Row],[Pcode]],'NFI Tracking'!AI$6:AI$1048576)</f>
        <v>0</v>
      </c>
      <c r="H102" s="422">
        <f>SUMIF('NFI Tracking'!AO$6:AO$1048576,Table10[[#This Row],[Pcode]],'NFI Tracking'!AJ$6:AJ$1048576)</f>
        <v>0</v>
      </c>
      <c r="I102" s="422">
        <f>SUMIF('NFI Tracking'!AO$6:AO$1048576,Table10[[#This Row],[Pcode]],'NFI Tracking'!AK$6:AK$1048576)</f>
        <v>0</v>
      </c>
      <c r="J102" s="422">
        <f ca="1">MAX(Table10[[#This Row],[HH]]*VLOOKUP("Winter Clothes Adult",NFI,6)-Table10[[#This Row],[Winter Clothes Adult ]],0)</f>
        <v>522</v>
      </c>
      <c r="K102" s="422">
        <f ca="1">MAX(Table10[[#This Row],[HH]]*VLOOKUP("Winter Clothes Children ",NFI,6)-Table10[[#This Row],[Winter Clothes Children ]],0)</f>
        <v>261</v>
      </c>
      <c r="L102" s="422">
        <f ca="1">MAX(Table10[[#This Row],[HH]]*VLOOKUP("Winter Items Other ",NFI,6)-Table10[[#This Row],[Winter Items Other ]],0)</f>
        <v>261</v>
      </c>
      <c r="M102" s="464" t="str">
        <f>IF(OR(Table10[[#This Row],[Winter Clothes Adult ]]&lt;&gt;0,Table10[[#This Row],[Winter Clothes Children ]]&lt;&gt;0,Table10[[#This Row],[Winter Items Other ]]&lt;&gt;0),"No","")</f>
        <v/>
      </c>
      <c r="N102" s="465">
        <f>COUNTIF(A:A,Table10[[#This Row],[Pcode]])-1</f>
        <v>0</v>
      </c>
    </row>
    <row r="103" spans="1:14" x14ac:dyDescent="0.25">
      <c r="A103" s="381" t="s">
        <v>260</v>
      </c>
      <c r="B103" s="26" t="str">
        <f ca="1">OFFSET(CampList[Priority],MATCH(Table10[[#This Row],[Pcode]],CampList[CP_Pcode],0)-1,0,1,1)</f>
        <v>P4</v>
      </c>
      <c r="C103" s="26" t="str">
        <f ca="1">OFFSET(CampList[Camp],MATCH(Table10[[#This Row],[Pcode]],CampList[CP_Pcode],0)-1,0,1,1)</f>
        <v>Man Hkring Baptist Church</v>
      </c>
      <c r="D103" s="26" t="str">
        <f ca="1">OFFSET(CampList[Township],MATCH(Table10[[#This Row],[Pcode]],CampList[CP_Pcode],0)-1,0,1,1)</f>
        <v>Myitkyina</v>
      </c>
      <c r="E103" s="422">
        <f ca="1">OFFSET(CampList[HH],MATCH(Table10[[#This Row],[Pcode]],CampList[CP_Pcode],0)-1,0,1,1)</f>
        <v>96</v>
      </c>
      <c r="F103" s="422">
        <f ca="1">OFFSET(CampList[Total],MATCH(Table10[[#This Row],[Pcode]],CampList[CP_Pcode],0)-1,0,1,1)</f>
        <v>505</v>
      </c>
      <c r="G103" s="422">
        <f>SUMIF('NFI Tracking'!AO$6:AO$1048576,Table10[[#This Row],[Pcode]],'NFI Tracking'!AI$6:AI$1048576)</f>
        <v>0</v>
      </c>
      <c r="H103" s="422">
        <f>SUMIF('NFI Tracking'!AO$6:AO$1048576,Table10[[#This Row],[Pcode]],'NFI Tracking'!AJ$6:AJ$1048576)</f>
        <v>0</v>
      </c>
      <c r="I103" s="422">
        <f>SUMIF('NFI Tracking'!AO$6:AO$1048576,Table10[[#This Row],[Pcode]],'NFI Tracking'!AK$6:AK$1048576)</f>
        <v>0</v>
      </c>
      <c r="J103" s="422">
        <f ca="1">MAX(Table10[[#This Row],[HH]]*VLOOKUP("Winter Clothes Adult",NFI,6)-Table10[[#This Row],[Winter Clothes Adult ]],0)</f>
        <v>192</v>
      </c>
      <c r="K103" s="422">
        <f ca="1">MAX(Table10[[#This Row],[HH]]*VLOOKUP("Winter Clothes Children ",NFI,6)-Table10[[#This Row],[Winter Clothes Children ]],0)</f>
        <v>96</v>
      </c>
      <c r="L103" s="422">
        <f ca="1">MAX(Table10[[#This Row],[HH]]*VLOOKUP("Winter Items Other ",NFI,6)-Table10[[#This Row],[Winter Items Other ]],0)</f>
        <v>96</v>
      </c>
      <c r="M103" s="464" t="str">
        <f>IF(OR(Table10[[#This Row],[Winter Clothes Adult ]]&lt;&gt;0,Table10[[#This Row],[Winter Clothes Children ]]&lt;&gt;0,Table10[[#This Row],[Winter Items Other ]]&lt;&gt;0),"No","")</f>
        <v/>
      </c>
      <c r="N103" s="465">
        <f>COUNTIF(A:A,Table10[[#This Row],[Pcode]])-1</f>
        <v>0</v>
      </c>
    </row>
    <row r="104" spans="1:14" x14ac:dyDescent="0.25">
      <c r="A104" s="381" t="s">
        <v>203</v>
      </c>
      <c r="B104" s="26" t="str">
        <f ca="1">OFFSET(CampList[Priority],MATCH(Table10[[#This Row],[Pcode]],CampList[CP_Pcode],0)-1,0,1,1)</f>
        <v>P4</v>
      </c>
      <c r="C104" s="26" t="str">
        <f ca="1">OFFSET(CampList[Camp],MATCH(Table10[[#This Row],[Pcode]],CampList[CP_Pcode],0)-1,0,1,1)</f>
        <v xml:space="preserve">Man Nawng </v>
      </c>
      <c r="D104" s="26" t="str">
        <f ca="1">OFFSET(CampList[Township],MATCH(Table10[[#This Row],[Pcode]],CampList[CP_Pcode],0)-1,0,1,1)</f>
        <v>Momauk</v>
      </c>
      <c r="E104" s="422">
        <f ca="1">OFFSET(CampList[HH],MATCH(Table10[[#This Row],[Pcode]],CampList[CP_Pcode],0)-1,0,1,1)</f>
        <v>28</v>
      </c>
      <c r="F104" s="422">
        <f ca="1">OFFSET(CampList[Total],MATCH(Table10[[#This Row],[Pcode]],CampList[CP_Pcode],0)-1,0,1,1)</f>
        <v>136</v>
      </c>
      <c r="G104" s="422">
        <f>SUMIF('NFI Tracking'!AO$6:AO$1048576,Table10[[#This Row],[Pcode]],'NFI Tracking'!AI$6:AI$1048576)</f>
        <v>0</v>
      </c>
      <c r="H104" s="422">
        <f>SUMIF('NFI Tracking'!AO$6:AO$1048576,Table10[[#This Row],[Pcode]],'NFI Tracking'!AJ$6:AJ$1048576)</f>
        <v>0</v>
      </c>
      <c r="I104" s="422">
        <f>SUMIF('NFI Tracking'!AO$6:AO$1048576,Table10[[#This Row],[Pcode]],'NFI Tracking'!AK$6:AK$1048576)</f>
        <v>0</v>
      </c>
      <c r="J104" s="422">
        <f ca="1">MAX(Table10[[#This Row],[HH]]*VLOOKUP("Winter Clothes Adult",NFI,6)-Table10[[#This Row],[Winter Clothes Adult ]],0)</f>
        <v>56</v>
      </c>
      <c r="K104" s="422">
        <f ca="1">MAX(Table10[[#This Row],[HH]]*VLOOKUP("Winter Clothes Children ",NFI,6)-Table10[[#This Row],[Winter Clothes Children ]],0)</f>
        <v>28</v>
      </c>
      <c r="L104" s="422">
        <f ca="1">MAX(Table10[[#This Row],[HH]]*VLOOKUP("Winter Items Other ",NFI,6)-Table10[[#This Row],[Winter Items Other ]],0)</f>
        <v>28</v>
      </c>
      <c r="M104" s="464" t="str">
        <f>IF(OR(Table10[[#This Row],[Winter Clothes Adult ]]&lt;&gt;0,Table10[[#This Row],[Winter Clothes Children ]]&lt;&gt;0,Table10[[#This Row],[Winter Items Other ]]&lt;&gt;0),"No","")</f>
        <v/>
      </c>
      <c r="N104" s="465">
        <f>COUNTIF(A:A,Table10[[#This Row],[Pcode]])-1</f>
        <v>0</v>
      </c>
    </row>
    <row r="105" spans="1:14" x14ac:dyDescent="0.25">
      <c r="A105" s="381" t="s">
        <v>393</v>
      </c>
      <c r="B105" s="26" t="str">
        <f ca="1">OFFSET(CampList[Priority],MATCH(Table10[[#This Row],[Pcode]],CampList[CP_Pcode],0)-1,0,1,1)</f>
        <v>P4</v>
      </c>
      <c r="C105" s="26" t="str">
        <f ca="1">OFFSET(CampList[Camp],MATCH(Table10[[#This Row],[Pcode]],CampList[CP_Pcode],0)-1,0,1,1)</f>
        <v>Man Ting</v>
      </c>
      <c r="D105" s="26" t="str">
        <f ca="1">OFFSET(CampList[Township],MATCH(Table10[[#This Row],[Pcode]],CampList[CP_Pcode],0)-1,0,1,1)</f>
        <v>Momauk</v>
      </c>
      <c r="E105" s="422">
        <f ca="1">OFFSET(CampList[HH],MATCH(Table10[[#This Row],[Pcode]],CampList[CP_Pcode],0)-1,0,1,1)</f>
        <v>0</v>
      </c>
      <c r="F105" s="422">
        <f ca="1">OFFSET(CampList[Total],MATCH(Table10[[#This Row],[Pcode]],CampList[CP_Pcode],0)-1,0,1,1)</f>
        <v>0</v>
      </c>
      <c r="G105" s="422">
        <f>SUMIF('NFI Tracking'!AO$6:AO$1048576,Table10[[#This Row],[Pcode]],'NFI Tracking'!AI$6:AI$1048576)</f>
        <v>0</v>
      </c>
      <c r="H105" s="422">
        <f>SUMIF('NFI Tracking'!AO$6:AO$1048576,Table10[[#This Row],[Pcode]],'NFI Tracking'!AJ$6:AJ$1048576)</f>
        <v>0</v>
      </c>
      <c r="I105" s="422">
        <f>SUMIF('NFI Tracking'!AO$6:AO$1048576,Table10[[#This Row],[Pcode]],'NFI Tracking'!AK$6:AK$1048576)</f>
        <v>0</v>
      </c>
      <c r="J105" s="422">
        <f ca="1">MAX(Table10[[#This Row],[HH]]*VLOOKUP("Winter Clothes Adult",NFI,6)-Table10[[#This Row],[Winter Clothes Adult ]],0)</f>
        <v>0</v>
      </c>
      <c r="K105" s="422">
        <f ca="1">MAX(Table10[[#This Row],[HH]]*VLOOKUP("Winter Clothes Children ",NFI,6)-Table10[[#This Row],[Winter Clothes Children ]],0)</f>
        <v>0</v>
      </c>
      <c r="L105" s="422">
        <f ca="1">MAX(Table10[[#This Row],[HH]]*VLOOKUP("Winter Items Other ",NFI,6)-Table10[[#This Row],[Winter Items Other ]],0)</f>
        <v>0</v>
      </c>
      <c r="M105" s="464" t="str">
        <f>IF(OR(Table10[[#This Row],[Winter Clothes Adult ]]&lt;&gt;0,Table10[[#This Row],[Winter Clothes Children ]]&lt;&gt;0,Table10[[#This Row],[Winter Items Other ]]&lt;&gt;0),"No","")</f>
        <v/>
      </c>
      <c r="N105" s="465">
        <f>COUNTIF(A:A,Table10[[#This Row],[Pcode]])-1</f>
        <v>0</v>
      </c>
    </row>
    <row r="106" spans="1:14" x14ac:dyDescent="0.25">
      <c r="A106" s="381" t="s">
        <v>159</v>
      </c>
      <c r="B106" s="26" t="str">
        <f ca="1">OFFSET(CampList[Priority],MATCH(Table10[[#This Row],[Pcode]],CampList[CP_Pcode],0)-1,0,1,1)</f>
        <v>P4</v>
      </c>
      <c r="C106" s="26" t="str">
        <f ca="1">OFFSET(CampList[Camp],MATCH(Table10[[#This Row],[Pcode]],CampList[CP_Pcode],0)-1,0,1,1)</f>
        <v>Man Wing Baptist Church</v>
      </c>
      <c r="D106" s="26" t="str">
        <f ca="1">OFFSET(CampList[Township],MATCH(Table10[[#This Row],[Pcode]],CampList[CP_Pcode],0)-1,0,1,1)</f>
        <v>Mansi</v>
      </c>
      <c r="E106" s="422">
        <f ca="1">OFFSET(CampList[HH],MATCH(Table10[[#This Row],[Pcode]],CampList[CP_Pcode],0)-1,0,1,1)</f>
        <v>114</v>
      </c>
      <c r="F106" s="422">
        <f ca="1">OFFSET(CampList[Total],MATCH(Table10[[#This Row],[Pcode]],CampList[CP_Pcode],0)-1,0,1,1)</f>
        <v>539</v>
      </c>
      <c r="G106" s="422">
        <f>SUMIF('NFI Tracking'!AO$6:AO$1048576,Table10[[#This Row],[Pcode]],'NFI Tracking'!AI$6:AI$1048576)</f>
        <v>0</v>
      </c>
      <c r="H106" s="422">
        <f>SUMIF('NFI Tracking'!AO$6:AO$1048576,Table10[[#This Row],[Pcode]],'NFI Tracking'!AJ$6:AJ$1048576)</f>
        <v>0</v>
      </c>
      <c r="I106" s="422">
        <f>SUMIF('NFI Tracking'!AO$6:AO$1048576,Table10[[#This Row],[Pcode]],'NFI Tracking'!AK$6:AK$1048576)</f>
        <v>0</v>
      </c>
      <c r="J106" s="422">
        <f ca="1">MAX(Table10[[#This Row],[HH]]*VLOOKUP("Winter Clothes Adult",NFI,6)-Table10[[#This Row],[Winter Clothes Adult ]],0)</f>
        <v>228</v>
      </c>
      <c r="K106" s="422">
        <f ca="1">MAX(Table10[[#This Row],[HH]]*VLOOKUP("Winter Clothes Children ",NFI,6)-Table10[[#This Row],[Winter Clothes Children ]],0)</f>
        <v>114</v>
      </c>
      <c r="L106" s="422">
        <f ca="1">MAX(Table10[[#This Row],[HH]]*VLOOKUP("Winter Items Other ",NFI,6)-Table10[[#This Row],[Winter Items Other ]],0)</f>
        <v>114</v>
      </c>
      <c r="M106" s="464" t="str">
        <f>IF(OR(Table10[[#This Row],[Winter Clothes Adult ]]&lt;&gt;0,Table10[[#This Row],[Winter Clothes Children ]]&lt;&gt;0,Table10[[#This Row],[Winter Items Other ]]&lt;&gt;0),"No","")</f>
        <v/>
      </c>
      <c r="N106" s="465">
        <f>COUNTIF(A:A,Table10[[#This Row],[Pcode]])-1</f>
        <v>0</v>
      </c>
    </row>
    <row r="107" spans="1:14" x14ac:dyDescent="0.25">
      <c r="A107" s="381" t="s">
        <v>153</v>
      </c>
      <c r="B107" s="26" t="str">
        <f ca="1">OFFSET(CampList[Priority],MATCH(Table10[[#This Row],[Pcode]],CampList[CP_Pcode],0)-1,0,1,1)</f>
        <v>P4</v>
      </c>
      <c r="C107" s="26" t="str">
        <f ca="1">OFFSET(CampList[Camp],MATCH(Table10[[#This Row],[Pcode]],CampList[CP_Pcode],0)-1,0,1,1)</f>
        <v>Man Wing Catholic Church</v>
      </c>
      <c r="D107" s="26" t="str">
        <f ca="1">OFFSET(CampList[Township],MATCH(Table10[[#This Row],[Pcode]],CampList[CP_Pcode],0)-1,0,1,1)</f>
        <v>Mansi</v>
      </c>
      <c r="E107" s="422">
        <f ca="1">OFFSET(CampList[HH],MATCH(Table10[[#This Row],[Pcode]],CampList[CP_Pcode],0)-1,0,1,1)</f>
        <v>458</v>
      </c>
      <c r="F107" s="422">
        <f ca="1">OFFSET(CampList[Total],MATCH(Table10[[#This Row],[Pcode]],CampList[CP_Pcode],0)-1,0,1,1)</f>
        <v>2139</v>
      </c>
      <c r="G107" s="422">
        <f>SUMIF('NFI Tracking'!AO$6:AO$1048576,Table10[[#This Row],[Pcode]],'NFI Tracking'!AI$6:AI$1048576)</f>
        <v>0</v>
      </c>
      <c r="H107" s="422">
        <f>SUMIF('NFI Tracking'!AO$6:AO$1048576,Table10[[#This Row],[Pcode]],'NFI Tracking'!AJ$6:AJ$1048576)</f>
        <v>0</v>
      </c>
      <c r="I107" s="422">
        <f>SUMIF('NFI Tracking'!AO$6:AO$1048576,Table10[[#This Row],[Pcode]],'NFI Tracking'!AK$6:AK$1048576)</f>
        <v>0</v>
      </c>
      <c r="J107" s="422">
        <f ca="1">MAX(Table10[[#This Row],[HH]]*VLOOKUP("Winter Clothes Adult",NFI,6)-Table10[[#This Row],[Winter Clothes Adult ]],0)</f>
        <v>916</v>
      </c>
      <c r="K107" s="422">
        <f ca="1">MAX(Table10[[#This Row],[HH]]*VLOOKUP("Winter Clothes Children ",NFI,6)-Table10[[#This Row],[Winter Clothes Children ]],0)</f>
        <v>458</v>
      </c>
      <c r="L107" s="422">
        <f ca="1">MAX(Table10[[#This Row],[HH]]*VLOOKUP("Winter Items Other ",NFI,6)-Table10[[#This Row],[Winter Items Other ]],0)</f>
        <v>458</v>
      </c>
      <c r="M107" s="464" t="str">
        <f>IF(OR(Table10[[#This Row],[Winter Clothes Adult ]]&lt;&gt;0,Table10[[#This Row],[Winter Clothes Children ]]&lt;&gt;0,Table10[[#This Row],[Winter Items Other ]]&lt;&gt;0),"No","")</f>
        <v/>
      </c>
      <c r="N107" s="465">
        <f>COUNTIF(A:A,Table10[[#This Row],[Pcode]])-1</f>
        <v>0</v>
      </c>
    </row>
    <row r="108" spans="1:14" x14ac:dyDescent="0.25">
      <c r="A108" s="381" t="s">
        <v>1069</v>
      </c>
      <c r="B108" s="26" t="str">
        <f ca="1">OFFSET(CampList[Priority],MATCH(Table10[[#This Row],[Pcode]],CampList[CP_Pcode],0)-1,0,1,1)</f>
        <v>P4</v>
      </c>
      <c r="C108" s="26" t="str">
        <f ca="1">OFFSET(CampList[Camp],MATCH(Table10[[#This Row],[Pcode]],CampList[CP_Pcode],0)-1,0,1,1)</f>
        <v>Man Wing Catholic Church II</v>
      </c>
      <c r="D108" s="26" t="str">
        <f ca="1">OFFSET(CampList[Township],MATCH(Table10[[#This Row],[Pcode]],CampList[CP_Pcode],0)-1,0,1,1)</f>
        <v>Mansi</v>
      </c>
      <c r="E108" s="422">
        <f ca="1">OFFSET(CampList[HH],MATCH(Table10[[#This Row],[Pcode]],CampList[CP_Pcode],0)-1,0,1,1)</f>
        <v>123</v>
      </c>
      <c r="F108" s="422">
        <f ca="1">OFFSET(CampList[Total],MATCH(Table10[[#This Row],[Pcode]],CampList[CP_Pcode],0)-1,0,1,1)</f>
        <v>555</v>
      </c>
      <c r="G108" s="422">
        <f>SUMIF('NFI Tracking'!AO$6:AO$1048576,Table10[[#This Row],[Pcode]],'NFI Tracking'!AI$6:AI$1048576)</f>
        <v>0</v>
      </c>
      <c r="H108" s="422">
        <f>SUMIF('NFI Tracking'!AO$6:AO$1048576,Table10[[#This Row],[Pcode]],'NFI Tracking'!AJ$6:AJ$1048576)</f>
        <v>0</v>
      </c>
      <c r="I108" s="422">
        <f>SUMIF('NFI Tracking'!AO$6:AO$1048576,Table10[[#This Row],[Pcode]],'NFI Tracking'!AK$6:AK$1048576)</f>
        <v>0</v>
      </c>
      <c r="J108" s="422">
        <f ca="1">MAX(Table10[[#This Row],[HH]]*VLOOKUP("Winter Clothes Adult",NFI,6)-Table10[[#This Row],[Winter Clothes Adult ]],0)</f>
        <v>246</v>
      </c>
      <c r="K108" s="422">
        <f ca="1">MAX(Table10[[#This Row],[HH]]*VLOOKUP("Winter Clothes Children ",NFI,6)-Table10[[#This Row],[Winter Clothes Children ]],0)</f>
        <v>123</v>
      </c>
      <c r="L108" s="422">
        <f ca="1">MAX(Table10[[#This Row],[HH]]*VLOOKUP("Winter Items Other ",NFI,6)-Table10[[#This Row],[Winter Items Other ]],0)</f>
        <v>123</v>
      </c>
      <c r="M108" s="464" t="str">
        <f>IF(OR(Table10[[#This Row],[Winter Clothes Adult ]]&lt;&gt;0,Table10[[#This Row],[Winter Clothes Children ]]&lt;&gt;0,Table10[[#This Row],[Winter Items Other ]]&lt;&gt;0),"No","")</f>
        <v/>
      </c>
      <c r="N108" s="465">
        <f>COUNTIF(A:A,Table10[[#This Row],[Pcode]])-1</f>
        <v>0</v>
      </c>
    </row>
    <row r="109" spans="1:14" x14ac:dyDescent="0.25">
      <c r="A109" s="381" t="s">
        <v>155</v>
      </c>
      <c r="B109" s="26" t="str">
        <f ca="1">OFFSET(CampList[Priority],MATCH(Table10[[#This Row],[Pcode]],CampList[CP_Pcode],0)-1,0,1,1)</f>
        <v>P4</v>
      </c>
      <c r="C109" s="26" t="str">
        <f ca="1">OFFSET(CampList[Camp],MATCH(Table10[[#This Row],[Pcode]],CampList[CP_Pcode],0)-1,0,1,1)</f>
        <v>Man Wing Host Families</v>
      </c>
      <c r="D109" s="26" t="str">
        <f ca="1">OFFSET(CampList[Township],MATCH(Table10[[#This Row],[Pcode]],CampList[CP_Pcode],0)-1,0,1,1)</f>
        <v>Mansi</v>
      </c>
      <c r="E109" s="422">
        <f ca="1">OFFSET(CampList[HH],MATCH(Table10[[#This Row],[Pcode]],CampList[CP_Pcode],0)-1,0,1,1)</f>
        <v>175</v>
      </c>
      <c r="F109" s="422">
        <f ca="1">OFFSET(CampList[Total],MATCH(Table10[[#This Row],[Pcode]],CampList[CP_Pcode],0)-1,0,1,1)</f>
        <v>834</v>
      </c>
      <c r="G109" s="422">
        <f>SUMIF('NFI Tracking'!AO$6:AO$1048576,Table10[[#This Row],[Pcode]],'NFI Tracking'!AI$6:AI$1048576)</f>
        <v>0</v>
      </c>
      <c r="H109" s="422">
        <f>SUMIF('NFI Tracking'!AO$6:AO$1048576,Table10[[#This Row],[Pcode]],'NFI Tracking'!AJ$6:AJ$1048576)</f>
        <v>0</v>
      </c>
      <c r="I109" s="422">
        <f>SUMIF('NFI Tracking'!AO$6:AO$1048576,Table10[[#This Row],[Pcode]],'NFI Tracking'!AK$6:AK$1048576)</f>
        <v>0</v>
      </c>
      <c r="J109" s="422">
        <f ca="1">MAX(Table10[[#This Row],[HH]]*VLOOKUP("Winter Clothes Adult",NFI,6)-Table10[[#This Row],[Winter Clothes Adult ]],0)</f>
        <v>350</v>
      </c>
      <c r="K109" s="422">
        <f ca="1">MAX(Table10[[#This Row],[HH]]*VLOOKUP("Winter Clothes Children ",NFI,6)-Table10[[#This Row],[Winter Clothes Children ]],0)</f>
        <v>175</v>
      </c>
      <c r="L109" s="422">
        <f ca="1">MAX(Table10[[#This Row],[HH]]*VLOOKUP("Winter Items Other ",NFI,6)-Table10[[#This Row],[Winter Items Other ]],0)</f>
        <v>175</v>
      </c>
      <c r="M109" s="464" t="str">
        <f>IF(OR(Table10[[#This Row],[Winter Clothes Adult ]]&lt;&gt;0,Table10[[#This Row],[Winter Clothes Children ]]&lt;&gt;0,Table10[[#This Row],[Winter Items Other ]]&lt;&gt;0),"No","")</f>
        <v/>
      </c>
      <c r="N109" s="465">
        <f>COUNTIF(A:A,Table10[[#This Row],[Pcode]])-1</f>
        <v>0</v>
      </c>
    </row>
    <row r="110" spans="1:14" x14ac:dyDescent="0.25">
      <c r="A110" s="381" t="s">
        <v>206</v>
      </c>
      <c r="B110" s="26" t="str">
        <f ca="1">OFFSET(CampList[Priority],MATCH(Table10[[#This Row],[Pcode]],CampList[CP_Pcode],0)-1,0,1,1)</f>
        <v>P4</v>
      </c>
      <c r="C110" s="26" t="str">
        <f ca="1">OFFSET(CampList[Camp],MATCH(Table10[[#This Row],[Pcode]],CampList[CP_Pcode],0)-1,0,1,1)</f>
        <v>Mandalay Monestry</v>
      </c>
      <c r="D110" s="26" t="str">
        <f ca="1">OFFSET(CampList[Township],MATCH(Table10[[#This Row],[Pcode]],CampList[CP_Pcode],0)-1,0,1,1)</f>
        <v>Momauk</v>
      </c>
      <c r="E110" s="422">
        <f ca="1">OFFSET(CampList[HH],MATCH(Table10[[#This Row],[Pcode]],CampList[CP_Pcode],0)-1,0,1,1)</f>
        <v>0</v>
      </c>
      <c r="F110" s="422">
        <f ca="1">OFFSET(CampList[Total],MATCH(Table10[[#This Row],[Pcode]],CampList[CP_Pcode],0)-1,0,1,1)</f>
        <v>0</v>
      </c>
      <c r="G110" s="422">
        <f>SUMIF('NFI Tracking'!AO$6:AO$1048576,Table10[[#This Row],[Pcode]],'NFI Tracking'!AI$6:AI$1048576)</f>
        <v>0</v>
      </c>
      <c r="H110" s="422">
        <f>SUMIF('NFI Tracking'!AO$6:AO$1048576,Table10[[#This Row],[Pcode]],'NFI Tracking'!AJ$6:AJ$1048576)</f>
        <v>0</v>
      </c>
      <c r="I110" s="422">
        <f>SUMIF('NFI Tracking'!AO$6:AO$1048576,Table10[[#This Row],[Pcode]],'NFI Tracking'!AK$6:AK$1048576)</f>
        <v>0</v>
      </c>
      <c r="J110" s="422">
        <f ca="1">MAX(Table10[[#This Row],[HH]]*VLOOKUP("Winter Clothes Adult",NFI,6)-Table10[[#This Row],[Winter Clothes Adult ]],0)</f>
        <v>0</v>
      </c>
      <c r="K110" s="422">
        <f ca="1">MAX(Table10[[#This Row],[HH]]*VLOOKUP("Winter Clothes Children ",NFI,6)-Table10[[#This Row],[Winter Clothes Children ]],0)</f>
        <v>0</v>
      </c>
      <c r="L110" s="422">
        <f ca="1">MAX(Table10[[#This Row],[HH]]*VLOOKUP("Winter Items Other ",NFI,6)-Table10[[#This Row],[Winter Items Other ]],0)</f>
        <v>0</v>
      </c>
      <c r="M110" s="464" t="str">
        <f>IF(OR(Table10[[#This Row],[Winter Clothes Adult ]]&lt;&gt;0,Table10[[#This Row],[Winter Clothes Children ]]&lt;&gt;0,Table10[[#This Row],[Winter Items Other ]]&lt;&gt;0),"No","")</f>
        <v/>
      </c>
      <c r="N110" s="465">
        <f>COUNTIF(A:A,Table10[[#This Row],[Pcode]])-1</f>
        <v>0</v>
      </c>
    </row>
    <row r="111" spans="1:14" x14ac:dyDescent="0.25">
      <c r="A111" s="381" t="s">
        <v>175</v>
      </c>
      <c r="B111" s="26" t="str">
        <f ca="1">OFFSET(CampList[Priority],MATCH(Table10[[#This Row],[Pcode]],CampList[CP_Pcode],0)-1,0,1,1)</f>
        <v>P4</v>
      </c>
      <c r="C111" s="26" t="str">
        <f ca="1">OFFSET(CampList[Camp],MATCH(Table10[[#This Row],[Pcode]],CampList[CP_Pcode],0)-1,0,1,1)</f>
        <v>Mang Hawng Baptist Church</v>
      </c>
      <c r="D111" s="26" t="str">
        <f ca="1">OFFSET(CampList[Township],MATCH(Table10[[#This Row],[Pcode]],CampList[CP_Pcode],0)-1,0,1,1)</f>
        <v>Mogaung</v>
      </c>
      <c r="E111" s="422">
        <f ca="1">OFFSET(CampList[HH],MATCH(Table10[[#This Row],[Pcode]],CampList[CP_Pcode],0)-1,0,1,1)</f>
        <v>18</v>
      </c>
      <c r="F111" s="422">
        <f ca="1">OFFSET(CampList[Total],MATCH(Table10[[#This Row],[Pcode]],CampList[CP_Pcode],0)-1,0,1,1)</f>
        <v>79</v>
      </c>
      <c r="G111" s="422">
        <f>SUMIF('NFI Tracking'!AO$6:AO$1048576,Table10[[#This Row],[Pcode]],'NFI Tracking'!AI$6:AI$1048576)</f>
        <v>0</v>
      </c>
      <c r="H111" s="422">
        <f>SUMIF('NFI Tracking'!AO$6:AO$1048576,Table10[[#This Row],[Pcode]],'NFI Tracking'!AJ$6:AJ$1048576)</f>
        <v>0</v>
      </c>
      <c r="I111" s="422">
        <f>SUMIF('NFI Tracking'!AO$6:AO$1048576,Table10[[#This Row],[Pcode]],'NFI Tracking'!AK$6:AK$1048576)</f>
        <v>0</v>
      </c>
      <c r="J111" s="422">
        <f ca="1">MAX(Table10[[#This Row],[HH]]*VLOOKUP("Winter Clothes Adult",NFI,6)-Table10[[#This Row],[Winter Clothes Adult ]],0)</f>
        <v>36</v>
      </c>
      <c r="K111" s="422">
        <f ca="1">MAX(Table10[[#This Row],[HH]]*VLOOKUP("Winter Clothes Children ",NFI,6)-Table10[[#This Row],[Winter Clothes Children ]],0)</f>
        <v>18</v>
      </c>
      <c r="L111" s="422">
        <f ca="1">MAX(Table10[[#This Row],[HH]]*VLOOKUP("Winter Items Other ",NFI,6)-Table10[[#This Row],[Winter Items Other ]],0)</f>
        <v>18</v>
      </c>
      <c r="M111" s="464" t="str">
        <f>IF(OR(Table10[[#This Row],[Winter Clothes Adult ]]&lt;&gt;0,Table10[[#This Row],[Winter Clothes Children ]]&lt;&gt;0,Table10[[#This Row],[Winter Items Other ]]&lt;&gt;0),"No","")</f>
        <v/>
      </c>
      <c r="N111" s="465">
        <f>COUNTIF(A:A,Table10[[#This Row],[Pcode]])-1</f>
        <v>0</v>
      </c>
    </row>
    <row r="112" spans="1:14" x14ac:dyDescent="0.25">
      <c r="A112" s="381" t="s">
        <v>150</v>
      </c>
      <c r="B112" s="26" t="str">
        <f ca="1">OFFSET(CampList[Priority],MATCH(Table10[[#This Row],[Pcode]],CampList[CP_Pcode],0)-1,0,1,1)</f>
        <v>P4</v>
      </c>
      <c r="C112" s="26" t="str">
        <f ca="1">OFFSET(CampList[Camp],MATCH(Table10[[#This Row],[Pcode]],CampList[CP_Pcode],0)-1,0,1,1)</f>
        <v>Mansi Baptist Church</v>
      </c>
      <c r="D112" s="26" t="str">
        <f ca="1">OFFSET(CampList[Township],MATCH(Table10[[#This Row],[Pcode]],CampList[CP_Pcode],0)-1,0,1,1)</f>
        <v>Mansi</v>
      </c>
      <c r="E112" s="422">
        <f ca="1">OFFSET(CampList[HH],MATCH(Table10[[#This Row],[Pcode]],CampList[CP_Pcode],0)-1,0,1,1)</f>
        <v>221</v>
      </c>
      <c r="F112" s="422">
        <f ca="1">OFFSET(CampList[Total],MATCH(Table10[[#This Row],[Pcode]],CampList[CP_Pcode],0)-1,0,1,1)</f>
        <v>1003</v>
      </c>
      <c r="G112" s="422">
        <f>SUMIF('NFI Tracking'!AO$6:AO$1048576,Table10[[#This Row],[Pcode]],'NFI Tracking'!AI$6:AI$1048576)</f>
        <v>0</v>
      </c>
      <c r="H112" s="422">
        <f>SUMIF('NFI Tracking'!AO$6:AO$1048576,Table10[[#This Row],[Pcode]],'NFI Tracking'!AJ$6:AJ$1048576)</f>
        <v>0</v>
      </c>
      <c r="I112" s="422">
        <f>SUMIF('NFI Tracking'!AO$6:AO$1048576,Table10[[#This Row],[Pcode]],'NFI Tracking'!AK$6:AK$1048576)</f>
        <v>0</v>
      </c>
      <c r="J112" s="422">
        <f ca="1">MAX(Table10[[#This Row],[HH]]*VLOOKUP("Winter Clothes Adult",NFI,6)-Table10[[#This Row],[Winter Clothes Adult ]],0)</f>
        <v>442</v>
      </c>
      <c r="K112" s="422">
        <f ca="1">MAX(Table10[[#This Row],[HH]]*VLOOKUP("Winter Clothes Children ",NFI,6)-Table10[[#This Row],[Winter Clothes Children ]],0)</f>
        <v>221</v>
      </c>
      <c r="L112" s="422">
        <f ca="1">MAX(Table10[[#This Row],[HH]]*VLOOKUP("Winter Items Other ",NFI,6)-Table10[[#This Row],[Winter Items Other ]],0)</f>
        <v>221</v>
      </c>
      <c r="M112" s="464" t="str">
        <f>IF(OR(Table10[[#This Row],[Winter Clothes Adult ]]&lt;&gt;0,Table10[[#This Row],[Winter Clothes Children ]]&lt;&gt;0,Table10[[#This Row],[Winter Items Other ]]&lt;&gt;0),"No","")</f>
        <v/>
      </c>
      <c r="N112" s="465">
        <f>COUNTIF(A:A,Table10[[#This Row],[Pcode]])-1</f>
        <v>0</v>
      </c>
    </row>
    <row r="113" spans="1:14" x14ac:dyDescent="0.25">
      <c r="A113" s="381" t="s">
        <v>262</v>
      </c>
      <c r="B113" s="26" t="str">
        <f ca="1">OFFSET(CampList[Priority],MATCH(Table10[[#This Row],[Pcode]],CampList[CP_Pcode],0)-1,0,1,1)</f>
        <v>P4</v>
      </c>
      <c r="C113" s="26" t="str">
        <f ca="1">OFFSET(CampList[Camp],MATCH(Table10[[#This Row],[Pcode]],CampList[CP_Pcode],0)-1,0,1,1)</f>
        <v>Maw Hpawng Hka Nan Baptist Church</v>
      </c>
      <c r="D113" s="26" t="str">
        <f ca="1">OFFSET(CampList[Township],MATCH(Table10[[#This Row],[Pcode]],CampList[CP_Pcode],0)-1,0,1,1)</f>
        <v>Myitkyina</v>
      </c>
      <c r="E113" s="422">
        <f ca="1">OFFSET(CampList[HH],MATCH(Table10[[#This Row],[Pcode]],CampList[CP_Pcode],0)-1,0,1,1)</f>
        <v>22</v>
      </c>
      <c r="F113" s="422">
        <f ca="1">OFFSET(CampList[Total],MATCH(Table10[[#This Row],[Pcode]],CampList[CP_Pcode],0)-1,0,1,1)</f>
        <v>104</v>
      </c>
      <c r="G113" s="422">
        <f>SUMIF('NFI Tracking'!AO$6:AO$1048576,Table10[[#This Row],[Pcode]],'NFI Tracking'!AI$6:AI$1048576)</f>
        <v>0</v>
      </c>
      <c r="H113" s="422">
        <f>SUMIF('NFI Tracking'!AO$6:AO$1048576,Table10[[#This Row],[Pcode]],'NFI Tracking'!AJ$6:AJ$1048576)</f>
        <v>0</v>
      </c>
      <c r="I113" s="422">
        <f>SUMIF('NFI Tracking'!AO$6:AO$1048576,Table10[[#This Row],[Pcode]],'NFI Tracking'!AK$6:AK$1048576)</f>
        <v>0</v>
      </c>
      <c r="J113" s="422">
        <f ca="1">MAX(Table10[[#This Row],[HH]]*VLOOKUP("Winter Clothes Adult",NFI,6)-Table10[[#This Row],[Winter Clothes Adult ]],0)</f>
        <v>44</v>
      </c>
      <c r="K113" s="422">
        <f ca="1">MAX(Table10[[#This Row],[HH]]*VLOOKUP("Winter Clothes Children ",NFI,6)-Table10[[#This Row],[Winter Clothes Children ]],0)</f>
        <v>22</v>
      </c>
      <c r="L113" s="422">
        <f ca="1">MAX(Table10[[#This Row],[HH]]*VLOOKUP("Winter Items Other ",NFI,6)-Table10[[#This Row],[Winter Items Other ]],0)</f>
        <v>22</v>
      </c>
      <c r="M113" s="464" t="str">
        <f>IF(OR(Table10[[#This Row],[Winter Clothes Adult ]]&lt;&gt;0,Table10[[#This Row],[Winter Clothes Children ]]&lt;&gt;0,Table10[[#This Row],[Winter Items Other ]]&lt;&gt;0),"No","")</f>
        <v/>
      </c>
      <c r="N113" s="465">
        <f>COUNTIF(A:A,Table10[[#This Row],[Pcode]])-1</f>
        <v>0</v>
      </c>
    </row>
    <row r="114" spans="1:14" x14ac:dyDescent="0.25">
      <c r="A114" s="381" t="s">
        <v>264</v>
      </c>
      <c r="B114" s="26" t="str">
        <f ca="1">OFFSET(CampList[Priority],MATCH(Table10[[#This Row],[Pcode]],CampList[CP_Pcode],0)-1,0,1,1)</f>
        <v>P4</v>
      </c>
      <c r="C114" s="26" t="str">
        <f ca="1">OFFSET(CampList[Camp],MATCH(Table10[[#This Row],[Pcode]],CampList[CP_Pcode],0)-1,0,1,1)</f>
        <v>Maw Hpawng Lhaovo Baptist Church</v>
      </c>
      <c r="D114" s="26" t="str">
        <f ca="1">OFFSET(CampList[Township],MATCH(Table10[[#This Row],[Pcode]],CampList[CP_Pcode],0)-1,0,1,1)</f>
        <v>Myitkyina</v>
      </c>
      <c r="E114" s="422">
        <f ca="1">OFFSET(CampList[HH],MATCH(Table10[[#This Row],[Pcode]],CampList[CP_Pcode],0)-1,0,1,1)</f>
        <v>14</v>
      </c>
      <c r="F114" s="422">
        <f ca="1">OFFSET(CampList[Total],MATCH(Table10[[#This Row],[Pcode]],CampList[CP_Pcode],0)-1,0,1,1)</f>
        <v>73</v>
      </c>
      <c r="G114" s="422">
        <f>SUMIF('NFI Tracking'!AO$6:AO$1048576,Table10[[#This Row],[Pcode]],'NFI Tracking'!AI$6:AI$1048576)</f>
        <v>0</v>
      </c>
      <c r="H114" s="422">
        <f>SUMIF('NFI Tracking'!AO$6:AO$1048576,Table10[[#This Row],[Pcode]],'NFI Tracking'!AJ$6:AJ$1048576)</f>
        <v>0</v>
      </c>
      <c r="I114" s="422">
        <f>SUMIF('NFI Tracking'!AO$6:AO$1048576,Table10[[#This Row],[Pcode]],'NFI Tracking'!AK$6:AK$1048576)</f>
        <v>0</v>
      </c>
      <c r="J114" s="422">
        <f ca="1">MAX(Table10[[#This Row],[HH]]*VLOOKUP("Winter Clothes Adult",NFI,6)-Table10[[#This Row],[Winter Clothes Adult ]],0)</f>
        <v>28</v>
      </c>
      <c r="K114" s="422">
        <f ca="1">MAX(Table10[[#This Row],[HH]]*VLOOKUP("Winter Clothes Children ",NFI,6)-Table10[[#This Row],[Winter Clothes Children ]],0)</f>
        <v>14</v>
      </c>
      <c r="L114" s="422">
        <f ca="1">MAX(Table10[[#This Row],[HH]]*VLOOKUP("Winter Items Other ",NFI,6)-Table10[[#This Row],[Winter Items Other ]],0)</f>
        <v>14</v>
      </c>
      <c r="M114" s="464" t="str">
        <f>IF(OR(Table10[[#This Row],[Winter Clothes Adult ]]&lt;&gt;0,Table10[[#This Row],[Winter Clothes Children ]]&lt;&gt;0,Table10[[#This Row],[Winter Items Other ]]&lt;&gt;0),"No","")</f>
        <v/>
      </c>
      <c r="N114" s="465">
        <f>COUNTIF(A:A,Table10[[#This Row],[Pcode]])-1</f>
        <v>0</v>
      </c>
    </row>
    <row r="115" spans="1:14" x14ac:dyDescent="0.25">
      <c r="A115" s="381" t="s">
        <v>99</v>
      </c>
      <c r="B115" s="26" t="str">
        <f ca="1">OFFSET(CampList[Priority],MATCH(Table10[[#This Row],[Pcode]],CampList[CP_Pcode],0)-1,0,1,1)</f>
        <v>P4</v>
      </c>
      <c r="C115" s="26" t="str">
        <f ca="1">OFFSET(CampList[Camp],MATCH(Table10[[#This Row],[Pcode]],CampList[CP_Pcode],0)-1,0,1,1)</f>
        <v>Maw Wan, Mu-yin Baptist Church</v>
      </c>
      <c r="D115" s="26" t="str">
        <f ca="1">OFFSET(CampList[Township],MATCH(Table10[[#This Row],[Pcode]],CampList[CP_Pcode],0)-1,0,1,1)</f>
        <v>Hpakant</v>
      </c>
      <c r="E115" s="422">
        <f ca="1">OFFSET(CampList[HH],MATCH(Table10[[#This Row],[Pcode]],CampList[CP_Pcode],0)-1,0,1,1)</f>
        <v>5</v>
      </c>
      <c r="F115" s="422">
        <f ca="1">OFFSET(CampList[Total],MATCH(Table10[[#This Row],[Pcode]],CampList[CP_Pcode],0)-1,0,1,1)</f>
        <v>26</v>
      </c>
      <c r="G115" s="422">
        <f>SUMIF('NFI Tracking'!AO$6:AO$1048576,Table10[[#This Row],[Pcode]],'NFI Tracking'!AI$6:AI$1048576)</f>
        <v>0</v>
      </c>
      <c r="H115" s="422">
        <f>SUMIF('NFI Tracking'!AO$6:AO$1048576,Table10[[#This Row],[Pcode]],'NFI Tracking'!AJ$6:AJ$1048576)</f>
        <v>0</v>
      </c>
      <c r="I115" s="422">
        <f>SUMIF('NFI Tracking'!AO$6:AO$1048576,Table10[[#This Row],[Pcode]],'NFI Tracking'!AK$6:AK$1048576)</f>
        <v>0</v>
      </c>
      <c r="J115" s="422">
        <f ca="1">MAX(Table10[[#This Row],[HH]]*VLOOKUP("Winter Clothes Adult",NFI,6)-Table10[[#This Row],[Winter Clothes Adult ]],0)</f>
        <v>10</v>
      </c>
      <c r="K115" s="422">
        <f ca="1">MAX(Table10[[#This Row],[HH]]*VLOOKUP("Winter Clothes Children ",NFI,6)-Table10[[#This Row],[Winter Clothes Children ]],0)</f>
        <v>5</v>
      </c>
      <c r="L115" s="422">
        <f ca="1">MAX(Table10[[#This Row],[HH]]*VLOOKUP("Winter Items Other ",NFI,6)-Table10[[#This Row],[Winter Items Other ]],0)</f>
        <v>5</v>
      </c>
      <c r="M115" s="464" t="str">
        <f>IF(OR(Table10[[#This Row],[Winter Clothes Adult ]]&lt;&gt;0,Table10[[#This Row],[Winter Clothes Children ]]&lt;&gt;0,Table10[[#This Row],[Winter Items Other ]]&lt;&gt;0),"No","")</f>
        <v/>
      </c>
      <c r="N115" s="465">
        <f>COUNTIF(A:A,Table10[[#This Row],[Pcode]])-1</f>
        <v>0</v>
      </c>
    </row>
    <row r="116" spans="1:14" x14ac:dyDescent="0.25">
      <c r="A116" s="381" t="s">
        <v>208</v>
      </c>
      <c r="B116" s="26" t="str">
        <f ca="1">OFFSET(CampList[Priority],MATCH(Table10[[#This Row],[Pcode]],CampList[CP_Pcode],0)-1,0,1,1)</f>
        <v>P4</v>
      </c>
      <c r="C116" s="26" t="str">
        <f ca="1">OFFSET(CampList[Camp],MATCH(Table10[[#This Row],[Pcode]],CampList[CP_Pcode],0)-1,0,1,1)</f>
        <v>Momauk Baptist Church</v>
      </c>
      <c r="D116" s="26" t="str">
        <f ca="1">OFFSET(CampList[Township],MATCH(Table10[[#This Row],[Pcode]],CampList[CP_Pcode],0)-1,0,1,1)</f>
        <v>Momauk</v>
      </c>
      <c r="E116" s="422">
        <f ca="1">OFFSET(CampList[HH],MATCH(Table10[[#This Row],[Pcode]],CampList[CP_Pcode],0)-1,0,1,1)</f>
        <v>207</v>
      </c>
      <c r="F116" s="422">
        <f ca="1">OFFSET(CampList[Total],MATCH(Table10[[#This Row],[Pcode]],CampList[CP_Pcode],0)-1,0,1,1)</f>
        <v>1863</v>
      </c>
      <c r="G116" s="422">
        <f>SUMIF('NFI Tracking'!AO$6:AO$1048576,Table10[[#This Row],[Pcode]],'NFI Tracking'!AI$6:AI$1048576)</f>
        <v>0</v>
      </c>
      <c r="H116" s="422">
        <f>SUMIF('NFI Tracking'!AO$6:AO$1048576,Table10[[#This Row],[Pcode]],'NFI Tracking'!AJ$6:AJ$1048576)</f>
        <v>0</v>
      </c>
      <c r="I116" s="422">
        <f>SUMIF('NFI Tracking'!AO$6:AO$1048576,Table10[[#This Row],[Pcode]],'NFI Tracking'!AK$6:AK$1048576)</f>
        <v>0</v>
      </c>
      <c r="J116" s="422">
        <f ca="1">MAX(Table10[[#This Row],[HH]]*VLOOKUP("Winter Clothes Adult",NFI,6)-Table10[[#This Row],[Winter Clothes Adult ]],0)</f>
        <v>414</v>
      </c>
      <c r="K116" s="422">
        <f ca="1">MAX(Table10[[#This Row],[HH]]*VLOOKUP("Winter Clothes Children ",NFI,6)-Table10[[#This Row],[Winter Clothes Children ]],0)</f>
        <v>207</v>
      </c>
      <c r="L116" s="422">
        <f ca="1">MAX(Table10[[#This Row],[HH]]*VLOOKUP("Winter Items Other ",NFI,6)-Table10[[#This Row],[Winter Items Other ]],0)</f>
        <v>207</v>
      </c>
      <c r="M116" s="464" t="str">
        <f>IF(OR(Table10[[#This Row],[Winter Clothes Adult ]]&lt;&gt;0,Table10[[#This Row],[Winter Clothes Children ]]&lt;&gt;0,Table10[[#This Row],[Winter Items Other ]]&lt;&gt;0),"No","")</f>
        <v/>
      </c>
      <c r="N116" s="465">
        <f>COUNTIF(A:A,Table10[[#This Row],[Pcode]])-1</f>
        <v>0</v>
      </c>
    </row>
    <row r="117" spans="1:14" x14ac:dyDescent="0.25">
      <c r="A117" s="381" t="s">
        <v>210</v>
      </c>
      <c r="B117" s="26" t="str">
        <f ca="1">OFFSET(CampList[Priority],MATCH(Table10[[#This Row],[Pcode]],CampList[CP_Pcode],0)-1,0,1,1)</f>
        <v>P4</v>
      </c>
      <c r="C117" s="26" t="str">
        <f ca="1">OFFSET(CampList[Camp],MATCH(Table10[[#This Row],[Pcode]],CampList[CP_Pcode],0)-1,0,1,1)</f>
        <v>Momauk Catholic Church (St. Patrick)</v>
      </c>
      <c r="D117" s="26" t="str">
        <f ca="1">OFFSET(CampList[Township],MATCH(Table10[[#This Row],[Pcode]],CampList[CP_Pcode],0)-1,0,1,1)</f>
        <v>Momauk</v>
      </c>
      <c r="E117" s="422">
        <f ca="1">OFFSET(CampList[HH],MATCH(Table10[[#This Row],[Pcode]],CampList[CP_Pcode],0)-1,0,1,1)</f>
        <v>0</v>
      </c>
      <c r="F117" s="422">
        <f ca="1">OFFSET(CampList[Total],MATCH(Table10[[#This Row],[Pcode]],CampList[CP_Pcode],0)-1,0,1,1)</f>
        <v>0</v>
      </c>
      <c r="G117" s="422">
        <f>SUMIF('NFI Tracking'!AO$6:AO$1048576,Table10[[#This Row],[Pcode]],'NFI Tracking'!AI$6:AI$1048576)</f>
        <v>0</v>
      </c>
      <c r="H117" s="422">
        <f>SUMIF('NFI Tracking'!AO$6:AO$1048576,Table10[[#This Row],[Pcode]],'NFI Tracking'!AJ$6:AJ$1048576)</f>
        <v>0</v>
      </c>
      <c r="I117" s="422">
        <f>SUMIF('NFI Tracking'!AO$6:AO$1048576,Table10[[#This Row],[Pcode]],'NFI Tracking'!AK$6:AK$1048576)</f>
        <v>0</v>
      </c>
      <c r="J117" s="422">
        <f ca="1">MAX(Table10[[#This Row],[HH]]*VLOOKUP("Winter Clothes Adult",NFI,6)-Table10[[#This Row],[Winter Clothes Adult ]],0)</f>
        <v>0</v>
      </c>
      <c r="K117" s="422">
        <f ca="1">MAX(Table10[[#This Row],[HH]]*VLOOKUP("Winter Clothes Children ",NFI,6)-Table10[[#This Row],[Winter Clothes Children ]],0)</f>
        <v>0</v>
      </c>
      <c r="L117" s="422">
        <f ca="1">MAX(Table10[[#This Row],[HH]]*VLOOKUP("Winter Items Other ",NFI,6)-Table10[[#This Row],[Winter Items Other ]],0)</f>
        <v>0</v>
      </c>
      <c r="M117" s="464" t="str">
        <f>IF(OR(Table10[[#This Row],[Winter Clothes Adult ]]&lt;&gt;0,Table10[[#This Row],[Winter Clothes Children ]]&lt;&gt;0,Table10[[#This Row],[Winter Items Other ]]&lt;&gt;0),"No","")</f>
        <v/>
      </c>
      <c r="N117" s="465">
        <f>COUNTIF(A:A,Table10[[#This Row],[Pcode]])-1</f>
        <v>0</v>
      </c>
    </row>
    <row r="118" spans="1:14" x14ac:dyDescent="0.25">
      <c r="A118" s="381" t="s">
        <v>1061</v>
      </c>
      <c r="B118" s="26" t="str">
        <f ca="1">OFFSET(CampList[Priority],MATCH(Table10[[#This Row],[Pcode]],CampList[CP_Pcode],0)-1,0,1,1)</f>
        <v>P4</v>
      </c>
      <c r="C118" s="26" t="str">
        <f ca="1">OFFSET(CampList[Camp],MATCH(Table10[[#This Row],[Pcode]],CampList[CP_Pcode],0)-1,0,1,1)</f>
        <v>Muse Baptist Church</v>
      </c>
      <c r="D118" s="26" t="str">
        <f ca="1">OFFSET(CampList[Township],MATCH(Table10[[#This Row],[Pcode]],CampList[CP_Pcode],0)-1,0,1,1)</f>
        <v>Muse</v>
      </c>
      <c r="E118" s="422">
        <f ca="1">OFFSET(CampList[HH],MATCH(Table10[[#This Row],[Pcode]],CampList[CP_Pcode],0)-1,0,1,1)</f>
        <v>55</v>
      </c>
      <c r="F118" s="422">
        <f ca="1">OFFSET(CampList[Total],MATCH(Table10[[#This Row],[Pcode]],CampList[CP_Pcode],0)-1,0,1,1)</f>
        <v>237</v>
      </c>
      <c r="G118" s="422">
        <f>SUMIF('NFI Tracking'!AO$6:AO$1048576,Table10[[#This Row],[Pcode]],'NFI Tracking'!AI$6:AI$1048576)</f>
        <v>0</v>
      </c>
      <c r="H118" s="422">
        <f>SUMIF('NFI Tracking'!AO$6:AO$1048576,Table10[[#This Row],[Pcode]],'NFI Tracking'!AJ$6:AJ$1048576)</f>
        <v>0</v>
      </c>
      <c r="I118" s="422">
        <f>SUMIF('NFI Tracking'!AO$6:AO$1048576,Table10[[#This Row],[Pcode]],'NFI Tracking'!AK$6:AK$1048576)</f>
        <v>0</v>
      </c>
      <c r="J118" s="422">
        <f ca="1">MAX(Table10[[#This Row],[HH]]*VLOOKUP("Winter Clothes Adult",NFI,6)-Table10[[#This Row],[Winter Clothes Adult ]],0)</f>
        <v>110</v>
      </c>
      <c r="K118" s="422">
        <f ca="1">MAX(Table10[[#This Row],[HH]]*VLOOKUP("Winter Clothes Children ",NFI,6)-Table10[[#This Row],[Winter Clothes Children ]],0)</f>
        <v>55</v>
      </c>
      <c r="L118" s="422">
        <f ca="1">MAX(Table10[[#This Row],[HH]]*VLOOKUP("Winter Items Other ",NFI,6)-Table10[[#This Row],[Winter Items Other ]],0)</f>
        <v>55</v>
      </c>
      <c r="M118" s="464" t="str">
        <f>IF(OR(Table10[[#This Row],[Winter Clothes Adult ]]&lt;&gt;0,Table10[[#This Row],[Winter Clothes Children ]]&lt;&gt;0,Table10[[#This Row],[Winter Items Other ]]&lt;&gt;0),"No","")</f>
        <v/>
      </c>
      <c r="N118" s="465">
        <f>COUNTIF(A:A,Table10[[#This Row],[Pcode]])-1</f>
        <v>0</v>
      </c>
    </row>
    <row r="119" spans="1:14" x14ac:dyDescent="0.25">
      <c r="A119" s="381" t="s">
        <v>1071</v>
      </c>
      <c r="B119" s="26" t="str">
        <f ca="1">OFFSET(CampList[Priority],MATCH(Table10[[#This Row],[Pcode]],CampList[CP_Pcode],0)-1,0,1,1)</f>
        <v>P4</v>
      </c>
      <c r="C119" s="26" t="str">
        <f ca="1">OFFSET(CampList[Camp],MATCH(Table10[[#This Row],[Pcode]],CampList[CP_Pcode],0)-1,0,1,1)</f>
        <v>Muse Catholic Church</v>
      </c>
      <c r="D119" s="26" t="str">
        <f ca="1">OFFSET(CampList[Township],MATCH(Table10[[#This Row],[Pcode]],CampList[CP_Pcode],0)-1,0,1,1)</f>
        <v>Muse</v>
      </c>
      <c r="E119" s="422">
        <f ca="1">OFFSET(CampList[HH],MATCH(Table10[[#This Row],[Pcode]],CampList[CP_Pcode],0)-1,0,1,1)</f>
        <v>26</v>
      </c>
      <c r="F119" s="422">
        <f ca="1">OFFSET(CampList[Total],MATCH(Table10[[#This Row],[Pcode]],CampList[CP_Pcode],0)-1,0,1,1)</f>
        <v>111</v>
      </c>
      <c r="G119" s="422">
        <f>SUMIF('NFI Tracking'!AO$6:AO$1048576,Table10[[#This Row],[Pcode]],'NFI Tracking'!AI$6:AI$1048576)</f>
        <v>0</v>
      </c>
      <c r="H119" s="422">
        <f>SUMIF('NFI Tracking'!AO$6:AO$1048576,Table10[[#This Row],[Pcode]],'NFI Tracking'!AJ$6:AJ$1048576)</f>
        <v>0</v>
      </c>
      <c r="I119" s="422">
        <f>SUMIF('NFI Tracking'!AO$6:AO$1048576,Table10[[#This Row],[Pcode]],'NFI Tracking'!AK$6:AK$1048576)</f>
        <v>0</v>
      </c>
      <c r="J119" s="422">
        <f ca="1">MAX(Table10[[#This Row],[HH]]*VLOOKUP("Winter Clothes Adult",NFI,6)-Table10[[#This Row],[Winter Clothes Adult ]],0)</f>
        <v>52</v>
      </c>
      <c r="K119" s="422">
        <f ca="1">MAX(Table10[[#This Row],[HH]]*VLOOKUP("Winter Clothes Children ",NFI,6)-Table10[[#This Row],[Winter Clothes Children ]],0)</f>
        <v>26</v>
      </c>
      <c r="L119" s="422">
        <f ca="1">MAX(Table10[[#This Row],[HH]]*VLOOKUP("Winter Items Other ",NFI,6)-Table10[[#This Row],[Winter Items Other ]],0)</f>
        <v>26</v>
      </c>
      <c r="M119" s="464" t="str">
        <f>IF(OR(Table10[[#This Row],[Winter Clothes Adult ]]&lt;&gt;0,Table10[[#This Row],[Winter Clothes Children ]]&lt;&gt;0,Table10[[#This Row],[Winter Items Other ]]&lt;&gt;0),"No","")</f>
        <v/>
      </c>
      <c r="N119" s="465">
        <f>COUNTIF(A:A,Table10[[#This Row],[Pcode]])-1</f>
        <v>0</v>
      </c>
    </row>
    <row r="120" spans="1:14" x14ac:dyDescent="0.25">
      <c r="A120" s="381" t="s">
        <v>7</v>
      </c>
      <c r="B120" s="26" t="str">
        <f ca="1">OFFSET(CampList[Priority],MATCH(Table10[[#This Row],[Pcode]],CampList[CP_Pcode],0)-1,0,1,1)</f>
        <v>P4</v>
      </c>
      <c r="C120" s="26" t="str">
        <f ca="1">OFFSET(CampList[Camp],MATCH(Table10[[#This Row],[Pcode]],CampList[CP_Pcode],0)-1,0,1,1)</f>
        <v>Mu-yin Baptist Church</v>
      </c>
      <c r="D120" s="26" t="str">
        <f ca="1">OFFSET(CampList[Township],MATCH(Table10[[#This Row],[Pcode]],CampList[CP_Pcode],0)-1,0,1,1)</f>
        <v>Bhamo</v>
      </c>
      <c r="E120" s="422">
        <f ca="1">OFFSET(CampList[HH],MATCH(Table10[[#This Row],[Pcode]],CampList[CP_Pcode],0)-1,0,1,1)</f>
        <v>23</v>
      </c>
      <c r="F120" s="422">
        <f ca="1">OFFSET(CampList[Total],MATCH(Table10[[#This Row],[Pcode]],CampList[CP_Pcode],0)-1,0,1,1)</f>
        <v>86</v>
      </c>
      <c r="G120" s="422">
        <f>SUMIF('NFI Tracking'!AO$6:AO$1048576,Table10[[#This Row],[Pcode]],'NFI Tracking'!AI$6:AI$1048576)</f>
        <v>0</v>
      </c>
      <c r="H120" s="422">
        <f>SUMIF('NFI Tracking'!AO$6:AO$1048576,Table10[[#This Row],[Pcode]],'NFI Tracking'!AJ$6:AJ$1048576)</f>
        <v>0</v>
      </c>
      <c r="I120" s="422">
        <f>SUMIF('NFI Tracking'!AO$6:AO$1048576,Table10[[#This Row],[Pcode]],'NFI Tracking'!AK$6:AK$1048576)</f>
        <v>0</v>
      </c>
      <c r="J120" s="422">
        <f ca="1">MAX(Table10[[#This Row],[HH]]*VLOOKUP("Winter Clothes Adult",NFI,6)-Table10[[#This Row],[Winter Clothes Adult ]],0)</f>
        <v>46</v>
      </c>
      <c r="K120" s="422">
        <f ca="1">MAX(Table10[[#This Row],[HH]]*VLOOKUP("Winter Clothes Children ",NFI,6)-Table10[[#This Row],[Winter Clothes Children ]],0)</f>
        <v>23</v>
      </c>
      <c r="L120" s="422">
        <f ca="1">MAX(Table10[[#This Row],[HH]]*VLOOKUP("Winter Items Other ",NFI,6)-Table10[[#This Row],[Winter Items Other ]],0)</f>
        <v>23</v>
      </c>
      <c r="M120" s="464" t="str">
        <f>IF(OR(Table10[[#This Row],[Winter Clothes Adult ]]&lt;&gt;0,Table10[[#This Row],[Winter Clothes Children ]]&lt;&gt;0,Table10[[#This Row],[Winter Items Other ]]&lt;&gt;0),"No","")</f>
        <v/>
      </c>
      <c r="N120" s="465">
        <f>COUNTIF(A:A,Table10[[#This Row],[Pcode]])-1</f>
        <v>0</v>
      </c>
    </row>
    <row r="121" spans="1:14" x14ac:dyDescent="0.25">
      <c r="A121" s="381" t="s">
        <v>266</v>
      </c>
      <c r="B121" s="26" t="str">
        <f ca="1">OFFSET(CampList[Priority],MATCH(Table10[[#This Row],[Pcode]],CampList[CP_Pcode],0)-1,0,1,1)</f>
        <v>P4</v>
      </c>
      <c r="C121" s="26" t="str">
        <f ca="1">OFFSET(CampList[Camp],MATCH(Table10[[#This Row],[Pcode]],CampList[CP_Pcode],0)-1,0,1,1)</f>
        <v>Myay Myint Baptist Church</v>
      </c>
      <c r="D121" s="26" t="str">
        <f ca="1">OFFSET(CampList[Township],MATCH(Table10[[#This Row],[Pcode]],CampList[CP_Pcode],0)-1,0,1,1)</f>
        <v>Myitkyina</v>
      </c>
      <c r="E121" s="422">
        <f ca="1">OFFSET(CampList[HH],MATCH(Table10[[#This Row],[Pcode]],CampList[CP_Pcode],0)-1,0,1,1)</f>
        <v>0</v>
      </c>
      <c r="F121" s="422">
        <f ca="1">OFFSET(CampList[Total],MATCH(Table10[[#This Row],[Pcode]],CampList[CP_Pcode],0)-1,0,1,1)</f>
        <v>0</v>
      </c>
      <c r="G121" s="422">
        <f>SUMIF('NFI Tracking'!AO$6:AO$1048576,Table10[[#This Row],[Pcode]],'NFI Tracking'!AI$6:AI$1048576)</f>
        <v>0</v>
      </c>
      <c r="H121" s="422">
        <f>SUMIF('NFI Tracking'!AO$6:AO$1048576,Table10[[#This Row],[Pcode]],'NFI Tracking'!AJ$6:AJ$1048576)</f>
        <v>0</v>
      </c>
      <c r="I121" s="422">
        <f>SUMIF('NFI Tracking'!AO$6:AO$1048576,Table10[[#This Row],[Pcode]],'NFI Tracking'!AK$6:AK$1048576)</f>
        <v>0</v>
      </c>
      <c r="J121" s="422">
        <f ca="1">MAX(Table10[[#This Row],[HH]]*VLOOKUP("Winter Clothes Adult",NFI,6)-Table10[[#This Row],[Winter Clothes Adult ]],0)</f>
        <v>0</v>
      </c>
      <c r="K121" s="422">
        <f ca="1">MAX(Table10[[#This Row],[HH]]*VLOOKUP("Winter Clothes Children ",NFI,6)-Table10[[#This Row],[Winter Clothes Children ]],0)</f>
        <v>0</v>
      </c>
      <c r="L121" s="422">
        <f ca="1">MAX(Table10[[#This Row],[HH]]*VLOOKUP("Winter Items Other ",NFI,6)-Table10[[#This Row],[Winter Items Other ]],0)</f>
        <v>0</v>
      </c>
      <c r="M121" s="464" t="str">
        <f>IF(OR(Table10[[#This Row],[Winter Clothes Adult ]]&lt;&gt;0,Table10[[#This Row],[Winter Clothes Children ]]&lt;&gt;0,Table10[[#This Row],[Winter Items Other ]]&lt;&gt;0),"No","")</f>
        <v/>
      </c>
      <c r="N121" s="465">
        <f>COUNTIF(A:A,Table10[[#This Row],[Pcode]])-1</f>
        <v>0</v>
      </c>
    </row>
    <row r="122" spans="1:14" x14ac:dyDescent="0.25">
      <c r="A122" s="381" t="s">
        <v>212</v>
      </c>
      <c r="B122" s="26" t="str">
        <f ca="1">OFFSET(CampList[Priority],MATCH(Table10[[#This Row],[Pcode]],CampList[CP_Pcode],0)-1,0,1,1)</f>
        <v>P4</v>
      </c>
      <c r="C122" s="26" t="str">
        <f ca="1">OFFSET(CampList[Camp],MATCH(Table10[[#This Row],[Pcode]],CampList[CP_Pcode],0)-1,0,1,1)</f>
        <v xml:space="preserve">Myo Thit </v>
      </c>
      <c r="D122" s="26" t="str">
        <f ca="1">OFFSET(CampList[Township],MATCH(Table10[[#This Row],[Pcode]],CampList[CP_Pcode],0)-1,0,1,1)</f>
        <v>Momauk</v>
      </c>
      <c r="E122" s="422">
        <f ca="1">OFFSET(CampList[HH],MATCH(Table10[[#This Row],[Pcode]],CampList[CP_Pcode],0)-1,0,1,1)</f>
        <v>13</v>
      </c>
      <c r="F122" s="422">
        <f ca="1">OFFSET(CampList[Total],MATCH(Table10[[#This Row],[Pcode]],CampList[CP_Pcode],0)-1,0,1,1)</f>
        <v>53</v>
      </c>
      <c r="G122" s="422">
        <f>SUMIF('NFI Tracking'!AO$6:AO$1048576,Table10[[#This Row],[Pcode]],'NFI Tracking'!AI$6:AI$1048576)</f>
        <v>0</v>
      </c>
      <c r="H122" s="422">
        <f>SUMIF('NFI Tracking'!AO$6:AO$1048576,Table10[[#This Row],[Pcode]],'NFI Tracking'!AJ$6:AJ$1048576)</f>
        <v>0</v>
      </c>
      <c r="I122" s="422">
        <f>SUMIF('NFI Tracking'!AO$6:AO$1048576,Table10[[#This Row],[Pcode]],'NFI Tracking'!AK$6:AK$1048576)</f>
        <v>0</v>
      </c>
      <c r="J122" s="422">
        <f ca="1">MAX(Table10[[#This Row],[HH]]*VLOOKUP("Winter Clothes Adult",NFI,6)-Table10[[#This Row],[Winter Clothes Adult ]],0)</f>
        <v>26</v>
      </c>
      <c r="K122" s="422">
        <f ca="1">MAX(Table10[[#This Row],[HH]]*VLOOKUP("Winter Clothes Children ",NFI,6)-Table10[[#This Row],[Winter Clothes Children ]],0)</f>
        <v>13</v>
      </c>
      <c r="L122" s="422">
        <f ca="1">MAX(Table10[[#This Row],[HH]]*VLOOKUP("Winter Items Other ",NFI,6)-Table10[[#This Row],[Winter Items Other ]],0)</f>
        <v>13</v>
      </c>
      <c r="M122" s="464" t="str">
        <f>IF(OR(Table10[[#This Row],[Winter Clothes Adult ]]&lt;&gt;0,Table10[[#This Row],[Winter Clothes Children ]]&lt;&gt;0,Table10[[#This Row],[Winter Items Other ]]&lt;&gt;0),"No","")</f>
        <v/>
      </c>
      <c r="N122" s="465">
        <f>COUNTIF(A:A,Table10[[#This Row],[Pcode]])-1</f>
        <v>0</v>
      </c>
    </row>
    <row r="123" spans="1:14" x14ac:dyDescent="0.25">
      <c r="A123" s="381" t="s">
        <v>1063</v>
      </c>
      <c r="B123" s="26" t="str">
        <f ca="1">OFFSET(CampList[Priority],MATCH(Table10[[#This Row],[Pcode]],CampList[CP_Pcode],0)-1,0,1,1)</f>
        <v>P4</v>
      </c>
      <c r="C123" s="26" t="str">
        <f ca="1">OFFSET(CampList[Camp],MATCH(Table10[[#This Row],[Pcode]],CampList[CP_Pcode],0)-1,0,1,1)</f>
        <v>Nam Hkam (KBC Jaw Wang) II</v>
      </c>
      <c r="D123" s="26" t="str">
        <f ca="1">OFFSET(CampList[Township],MATCH(Table10[[#This Row],[Pcode]],CampList[CP_Pcode],0)-1,0,1,1)</f>
        <v>Namhkan</v>
      </c>
      <c r="E123" s="422">
        <f ca="1">OFFSET(CampList[HH],MATCH(Table10[[#This Row],[Pcode]],CampList[CP_Pcode],0)-1,0,1,1)</f>
        <v>41</v>
      </c>
      <c r="F123" s="422">
        <f ca="1">OFFSET(CampList[Total],MATCH(Table10[[#This Row],[Pcode]],CampList[CP_Pcode],0)-1,0,1,1)</f>
        <v>225</v>
      </c>
      <c r="G123" s="422">
        <f>SUMIF('NFI Tracking'!AO$6:AO$1048576,Table10[[#This Row],[Pcode]],'NFI Tracking'!AI$6:AI$1048576)</f>
        <v>0</v>
      </c>
      <c r="H123" s="422">
        <f>SUMIF('NFI Tracking'!AO$6:AO$1048576,Table10[[#This Row],[Pcode]],'NFI Tracking'!AJ$6:AJ$1048576)</f>
        <v>0</v>
      </c>
      <c r="I123" s="422">
        <f>SUMIF('NFI Tracking'!AO$6:AO$1048576,Table10[[#This Row],[Pcode]],'NFI Tracking'!AK$6:AK$1048576)</f>
        <v>0</v>
      </c>
      <c r="J123" s="422">
        <f ca="1">MAX(Table10[[#This Row],[HH]]*VLOOKUP("Winter Clothes Adult",NFI,6)-Table10[[#This Row],[Winter Clothes Adult ]],0)</f>
        <v>82</v>
      </c>
      <c r="K123" s="422">
        <f ca="1">MAX(Table10[[#This Row],[HH]]*VLOOKUP("Winter Clothes Children ",NFI,6)-Table10[[#This Row],[Winter Clothes Children ]],0)</f>
        <v>41</v>
      </c>
      <c r="L123" s="422">
        <f ca="1">MAX(Table10[[#This Row],[HH]]*VLOOKUP("Winter Items Other ",NFI,6)-Table10[[#This Row],[Winter Items Other ]],0)</f>
        <v>41</v>
      </c>
      <c r="M123" s="464" t="str">
        <f>IF(OR(Table10[[#This Row],[Winter Clothes Adult ]]&lt;&gt;0,Table10[[#This Row],[Winter Clothes Children ]]&lt;&gt;0,Table10[[#This Row],[Winter Items Other ]]&lt;&gt;0),"No","")</f>
        <v/>
      </c>
      <c r="N123" s="465">
        <f>COUNTIF(A:A,Table10[[#This Row],[Pcode]])-1</f>
        <v>0</v>
      </c>
    </row>
    <row r="124" spans="1:14" x14ac:dyDescent="0.25">
      <c r="A124" s="381" t="s">
        <v>46</v>
      </c>
      <c r="B124" s="26" t="str">
        <f ca="1">OFFSET(CampList[Priority],MATCH(Table10[[#This Row],[Pcode]],CampList[CP_Pcode],0)-1,0,1,1)</f>
        <v>P4</v>
      </c>
      <c r="C124" s="26" t="str">
        <f ca="1">OFFSET(CampList[Camp],MATCH(Table10[[#This Row],[Pcode]],CampList[CP_Pcode],0)-1,0,1,1)</f>
        <v>Nam Ma Phyit, COC</v>
      </c>
      <c r="D124" s="26" t="str">
        <f ca="1">OFFSET(CampList[Township],MATCH(Table10[[#This Row],[Pcode]],CampList[CP_Pcode],0)-1,0,1,1)</f>
        <v>Hpakant</v>
      </c>
      <c r="E124" s="422">
        <f ca="1">OFFSET(CampList[HH],MATCH(Table10[[#This Row],[Pcode]],CampList[CP_Pcode],0)-1,0,1,1)</f>
        <v>17</v>
      </c>
      <c r="F124" s="422">
        <f ca="1">OFFSET(CampList[Total],MATCH(Table10[[#This Row],[Pcode]],CampList[CP_Pcode],0)-1,0,1,1)</f>
        <v>64</v>
      </c>
      <c r="G124" s="422">
        <f>SUMIF('NFI Tracking'!AO$6:AO$1048576,Table10[[#This Row],[Pcode]],'NFI Tracking'!AI$6:AI$1048576)</f>
        <v>0</v>
      </c>
      <c r="H124" s="422">
        <f>SUMIF('NFI Tracking'!AO$6:AO$1048576,Table10[[#This Row],[Pcode]],'NFI Tracking'!AJ$6:AJ$1048576)</f>
        <v>0</v>
      </c>
      <c r="I124" s="422">
        <f>SUMIF('NFI Tracking'!AO$6:AO$1048576,Table10[[#This Row],[Pcode]],'NFI Tracking'!AK$6:AK$1048576)</f>
        <v>0</v>
      </c>
      <c r="J124" s="422">
        <f ca="1">MAX(Table10[[#This Row],[HH]]*VLOOKUP("Winter Clothes Adult",NFI,6)-Table10[[#This Row],[Winter Clothes Adult ]],0)</f>
        <v>34</v>
      </c>
      <c r="K124" s="422">
        <f ca="1">MAX(Table10[[#This Row],[HH]]*VLOOKUP("Winter Clothes Children ",NFI,6)-Table10[[#This Row],[Winter Clothes Children ]],0)</f>
        <v>17</v>
      </c>
      <c r="L124" s="422">
        <f ca="1">MAX(Table10[[#This Row],[HH]]*VLOOKUP("Winter Items Other ",NFI,6)-Table10[[#This Row],[Winter Items Other ]],0)</f>
        <v>17</v>
      </c>
      <c r="M124" s="464" t="str">
        <f>IF(OR(Table10[[#This Row],[Winter Clothes Adult ]]&lt;&gt;0,Table10[[#This Row],[Winter Clothes Children ]]&lt;&gt;0,Table10[[#This Row],[Winter Items Other ]]&lt;&gt;0),"No","")</f>
        <v/>
      </c>
      <c r="N124" s="465">
        <f>COUNTIF(A:A,Table10[[#This Row],[Pcode]])-1</f>
        <v>0</v>
      </c>
    </row>
    <row r="125" spans="1:14" x14ac:dyDescent="0.25">
      <c r="A125" s="381" t="s">
        <v>1067</v>
      </c>
      <c r="B125" s="26" t="str">
        <f ca="1">OFFSET(CampList[Priority],MATCH(Table10[[#This Row],[Pcode]],CampList[CP_Pcode],0)-1,0,1,1)</f>
        <v>P4</v>
      </c>
      <c r="C125" s="26" t="str">
        <f ca="1">OFFSET(CampList[Camp],MATCH(Table10[[#This Row],[Pcode]],CampList[CP_Pcode],0)-1,0,1,1)</f>
        <v>Namhkan - Pang Long KBC</v>
      </c>
      <c r="D125" s="26" t="str">
        <f ca="1">OFFSET(CampList[Township],MATCH(Table10[[#This Row],[Pcode]],CampList[CP_Pcode],0)-1,0,1,1)</f>
        <v>Namhkan</v>
      </c>
      <c r="E125" s="422">
        <f ca="1">OFFSET(CampList[HH],MATCH(Table10[[#This Row],[Pcode]],CampList[CP_Pcode],0)-1,0,1,1)</f>
        <v>141</v>
      </c>
      <c r="F125" s="422">
        <f ca="1">OFFSET(CampList[Total],MATCH(Table10[[#This Row],[Pcode]],CampList[CP_Pcode],0)-1,0,1,1)</f>
        <v>669</v>
      </c>
      <c r="G125" s="422">
        <f>SUMIF('NFI Tracking'!AO$6:AO$1048576,Table10[[#This Row],[Pcode]],'NFI Tracking'!AI$6:AI$1048576)</f>
        <v>0</v>
      </c>
      <c r="H125" s="422">
        <f>SUMIF('NFI Tracking'!AO$6:AO$1048576,Table10[[#This Row],[Pcode]],'NFI Tracking'!AJ$6:AJ$1048576)</f>
        <v>0</v>
      </c>
      <c r="I125" s="422">
        <f>SUMIF('NFI Tracking'!AO$6:AO$1048576,Table10[[#This Row],[Pcode]],'NFI Tracking'!AK$6:AK$1048576)</f>
        <v>0</v>
      </c>
      <c r="J125" s="422">
        <f ca="1">MAX(Table10[[#This Row],[HH]]*VLOOKUP("Winter Clothes Adult",NFI,6)-Table10[[#This Row],[Winter Clothes Adult ]],0)</f>
        <v>282</v>
      </c>
      <c r="K125" s="422">
        <f ca="1">MAX(Table10[[#This Row],[HH]]*VLOOKUP("Winter Clothes Children ",NFI,6)-Table10[[#This Row],[Winter Clothes Children ]],0)</f>
        <v>141</v>
      </c>
      <c r="L125" s="422">
        <f ca="1">MAX(Table10[[#This Row],[HH]]*VLOOKUP("Winter Items Other ",NFI,6)-Table10[[#This Row],[Winter Items Other ]],0)</f>
        <v>141</v>
      </c>
      <c r="M125" s="464" t="str">
        <f>IF(OR(Table10[[#This Row],[Winter Clothes Adult ]]&lt;&gt;0,Table10[[#This Row],[Winter Clothes Children ]]&lt;&gt;0,Table10[[#This Row],[Winter Items Other ]]&lt;&gt;0),"No","")</f>
        <v/>
      </c>
      <c r="N125" s="465">
        <f>COUNTIF(A:A,Table10[[#This Row],[Pcode]])-1</f>
        <v>0</v>
      </c>
    </row>
    <row r="126" spans="1:14" x14ac:dyDescent="0.25">
      <c r="A126" s="381" t="s">
        <v>270</v>
      </c>
      <c r="B126" s="26" t="str">
        <f ca="1">OFFSET(CampList[Priority],MATCH(Table10[[#This Row],[Pcode]],CampList[CP_Pcode],0)-1,0,1,1)</f>
        <v>P4</v>
      </c>
      <c r="C126" s="26" t="str">
        <f ca="1">OFFSET(CampList[Camp],MATCH(Table10[[#This Row],[Pcode]],CampList[CP_Pcode],0)-1,0,1,1)</f>
        <v>Nan Kway St. John Catholic Church</v>
      </c>
      <c r="D126" s="26" t="str">
        <f ca="1">OFFSET(CampList[Township],MATCH(Table10[[#This Row],[Pcode]],CampList[CP_Pcode],0)-1,0,1,1)</f>
        <v>Myitkyina</v>
      </c>
      <c r="E126" s="422">
        <f ca="1">OFFSET(CampList[HH],MATCH(Table10[[#This Row],[Pcode]],CampList[CP_Pcode],0)-1,0,1,1)</f>
        <v>69</v>
      </c>
      <c r="F126" s="422">
        <f ca="1">OFFSET(CampList[Total],MATCH(Table10[[#This Row],[Pcode]],CampList[CP_Pcode],0)-1,0,1,1)</f>
        <v>325</v>
      </c>
      <c r="G126" s="422">
        <f>SUMIF('NFI Tracking'!AO$6:AO$1048576,Table10[[#This Row],[Pcode]],'NFI Tracking'!AI$6:AI$1048576)</f>
        <v>0</v>
      </c>
      <c r="H126" s="422">
        <f>SUMIF('NFI Tracking'!AO$6:AO$1048576,Table10[[#This Row],[Pcode]],'NFI Tracking'!AJ$6:AJ$1048576)</f>
        <v>0</v>
      </c>
      <c r="I126" s="422">
        <f>SUMIF('NFI Tracking'!AO$6:AO$1048576,Table10[[#This Row],[Pcode]],'NFI Tracking'!AK$6:AK$1048576)</f>
        <v>0</v>
      </c>
      <c r="J126" s="422">
        <f ca="1">MAX(Table10[[#This Row],[HH]]*VLOOKUP("Winter Clothes Adult",NFI,6)-Table10[[#This Row],[Winter Clothes Adult ]],0)</f>
        <v>138</v>
      </c>
      <c r="K126" s="422">
        <f ca="1">MAX(Table10[[#This Row],[HH]]*VLOOKUP("Winter Clothes Children ",NFI,6)-Table10[[#This Row],[Winter Clothes Children ]],0)</f>
        <v>69</v>
      </c>
      <c r="L126" s="422">
        <f ca="1">MAX(Table10[[#This Row],[HH]]*VLOOKUP("Winter Items Other ",NFI,6)-Table10[[#This Row],[Winter Items Other ]],0)</f>
        <v>69</v>
      </c>
      <c r="M126" s="464" t="str">
        <f>IF(OR(Table10[[#This Row],[Winter Clothes Adult ]]&lt;&gt;0,Table10[[#This Row],[Winter Clothes Children ]]&lt;&gt;0,Table10[[#This Row],[Winter Items Other ]]&lt;&gt;0),"No","")</f>
        <v/>
      </c>
      <c r="N126" s="465">
        <f>COUNTIF(A:A,Table10[[#This Row],[Pcode]])-1</f>
        <v>0</v>
      </c>
    </row>
    <row r="127" spans="1:14" x14ac:dyDescent="0.25">
      <c r="A127" s="381" t="s">
        <v>19</v>
      </c>
      <c r="B127" s="26" t="str">
        <f ca="1">OFFSET(CampList[Priority],MATCH(Table10[[#This Row],[Pcode]],CampList[CP_Pcode],0)-1,0,1,1)</f>
        <v>P4</v>
      </c>
      <c r="C127" s="26" t="str">
        <f ca="1">OFFSET(CampList[Camp],MATCH(Table10[[#This Row],[Pcode]],CampList[CP_Pcode],0)-1,0,1,1)</f>
        <v>Nant Hlaing Church</v>
      </c>
      <c r="D127" s="26" t="str">
        <f ca="1">OFFSET(CampList[Township],MATCH(Table10[[#This Row],[Pcode]],CampList[CP_Pcode],0)-1,0,1,1)</f>
        <v>Bhamo</v>
      </c>
      <c r="E127" s="422">
        <f ca="1">OFFSET(CampList[HH],MATCH(Table10[[#This Row],[Pcode]],CampList[CP_Pcode],0)-1,0,1,1)</f>
        <v>20</v>
      </c>
      <c r="F127" s="422">
        <f ca="1">OFFSET(CampList[Total],MATCH(Table10[[#This Row],[Pcode]],CampList[CP_Pcode],0)-1,0,1,1)</f>
        <v>103</v>
      </c>
      <c r="G127" s="422">
        <f>SUMIF('NFI Tracking'!AO$6:AO$1048576,Table10[[#This Row],[Pcode]],'NFI Tracking'!AI$6:AI$1048576)</f>
        <v>0</v>
      </c>
      <c r="H127" s="422">
        <f>SUMIF('NFI Tracking'!AO$6:AO$1048576,Table10[[#This Row],[Pcode]],'NFI Tracking'!AJ$6:AJ$1048576)</f>
        <v>0</v>
      </c>
      <c r="I127" s="422">
        <f>SUMIF('NFI Tracking'!AO$6:AO$1048576,Table10[[#This Row],[Pcode]],'NFI Tracking'!AK$6:AK$1048576)</f>
        <v>0</v>
      </c>
      <c r="J127" s="422">
        <f ca="1">MAX(Table10[[#This Row],[HH]]*VLOOKUP("Winter Clothes Adult",NFI,6)-Table10[[#This Row],[Winter Clothes Adult ]],0)</f>
        <v>40</v>
      </c>
      <c r="K127" s="422">
        <f ca="1">MAX(Table10[[#This Row],[HH]]*VLOOKUP("Winter Clothes Children ",NFI,6)-Table10[[#This Row],[Winter Clothes Children ]],0)</f>
        <v>20</v>
      </c>
      <c r="L127" s="422">
        <f ca="1">MAX(Table10[[#This Row],[HH]]*VLOOKUP("Winter Items Other ",NFI,6)-Table10[[#This Row],[Winter Items Other ]],0)</f>
        <v>20</v>
      </c>
      <c r="M127" s="464" t="str">
        <f>IF(OR(Table10[[#This Row],[Winter Clothes Adult ]]&lt;&gt;0,Table10[[#This Row],[Winter Clothes Children ]]&lt;&gt;0,Table10[[#This Row],[Winter Items Other ]]&lt;&gt;0),"No","")</f>
        <v/>
      </c>
      <c r="N127" s="465">
        <f>COUNTIF(A:A,Table10[[#This Row],[Pcode]])-1</f>
        <v>0</v>
      </c>
    </row>
    <row r="128" spans="1:14" x14ac:dyDescent="0.25">
      <c r="A128" s="381" t="s">
        <v>107</v>
      </c>
      <c r="B128" s="26" t="str">
        <f ca="1">OFFSET(CampList[Priority],MATCH(Table10[[#This Row],[Pcode]],CampList[CP_Pcode],0)-1,0,1,1)</f>
        <v>P4</v>
      </c>
      <c r="C128" s="26" t="str">
        <f ca="1">OFFSET(CampList[Camp],MATCH(Table10[[#This Row],[Pcode]],CampList[CP_Pcode],0)-1,0,1,1)</f>
        <v>Nant Ma Hpit Catholic Church</v>
      </c>
      <c r="D128" s="26" t="str">
        <f ca="1">OFFSET(CampList[Township],MATCH(Table10[[#This Row],[Pcode]],CampList[CP_Pcode],0)-1,0,1,1)</f>
        <v>Hpakant</v>
      </c>
      <c r="E128" s="422">
        <f ca="1">OFFSET(CampList[HH],MATCH(Table10[[#This Row],[Pcode]],CampList[CP_Pcode],0)-1,0,1,1)</f>
        <v>54</v>
      </c>
      <c r="F128" s="422">
        <f ca="1">OFFSET(CampList[Total],MATCH(Table10[[#This Row],[Pcode]],CampList[CP_Pcode],0)-1,0,1,1)</f>
        <v>254</v>
      </c>
      <c r="G128" s="422">
        <f>SUMIF('NFI Tracking'!AO$6:AO$1048576,Table10[[#This Row],[Pcode]],'NFI Tracking'!AI$6:AI$1048576)</f>
        <v>0</v>
      </c>
      <c r="H128" s="422">
        <f>SUMIF('NFI Tracking'!AO$6:AO$1048576,Table10[[#This Row],[Pcode]],'NFI Tracking'!AJ$6:AJ$1048576)</f>
        <v>0</v>
      </c>
      <c r="I128" s="422">
        <f>SUMIF('NFI Tracking'!AO$6:AO$1048576,Table10[[#This Row],[Pcode]],'NFI Tracking'!AK$6:AK$1048576)</f>
        <v>0</v>
      </c>
      <c r="J128" s="422">
        <f ca="1">MAX(Table10[[#This Row],[HH]]*VLOOKUP("Winter Clothes Adult",NFI,6)-Table10[[#This Row],[Winter Clothes Adult ]],0)</f>
        <v>108</v>
      </c>
      <c r="K128" s="422">
        <f ca="1">MAX(Table10[[#This Row],[HH]]*VLOOKUP("Winter Clothes Children ",NFI,6)-Table10[[#This Row],[Winter Clothes Children ]],0)</f>
        <v>54</v>
      </c>
      <c r="L128" s="422">
        <f ca="1">MAX(Table10[[#This Row],[HH]]*VLOOKUP("Winter Items Other ",NFI,6)-Table10[[#This Row],[Winter Items Other ]],0)</f>
        <v>54</v>
      </c>
      <c r="M128" s="464" t="str">
        <f>IF(OR(Table10[[#This Row],[Winter Clothes Adult ]]&lt;&gt;0,Table10[[#This Row],[Winter Clothes Children ]]&lt;&gt;0,Table10[[#This Row],[Winter Items Other ]]&lt;&gt;0),"No","")</f>
        <v/>
      </c>
      <c r="N128" s="465">
        <f>COUNTIF(A:A,Table10[[#This Row],[Pcode]])-1</f>
        <v>0</v>
      </c>
    </row>
    <row r="129" spans="1:14" x14ac:dyDescent="0.25">
      <c r="A129" s="381" t="s">
        <v>182</v>
      </c>
      <c r="B129" s="26" t="str">
        <f ca="1">OFFSET(CampList[Priority],MATCH(Table10[[#This Row],[Pcode]],CampList[CP_Pcode],0)-1,0,1,1)</f>
        <v>P4</v>
      </c>
      <c r="C129" s="26" t="str">
        <f ca="1">OFFSET(CampList[Camp],MATCH(Table10[[#This Row],[Pcode]],CampList[CP_Pcode],0)-1,0,1,1)</f>
        <v>Nant Mun</v>
      </c>
      <c r="D129" s="26" t="str">
        <f ca="1">OFFSET(CampList[Township],MATCH(Table10[[#This Row],[Pcode]],CampList[CP_Pcode],0)-1,0,1,1)</f>
        <v>Mohnyin</v>
      </c>
      <c r="E129" s="422">
        <f ca="1">OFFSET(CampList[HH],MATCH(Table10[[#This Row],[Pcode]],CampList[CP_Pcode],0)-1,0,1,1)</f>
        <v>0</v>
      </c>
      <c r="F129" s="422">
        <f ca="1">OFFSET(CampList[Total],MATCH(Table10[[#This Row],[Pcode]],CampList[CP_Pcode],0)-1,0,1,1)</f>
        <v>0</v>
      </c>
      <c r="G129" s="422">
        <f>SUMIF('NFI Tracking'!AO$6:AO$1048576,Table10[[#This Row],[Pcode]],'NFI Tracking'!AI$6:AI$1048576)</f>
        <v>0</v>
      </c>
      <c r="H129" s="422">
        <f>SUMIF('NFI Tracking'!AO$6:AO$1048576,Table10[[#This Row],[Pcode]],'NFI Tracking'!AJ$6:AJ$1048576)</f>
        <v>0</v>
      </c>
      <c r="I129" s="422">
        <f>SUMIF('NFI Tracking'!AO$6:AO$1048576,Table10[[#This Row],[Pcode]],'NFI Tracking'!AK$6:AK$1048576)</f>
        <v>0</v>
      </c>
      <c r="J129" s="422">
        <f ca="1">MAX(Table10[[#This Row],[HH]]*VLOOKUP("Winter Clothes Adult",NFI,6)-Table10[[#This Row],[Winter Clothes Adult ]],0)</f>
        <v>0</v>
      </c>
      <c r="K129" s="422">
        <f ca="1">MAX(Table10[[#This Row],[HH]]*VLOOKUP("Winter Clothes Children ",NFI,6)-Table10[[#This Row],[Winter Clothes Children ]],0)</f>
        <v>0</v>
      </c>
      <c r="L129" s="422">
        <f ca="1">MAX(Table10[[#This Row],[HH]]*VLOOKUP("Winter Items Other ",NFI,6)-Table10[[#This Row],[Winter Items Other ]],0)</f>
        <v>0</v>
      </c>
      <c r="M129" s="464" t="str">
        <f>IF(OR(Table10[[#This Row],[Winter Clothes Adult ]]&lt;&gt;0,Table10[[#This Row],[Winter Clothes Children ]]&lt;&gt;0,Table10[[#This Row],[Winter Items Other ]]&lt;&gt;0),"No","")</f>
        <v/>
      </c>
      <c r="N129" s="465">
        <f>COUNTIF(A:A,Table10[[#This Row],[Pcode]])-1</f>
        <v>0</v>
      </c>
    </row>
    <row r="130" spans="1:14" x14ac:dyDescent="0.25">
      <c r="A130" s="381" t="s">
        <v>844</v>
      </c>
      <c r="B130" s="26" t="str">
        <f ca="1">OFFSET(CampList[Priority],MATCH(Table10[[#This Row],[Pcode]],CampList[CP_Pcode],0)-1,0,1,1)</f>
        <v>P4</v>
      </c>
      <c r="C130" s="26" t="str">
        <f ca="1">OFFSET(CampList[Camp],MATCH(Table10[[#This Row],[Pcode]],CampList[CP_Pcode],0)-1,0,1,1)</f>
        <v>Narte</v>
      </c>
      <c r="D130" s="26" t="str">
        <f ca="1">OFFSET(CampList[Township],MATCH(Table10[[#This Row],[Pcode]],CampList[CP_Pcode],0)-1,0,1,1)</f>
        <v>Hseni</v>
      </c>
      <c r="E130" s="422">
        <f ca="1">OFFSET(CampList[HH],MATCH(Table10[[#This Row],[Pcode]],CampList[CP_Pcode],0)-1,0,1,1)</f>
        <v>67</v>
      </c>
      <c r="F130" s="422">
        <f ca="1">OFFSET(CampList[Total],MATCH(Table10[[#This Row],[Pcode]],CampList[CP_Pcode],0)-1,0,1,1)</f>
        <v>392</v>
      </c>
      <c r="G130" s="422">
        <f>SUMIF('NFI Tracking'!AO$6:AO$1048576,Table10[[#This Row],[Pcode]],'NFI Tracking'!AI$6:AI$1048576)</f>
        <v>0</v>
      </c>
      <c r="H130" s="422">
        <f>SUMIF('NFI Tracking'!AO$6:AO$1048576,Table10[[#This Row],[Pcode]],'NFI Tracking'!AJ$6:AJ$1048576)</f>
        <v>0</v>
      </c>
      <c r="I130" s="422">
        <f>SUMIF('NFI Tracking'!AO$6:AO$1048576,Table10[[#This Row],[Pcode]],'NFI Tracking'!AK$6:AK$1048576)</f>
        <v>0</v>
      </c>
      <c r="J130" s="422">
        <f ca="1">MAX(Table10[[#This Row],[HH]]*VLOOKUP("Winter Clothes Adult",NFI,6)-Table10[[#This Row],[Winter Clothes Adult ]],0)</f>
        <v>134</v>
      </c>
      <c r="K130" s="422">
        <f ca="1">MAX(Table10[[#This Row],[HH]]*VLOOKUP("Winter Clothes Children ",NFI,6)-Table10[[#This Row],[Winter Clothes Children ]],0)</f>
        <v>67</v>
      </c>
      <c r="L130" s="422">
        <f ca="1">MAX(Table10[[#This Row],[HH]]*VLOOKUP("Winter Items Other ",NFI,6)-Table10[[#This Row],[Winter Items Other ]],0)</f>
        <v>67</v>
      </c>
      <c r="M130" s="464" t="str">
        <f>IF(OR(Table10[[#This Row],[Winter Clothes Adult ]]&lt;&gt;0,Table10[[#This Row],[Winter Clothes Children ]]&lt;&gt;0,Table10[[#This Row],[Winter Items Other ]]&lt;&gt;0),"No","")</f>
        <v/>
      </c>
      <c r="N130" s="465">
        <f>COUNTIF(A:A,Table10[[#This Row],[Pcode]])-1</f>
        <v>0</v>
      </c>
    </row>
    <row r="131" spans="1:14" x14ac:dyDescent="0.25">
      <c r="A131" s="381" t="s">
        <v>177</v>
      </c>
      <c r="B131" s="26" t="str">
        <f ca="1">OFFSET(CampList[Priority],MATCH(Table10[[#This Row],[Pcode]],CampList[CP_Pcode],0)-1,0,1,1)</f>
        <v>P4</v>
      </c>
      <c r="C131" s="26" t="str">
        <f ca="1">OFFSET(CampList[Camp],MATCH(Table10[[#This Row],[Pcode]],CampList[CP_Pcode],0)-1,0,1,1)</f>
        <v xml:space="preserve">Nat Gyi Kone Baptist Church </v>
      </c>
      <c r="D131" s="26" t="str">
        <f ca="1">OFFSET(CampList[Township],MATCH(Table10[[#This Row],[Pcode]],CampList[CP_Pcode],0)-1,0,1,1)</f>
        <v>Mogaung</v>
      </c>
      <c r="E131" s="422">
        <f ca="1">OFFSET(CampList[HH],MATCH(Table10[[#This Row],[Pcode]],CampList[CP_Pcode],0)-1,0,1,1)</f>
        <v>14</v>
      </c>
      <c r="F131" s="422">
        <f ca="1">OFFSET(CampList[Total],MATCH(Table10[[#This Row],[Pcode]],CampList[CP_Pcode],0)-1,0,1,1)</f>
        <v>44</v>
      </c>
      <c r="G131" s="422">
        <f>SUMIF('NFI Tracking'!AO$6:AO$1048576,Table10[[#This Row],[Pcode]],'NFI Tracking'!AI$6:AI$1048576)</f>
        <v>0</v>
      </c>
      <c r="H131" s="422">
        <f>SUMIF('NFI Tracking'!AO$6:AO$1048576,Table10[[#This Row],[Pcode]],'NFI Tracking'!AJ$6:AJ$1048576)</f>
        <v>0</v>
      </c>
      <c r="I131" s="422">
        <f>SUMIF('NFI Tracking'!AO$6:AO$1048576,Table10[[#This Row],[Pcode]],'NFI Tracking'!AK$6:AK$1048576)</f>
        <v>0</v>
      </c>
      <c r="J131" s="422">
        <f ca="1">MAX(Table10[[#This Row],[HH]]*VLOOKUP("Winter Clothes Adult",NFI,6)-Table10[[#This Row],[Winter Clothes Adult ]],0)</f>
        <v>28</v>
      </c>
      <c r="K131" s="422">
        <f ca="1">MAX(Table10[[#This Row],[HH]]*VLOOKUP("Winter Clothes Children ",NFI,6)-Table10[[#This Row],[Winter Clothes Children ]],0)</f>
        <v>14</v>
      </c>
      <c r="L131" s="422">
        <f ca="1">MAX(Table10[[#This Row],[HH]]*VLOOKUP("Winter Items Other ",NFI,6)-Table10[[#This Row],[Winter Items Other ]],0)</f>
        <v>14</v>
      </c>
      <c r="M131" s="464" t="str">
        <f>IF(OR(Table10[[#This Row],[Winter Clothes Adult ]]&lt;&gt;0,Table10[[#This Row],[Winter Clothes Children ]]&lt;&gt;0,Table10[[#This Row],[Winter Items Other ]]&lt;&gt;0),"No","")</f>
        <v/>
      </c>
      <c r="N131" s="465">
        <f>COUNTIF(A:A,Table10[[#This Row],[Pcode]])-1</f>
        <v>0</v>
      </c>
    </row>
    <row r="132" spans="1:14" x14ac:dyDescent="0.25">
      <c r="A132" s="381" t="s">
        <v>343</v>
      </c>
      <c r="B132" s="26" t="str">
        <f ca="1">OFFSET(CampList[Priority],MATCH(Table10[[#This Row],[Pcode]],CampList[CP_Pcode],0)-1,0,1,1)</f>
        <v>P4</v>
      </c>
      <c r="C132" s="26" t="str">
        <f ca="1">OFFSET(CampList[Camp],MATCH(Table10[[#This Row],[Pcode]],CampList[CP_Pcode],0)-1,0,1,1)</f>
        <v>Nawng Hee Village</v>
      </c>
      <c r="D132" s="26" t="str">
        <f ca="1">OFFSET(CampList[Township],MATCH(Table10[[#This Row],[Pcode]],CampList[CP_Pcode],0)-1,0,1,1)</f>
        <v>Waingmaw</v>
      </c>
      <c r="E132" s="422">
        <f ca="1">OFFSET(CampList[HH],MATCH(Table10[[#This Row],[Pcode]],CampList[CP_Pcode],0)-1,0,1,1)</f>
        <v>18</v>
      </c>
      <c r="F132" s="422">
        <f ca="1">OFFSET(CampList[Total],MATCH(Table10[[#This Row],[Pcode]],CampList[CP_Pcode],0)-1,0,1,1)</f>
        <v>82</v>
      </c>
      <c r="G132" s="422">
        <f>SUMIF('NFI Tracking'!AO$6:AO$1048576,Table10[[#This Row],[Pcode]],'NFI Tracking'!AI$6:AI$1048576)</f>
        <v>0</v>
      </c>
      <c r="H132" s="422">
        <f>SUMIF('NFI Tracking'!AO$6:AO$1048576,Table10[[#This Row],[Pcode]],'NFI Tracking'!AJ$6:AJ$1048576)</f>
        <v>0</v>
      </c>
      <c r="I132" s="422">
        <f>SUMIF('NFI Tracking'!AO$6:AO$1048576,Table10[[#This Row],[Pcode]],'NFI Tracking'!AK$6:AK$1048576)</f>
        <v>0</v>
      </c>
      <c r="J132" s="422">
        <f ca="1">MAX(Table10[[#This Row],[HH]]*VLOOKUP("Winter Clothes Adult",NFI,6)-Table10[[#This Row],[Winter Clothes Adult ]],0)</f>
        <v>36</v>
      </c>
      <c r="K132" s="422">
        <f ca="1">MAX(Table10[[#This Row],[HH]]*VLOOKUP("Winter Clothes Children ",NFI,6)-Table10[[#This Row],[Winter Clothes Children ]],0)</f>
        <v>18</v>
      </c>
      <c r="L132" s="422">
        <f ca="1">MAX(Table10[[#This Row],[HH]]*VLOOKUP("Winter Items Other ",NFI,6)-Table10[[#This Row],[Winter Items Other ]],0)</f>
        <v>18</v>
      </c>
      <c r="M132" s="464" t="str">
        <f>IF(OR(Table10[[#This Row],[Winter Clothes Adult ]]&lt;&gt;0,Table10[[#This Row],[Winter Clothes Children ]]&lt;&gt;0,Table10[[#This Row],[Winter Items Other ]]&lt;&gt;0),"No","")</f>
        <v/>
      </c>
      <c r="N132" s="465">
        <f>COUNTIF(A:A,Table10[[#This Row],[Pcode]])-1</f>
        <v>0</v>
      </c>
    </row>
    <row r="133" spans="1:14" x14ac:dyDescent="0.25">
      <c r="A133" s="381" t="s">
        <v>286</v>
      </c>
      <c r="B133" s="26" t="str">
        <f ca="1">OFFSET(CampList[Priority],MATCH(Table10[[#This Row],[Pcode]],CampList[CP_Pcode],0)-1,0,1,1)</f>
        <v>P4</v>
      </c>
      <c r="C133" s="26" t="str">
        <f ca="1">OFFSET(CampList[Camp],MATCH(Table10[[#This Row],[Pcode]],CampList[CP_Pcode],0)-1,0,1,1)</f>
        <v xml:space="preserve">Nawng Ing (Indawgyi) Baptist Church  </v>
      </c>
      <c r="D133" s="26" t="str">
        <f ca="1">OFFSET(CampList[Township],MATCH(Table10[[#This Row],[Pcode]],CampList[CP_Pcode],0)-1,0,1,1)</f>
        <v>Mohnyin</v>
      </c>
      <c r="E133" s="422">
        <f ca="1">OFFSET(CampList[HH],MATCH(Table10[[#This Row],[Pcode]],CampList[CP_Pcode],0)-1,0,1,1)</f>
        <v>18</v>
      </c>
      <c r="F133" s="422">
        <f ca="1">OFFSET(CampList[Total],MATCH(Table10[[#This Row],[Pcode]],CampList[CP_Pcode],0)-1,0,1,1)</f>
        <v>141</v>
      </c>
      <c r="G133" s="422">
        <f>SUMIF('NFI Tracking'!AO$6:AO$1048576,Table10[[#This Row],[Pcode]],'NFI Tracking'!AI$6:AI$1048576)</f>
        <v>0</v>
      </c>
      <c r="H133" s="422">
        <f>SUMIF('NFI Tracking'!AO$6:AO$1048576,Table10[[#This Row],[Pcode]],'NFI Tracking'!AJ$6:AJ$1048576)</f>
        <v>0</v>
      </c>
      <c r="I133" s="422">
        <f>SUMIF('NFI Tracking'!AO$6:AO$1048576,Table10[[#This Row],[Pcode]],'NFI Tracking'!AK$6:AK$1048576)</f>
        <v>0</v>
      </c>
      <c r="J133" s="422">
        <f ca="1">MAX(Table10[[#This Row],[HH]]*VLOOKUP("Winter Clothes Adult",NFI,6)-Table10[[#This Row],[Winter Clothes Adult ]],0)</f>
        <v>36</v>
      </c>
      <c r="K133" s="422">
        <f ca="1">MAX(Table10[[#This Row],[HH]]*VLOOKUP("Winter Clothes Children ",NFI,6)-Table10[[#This Row],[Winter Clothes Children ]],0)</f>
        <v>18</v>
      </c>
      <c r="L133" s="422">
        <f ca="1">MAX(Table10[[#This Row],[HH]]*VLOOKUP("Winter Items Other ",NFI,6)-Table10[[#This Row],[Winter Items Other ]],0)</f>
        <v>18</v>
      </c>
      <c r="M133" s="464" t="str">
        <f>IF(OR(Table10[[#This Row],[Winter Clothes Adult ]]&lt;&gt;0,Table10[[#This Row],[Winter Clothes Children ]]&lt;&gt;0,Table10[[#This Row],[Winter Items Other ]]&lt;&gt;0),"No","")</f>
        <v/>
      </c>
      <c r="N133" s="465">
        <f>COUNTIF(A:A,Table10[[#This Row],[Pcode]])-1</f>
        <v>0</v>
      </c>
    </row>
    <row r="134" spans="1:14" x14ac:dyDescent="0.25">
      <c r="A134" s="381" t="s">
        <v>216</v>
      </c>
      <c r="B134" s="26" t="str">
        <f ca="1">OFFSET(CampList[Priority],MATCH(Table10[[#This Row],[Pcode]],CampList[CP_Pcode],0)-1,0,1,1)</f>
        <v>P4</v>
      </c>
      <c r="C134" s="26" t="str">
        <f ca="1">OFFSET(CampList[Camp],MATCH(Table10[[#This Row],[Pcode]],CampList[CP_Pcode],0)-1,0,1,1)</f>
        <v>Ni Thaw Ka Monestry</v>
      </c>
      <c r="D134" s="26" t="str">
        <f ca="1">OFFSET(CampList[Township],MATCH(Table10[[#This Row],[Pcode]],CampList[CP_Pcode],0)-1,0,1,1)</f>
        <v>Momauk</v>
      </c>
      <c r="E134" s="422">
        <f ca="1">OFFSET(CampList[HH],MATCH(Table10[[#This Row],[Pcode]],CampList[CP_Pcode],0)-1,0,1,1)</f>
        <v>24</v>
      </c>
      <c r="F134" s="422">
        <f ca="1">OFFSET(CampList[Total],MATCH(Table10[[#This Row],[Pcode]],CampList[CP_Pcode],0)-1,0,1,1)</f>
        <v>89</v>
      </c>
      <c r="G134" s="422">
        <f>SUMIF('NFI Tracking'!AO$6:AO$1048576,Table10[[#This Row],[Pcode]],'NFI Tracking'!AI$6:AI$1048576)</f>
        <v>0</v>
      </c>
      <c r="H134" s="422">
        <f>SUMIF('NFI Tracking'!AO$6:AO$1048576,Table10[[#This Row],[Pcode]],'NFI Tracking'!AJ$6:AJ$1048576)</f>
        <v>0</v>
      </c>
      <c r="I134" s="422">
        <f>SUMIF('NFI Tracking'!AO$6:AO$1048576,Table10[[#This Row],[Pcode]],'NFI Tracking'!AK$6:AK$1048576)</f>
        <v>0</v>
      </c>
      <c r="J134" s="422">
        <f ca="1">MAX(Table10[[#This Row],[HH]]*VLOOKUP("Winter Clothes Adult",NFI,6)-Table10[[#This Row],[Winter Clothes Adult ]],0)</f>
        <v>48</v>
      </c>
      <c r="K134" s="422">
        <f ca="1">MAX(Table10[[#This Row],[HH]]*VLOOKUP("Winter Clothes Children ",NFI,6)-Table10[[#This Row],[Winter Clothes Children ]],0)</f>
        <v>24</v>
      </c>
      <c r="L134" s="422">
        <f ca="1">MAX(Table10[[#This Row],[HH]]*VLOOKUP("Winter Items Other ",NFI,6)-Table10[[#This Row],[Winter Items Other ]],0)</f>
        <v>24</v>
      </c>
      <c r="M134" s="464" t="str">
        <f>IF(OR(Table10[[#This Row],[Winter Clothes Adult ]]&lt;&gt;0,Table10[[#This Row],[Winter Clothes Children ]]&lt;&gt;0,Table10[[#This Row],[Winter Items Other ]]&lt;&gt;0),"No","")</f>
        <v/>
      </c>
      <c r="N134" s="465">
        <f>COUNTIF(A:A,Table10[[#This Row],[Pcode]])-1</f>
        <v>0</v>
      </c>
    </row>
    <row r="135" spans="1:14" x14ac:dyDescent="0.25">
      <c r="A135" s="381" t="s">
        <v>268</v>
      </c>
      <c r="B135" s="26" t="str">
        <f ca="1">OFFSET(CampList[Priority],MATCH(Table10[[#This Row],[Pcode]],CampList[CP_Pcode],0)-1,0,1,1)</f>
        <v>P4</v>
      </c>
      <c r="C135" s="26" t="str">
        <f ca="1">OFFSET(CampList[Camp],MATCH(Table10[[#This Row],[Pcode]],CampList[CP_Pcode],0)-1,0,1,1)</f>
        <v xml:space="preserve">Njang Dung Baptist Church </v>
      </c>
      <c r="D135" s="26" t="str">
        <f ca="1">OFFSET(CampList[Township],MATCH(Table10[[#This Row],[Pcode]],CampList[CP_Pcode],0)-1,0,1,1)</f>
        <v>Myitkyina</v>
      </c>
      <c r="E135" s="422">
        <f ca="1">OFFSET(CampList[HH],MATCH(Table10[[#This Row],[Pcode]],CampList[CP_Pcode],0)-1,0,1,1)</f>
        <v>57</v>
      </c>
      <c r="F135" s="422">
        <f ca="1">OFFSET(CampList[Total],MATCH(Table10[[#This Row],[Pcode]],CampList[CP_Pcode],0)-1,0,1,1)</f>
        <v>233</v>
      </c>
      <c r="G135" s="422">
        <f>SUMIF('NFI Tracking'!AO$6:AO$1048576,Table10[[#This Row],[Pcode]],'NFI Tracking'!AI$6:AI$1048576)</f>
        <v>0</v>
      </c>
      <c r="H135" s="422">
        <f>SUMIF('NFI Tracking'!AO$6:AO$1048576,Table10[[#This Row],[Pcode]],'NFI Tracking'!AJ$6:AJ$1048576)</f>
        <v>0</v>
      </c>
      <c r="I135" s="422">
        <f>SUMIF('NFI Tracking'!AO$6:AO$1048576,Table10[[#This Row],[Pcode]],'NFI Tracking'!AK$6:AK$1048576)</f>
        <v>0</v>
      </c>
      <c r="J135" s="422">
        <f ca="1">MAX(Table10[[#This Row],[HH]]*VLOOKUP("Winter Clothes Adult",NFI,6)-Table10[[#This Row],[Winter Clothes Adult ]],0)</f>
        <v>114</v>
      </c>
      <c r="K135" s="422">
        <f ca="1">MAX(Table10[[#This Row],[HH]]*VLOOKUP("Winter Clothes Children ",NFI,6)-Table10[[#This Row],[Winter Clothes Children ]],0)</f>
        <v>57</v>
      </c>
      <c r="L135" s="422">
        <f ca="1">MAX(Table10[[#This Row],[HH]]*VLOOKUP("Winter Items Other ",NFI,6)-Table10[[#This Row],[Winter Items Other ]],0)</f>
        <v>57</v>
      </c>
      <c r="M135" s="464" t="str">
        <f>IF(OR(Table10[[#This Row],[Winter Clothes Adult ]]&lt;&gt;0,Table10[[#This Row],[Winter Clothes Children ]]&lt;&gt;0,Table10[[#This Row],[Winter Items Other ]]&lt;&gt;0),"No","")</f>
        <v/>
      </c>
      <c r="N135" s="465">
        <f>COUNTIF(A:A,Table10[[#This Row],[Pcode]])-1</f>
        <v>0</v>
      </c>
    </row>
    <row r="136" spans="1:14" x14ac:dyDescent="0.25">
      <c r="A136" s="381" t="s">
        <v>272</v>
      </c>
      <c r="B136" s="26" t="str">
        <f ca="1">OFFSET(CampList[Priority],MATCH(Table10[[#This Row],[Pcode]],CampList[CP_Pcode],0)-1,0,1,1)</f>
        <v>P4</v>
      </c>
      <c r="C136" s="26" t="str">
        <f ca="1">OFFSET(CampList[Camp],MATCH(Table10[[#This Row],[Pcode]],CampList[CP_Pcode],0)-1,0,1,1)</f>
        <v>Pa Dauk Myaing(Pa La Na)</v>
      </c>
      <c r="D136" s="26" t="str">
        <f ca="1">OFFSET(CampList[Township],MATCH(Table10[[#This Row],[Pcode]],CampList[CP_Pcode],0)-1,0,1,1)</f>
        <v>Myitkyina</v>
      </c>
      <c r="E136" s="422">
        <f ca="1">OFFSET(CampList[HH],MATCH(Table10[[#This Row],[Pcode]],CampList[CP_Pcode],0)-1,0,1,1)</f>
        <v>45</v>
      </c>
      <c r="F136" s="422">
        <f ca="1">OFFSET(CampList[Total],MATCH(Table10[[#This Row],[Pcode]],CampList[CP_Pcode],0)-1,0,1,1)</f>
        <v>262</v>
      </c>
      <c r="G136" s="422">
        <f>SUMIF('NFI Tracking'!AO$6:AO$1048576,Table10[[#This Row],[Pcode]],'NFI Tracking'!AI$6:AI$1048576)</f>
        <v>323</v>
      </c>
      <c r="H136" s="422">
        <f>SUMIF('NFI Tracking'!AO$6:AO$1048576,Table10[[#This Row],[Pcode]],'NFI Tracking'!AJ$6:AJ$1048576)</f>
        <v>178</v>
      </c>
      <c r="I136" s="422">
        <f>SUMIF('NFI Tracking'!AO$6:AO$1048576,Table10[[#This Row],[Pcode]],'NFI Tracking'!AK$6:AK$1048576)</f>
        <v>0</v>
      </c>
      <c r="J136" s="422">
        <f ca="1">MAX(Table10[[#This Row],[HH]]*VLOOKUP("Winter Clothes Adult",NFI,6)-Table10[[#This Row],[Winter Clothes Adult ]],0)</f>
        <v>0</v>
      </c>
      <c r="K136" s="422">
        <f ca="1">MAX(Table10[[#This Row],[HH]]*VLOOKUP("Winter Clothes Children ",NFI,6)-Table10[[#This Row],[Winter Clothes Children ]],0)</f>
        <v>0</v>
      </c>
      <c r="L136" s="422">
        <f ca="1">MAX(Table10[[#This Row],[HH]]*VLOOKUP("Winter Items Other ",NFI,6)-Table10[[#This Row],[Winter Items Other ]],0)</f>
        <v>45</v>
      </c>
      <c r="M136" s="464" t="str">
        <f>IF(OR(Table10[[#This Row],[Winter Clothes Adult ]]&lt;&gt;0,Table10[[#This Row],[Winter Clothes Children ]]&lt;&gt;0,Table10[[#This Row],[Winter Items Other ]]&lt;&gt;0),"No","")</f>
        <v>No</v>
      </c>
      <c r="N136" s="465">
        <f>COUNTIF(A:A,Table10[[#This Row],[Pcode]])-1</f>
        <v>0</v>
      </c>
    </row>
    <row r="137" spans="1:14" x14ac:dyDescent="0.25">
      <c r="A137" s="381" t="s">
        <v>376</v>
      </c>
      <c r="B137" s="26" t="str">
        <f ca="1">OFFSET(CampList[Priority],MATCH(Table10[[#This Row],[Pcode]],CampList[CP_Pcode],0)-1,0,1,1)</f>
        <v>P4</v>
      </c>
      <c r="C137" s="26" t="str">
        <f ca="1">OFFSET(CampList[Camp],MATCH(Table10[[#This Row],[Pcode]],CampList[CP_Pcode],0)-1,0,1,1)</f>
        <v>Phan Khar Kone</v>
      </c>
      <c r="D137" s="26" t="str">
        <f ca="1">OFFSET(CampList[Township],MATCH(Table10[[#This Row],[Pcode]],CampList[CP_Pcode],0)-1,0,1,1)</f>
        <v>Bhamo</v>
      </c>
      <c r="E137" s="422">
        <f ca="1">OFFSET(CampList[HH],MATCH(Table10[[#This Row],[Pcode]],CampList[CP_Pcode],0)-1,0,1,1)</f>
        <v>157</v>
      </c>
      <c r="F137" s="422">
        <f ca="1">OFFSET(CampList[Total],MATCH(Table10[[#This Row],[Pcode]],CampList[CP_Pcode],0)-1,0,1,1)</f>
        <v>761</v>
      </c>
      <c r="G137" s="422">
        <f>SUMIF('NFI Tracking'!AO$6:AO$1048576,Table10[[#This Row],[Pcode]],'NFI Tracking'!AI$6:AI$1048576)</f>
        <v>0</v>
      </c>
      <c r="H137" s="422">
        <f>SUMIF('NFI Tracking'!AO$6:AO$1048576,Table10[[#This Row],[Pcode]],'NFI Tracking'!AJ$6:AJ$1048576)</f>
        <v>0</v>
      </c>
      <c r="I137" s="422">
        <f>SUMIF('NFI Tracking'!AO$6:AO$1048576,Table10[[#This Row],[Pcode]],'NFI Tracking'!AK$6:AK$1048576)</f>
        <v>0</v>
      </c>
      <c r="J137" s="422">
        <f ca="1">MAX(Table10[[#This Row],[HH]]*VLOOKUP("Winter Clothes Adult",NFI,6)-Table10[[#This Row],[Winter Clothes Adult ]],0)</f>
        <v>314</v>
      </c>
      <c r="K137" s="422">
        <f ca="1">MAX(Table10[[#This Row],[HH]]*VLOOKUP("Winter Clothes Children ",NFI,6)-Table10[[#This Row],[Winter Clothes Children ]],0)</f>
        <v>157</v>
      </c>
      <c r="L137" s="422">
        <f ca="1">MAX(Table10[[#This Row],[HH]]*VLOOKUP("Winter Items Other ",NFI,6)-Table10[[#This Row],[Winter Items Other ]],0)</f>
        <v>157</v>
      </c>
      <c r="M137" s="464" t="str">
        <f>IF(OR(Table10[[#This Row],[Winter Clothes Adult ]]&lt;&gt;0,Table10[[#This Row],[Winter Clothes Children ]]&lt;&gt;0,Table10[[#This Row],[Winter Items Other ]]&lt;&gt;0),"No","")</f>
        <v/>
      </c>
      <c r="N137" s="465">
        <f>COUNTIF(A:A,Table10[[#This Row],[Pcode]])-1</f>
        <v>0</v>
      </c>
    </row>
    <row r="138" spans="1:14" x14ac:dyDescent="0.25">
      <c r="A138" s="381" t="s">
        <v>220</v>
      </c>
      <c r="B138" s="26" t="str">
        <f ca="1">OFFSET(CampList[Priority],MATCH(Table10[[#This Row],[Pcode]],CampList[CP_Pcode],0)-1,0,1,1)</f>
        <v>P4</v>
      </c>
      <c r="C138" s="26" t="str">
        <f ca="1">OFFSET(CampList[Camp],MATCH(Table10[[#This Row],[Pcode]],CampList[CP_Pcode],0)-1,0,1,1)</f>
        <v xml:space="preserve">Phar Kay/Nant Waing </v>
      </c>
      <c r="D138" s="26" t="str">
        <f ca="1">OFFSET(CampList[Township],MATCH(Table10[[#This Row],[Pcode]],CampList[CP_Pcode],0)-1,0,1,1)</f>
        <v>Momauk</v>
      </c>
      <c r="E138" s="422">
        <f ca="1">OFFSET(CampList[HH],MATCH(Table10[[#This Row],[Pcode]],CampList[CP_Pcode],0)-1,0,1,1)</f>
        <v>39</v>
      </c>
      <c r="F138" s="422">
        <f ca="1">OFFSET(CampList[Total],MATCH(Table10[[#This Row],[Pcode]],CampList[CP_Pcode],0)-1,0,1,1)</f>
        <v>176</v>
      </c>
      <c r="G138" s="422">
        <f>SUMIF('NFI Tracking'!AO$6:AO$1048576,Table10[[#This Row],[Pcode]],'NFI Tracking'!AI$6:AI$1048576)</f>
        <v>0</v>
      </c>
      <c r="H138" s="422">
        <f>SUMIF('NFI Tracking'!AO$6:AO$1048576,Table10[[#This Row],[Pcode]],'NFI Tracking'!AJ$6:AJ$1048576)</f>
        <v>0</v>
      </c>
      <c r="I138" s="422">
        <f>SUMIF('NFI Tracking'!AO$6:AO$1048576,Table10[[#This Row],[Pcode]],'NFI Tracking'!AK$6:AK$1048576)</f>
        <v>0</v>
      </c>
      <c r="J138" s="422">
        <f ca="1">MAX(Table10[[#This Row],[HH]]*VLOOKUP("Winter Clothes Adult",NFI,6)-Table10[[#This Row],[Winter Clothes Adult ]],0)</f>
        <v>78</v>
      </c>
      <c r="K138" s="422">
        <f ca="1">MAX(Table10[[#This Row],[HH]]*VLOOKUP("Winter Clothes Children ",NFI,6)-Table10[[#This Row],[Winter Clothes Children ]],0)</f>
        <v>39</v>
      </c>
      <c r="L138" s="422">
        <f ca="1">MAX(Table10[[#This Row],[HH]]*VLOOKUP("Winter Items Other ",NFI,6)-Table10[[#This Row],[Winter Items Other ]],0)</f>
        <v>39</v>
      </c>
      <c r="M138" s="464" t="str">
        <f>IF(OR(Table10[[#This Row],[Winter Clothes Adult ]]&lt;&gt;0,Table10[[#This Row],[Winter Clothes Children ]]&lt;&gt;0,Table10[[#This Row],[Winter Items Other ]]&lt;&gt;0),"No","")</f>
        <v/>
      </c>
      <c r="N138" s="465">
        <f>COUNTIF(A:A,Table10[[#This Row],[Pcode]])-1</f>
        <v>0</v>
      </c>
    </row>
    <row r="139" spans="1:14" x14ac:dyDescent="0.25">
      <c r="A139" s="381" t="s">
        <v>317</v>
      </c>
      <c r="B139" s="26" t="str">
        <f ca="1">OFFSET(CampList[Priority],MATCH(Table10[[#This Row],[Pcode]],CampList[CP_Pcode],0)-1,0,1,1)</f>
        <v>P4</v>
      </c>
      <c r="C139" s="26" t="str">
        <f ca="1">OFFSET(CampList[Camp],MATCH(Table10[[#This Row],[Pcode]],CampList[CP_Pcode],0)-1,0,1,1)</f>
        <v>Qtr. 2 Lhaovo Baptist Church</v>
      </c>
      <c r="D139" s="26" t="str">
        <f ca="1">OFFSET(CampList[Township],MATCH(Table10[[#This Row],[Pcode]],CampList[CP_Pcode],0)-1,0,1,1)</f>
        <v>Waingmaw</v>
      </c>
      <c r="E139" s="422">
        <f ca="1">OFFSET(CampList[HH],MATCH(Table10[[#This Row],[Pcode]],CampList[CP_Pcode],0)-1,0,1,1)</f>
        <v>94</v>
      </c>
      <c r="F139" s="422">
        <f ca="1">OFFSET(CampList[Total],MATCH(Table10[[#This Row],[Pcode]],CampList[CP_Pcode],0)-1,0,1,1)</f>
        <v>342</v>
      </c>
      <c r="G139" s="422">
        <f>SUMIF('NFI Tracking'!AO$6:AO$1048576,Table10[[#This Row],[Pcode]],'NFI Tracking'!AI$6:AI$1048576)</f>
        <v>0</v>
      </c>
      <c r="H139" s="422">
        <f>SUMIF('NFI Tracking'!AO$6:AO$1048576,Table10[[#This Row],[Pcode]],'NFI Tracking'!AJ$6:AJ$1048576)</f>
        <v>0</v>
      </c>
      <c r="I139" s="422">
        <f>SUMIF('NFI Tracking'!AO$6:AO$1048576,Table10[[#This Row],[Pcode]],'NFI Tracking'!AK$6:AK$1048576)</f>
        <v>0</v>
      </c>
      <c r="J139" s="422">
        <f ca="1">MAX(Table10[[#This Row],[HH]]*VLOOKUP("Winter Clothes Adult",NFI,6)-Table10[[#This Row],[Winter Clothes Adult ]],0)</f>
        <v>188</v>
      </c>
      <c r="K139" s="422">
        <f ca="1">MAX(Table10[[#This Row],[HH]]*VLOOKUP("Winter Clothes Children ",NFI,6)-Table10[[#This Row],[Winter Clothes Children ]],0)</f>
        <v>94</v>
      </c>
      <c r="L139" s="422">
        <f ca="1">MAX(Table10[[#This Row],[HH]]*VLOOKUP("Winter Items Other ",NFI,6)-Table10[[#This Row],[Winter Items Other ]],0)</f>
        <v>94</v>
      </c>
      <c r="M139" s="464" t="str">
        <f>IF(OR(Table10[[#This Row],[Winter Clothes Adult ]]&lt;&gt;0,Table10[[#This Row],[Winter Clothes Children ]]&lt;&gt;0,Table10[[#This Row],[Winter Items Other ]]&lt;&gt;0),"No","")</f>
        <v/>
      </c>
      <c r="N139" s="465">
        <f>COUNTIF(A:A,Table10[[#This Row],[Pcode]])-1</f>
        <v>0</v>
      </c>
    </row>
    <row r="140" spans="1:14" x14ac:dyDescent="0.25">
      <c r="A140" s="381" t="s">
        <v>341</v>
      </c>
      <c r="B140" s="26" t="str">
        <f ca="1">OFFSET(CampList[Priority],MATCH(Table10[[#This Row],[Pcode]],CampList[CP_Pcode],0)-1,0,1,1)</f>
        <v>P4</v>
      </c>
      <c r="C140" s="26" t="str">
        <f ca="1">OFFSET(CampList[Camp],MATCH(Table10[[#This Row],[Pcode]],CampList[CP_Pcode],0)-1,0,1,1)</f>
        <v>Qtr. 2 Myoma Baptist Church</v>
      </c>
      <c r="D140" s="26" t="str">
        <f ca="1">OFFSET(CampList[Township],MATCH(Table10[[#This Row],[Pcode]],CampList[CP_Pcode],0)-1,0,1,1)</f>
        <v>Waingmaw</v>
      </c>
      <c r="E140" s="422">
        <f ca="1">OFFSET(CampList[HH],MATCH(Table10[[#This Row],[Pcode]],CampList[CP_Pcode],0)-1,0,1,1)</f>
        <v>65</v>
      </c>
      <c r="F140" s="422">
        <f ca="1">OFFSET(CampList[Total],MATCH(Table10[[#This Row],[Pcode]],CampList[CP_Pcode],0)-1,0,1,1)</f>
        <v>322</v>
      </c>
      <c r="G140" s="422">
        <f>SUMIF('NFI Tracking'!AO$6:AO$1048576,Table10[[#This Row],[Pcode]],'NFI Tracking'!AI$6:AI$1048576)</f>
        <v>0</v>
      </c>
      <c r="H140" s="422">
        <f>SUMIF('NFI Tracking'!AO$6:AO$1048576,Table10[[#This Row],[Pcode]],'NFI Tracking'!AJ$6:AJ$1048576)</f>
        <v>0</v>
      </c>
      <c r="I140" s="422">
        <f>SUMIF('NFI Tracking'!AO$6:AO$1048576,Table10[[#This Row],[Pcode]],'NFI Tracking'!AK$6:AK$1048576)</f>
        <v>0</v>
      </c>
      <c r="J140" s="422">
        <f ca="1">MAX(Table10[[#This Row],[HH]]*VLOOKUP("Winter Clothes Adult",NFI,6)-Table10[[#This Row],[Winter Clothes Adult ]],0)</f>
        <v>130</v>
      </c>
      <c r="K140" s="422">
        <f ca="1">MAX(Table10[[#This Row],[HH]]*VLOOKUP("Winter Clothes Children ",NFI,6)-Table10[[#This Row],[Winter Clothes Children ]],0)</f>
        <v>65</v>
      </c>
      <c r="L140" s="422">
        <f ca="1">MAX(Table10[[#This Row],[HH]]*VLOOKUP("Winter Items Other ",NFI,6)-Table10[[#This Row],[Winter Items Other ]],0)</f>
        <v>65</v>
      </c>
      <c r="M140" s="464" t="str">
        <f>IF(OR(Table10[[#This Row],[Winter Clothes Adult ]]&lt;&gt;0,Table10[[#This Row],[Winter Clothes Children ]]&lt;&gt;0,Table10[[#This Row],[Winter Items Other ]]&lt;&gt;0),"No","")</f>
        <v/>
      </c>
      <c r="N140" s="465">
        <f>COUNTIF(A:A,Table10[[#This Row],[Pcode]])-1</f>
        <v>0</v>
      </c>
    </row>
    <row r="141" spans="1:14" x14ac:dyDescent="0.25">
      <c r="A141" s="381" t="s">
        <v>337</v>
      </c>
      <c r="B141" s="26" t="str">
        <f ca="1">OFFSET(CampList[Priority],MATCH(Table10[[#This Row],[Pcode]],CampList[CP_Pcode],0)-1,0,1,1)</f>
        <v>P4</v>
      </c>
      <c r="C141" s="26" t="str">
        <f ca="1">OFFSET(CampList[Camp],MATCH(Table10[[#This Row],[Pcode]],CampList[CP_Pcode],0)-1,0,1,1)</f>
        <v>Qtr. 3 Mu-yin  Baptist Church</v>
      </c>
      <c r="D141" s="26" t="str">
        <f ca="1">OFFSET(CampList[Township],MATCH(Table10[[#This Row],[Pcode]],CampList[CP_Pcode],0)-1,0,1,1)</f>
        <v>Waingmaw</v>
      </c>
      <c r="E141" s="422">
        <f ca="1">OFFSET(CampList[HH],MATCH(Table10[[#This Row],[Pcode]],CampList[CP_Pcode],0)-1,0,1,1)</f>
        <v>31</v>
      </c>
      <c r="F141" s="422">
        <f ca="1">OFFSET(CampList[Total],MATCH(Table10[[#This Row],[Pcode]],CampList[CP_Pcode],0)-1,0,1,1)</f>
        <v>171</v>
      </c>
      <c r="G141" s="422">
        <f>SUMIF('NFI Tracking'!AO$6:AO$1048576,Table10[[#This Row],[Pcode]],'NFI Tracking'!AI$6:AI$1048576)</f>
        <v>0</v>
      </c>
      <c r="H141" s="422">
        <f>SUMIF('NFI Tracking'!AO$6:AO$1048576,Table10[[#This Row],[Pcode]],'NFI Tracking'!AJ$6:AJ$1048576)</f>
        <v>0</v>
      </c>
      <c r="I141" s="422">
        <f>SUMIF('NFI Tracking'!AO$6:AO$1048576,Table10[[#This Row],[Pcode]],'NFI Tracking'!AK$6:AK$1048576)</f>
        <v>0</v>
      </c>
      <c r="J141" s="422">
        <f ca="1">MAX(Table10[[#This Row],[HH]]*VLOOKUP("Winter Clothes Adult",NFI,6)-Table10[[#This Row],[Winter Clothes Adult ]],0)</f>
        <v>62</v>
      </c>
      <c r="K141" s="422">
        <f ca="1">MAX(Table10[[#This Row],[HH]]*VLOOKUP("Winter Clothes Children ",NFI,6)-Table10[[#This Row],[Winter Clothes Children ]],0)</f>
        <v>31</v>
      </c>
      <c r="L141" s="422">
        <f ca="1">MAX(Table10[[#This Row],[HH]]*VLOOKUP("Winter Items Other ",NFI,6)-Table10[[#This Row],[Winter Items Other ]],0)</f>
        <v>31</v>
      </c>
      <c r="M141" s="464" t="str">
        <f>IF(OR(Table10[[#This Row],[Winter Clothes Adult ]]&lt;&gt;0,Table10[[#This Row],[Winter Clothes Children ]]&lt;&gt;0,Table10[[#This Row],[Winter Items Other ]]&lt;&gt;0),"No","")</f>
        <v/>
      </c>
      <c r="N141" s="465">
        <f>COUNTIF(A:A,Table10[[#This Row],[Pcode]])-1</f>
        <v>0</v>
      </c>
    </row>
    <row r="142" spans="1:14" x14ac:dyDescent="0.25">
      <c r="A142" s="381" t="s">
        <v>350</v>
      </c>
      <c r="B142" s="26" t="str">
        <f ca="1">OFFSET(CampList[Priority],MATCH(Table10[[#This Row],[Pcode]],CampList[CP_Pcode],0)-1,0,1,1)</f>
        <v>P4</v>
      </c>
      <c r="C142" s="26" t="str">
        <f ca="1">OFFSET(CampList[Camp],MATCH(Table10[[#This Row],[Pcode]],CampList[CP_Pcode],0)-1,0,1,1)</f>
        <v>Qtr. 4 Monestry (Thargaya Thayett Taw)</v>
      </c>
      <c r="D142" s="26" t="str">
        <f ca="1">OFFSET(CampList[Township],MATCH(Table10[[#This Row],[Pcode]],CampList[CP_Pcode],0)-1,0,1,1)</f>
        <v>Waingmaw</v>
      </c>
      <c r="E142" s="422">
        <f ca="1">OFFSET(CampList[HH],MATCH(Table10[[#This Row],[Pcode]],CampList[CP_Pcode],0)-1,0,1,1)</f>
        <v>91</v>
      </c>
      <c r="F142" s="422">
        <f ca="1">OFFSET(CampList[Total],MATCH(Table10[[#This Row],[Pcode]],CampList[CP_Pcode],0)-1,0,1,1)</f>
        <v>484</v>
      </c>
      <c r="G142" s="422">
        <f>SUMIF('NFI Tracking'!AO$6:AO$1048576,Table10[[#This Row],[Pcode]],'NFI Tracking'!AI$6:AI$1048576)</f>
        <v>0</v>
      </c>
      <c r="H142" s="422">
        <f>SUMIF('NFI Tracking'!AO$6:AO$1048576,Table10[[#This Row],[Pcode]],'NFI Tracking'!AJ$6:AJ$1048576)</f>
        <v>0</v>
      </c>
      <c r="I142" s="422">
        <f>SUMIF('NFI Tracking'!AO$6:AO$1048576,Table10[[#This Row],[Pcode]],'NFI Tracking'!AK$6:AK$1048576)</f>
        <v>0</v>
      </c>
      <c r="J142" s="422">
        <f ca="1">MAX(Table10[[#This Row],[HH]]*VLOOKUP("Winter Clothes Adult",NFI,6)-Table10[[#This Row],[Winter Clothes Adult ]],0)</f>
        <v>182</v>
      </c>
      <c r="K142" s="422">
        <f ca="1">MAX(Table10[[#This Row],[HH]]*VLOOKUP("Winter Clothes Children ",NFI,6)-Table10[[#This Row],[Winter Clothes Children ]],0)</f>
        <v>91</v>
      </c>
      <c r="L142" s="422">
        <f ca="1">MAX(Table10[[#This Row],[HH]]*VLOOKUP("Winter Items Other ",NFI,6)-Table10[[#This Row],[Winter Items Other ]],0)</f>
        <v>91</v>
      </c>
      <c r="M142" s="464" t="str">
        <f>IF(OR(Table10[[#This Row],[Winter Clothes Adult ]]&lt;&gt;0,Table10[[#This Row],[Winter Clothes Children ]]&lt;&gt;0,Table10[[#This Row],[Winter Items Other ]]&lt;&gt;0),"No","")</f>
        <v/>
      </c>
      <c r="N142" s="465">
        <f>COUNTIF(A:A,Table10[[#This Row],[Pcode]])-1</f>
        <v>0</v>
      </c>
    </row>
    <row r="143" spans="1:14" x14ac:dyDescent="0.25">
      <c r="A143" s="381" t="s">
        <v>117</v>
      </c>
      <c r="B143" s="26" t="str">
        <f ca="1">OFFSET(CampList[Priority],MATCH(Table10[[#This Row],[Pcode]],CampList[CP_Pcode],0)-1,0,1,1)</f>
        <v>P4</v>
      </c>
      <c r="C143" s="26" t="str">
        <f ca="1">OFFSET(CampList[Camp],MATCH(Table10[[#This Row],[Pcode]],CampList[CP_Pcode],0)-1,0,1,1)</f>
        <v>Rawan Baptist Church, Maw Shan Vil., Seik Mu</v>
      </c>
      <c r="D143" s="26" t="str">
        <f ca="1">OFFSET(CampList[Township],MATCH(Table10[[#This Row],[Pcode]],CampList[CP_Pcode],0)-1,0,1,1)</f>
        <v>Hpakant</v>
      </c>
      <c r="E143" s="422">
        <f ca="1">OFFSET(CampList[HH],MATCH(Table10[[#This Row],[Pcode]],CampList[CP_Pcode],0)-1,0,1,1)</f>
        <v>10</v>
      </c>
      <c r="F143" s="422">
        <f ca="1">OFFSET(CampList[Total],MATCH(Table10[[#This Row],[Pcode]],CampList[CP_Pcode],0)-1,0,1,1)</f>
        <v>39</v>
      </c>
      <c r="G143" s="422">
        <f>SUMIF('NFI Tracking'!AO$6:AO$1048576,Table10[[#This Row],[Pcode]],'NFI Tracking'!AI$6:AI$1048576)</f>
        <v>26</v>
      </c>
      <c r="H143" s="422">
        <f>SUMIF('NFI Tracking'!AO$6:AO$1048576,Table10[[#This Row],[Pcode]],'NFI Tracking'!AJ$6:AJ$1048576)</f>
        <v>14</v>
      </c>
      <c r="I143" s="422">
        <f>SUMIF('NFI Tracking'!AO$6:AO$1048576,Table10[[#This Row],[Pcode]],'NFI Tracking'!AK$6:AK$1048576)</f>
        <v>0</v>
      </c>
      <c r="J143" s="422">
        <f ca="1">MAX(Table10[[#This Row],[HH]]*VLOOKUP("Winter Clothes Adult",NFI,6)-Table10[[#This Row],[Winter Clothes Adult ]],0)</f>
        <v>0</v>
      </c>
      <c r="K143" s="422">
        <f ca="1">MAX(Table10[[#This Row],[HH]]*VLOOKUP("Winter Clothes Children ",NFI,6)-Table10[[#This Row],[Winter Clothes Children ]],0)</f>
        <v>0</v>
      </c>
      <c r="L143" s="422">
        <f ca="1">MAX(Table10[[#This Row],[HH]]*VLOOKUP("Winter Items Other ",NFI,6)-Table10[[#This Row],[Winter Items Other ]],0)</f>
        <v>10</v>
      </c>
      <c r="M143" s="464" t="str">
        <f>IF(OR(Table10[[#This Row],[Winter Clothes Adult ]]&lt;&gt;0,Table10[[#This Row],[Winter Clothes Children ]]&lt;&gt;0,Table10[[#This Row],[Winter Items Other ]]&lt;&gt;0),"No","")</f>
        <v>No</v>
      </c>
      <c r="N143" s="465">
        <f>COUNTIF(A:A,Table10[[#This Row],[Pcode]])-1</f>
        <v>0</v>
      </c>
    </row>
    <row r="144" spans="1:14" x14ac:dyDescent="0.25">
      <c r="A144" s="381" t="s">
        <v>21</v>
      </c>
      <c r="B144" s="26" t="str">
        <f ca="1">OFFSET(CampList[Priority],MATCH(Table10[[#This Row],[Pcode]],CampList[CP_Pcode],0)-1,0,1,1)</f>
        <v>P4</v>
      </c>
      <c r="C144" s="26" t="str">
        <f ca="1">OFFSET(CampList[Camp],MATCH(Table10[[#This Row],[Pcode]],CampList[CP_Pcode],0)-1,0,1,1)</f>
        <v>Robert Church</v>
      </c>
      <c r="D144" s="26" t="str">
        <f ca="1">OFFSET(CampList[Township],MATCH(Table10[[#This Row],[Pcode]],CampList[CP_Pcode],0)-1,0,1,1)</f>
        <v>Bhamo</v>
      </c>
      <c r="E144" s="422">
        <f ca="1">OFFSET(CampList[HH],MATCH(Table10[[#This Row],[Pcode]],CampList[CP_Pcode],0)-1,0,1,1)</f>
        <v>652</v>
      </c>
      <c r="F144" s="422">
        <f ca="1">OFFSET(CampList[Total],MATCH(Table10[[#This Row],[Pcode]],CampList[CP_Pcode],0)-1,0,1,1)</f>
        <v>3706</v>
      </c>
      <c r="G144" s="422">
        <f>SUMIF('NFI Tracking'!AO$6:AO$1048576,Table10[[#This Row],[Pcode]],'NFI Tracking'!AI$6:AI$1048576)</f>
        <v>0</v>
      </c>
      <c r="H144" s="422">
        <f>SUMIF('NFI Tracking'!AO$6:AO$1048576,Table10[[#This Row],[Pcode]],'NFI Tracking'!AJ$6:AJ$1048576)</f>
        <v>0</v>
      </c>
      <c r="I144" s="422">
        <f>SUMIF('NFI Tracking'!AO$6:AO$1048576,Table10[[#This Row],[Pcode]],'NFI Tracking'!AK$6:AK$1048576)</f>
        <v>0</v>
      </c>
      <c r="J144" s="422">
        <f ca="1">MAX(Table10[[#This Row],[HH]]*VLOOKUP("Winter Clothes Adult",NFI,6)-Table10[[#This Row],[Winter Clothes Adult ]],0)</f>
        <v>1304</v>
      </c>
      <c r="K144" s="422">
        <f ca="1">MAX(Table10[[#This Row],[HH]]*VLOOKUP("Winter Clothes Children ",NFI,6)-Table10[[#This Row],[Winter Clothes Children ]],0)</f>
        <v>652</v>
      </c>
      <c r="L144" s="422">
        <f ca="1">MAX(Table10[[#This Row],[HH]]*VLOOKUP("Winter Items Other ",NFI,6)-Table10[[#This Row],[Winter Items Other ]],0)</f>
        <v>652</v>
      </c>
      <c r="M144" s="464" t="str">
        <f>IF(OR(Table10[[#This Row],[Winter Clothes Adult ]]&lt;&gt;0,Table10[[#This Row],[Winter Clothes Children ]]&lt;&gt;0,Table10[[#This Row],[Winter Items Other ]]&lt;&gt;0),"No","")</f>
        <v/>
      </c>
      <c r="N144" s="465">
        <f>COUNTIF(A:A,Table10[[#This Row],[Pcode]])-1</f>
        <v>0</v>
      </c>
    </row>
    <row r="145" spans="1:14" x14ac:dyDescent="0.25">
      <c r="A145" s="381" t="s">
        <v>123</v>
      </c>
      <c r="B145" s="26" t="str">
        <f ca="1">OFFSET(CampList[Priority],MATCH(Table10[[#This Row],[Pcode]],CampList[CP_Pcode],0)-1,0,1,1)</f>
        <v>P4</v>
      </c>
      <c r="C145" s="26" t="str">
        <f ca="1">OFFSET(CampList[Camp],MATCH(Table10[[#This Row],[Pcode]],CampList[CP_Pcode],0)-1,0,1,1)</f>
        <v>Sai Nai Baptish Church, Maw Shan Vil., Seki Mu</v>
      </c>
      <c r="D145" s="26" t="str">
        <f ca="1">OFFSET(CampList[Township],MATCH(Table10[[#This Row],[Pcode]],CampList[CP_Pcode],0)-1,0,1,1)</f>
        <v>Hpakant</v>
      </c>
      <c r="E145" s="422">
        <f ca="1">OFFSET(CampList[HH],MATCH(Table10[[#This Row],[Pcode]],CampList[CP_Pcode],0)-1,0,1,1)</f>
        <v>8</v>
      </c>
      <c r="F145" s="422">
        <f ca="1">OFFSET(CampList[Total],MATCH(Table10[[#This Row],[Pcode]],CampList[CP_Pcode],0)-1,0,1,1)</f>
        <v>40</v>
      </c>
      <c r="G145" s="422">
        <f>SUMIF('NFI Tracking'!AO$6:AO$1048576,Table10[[#This Row],[Pcode]],'NFI Tracking'!AI$6:AI$1048576)</f>
        <v>34</v>
      </c>
      <c r="H145" s="422">
        <f>SUMIF('NFI Tracking'!AO$6:AO$1048576,Table10[[#This Row],[Pcode]],'NFI Tracking'!AJ$6:AJ$1048576)</f>
        <v>9</v>
      </c>
      <c r="I145" s="422">
        <f>SUMIF('NFI Tracking'!AO$6:AO$1048576,Table10[[#This Row],[Pcode]],'NFI Tracking'!AK$6:AK$1048576)</f>
        <v>0</v>
      </c>
      <c r="J145" s="422">
        <f ca="1">MAX(Table10[[#This Row],[HH]]*VLOOKUP("Winter Clothes Adult",NFI,6)-Table10[[#This Row],[Winter Clothes Adult ]],0)</f>
        <v>0</v>
      </c>
      <c r="K145" s="422">
        <f ca="1">MAX(Table10[[#This Row],[HH]]*VLOOKUP("Winter Clothes Children ",NFI,6)-Table10[[#This Row],[Winter Clothes Children ]],0)</f>
        <v>0</v>
      </c>
      <c r="L145" s="422">
        <f ca="1">MAX(Table10[[#This Row],[HH]]*VLOOKUP("Winter Items Other ",NFI,6)-Table10[[#This Row],[Winter Items Other ]],0)</f>
        <v>8</v>
      </c>
      <c r="M145" s="464" t="str">
        <f>IF(OR(Table10[[#This Row],[Winter Clothes Adult ]]&lt;&gt;0,Table10[[#This Row],[Winter Clothes Children ]]&lt;&gt;0,Table10[[#This Row],[Winter Items Other ]]&lt;&gt;0),"No","")</f>
        <v>No</v>
      </c>
      <c r="N145" s="465">
        <f>COUNTIF(A:A,Table10[[#This Row],[Pcode]])-1</f>
        <v>0</v>
      </c>
    </row>
    <row r="146" spans="1:14" x14ac:dyDescent="0.25">
      <c r="A146" s="381" t="s">
        <v>276</v>
      </c>
      <c r="B146" s="26" t="str">
        <f ca="1">OFFSET(CampList[Priority],MATCH(Table10[[#This Row],[Pcode]],CampList[CP_Pcode],0)-1,0,1,1)</f>
        <v>P4</v>
      </c>
      <c r="C146" s="26" t="str">
        <f ca="1">OFFSET(CampList[Camp],MATCH(Table10[[#This Row],[Pcode]],CampList[CP_Pcode],0)-1,0,1,1)</f>
        <v>Shatapru Sut Ngai Tawng</v>
      </c>
      <c r="D146" s="26" t="str">
        <f ca="1">OFFSET(CampList[Township],MATCH(Table10[[#This Row],[Pcode]],CampList[CP_Pcode],0)-1,0,1,1)</f>
        <v>Myitkyina</v>
      </c>
      <c r="E146" s="422">
        <f ca="1">OFFSET(CampList[HH],MATCH(Table10[[#This Row],[Pcode]],CampList[CP_Pcode],0)-1,0,1,1)</f>
        <v>95</v>
      </c>
      <c r="F146" s="422">
        <f ca="1">OFFSET(CampList[Total],MATCH(Table10[[#This Row],[Pcode]],CampList[CP_Pcode],0)-1,0,1,1)</f>
        <v>385</v>
      </c>
      <c r="G146" s="422">
        <f>SUMIF('NFI Tracking'!AO$6:AO$1048576,Table10[[#This Row],[Pcode]],'NFI Tracking'!AI$6:AI$1048576)</f>
        <v>0</v>
      </c>
      <c r="H146" s="422">
        <f>SUMIF('NFI Tracking'!AO$6:AO$1048576,Table10[[#This Row],[Pcode]],'NFI Tracking'!AJ$6:AJ$1048576)</f>
        <v>0</v>
      </c>
      <c r="I146" s="422">
        <f>SUMIF('NFI Tracking'!AO$6:AO$1048576,Table10[[#This Row],[Pcode]],'NFI Tracking'!AK$6:AK$1048576)</f>
        <v>0</v>
      </c>
      <c r="J146" s="422">
        <f ca="1">MAX(Table10[[#This Row],[HH]]*VLOOKUP("Winter Clothes Adult",NFI,6)-Table10[[#This Row],[Winter Clothes Adult ]],0)</f>
        <v>190</v>
      </c>
      <c r="K146" s="422">
        <f ca="1">MAX(Table10[[#This Row],[HH]]*VLOOKUP("Winter Clothes Children ",NFI,6)-Table10[[#This Row],[Winter Clothes Children ]],0)</f>
        <v>95</v>
      </c>
      <c r="L146" s="422">
        <f ca="1">MAX(Table10[[#This Row],[HH]]*VLOOKUP("Winter Items Other ",NFI,6)-Table10[[#This Row],[Winter Items Other ]],0)</f>
        <v>95</v>
      </c>
      <c r="M146" s="464" t="str">
        <f>IF(OR(Table10[[#This Row],[Winter Clothes Adult ]]&lt;&gt;0,Table10[[#This Row],[Winter Clothes Children ]]&lt;&gt;0,Table10[[#This Row],[Winter Items Other ]]&lt;&gt;0),"No","")</f>
        <v/>
      </c>
      <c r="N146" s="465">
        <f>COUNTIF(A:A,Table10[[#This Row],[Pcode]])-1</f>
        <v>0</v>
      </c>
    </row>
    <row r="147" spans="1:14" x14ac:dyDescent="0.25">
      <c r="A147" s="381" t="s">
        <v>278</v>
      </c>
      <c r="B147" s="26" t="str">
        <f ca="1">OFFSET(CampList[Priority],MATCH(Table10[[#This Row],[Pcode]],CampList[CP_Pcode],0)-1,0,1,1)</f>
        <v>P4</v>
      </c>
      <c r="C147" s="26" t="str">
        <f ca="1">OFFSET(CampList[Camp],MATCH(Table10[[#This Row],[Pcode]],CampList[CP_Pcode],0)-1,0,1,1)</f>
        <v>Shatapru Thida Aye Baptist Church</v>
      </c>
      <c r="D147" s="26" t="str">
        <f ca="1">OFFSET(CampList[Township],MATCH(Table10[[#This Row],[Pcode]],CampList[CP_Pcode],0)-1,0,1,1)</f>
        <v>Myitkyina</v>
      </c>
      <c r="E147" s="422">
        <f ca="1">OFFSET(CampList[HH],MATCH(Table10[[#This Row],[Pcode]],CampList[CP_Pcode],0)-1,0,1,1)</f>
        <v>28</v>
      </c>
      <c r="F147" s="422">
        <f ca="1">OFFSET(CampList[Total],MATCH(Table10[[#This Row],[Pcode]],CampList[CP_Pcode],0)-1,0,1,1)</f>
        <v>132</v>
      </c>
      <c r="G147" s="422">
        <f>SUMIF('NFI Tracking'!AO$6:AO$1048576,Table10[[#This Row],[Pcode]],'NFI Tracking'!AI$6:AI$1048576)</f>
        <v>0</v>
      </c>
      <c r="H147" s="422">
        <f>SUMIF('NFI Tracking'!AO$6:AO$1048576,Table10[[#This Row],[Pcode]],'NFI Tracking'!AJ$6:AJ$1048576)</f>
        <v>0</v>
      </c>
      <c r="I147" s="422">
        <f>SUMIF('NFI Tracking'!AO$6:AO$1048576,Table10[[#This Row],[Pcode]],'NFI Tracking'!AK$6:AK$1048576)</f>
        <v>0</v>
      </c>
      <c r="J147" s="422">
        <f ca="1">MAX(Table10[[#This Row],[HH]]*VLOOKUP("Winter Clothes Adult",NFI,6)-Table10[[#This Row],[Winter Clothes Adult ]],0)</f>
        <v>56</v>
      </c>
      <c r="K147" s="422">
        <f ca="1">MAX(Table10[[#This Row],[HH]]*VLOOKUP("Winter Clothes Children ",NFI,6)-Table10[[#This Row],[Winter Clothes Children ]],0)</f>
        <v>28</v>
      </c>
      <c r="L147" s="422">
        <f ca="1">MAX(Table10[[#This Row],[HH]]*VLOOKUP("Winter Items Other ",NFI,6)-Table10[[#This Row],[Winter Items Other ]],0)</f>
        <v>28</v>
      </c>
      <c r="M147" s="464" t="str">
        <f>IF(OR(Table10[[#This Row],[Winter Clothes Adult ]]&lt;&gt;0,Table10[[#This Row],[Winter Clothes Children ]]&lt;&gt;0,Table10[[#This Row],[Winter Items Other ]]&lt;&gt;0),"No","")</f>
        <v/>
      </c>
      <c r="N147" s="465">
        <f>COUNTIF(A:A,Table10[[#This Row],[Pcode]])-1</f>
        <v>0</v>
      </c>
    </row>
    <row r="148" spans="1:14" x14ac:dyDescent="0.25">
      <c r="A148" s="381" t="s">
        <v>305</v>
      </c>
      <c r="B148" s="26" t="str">
        <f ca="1">OFFSET(CampList[Priority],MATCH(Table10[[#This Row],[Pcode]],CampList[CP_Pcode],0)-1,0,1,1)</f>
        <v>P4</v>
      </c>
      <c r="C148" s="26" t="str">
        <f ca="1">OFFSET(CampList[Camp],MATCH(Table10[[#This Row],[Pcode]],CampList[CP_Pcode],0)-1,0,1,1)</f>
        <v>Shwe Gu Baptist Church</v>
      </c>
      <c r="D148" s="26" t="str">
        <f ca="1">OFFSET(CampList[Township],MATCH(Table10[[#This Row],[Pcode]],CampList[CP_Pcode],0)-1,0,1,1)</f>
        <v>Shwegu</v>
      </c>
      <c r="E148" s="422">
        <f ca="1">OFFSET(CampList[HH],MATCH(Table10[[#This Row],[Pcode]],CampList[CP_Pcode],0)-1,0,1,1)</f>
        <v>83</v>
      </c>
      <c r="F148" s="422">
        <f ca="1">OFFSET(CampList[Total],MATCH(Table10[[#This Row],[Pcode]],CampList[CP_Pcode],0)-1,0,1,1)</f>
        <v>293</v>
      </c>
      <c r="G148" s="422">
        <f>SUMIF('NFI Tracking'!AO$6:AO$1048576,Table10[[#This Row],[Pcode]],'NFI Tracking'!AI$6:AI$1048576)</f>
        <v>0</v>
      </c>
      <c r="H148" s="422">
        <f>SUMIF('NFI Tracking'!AO$6:AO$1048576,Table10[[#This Row],[Pcode]],'NFI Tracking'!AJ$6:AJ$1048576)</f>
        <v>0</v>
      </c>
      <c r="I148" s="422">
        <f>SUMIF('NFI Tracking'!AO$6:AO$1048576,Table10[[#This Row],[Pcode]],'NFI Tracking'!AK$6:AK$1048576)</f>
        <v>0</v>
      </c>
      <c r="J148" s="422">
        <f ca="1">MAX(Table10[[#This Row],[HH]]*VLOOKUP("Winter Clothes Adult",NFI,6)-Table10[[#This Row],[Winter Clothes Adult ]],0)</f>
        <v>166</v>
      </c>
      <c r="K148" s="422">
        <f ca="1">MAX(Table10[[#This Row],[HH]]*VLOOKUP("Winter Clothes Children ",NFI,6)-Table10[[#This Row],[Winter Clothes Children ]],0)</f>
        <v>83</v>
      </c>
      <c r="L148" s="422">
        <f ca="1">MAX(Table10[[#This Row],[HH]]*VLOOKUP("Winter Items Other ",NFI,6)-Table10[[#This Row],[Winter Items Other ]],0)</f>
        <v>83</v>
      </c>
      <c r="M148" s="464" t="str">
        <f>IF(OR(Table10[[#This Row],[Winter Clothes Adult ]]&lt;&gt;0,Table10[[#This Row],[Winter Clothes Children ]]&lt;&gt;0,Table10[[#This Row],[Winter Items Other ]]&lt;&gt;0),"No","")</f>
        <v/>
      </c>
      <c r="N148" s="465">
        <f>COUNTIF(A:A,Table10[[#This Row],[Pcode]])-1</f>
        <v>0</v>
      </c>
    </row>
    <row r="149" spans="1:14" x14ac:dyDescent="0.25">
      <c r="A149" s="381" t="s">
        <v>307</v>
      </c>
      <c r="B149" s="26" t="str">
        <f ca="1">OFFSET(CampList[Priority],MATCH(Table10[[#This Row],[Pcode]],CampList[CP_Pcode],0)-1,0,1,1)</f>
        <v>P4</v>
      </c>
      <c r="C149" s="26" t="str">
        <f ca="1">OFFSET(CampList[Camp],MATCH(Table10[[#This Row],[Pcode]],CampList[CP_Pcode],0)-1,0,1,1)</f>
        <v>Shwe Gu Catholic Church</v>
      </c>
      <c r="D149" s="26" t="str">
        <f ca="1">OFFSET(CampList[Township],MATCH(Table10[[#This Row],[Pcode]],CampList[CP_Pcode],0)-1,0,1,1)</f>
        <v>Shwegu</v>
      </c>
      <c r="E149" s="422">
        <f ca="1">OFFSET(CampList[HH],MATCH(Table10[[#This Row],[Pcode]],CampList[CP_Pcode],0)-1,0,1,1)</f>
        <v>41</v>
      </c>
      <c r="F149" s="422">
        <f ca="1">OFFSET(CampList[Total],MATCH(Table10[[#This Row],[Pcode]],CampList[CP_Pcode],0)-1,0,1,1)</f>
        <v>152</v>
      </c>
      <c r="G149" s="422">
        <f>SUMIF('NFI Tracking'!AO$6:AO$1048576,Table10[[#This Row],[Pcode]],'NFI Tracking'!AI$6:AI$1048576)</f>
        <v>0</v>
      </c>
      <c r="H149" s="422">
        <f>SUMIF('NFI Tracking'!AO$6:AO$1048576,Table10[[#This Row],[Pcode]],'NFI Tracking'!AJ$6:AJ$1048576)</f>
        <v>0</v>
      </c>
      <c r="I149" s="422">
        <f>SUMIF('NFI Tracking'!AO$6:AO$1048576,Table10[[#This Row],[Pcode]],'NFI Tracking'!AK$6:AK$1048576)</f>
        <v>0</v>
      </c>
      <c r="J149" s="422">
        <f ca="1">MAX(Table10[[#This Row],[HH]]*VLOOKUP("Winter Clothes Adult",NFI,6)-Table10[[#This Row],[Winter Clothes Adult ]],0)</f>
        <v>82</v>
      </c>
      <c r="K149" s="422">
        <f ca="1">MAX(Table10[[#This Row],[HH]]*VLOOKUP("Winter Clothes Children ",NFI,6)-Table10[[#This Row],[Winter Clothes Children ]],0)</f>
        <v>41</v>
      </c>
      <c r="L149" s="422">
        <f ca="1">MAX(Table10[[#This Row],[HH]]*VLOOKUP("Winter Items Other ",NFI,6)-Table10[[#This Row],[Winter Items Other ]],0)</f>
        <v>41</v>
      </c>
      <c r="M149" s="464" t="str">
        <f>IF(OR(Table10[[#This Row],[Winter Clothes Adult ]]&lt;&gt;0,Table10[[#This Row],[Winter Clothes Children ]]&lt;&gt;0,Table10[[#This Row],[Winter Items Other ]]&lt;&gt;0),"No","")</f>
        <v/>
      </c>
      <c r="N149" s="465">
        <f>COUNTIF(A:A,Table10[[#This Row],[Pcode]])-1</f>
        <v>0</v>
      </c>
    </row>
    <row r="150" spans="1:14" x14ac:dyDescent="0.25">
      <c r="A150" s="381" t="s">
        <v>280</v>
      </c>
      <c r="B150" s="26" t="str">
        <f ca="1">OFFSET(CampList[Priority],MATCH(Table10[[#This Row],[Pcode]],CampList[CP_Pcode],0)-1,0,1,1)</f>
        <v>P4</v>
      </c>
      <c r="C150" s="26" t="str">
        <f ca="1">OFFSET(CampList[Camp],MATCH(Table10[[#This Row],[Pcode]],CampList[CP_Pcode],0)-1,0,1,1)</f>
        <v>Shwe Zet Baptist Church</v>
      </c>
      <c r="D150" s="26" t="str">
        <f ca="1">OFFSET(CampList[Township],MATCH(Table10[[#This Row],[Pcode]],CampList[CP_Pcode],0)-1,0,1,1)</f>
        <v>Myitkyina</v>
      </c>
      <c r="E150" s="422">
        <f ca="1">OFFSET(CampList[HH],MATCH(Table10[[#This Row],[Pcode]],CampList[CP_Pcode],0)-1,0,1,1)</f>
        <v>90</v>
      </c>
      <c r="F150" s="422">
        <f ca="1">OFFSET(CampList[Total],MATCH(Table10[[#This Row],[Pcode]],CampList[CP_Pcode],0)-1,0,1,1)</f>
        <v>487</v>
      </c>
      <c r="G150" s="422">
        <f>SUMIF('NFI Tracking'!AO$6:AO$1048576,Table10[[#This Row],[Pcode]],'NFI Tracking'!AI$6:AI$1048576)</f>
        <v>0</v>
      </c>
      <c r="H150" s="422">
        <f>SUMIF('NFI Tracking'!AO$6:AO$1048576,Table10[[#This Row],[Pcode]],'NFI Tracking'!AJ$6:AJ$1048576)</f>
        <v>0</v>
      </c>
      <c r="I150" s="422">
        <f>SUMIF('NFI Tracking'!AO$6:AO$1048576,Table10[[#This Row],[Pcode]],'NFI Tracking'!AK$6:AK$1048576)</f>
        <v>0</v>
      </c>
      <c r="J150" s="422">
        <f ca="1">MAX(Table10[[#This Row],[HH]]*VLOOKUP("Winter Clothes Adult",NFI,6)-Table10[[#This Row],[Winter Clothes Adult ]],0)</f>
        <v>180</v>
      </c>
      <c r="K150" s="422">
        <f ca="1">MAX(Table10[[#This Row],[HH]]*VLOOKUP("Winter Clothes Children ",NFI,6)-Table10[[#This Row],[Winter Clothes Children ]],0)</f>
        <v>90</v>
      </c>
      <c r="L150" s="422">
        <f ca="1">MAX(Table10[[#This Row],[HH]]*VLOOKUP("Winter Items Other ",NFI,6)-Table10[[#This Row],[Winter Items Other ]],0)</f>
        <v>90</v>
      </c>
      <c r="M150" s="464" t="str">
        <f>IF(OR(Table10[[#This Row],[Winter Clothes Adult ]]&lt;&gt;0,Table10[[#This Row],[Winter Clothes Children ]]&lt;&gt;0,Table10[[#This Row],[Winter Items Other ]]&lt;&gt;0),"No","")</f>
        <v/>
      </c>
      <c r="N150" s="465">
        <f>COUNTIF(A:A,Table10[[#This Row],[Pcode]])-1</f>
        <v>0</v>
      </c>
    </row>
    <row r="151" spans="1:14" x14ac:dyDescent="0.25">
      <c r="A151" s="381" t="s">
        <v>179</v>
      </c>
      <c r="B151" s="26" t="str">
        <f ca="1">OFFSET(CampList[Priority],MATCH(Table10[[#This Row],[Pcode]],CampList[CP_Pcode],0)-1,0,1,1)</f>
        <v>P4</v>
      </c>
      <c r="C151" s="26" t="str">
        <f ca="1">OFFSET(CampList[Camp],MATCH(Table10[[#This Row],[Pcode]],CampList[CP_Pcode],0)-1,0,1,1)</f>
        <v xml:space="preserve">St. Patrick Catholic Church </v>
      </c>
      <c r="D151" s="26" t="str">
        <f ca="1">OFFSET(CampList[Township],MATCH(Table10[[#This Row],[Pcode]],CampList[CP_Pcode],0)-1,0,1,1)</f>
        <v>Mohnyin</v>
      </c>
      <c r="E151" s="422">
        <f ca="1">OFFSET(CampList[HH],MATCH(Table10[[#This Row],[Pcode]],CampList[CP_Pcode],0)-1,0,1,1)</f>
        <v>12</v>
      </c>
      <c r="F151" s="422">
        <f ca="1">OFFSET(CampList[Total],MATCH(Table10[[#This Row],[Pcode]],CampList[CP_Pcode],0)-1,0,1,1)</f>
        <v>55</v>
      </c>
      <c r="G151" s="422">
        <f>SUMIF('NFI Tracking'!AO$6:AO$1048576,Table10[[#This Row],[Pcode]],'NFI Tracking'!AI$6:AI$1048576)</f>
        <v>0</v>
      </c>
      <c r="H151" s="422">
        <f>SUMIF('NFI Tracking'!AO$6:AO$1048576,Table10[[#This Row],[Pcode]],'NFI Tracking'!AJ$6:AJ$1048576)</f>
        <v>0</v>
      </c>
      <c r="I151" s="422">
        <f>SUMIF('NFI Tracking'!AO$6:AO$1048576,Table10[[#This Row],[Pcode]],'NFI Tracking'!AK$6:AK$1048576)</f>
        <v>0</v>
      </c>
      <c r="J151" s="422">
        <f ca="1">MAX(Table10[[#This Row],[HH]]*VLOOKUP("Winter Clothes Adult",NFI,6)-Table10[[#This Row],[Winter Clothes Adult ]],0)</f>
        <v>24</v>
      </c>
      <c r="K151" s="422">
        <f ca="1">MAX(Table10[[#This Row],[HH]]*VLOOKUP("Winter Clothes Children ",NFI,6)-Table10[[#This Row],[Winter Clothes Children ]],0)</f>
        <v>12</v>
      </c>
      <c r="L151" s="422">
        <f ca="1">MAX(Table10[[#This Row],[HH]]*VLOOKUP("Winter Items Other ",NFI,6)-Table10[[#This Row],[Winter Items Other ]],0)</f>
        <v>12</v>
      </c>
      <c r="M151" s="464" t="str">
        <f>IF(OR(Table10[[#This Row],[Winter Clothes Adult ]]&lt;&gt;0,Table10[[#This Row],[Winter Clothes Children ]]&lt;&gt;0,Table10[[#This Row],[Winter Items Other ]]&lt;&gt;0),"No","")</f>
        <v/>
      </c>
      <c r="N151" s="465">
        <f>COUNTIF(A:A,Table10[[#This Row],[Pcode]])-1</f>
        <v>0</v>
      </c>
    </row>
    <row r="152" spans="1:14" x14ac:dyDescent="0.25">
      <c r="A152" s="381" t="s">
        <v>817</v>
      </c>
      <c r="B152" s="26" t="str">
        <f ca="1">OFFSET(CampList[Priority],MATCH(Table10[[#This Row],[Pcode]],CampList[CP_Pcode],0)-1,0,1,1)</f>
        <v>P4</v>
      </c>
      <c r="C152" s="26" t="str">
        <f ca="1">OFFSET(CampList[Camp],MATCH(Table10[[#This Row],[Pcode]],CampList[CP_Pcode],0)-1,0,1,1)</f>
        <v>Sumprabum</v>
      </c>
      <c r="D152" s="26" t="str">
        <f ca="1">OFFSET(CampList[Township],MATCH(Table10[[#This Row],[Pcode]],CampList[CP_Pcode],0)-1,0,1,1)</f>
        <v>Sumprabum</v>
      </c>
      <c r="E152" s="422">
        <f ca="1">OFFSET(CampList[HH],MATCH(Table10[[#This Row],[Pcode]],CampList[CP_Pcode],0)-1,0,1,1)</f>
        <v>5</v>
      </c>
      <c r="F152" s="422">
        <f ca="1">OFFSET(CampList[Total],MATCH(Table10[[#This Row],[Pcode]],CampList[CP_Pcode],0)-1,0,1,1)</f>
        <v>32</v>
      </c>
      <c r="G152" s="422">
        <f>SUMIF('NFI Tracking'!AO$6:AO$1048576,Table10[[#This Row],[Pcode]],'NFI Tracking'!AI$6:AI$1048576)</f>
        <v>91</v>
      </c>
      <c r="H152" s="422">
        <f>SUMIF('NFI Tracking'!AO$6:AO$1048576,Table10[[#This Row],[Pcode]],'NFI Tracking'!AJ$6:AJ$1048576)</f>
        <v>32</v>
      </c>
      <c r="I152" s="422">
        <f>SUMIF('NFI Tracking'!AO$6:AO$1048576,Table10[[#This Row],[Pcode]],'NFI Tracking'!AK$6:AK$1048576)</f>
        <v>0</v>
      </c>
      <c r="J152" s="422">
        <f ca="1">MAX(Table10[[#This Row],[HH]]*VLOOKUP("Winter Clothes Adult",NFI,6)-Table10[[#This Row],[Winter Clothes Adult ]],0)</f>
        <v>0</v>
      </c>
      <c r="K152" s="422">
        <f ca="1">MAX(Table10[[#This Row],[HH]]*VLOOKUP("Winter Clothes Children ",NFI,6)-Table10[[#This Row],[Winter Clothes Children ]],0)</f>
        <v>0</v>
      </c>
      <c r="L152" s="422">
        <f ca="1">MAX(Table10[[#This Row],[HH]]*VLOOKUP("Winter Items Other ",NFI,6)-Table10[[#This Row],[Winter Items Other ]],0)</f>
        <v>5</v>
      </c>
      <c r="M152" s="464" t="str">
        <f>IF(OR(Table10[[#This Row],[Winter Clothes Adult ]]&lt;&gt;0,Table10[[#This Row],[Winter Clothes Children ]]&lt;&gt;0,Table10[[#This Row],[Winter Items Other ]]&lt;&gt;0),"No","")</f>
        <v>No</v>
      </c>
      <c r="N152" s="465">
        <f>COUNTIF(A:A,Table10[[#This Row],[Pcode]])-1</f>
        <v>0</v>
      </c>
    </row>
    <row r="153" spans="1:14" x14ac:dyDescent="0.25">
      <c r="A153" s="381" t="s">
        <v>23</v>
      </c>
      <c r="B153" s="26" t="str">
        <f ca="1">OFFSET(CampList[Priority],MATCH(Table10[[#This Row],[Pcode]],CampList[CP_Pcode],0)-1,0,1,1)</f>
        <v>P4</v>
      </c>
      <c r="C153" s="26" t="str">
        <f ca="1">OFFSET(CampList[Camp],MATCH(Table10[[#This Row],[Pcode]],CampList[CP_Pcode],0)-1,0,1,1)</f>
        <v>Ta Gun Taing Monastery (Shwe Kyi Na)</v>
      </c>
      <c r="D153" s="26" t="str">
        <f ca="1">OFFSET(CampList[Township],MATCH(Table10[[#This Row],[Pcode]],CampList[CP_Pcode],0)-1,0,1,1)</f>
        <v>Bhamo</v>
      </c>
      <c r="E153" s="422">
        <f ca="1">OFFSET(CampList[HH],MATCH(Table10[[#This Row],[Pcode]],CampList[CP_Pcode],0)-1,0,1,1)</f>
        <v>25</v>
      </c>
      <c r="F153" s="422">
        <f ca="1">OFFSET(CampList[Total],MATCH(Table10[[#This Row],[Pcode]],CampList[CP_Pcode],0)-1,0,1,1)</f>
        <v>104</v>
      </c>
      <c r="G153" s="422">
        <f>SUMIF('NFI Tracking'!AO$6:AO$1048576,Table10[[#This Row],[Pcode]],'NFI Tracking'!AI$6:AI$1048576)</f>
        <v>0</v>
      </c>
      <c r="H153" s="422">
        <f>SUMIF('NFI Tracking'!AO$6:AO$1048576,Table10[[#This Row],[Pcode]],'NFI Tracking'!AJ$6:AJ$1048576)</f>
        <v>0</v>
      </c>
      <c r="I153" s="422">
        <f>SUMIF('NFI Tracking'!AO$6:AO$1048576,Table10[[#This Row],[Pcode]],'NFI Tracking'!AK$6:AK$1048576)</f>
        <v>0</v>
      </c>
      <c r="J153" s="422">
        <f ca="1">MAX(Table10[[#This Row],[HH]]*VLOOKUP("Winter Clothes Adult",NFI,6)-Table10[[#This Row],[Winter Clothes Adult ]],0)</f>
        <v>50</v>
      </c>
      <c r="K153" s="422">
        <f ca="1">MAX(Table10[[#This Row],[HH]]*VLOOKUP("Winter Clothes Children ",NFI,6)-Table10[[#This Row],[Winter Clothes Children ]],0)</f>
        <v>25</v>
      </c>
      <c r="L153" s="422">
        <f ca="1">MAX(Table10[[#This Row],[HH]]*VLOOKUP("Winter Items Other ",NFI,6)-Table10[[#This Row],[Winter Items Other ]],0)</f>
        <v>25</v>
      </c>
      <c r="M153" s="464" t="str">
        <f>IF(OR(Table10[[#This Row],[Winter Clothes Adult ]]&lt;&gt;0,Table10[[#This Row],[Winter Clothes Children ]]&lt;&gt;0,Table10[[#This Row],[Winter Items Other ]]&lt;&gt;0),"No","")</f>
        <v/>
      </c>
      <c r="N153" s="465">
        <f>COUNTIF(A:A,Table10[[#This Row],[Pcode]])-1</f>
        <v>0</v>
      </c>
    </row>
    <row r="154" spans="1:14" x14ac:dyDescent="0.25">
      <c r="A154" s="381" t="s">
        <v>226</v>
      </c>
      <c r="B154" s="26" t="str">
        <f ca="1">OFFSET(CampList[Priority],MATCH(Table10[[#This Row],[Pcode]],CampList[CP_Pcode],0)-1,0,1,1)</f>
        <v>P4</v>
      </c>
      <c r="C154" s="26" t="str">
        <f ca="1">OFFSET(CampList[Camp],MATCH(Table10[[#This Row],[Pcode]],CampList[CP_Pcode],0)-1,0,1,1)</f>
        <v xml:space="preserve">Tarli </v>
      </c>
      <c r="D154" s="26" t="str">
        <f ca="1">OFFSET(CampList[Township],MATCH(Table10[[#This Row],[Pcode]],CampList[CP_Pcode],0)-1,0,1,1)</f>
        <v>Momauk</v>
      </c>
      <c r="E154" s="422">
        <f ca="1">OFFSET(CampList[HH],MATCH(Table10[[#This Row],[Pcode]],CampList[CP_Pcode],0)-1,0,1,1)</f>
        <v>10</v>
      </c>
      <c r="F154" s="422">
        <f ca="1">OFFSET(CampList[Total],MATCH(Table10[[#This Row],[Pcode]],CampList[CP_Pcode],0)-1,0,1,1)</f>
        <v>38</v>
      </c>
      <c r="G154" s="422">
        <f>SUMIF('NFI Tracking'!AO$6:AO$1048576,Table10[[#This Row],[Pcode]],'NFI Tracking'!AI$6:AI$1048576)</f>
        <v>0</v>
      </c>
      <c r="H154" s="422">
        <f>SUMIF('NFI Tracking'!AO$6:AO$1048576,Table10[[#This Row],[Pcode]],'NFI Tracking'!AJ$6:AJ$1048576)</f>
        <v>0</v>
      </c>
      <c r="I154" s="422">
        <f>SUMIF('NFI Tracking'!AO$6:AO$1048576,Table10[[#This Row],[Pcode]],'NFI Tracking'!AK$6:AK$1048576)</f>
        <v>0</v>
      </c>
      <c r="J154" s="422">
        <f ca="1">MAX(Table10[[#This Row],[HH]]*VLOOKUP("Winter Clothes Adult",NFI,6)-Table10[[#This Row],[Winter Clothes Adult ]],0)</f>
        <v>20</v>
      </c>
      <c r="K154" s="422">
        <f ca="1">MAX(Table10[[#This Row],[HH]]*VLOOKUP("Winter Clothes Children ",NFI,6)-Table10[[#This Row],[Winter Clothes Children ]],0)</f>
        <v>10</v>
      </c>
      <c r="L154" s="422">
        <f ca="1">MAX(Table10[[#This Row],[HH]]*VLOOKUP("Winter Items Other ",NFI,6)-Table10[[#This Row],[Winter Items Other ]],0)</f>
        <v>10</v>
      </c>
      <c r="M154" s="464" t="str">
        <f>IF(OR(Table10[[#This Row],[Winter Clothes Adult ]]&lt;&gt;0,Table10[[#This Row],[Winter Clothes Children ]]&lt;&gt;0,Table10[[#This Row],[Winter Items Other ]]&lt;&gt;0),"No","")</f>
        <v/>
      </c>
      <c r="N154" s="465">
        <f>COUNTIF(A:A,Table10[[#This Row],[Pcode]])-1</f>
        <v>0</v>
      </c>
    </row>
    <row r="155" spans="1:14" x14ac:dyDescent="0.25">
      <c r="A155" s="381" t="s">
        <v>236</v>
      </c>
      <c r="B155" s="26" t="str">
        <f ca="1">OFFSET(CampList[Priority],MATCH(Table10[[#This Row],[Pcode]],CampList[CP_Pcode],0)-1,0,1,1)</f>
        <v>P4</v>
      </c>
      <c r="C155" s="26" t="str">
        <f ca="1">OFFSET(CampList[Camp],MATCH(Table10[[#This Row],[Pcode]],CampList[CP_Pcode],0)-1,0,1,1)</f>
        <v>Tat Kone Baptist Church</v>
      </c>
      <c r="D155" s="26" t="str">
        <f ca="1">OFFSET(CampList[Township],MATCH(Table10[[#This Row],[Pcode]],CampList[CP_Pcode],0)-1,0,1,1)</f>
        <v>Myitkyina</v>
      </c>
      <c r="E155" s="422">
        <f ca="1">OFFSET(CampList[HH],MATCH(Table10[[#This Row],[Pcode]],CampList[CP_Pcode],0)-1,0,1,1)</f>
        <v>70</v>
      </c>
      <c r="F155" s="422">
        <f ca="1">OFFSET(CampList[Total],MATCH(Table10[[#This Row],[Pcode]],CampList[CP_Pcode],0)-1,0,1,1)</f>
        <v>369</v>
      </c>
      <c r="G155" s="422">
        <f>SUMIF('NFI Tracking'!AO$6:AO$1048576,Table10[[#This Row],[Pcode]],'NFI Tracking'!AI$6:AI$1048576)</f>
        <v>0</v>
      </c>
      <c r="H155" s="422">
        <f>SUMIF('NFI Tracking'!AO$6:AO$1048576,Table10[[#This Row],[Pcode]],'NFI Tracking'!AJ$6:AJ$1048576)</f>
        <v>0</v>
      </c>
      <c r="I155" s="422">
        <f>SUMIF('NFI Tracking'!AO$6:AO$1048576,Table10[[#This Row],[Pcode]],'NFI Tracking'!AK$6:AK$1048576)</f>
        <v>0</v>
      </c>
      <c r="J155" s="422">
        <f ca="1">MAX(Table10[[#This Row],[HH]]*VLOOKUP("Winter Clothes Adult",NFI,6)-Table10[[#This Row],[Winter Clothes Adult ]],0)</f>
        <v>140</v>
      </c>
      <c r="K155" s="422">
        <f ca="1">MAX(Table10[[#This Row],[HH]]*VLOOKUP("Winter Clothes Children ",NFI,6)-Table10[[#This Row],[Winter Clothes Children ]],0)</f>
        <v>70</v>
      </c>
      <c r="L155" s="422">
        <f ca="1">MAX(Table10[[#This Row],[HH]]*VLOOKUP("Winter Items Other ",NFI,6)-Table10[[#This Row],[Winter Items Other ]],0)</f>
        <v>70</v>
      </c>
      <c r="M155" s="464" t="str">
        <f>IF(OR(Table10[[#This Row],[Winter Clothes Adult ]]&lt;&gt;0,Table10[[#This Row],[Winter Clothes Children ]]&lt;&gt;0,Table10[[#This Row],[Winter Items Other ]]&lt;&gt;0),"No","")</f>
        <v/>
      </c>
      <c r="N155" s="465">
        <f>COUNTIF(A:A,Table10[[#This Row],[Pcode]])-1</f>
        <v>0</v>
      </c>
    </row>
    <row r="156" spans="1:14" x14ac:dyDescent="0.25">
      <c r="A156" s="381" t="s">
        <v>241</v>
      </c>
      <c r="B156" s="26" t="str">
        <f ca="1">OFFSET(CampList[Priority],MATCH(Table10[[#This Row],[Pcode]],CampList[CP_Pcode],0)-1,0,1,1)</f>
        <v>P4</v>
      </c>
      <c r="C156" s="26" t="str">
        <f ca="1">OFFSET(CampList[Camp],MATCH(Table10[[#This Row],[Pcode]],CampList[CP_Pcode],0)-1,0,1,1)</f>
        <v>Tat Kone COC Baptist - Tat Kone Htoi San</v>
      </c>
      <c r="D156" s="26" t="str">
        <f ca="1">OFFSET(CampList[Township],MATCH(Table10[[#This Row],[Pcode]],CampList[CP_Pcode],0)-1,0,1,1)</f>
        <v>Myitkyina</v>
      </c>
      <c r="E156" s="422">
        <f ca="1">OFFSET(CampList[HH],MATCH(Table10[[#This Row],[Pcode]],CampList[CP_Pcode],0)-1,0,1,1)</f>
        <v>68</v>
      </c>
      <c r="F156" s="422">
        <f ca="1">OFFSET(CampList[Total],MATCH(Table10[[#This Row],[Pcode]],CampList[CP_Pcode],0)-1,0,1,1)</f>
        <v>340</v>
      </c>
      <c r="G156" s="422">
        <f>SUMIF('NFI Tracking'!AO$6:AO$1048576,Table10[[#This Row],[Pcode]],'NFI Tracking'!AI$6:AI$1048576)</f>
        <v>0</v>
      </c>
      <c r="H156" s="422">
        <f>SUMIF('NFI Tracking'!AO$6:AO$1048576,Table10[[#This Row],[Pcode]],'NFI Tracking'!AJ$6:AJ$1048576)</f>
        <v>0</v>
      </c>
      <c r="I156" s="422">
        <f>SUMIF('NFI Tracking'!AO$6:AO$1048576,Table10[[#This Row],[Pcode]],'NFI Tracking'!AK$6:AK$1048576)</f>
        <v>0</v>
      </c>
      <c r="J156" s="422">
        <f ca="1">MAX(Table10[[#This Row],[HH]]*VLOOKUP("Winter Clothes Adult",NFI,6)-Table10[[#This Row],[Winter Clothes Adult ]],0)</f>
        <v>136</v>
      </c>
      <c r="K156" s="422">
        <f ca="1">MAX(Table10[[#This Row],[HH]]*VLOOKUP("Winter Clothes Children ",NFI,6)-Table10[[#This Row],[Winter Clothes Children ]],0)</f>
        <v>68</v>
      </c>
      <c r="L156" s="422">
        <f ca="1">MAX(Table10[[#This Row],[HH]]*VLOOKUP("Winter Items Other ",NFI,6)-Table10[[#This Row],[Winter Items Other ]],0)</f>
        <v>68</v>
      </c>
      <c r="M156" s="464" t="str">
        <f>IF(OR(Table10[[#This Row],[Winter Clothes Adult ]]&lt;&gt;0,Table10[[#This Row],[Winter Clothes Children ]]&lt;&gt;0,Table10[[#This Row],[Winter Items Other ]]&lt;&gt;0),"No","")</f>
        <v/>
      </c>
      <c r="N156" s="465">
        <f>COUNTIF(A:A,Table10[[#This Row],[Pcode]])-1</f>
        <v>0</v>
      </c>
    </row>
    <row r="157" spans="1:14" x14ac:dyDescent="0.25">
      <c r="A157" s="381" t="s">
        <v>248</v>
      </c>
      <c r="B157" s="26" t="str">
        <f ca="1">OFFSET(CampList[Priority],MATCH(Table10[[#This Row],[Pcode]],CampList[CP_Pcode],0)-1,0,1,1)</f>
        <v>P4</v>
      </c>
      <c r="C157" s="26" t="str">
        <f ca="1">OFFSET(CampList[Camp],MATCH(Table10[[#This Row],[Pcode]],CampList[CP_Pcode],0)-1,0,1,1)</f>
        <v>Tat Kone Emanuel Church</v>
      </c>
      <c r="D157" s="26" t="str">
        <f ca="1">OFFSET(CampList[Township],MATCH(Table10[[#This Row],[Pcode]],CampList[CP_Pcode],0)-1,0,1,1)</f>
        <v>Myitkyina</v>
      </c>
      <c r="E157" s="422">
        <f ca="1">OFFSET(CampList[HH],MATCH(Table10[[#This Row],[Pcode]],CampList[CP_Pcode],0)-1,0,1,1)</f>
        <v>12</v>
      </c>
      <c r="F157" s="422">
        <f ca="1">OFFSET(CampList[Total],MATCH(Table10[[#This Row],[Pcode]],CampList[CP_Pcode],0)-1,0,1,1)</f>
        <v>57</v>
      </c>
      <c r="G157" s="422">
        <f>SUMIF('NFI Tracking'!AO$6:AO$1048576,Table10[[#This Row],[Pcode]],'NFI Tracking'!AI$6:AI$1048576)</f>
        <v>0</v>
      </c>
      <c r="H157" s="422">
        <f>SUMIF('NFI Tracking'!AO$6:AO$1048576,Table10[[#This Row],[Pcode]],'NFI Tracking'!AJ$6:AJ$1048576)</f>
        <v>0</v>
      </c>
      <c r="I157" s="422">
        <f>SUMIF('NFI Tracking'!AO$6:AO$1048576,Table10[[#This Row],[Pcode]],'NFI Tracking'!AK$6:AK$1048576)</f>
        <v>0</v>
      </c>
      <c r="J157" s="422">
        <f ca="1">MAX(Table10[[#This Row],[HH]]*VLOOKUP("Winter Clothes Adult",NFI,6)-Table10[[#This Row],[Winter Clothes Adult ]],0)</f>
        <v>24</v>
      </c>
      <c r="K157" s="422">
        <f ca="1">MAX(Table10[[#This Row],[HH]]*VLOOKUP("Winter Clothes Children ",NFI,6)-Table10[[#This Row],[Winter Clothes Children ]],0)</f>
        <v>12</v>
      </c>
      <c r="L157" s="422">
        <f ca="1">MAX(Table10[[#This Row],[HH]]*VLOOKUP("Winter Items Other ",NFI,6)-Table10[[#This Row],[Winter Items Other ]],0)</f>
        <v>12</v>
      </c>
      <c r="M157" s="464" t="str">
        <f>IF(OR(Table10[[#This Row],[Winter Clothes Adult ]]&lt;&gt;0,Table10[[#This Row],[Winter Clothes Children ]]&lt;&gt;0,Table10[[#This Row],[Winter Items Other ]]&lt;&gt;0),"No","")</f>
        <v/>
      </c>
      <c r="N157" s="465">
        <f>COUNTIF(A:A,Table10[[#This Row],[Pcode]])-1</f>
        <v>0</v>
      </c>
    </row>
    <row r="158" spans="1:14" x14ac:dyDescent="0.25">
      <c r="A158" s="381" t="s">
        <v>250</v>
      </c>
      <c r="B158" s="26" t="str">
        <f ca="1">OFFSET(CampList[Priority],MATCH(Table10[[#This Row],[Pcode]],CampList[CP_Pcode],0)-1,0,1,1)</f>
        <v>P4</v>
      </c>
      <c r="C158" s="26" t="str">
        <f ca="1">OFFSET(CampList[Camp],MATCH(Table10[[#This Row],[Pcode]],CampList[CP_Pcode],0)-1,0,1,1)</f>
        <v>Tat Kone Galile Baptist Church</v>
      </c>
      <c r="D158" s="26" t="str">
        <f ca="1">OFFSET(CampList[Township],MATCH(Table10[[#This Row],[Pcode]],CampList[CP_Pcode],0)-1,0,1,1)</f>
        <v>Myitkyina</v>
      </c>
      <c r="E158" s="422">
        <f ca="1">OFFSET(CampList[HH],MATCH(Table10[[#This Row],[Pcode]],CampList[CP_Pcode],0)-1,0,1,1)</f>
        <v>32</v>
      </c>
      <c r="F158" s="422">
        <f ca="1">OFFSET(CampList[Total],MATCH(Table10[[#This Row],[Pcode]],CampList[CP_Pcode],0)-1,0,1,1)</f>
        <v>146</v>
      </c>
      <c r="G158" s="422">
        <f>SUMIF('NFI Tracking'!AO$6:AO$1048576,Table10[[#This Row],[Pcode]],'NFI Tracking'!AI$6:AI$1048576)</f>
        <v>0</v>
      </c>
      <c r="H158" s="422">
        <f>SUMIF('NFI Tracking'!AO$6:AO$1048576,Table10[[#This Row],[Pcode]],'NFI Tracking'!AJ$6:AJ$1048576)</f>
        <v>0</v>
      </c>
      <c r="I158" s="422">
        <f>SUMIF('NFI Tracking'!AO$6:AO$1048576,Table10[[#This Row],[Pcode]],'NFI Tracking'!AK$6:AK$1048576)</f>
        <v>0</v>
      </c>
      <c r="J158" s="422">
        <f ca="1">MAX(Table10[[#This Row],[HH]]*VLOOKUP("Winter Clothes Adult",NFI,6)-Table10[[#This Row],[Winter Clothes Adult ]],0)</f>
        <v>64</v>
      </c>
      <c r="K158" s="422">
        <f ca="1">MAX(Table10[[#This Row],[HH]]*VLOOKUP("Winter Clothes Children ",NFI,6)-Table10[[#This Row],[Winter Clothes Children ]],0)</f>
        <v>32</v>
      </c>
      <c r="L158" s="422">
        <f ca="1">MAX(Table10[[#This Row],[HH]]*VLOOKUP("Winter Items Other ",NFI,6)-Table10[[#This Row],[Winter Items Other ]],0)</f>
        <v>32</v>
      </c>
      <c r="M158" s="464" t="str">
        <f>IF(OR(Table10[[#This Row],[Winter Clothes Adult ]]&lt;&gt;0,Table10[[#This Row],[Winter Clothes Children ]]&lt;&gt;0,Table10[[#This Row],[Winter Items Other ]]&lt;&gt;0),"No","")</f>
        <v/>
      </c>
      <c r="N158" s="465">
        <f>COUNTIF(A:A,Table10[[#This Row],[Pcode]])-1</f>
        <v>0</v>
      </c>
    </row>
    <row r="159" spans="1:14" x14ac:dyDescent="0.25">
      <c r="A159" s="381" t="s">
        <v>274</v>
      </c>
      <c r="B159" s="26" t="str">
        <f ca="1">OFFSET(CampList[Priority],MATCH(Table10[[#This Row],[Pcode]],CampList[CP_Pcode],0)-1,0,1,1)</f>
        <v>P4</v>
      </c>
      <c r="C159" s="26" t="str">
        <f ca="1">OFFSET(CampList[Camp],MATCH(Table10[[#This Row],[Pcode]],CampList[CP_Pcode],0)-1,0,1,1)</f>
        <v>Tat Kone San Pya Baptist Church</v>
      </c>
      <c r="D159" s="26" t="str">
        <f ca="1">OFFSET(CampList[Township],MATCH(Table10[[#This Row],[Pcode]],CampList[CP_Pcode],0)-1,0,1,1)</f>
        <v>Myitkyina</v>
      </c>
      <c r="E159" s="422">
        <f ca="1">OFFSET(CampList[HH],MATCH(Table10[[#This Row],[Pcode]],CampList[CP_Pcode],0)-1,0,1,1)</f>
        <v>44</v>
      </c>
      <c r="F159" s="422">
        <f ca="1">OFFSET(CampList[Total],MATCH(Table10[[#This Row],[Pcode]],CampList[CP_Pcode],0)-1,0,1,1)</f>
        <v>212</v>
      </c>
      <c r="G159" s="422">
        <f>SUMIF('NFI Tracking'!AO$6:AO$1048576,Table10[[#This Row],[Pcode]],'NFI Tracking'!AI$6:AI$1048576)</f>
        <v>0</v>
      </c>
      <c r="H159" s="422">
        <f>SUMIF('NFI Tracking'!AO$6:AO$1048576,Table10[[#This Row],[Pcode]],'NFI Tracking'!AJ$6:AJ$1048576)</f>
        <v>0</v>
      </c>
      <c r="I159" s="422">
        <f>SUMIF('NFI Tracking'!AO$6:AO$1048576,Table10[[#This Row],[Pcode]],'NFI Tracking'!AK$6:AK$1048576)</f>
        <v>0</v>
      </c>
      <c r="J159" s="422">
        <f ca="1">MAX(Table10[[#This Row],[HH]]*VLOOKUP("Winter Clothes Adult",NFI,6)-Table10[[#This Row],[Winter Clothes Adult ]],0)</f>
        <v>88</v>
      </c>
      <c r="K159" s="422">
        <f ca="1">MAX(Table10[[#This Row],[HH]]*VLOOKUP("Winter Clothes Children ",NFI,6)-Table10[[#This Row],[Winter Clothes Children ]],0)</f>
        <v>44</v>
      </c>
      <c r="L159" s="422">
        <f ca="1">MAX(Table10[[#This Row],[HH]]*VLOOKUP("Winter Items Other ",NFI,6)-Table10[[#This Row],[Winter Items Other ]],0)</f>
        <v>44</v>
      </c>
      <c r="M159" s="464" t="str">
        <f>IF(OR(Table10[[#This Row],[Winter Clothes Adult ]]&lt;&gt;0,Table10[[#This Row],[Winter Clothes Children ]]&lt;&gt;0,Table10[[#This Row],[Winter Items Other ]]&lt;&gt;0),"No","")</f>
        <v/>
      </c>
      <c r="N159" s="465">
        <f>COUNTIF(A:A,Table10[[#This Row],[Pcode]])-1</f>
        <v>0</v>
      </c>
    </row>
    <row r="160" spans="1:14" x14ac:dyDescent="0.25">
      <c r="A160" s="381" t="s">
        <v>348</v>
      </c>
      <c r="B160" s="26" t="str">
        <f ca="1">OFFSET(CampList[Priority],MATCH(Table10[[#This Row],[Pcode]],CampList[CP_Pcode],0)-1,0,1,1)</f>
        <v>P4</v>
      </c>
      <c r="C160" s="26" t="str">
        <f ca="1">OFFSET(CampList[Camp],MATCH(Table10[[#This Row],[Pcode]],CampList[CP_Pcode],0)-1,0,1,1)</f>
        <v>Thargaya Lisu Baptist Church</v>
      </c>
      <c r="D160" s="26" t="str">
        <f ca="1">OFFSET(CampList[Township],MATCH(Table10[[#This Row],[Pcode]],CampList[CP_Pcode],0)-1,0,1,1)</f>
        <v>Waingmaw</v>
      </c>
      <c r="E160" s="422">
        <f ca="1">OFFSET(CampList[HH],MATCH(Table10[[#This Row],[Pcode]],CampList[CP_Pcode],0)-1,0,1,1)</f>
        <v>44</v>
      </c>
      <c r="F160" s="422">
        <f ca="1">OFFSET(CampList[Total],MATCH(Table10[[#This Row],[Pcode]],CampList[CP_Pcode],0)-1,0,1,1)</f>
        <v>182</v>
      </c>
      <c r="G160" s="422">
        <f>SUMIF('NFI Tracking'!AO$6:AO$1048576,Table10[[#This Row],[Pcode]],'NFI Tracking'!AI$6:AI$1048576)</f>
        <v>0</v>
      </c>
      <c r="H160" s="422">
        <f>SUMIF('NFI Tracking'!AO$6:AO$1048576,Table10[[#This Row],[Pcode]],'NFI Tracking'!AJ$6:AJ$1048576)</f>
        <v>0</v>
      </c>
      <c r="I160" s="422">
        <f>SUMIF('NFI Tracking'!AO$6:AO$1048576,Table10[[#This Row],[Pcode]],'NFI Tracking'!AK$6:AK$1048576)</f>
        <v>0</v>
      </c>
      <c r="J160" s="422">
        <f ca="1">MAX(Table10[[#This Row],[HH]]*VLOOKUP("Winter Clothes Adult",NFI,6)-Table10[[#This Row],[Winter Clothes Adult ]],0)</f>
        <v>88</v>
      </c>
      <c r="K160" s="422">
        <f ca="1">MAX(Table10[[#This Row],[HH]]*VLOOKUP("Winter Clothes Children ",NFI,6)-Table10[[#This Row],[Winter Clothes Children ]],0)</f>
        <v>44</v>
      </c>
      <c r="L160" s="422">
        <f ca="1">MAX(Table10[[#This Row],[HH]]*VLOOKUP("Winter Items Other ",NFI,6)-Table10[[#This Row],[Winter Items Other ]],0)</f>
        <v>44</v>
      </c>
      <c r="M160" s="464" t="str">
        <f>IF(OR(Table10[[#This Row],[Winter Clothes Adult ]]&lt;&gt;0,Table10[[#This Row],[Winter Clothes Children ]]&lt;&gt;0,Table10[[#This Row],[Winter Items Other ]]&lt;&gt;0),"No","")</f>
        <v/>
      </c>
      <c r="N160" s="465">
        <f>COUNTIF(A:A,Table10[[#This Row],[Pcode]])-1</f>
        <v>0</v>
      </c>
    </row>
    <row r="161" spans="1:14" x14ac:dyDescent="0.25">
      <c r="A161" s="381" t="s">
        <v>1025</v>
      </c>
      <c r="B161" s="26" t="str">
        <f ca="1">OFFSET(CampList[Priority],MATCH(Table10[[#This Row],[Pcode]],CampList[CP_Pcode],0)-1,0,1,1)</f>
        <v>P4</v>
      </c>
      <c r="C161" s="26" t="str">
        <f ca="1">OFFSET(CampList[Camp],MATCH(Table10[[#This Row],[Pcode]],CampList[CP_Pcode],0)-1,0,1,1)</f>
        <v>Tharthana Ahlin Yaung New Monastery</v>
      </c>
      <c r="D161" s="26" t="str">
        <f ca="1">OFFSET(CampList[Township],MATCH(Table10[[#This Row],[Pcode]],CampList[CP_Pcode],0)-1,0,1,1)</f>
        <v>Bhamo</v>
      </c>
      <c r="E161" s="422">
        <f ca="1">OFFSET(CampList[HH],MATCH(Table10[[#This Row],[Pcode]],CampList[CP_Pcode],0)-1,0,1,1)</f>
        <v>0</v>
      </c>
      <c r="F161" s="422">
        <f ca="1">OFFSET(CampList[Total],MATCH(Table10[[#This Row],[Pcode]],CampList[CP_Pcode],0)-1,0,1,1)</f>
        <v>0</v>
      </c>
      <c r="G161" s="422">
        <f>SUMIF('NFI Tracking'!AO$6:AO$1048576,Table10[[#This Row],[Pcode]],'NFI Tracking'!AI$6:AI$1048576)</f>
        <v>0</v>
      </c>
      <c r="H161" s="422">
        <f>SUMIF('NFI Tracking'!AO$6:AO$1048576,Table10[[#This Row],[Pcode]],'NFI Tracking'!AJ$6:AJ$1048576)</f>
        <v>0</v>
      </c>
      <c r="I161" s="422">
        <f>SUMIF('NFI Tracking'!AO$6:AO$1048576,Table10[[#This Row],[Pcode]],'NFI Tracking'!AK$6:AK$1048576)</f>
        <v>0</v>
      </c>
      <c r="J161" s="422">
        <f ca="1">MAX(Table10[[#This Row],[HH]]*VLOOKUP("Winter Clothes Adult",NFI,6)-Table10[[#This Row],[Winter Clothes Adult ]],0)</f>
        <v>0</v>
      </c>
      <c r="K161" s="422">
        <f ca="1">MAX(Table10[[#This Row],[HH]]*VLOOKUP("Winter Clothes Children ",NFI,6)-Table10[[#This Row],[Winter Clothes Children ]],0)</f>
        <v>0</v>
      </c>
      <c r="L161" s="422">
        <f ca="1">MAX(Table10[[#This Row],[HH]]*VLOOKUP("Winter Items Other ",NFI,6)-Table10[[#This Row],[Winter Items Other ]],0)</f>
        <v>0</v>
      </c>
      <c r="M161" s="464" t="str">
        <f>IF(OR(Table10[[#This Row],[Winter Clothes Adult ]]&lt;&gt;0,Table10[[#This Row],[Winter Clothes Children ]]&lt;&gt;0,Table10[[#This Row],[Winter Items Other ]]&lt;&gt;0),"No","")</f>
        <v/>
      </c>
      <c r="N161" s="465">
        <f>COUNTIF(A:A,Table10[[#This Row],[Pcode]])-1</f>
        <v>0</v>
      </c>
    </row>
    <row r="162" spans="1:14" x14ac:dyDescent="0.25">
      <c r="A162" s="381" t="s">
        <v>315</v>
      </c>
      <c r="B162" s="26" t="str">
        <f ca="1">OFFSET(CampList[Priority],MATCH(Table10[[#This Row],[Pcode]],CampList[CP_Pcode],0)-1,0,1,1)</f>
        <v>P4</v>
      </c>
      <c r="C162" s="26" t="str">
        <f ca="1">OFFSET(CampList[Camp],MATCH(Table10[[#This Row],[Pcode]],CampList[CP_Pcode],0)-1,0,1,1)</f>
        <v>Waingmaw AG Church</v>
      </c>
      <c r="D162" s="26" t="str">
        <f ca="1">OFFSET(CampList[Township],MATCH(Table10[[#This Row],[Pcode]],CampList[CP_Pcode],0)-1,0,1,1)</f>
        <v>Waingmaw</v>
      </c>
      <c r="E162" s="422">
        <f ca="1">OFFSET(CampList[HH],MATCH(Table10[[#This Row],[Pcode]],CampList[CP_Pcode],0)-1,0,1,1)</f>
        <v>90</v>
      </c>
      <c r="F162" s="422">
        <f ca="1">OFFSET(CampList[Total],MATCH(Table10[[#This Row],[Pcode]],CampList[CP_Pcode],0)-1,0,1,1)</f>
        <v>365</v>
      </c>
      <c r="G162" s="422">
        <f>SUMIF('NFI Tracking'!AO$6:AO$1048576,Table10[[#This Row],[Pcode]],'NFI Tracking'!AI$6:AI$1048576)</f>
        <v>0</v>
      </c>
      <c r="H162" s="422">
        <f>SUMIF('NFI Tracking'!AO$6:AO$1048576,Table10[[#This Row],[Pcode]],'NFI Tracking'!AJ$6:AJ$1048576)</f>
        <v>0</v>
      </c>
      <c r="I162" s="422">
        <f>SUMIF('NFI Tracking'!AO$6:AO$1048576,Table10[[#This Row],[Pcode]],'NFI Tracking'!AK$6:AK$1048576)</f>
        <v>0</v>
      </c>
      <c r="J162" s="422">
        <f ca="1">MAX(Table10[[#This Row],[HH]]*VLOOKUP("Winter Clothes Adult",NFI,6)-Table10[[#This Row],[Winter Clothes Adult ]],0)</f>
        <v>180</v>
      </c>
      <c r="K162" s="422">
        <f ca="1">MAX(Table10[[#This Row],[HH]]*VLOOKUP("Winter Clothes Children ",NFI,6)-Table10[[#This Row],[Winter Clothes Children ]],0)</f>
        <v>90</v>
      </c>
      <c r="L162" s="422">
        <f ca="1">MAX(Table10[[#This Row],[HH]]*VLOOKUP("Winter Items Other ",NFI,6)-Table10[[#This Row],[Winter Items Other ]],0)</f>
        <v>90</v>
      </c>
      <c r="M162" s="464" t="str">
        <f>IF(OR(Table10[[#This Row],[Winter Clothes Adult ]]&lt;&gt;0,Table10[[#This Row],[Winter Clothes Children ]]&lt;&gt;0,Table10[[#This Row],[Winter Items Other ]]&lt;&gt;0),"No","")</f>
        <v/>
      </c>
      <c r="N162" s="465">
        <f>COUNTIF(A:A,Table10[[#This Row],[Pcode]])-1</f>
        <v>0</v>
      </c>
    </row>
    <row r="163" spans="1:14" x14ac:dyDescent="0.25">
      <c r="A163" s="381" t="s">
        <v>309</v>
      </c>
      <c r="B163" s="26" t="str">
        <f ca="1">OFFSET(CampList[Priority],MATCH(Table10[[#This Row],[Pcode]],CampList[CP_Pcode],0)-1,0,1,1)</f>
        <v>P4</v>
      </c>
      <c r="C163" s="26" t="str">
        <f ca="1">OFFSET(CampList[Camp],MATCH(Table10[[#This Row],[Pcode]],CampList[CP_Pcode],0)-1,0,1,1)</f>
        <v>Waingmaw Baptist Zonal Office</v>
      </c>
      <c r="D163" s="26" t="str">
        <f ca="1">OFFSET(CampList[Township],MATCH(Table10[[#This Row],[Pcode]],CampList[CP_Pcode],0)-1,0,1,1)</f>
        <v>Waingmaw</v>
      </c>
      <c r="E163" s="422">
        <f ca="1">OFFSET(CampList[HH],MATCH(Table10[[#This Row],[Pcode]],CampList[CP_Pcode],0)-1,0,1,1)</f>
        <v>0</v>
      </c>
      <c r="F163" s="422">
        <f ca="1">OFFSET(CampList[Total],MATCH(Table10[[#This Row],[Pcode]],CampList[CP_Pcode],0)-1,0,1,1)</f>
        <v>0</v>
      </c>
      <c r="G163" s="422">
        <f>SUMIF('NFI Tracking'!AO$6:AO$1048576,Table10[[#This Row],[Pcode]],'NFI Tracking'!AI$6:AI$1048576)</f>
        <v>0</v>
      </c>
      <c r="H163" s="422">
        <f>SUMIF('NFI Tracking'!AO$6:AO$1048576,Table10[[#This Row],[Pcode]],'NFI Tracking'!AJ$6:AJ$1048576)</f>
        <v>0</v>
      </c>
      <c r="I163" s="422">
        <f>SUMIF('NFI Tracking'!AO$6:AO$1048576,Table10[[#This Row],[Pcode]],'NFI Tracking'!AK$6:AK$1048576)</f>
        <v>0</v>
      </c>
      <c r="J163" s="422">
        <f ca="1">MAX(Table10[[#This Row],[HH]]*VLOOKUP("Winter Clothes Adult",NFI,6)-Table10[[#This Row],[Winter Clothes Adult ]],0)</f>
        <v>0</v>
      </c>
      <c r="K163" s="422">
        <f ca="1">MAX(Table10[[#This Row],[HH]]*VLOOKUP("Winter Clothes Children ",NFI,6)-Table10[[#This Row],[Winter Clothes Children ]],0)</f>
        <v>0</v>
      </c>
      <c r="L163" s="422">
        <f ca="1">MAX(Table10[[#This Row],[HH]]*VLOOKUP("Winter Items Other ",NFI,6)-Table10[[#This Row],[Winter Items Other ]],0)</f>
        <v>0</v>
      </c>
      <c r="M163" s="464" t="str">
        <f>IF(OR(Table10[[#This Row],[Winter Clothes Adult ]]&lt;&gt;0,Table10[[#This Row],[Winter Clothes Children ]]&lt;&gt;0,Table10[[#This Row],[Winter Items Other ]]&lt;&gt;0),"No","")</f>
        <v/>
      </c>
      <c r="N163" s="465">
        <f>COUNTIF(A:A,Table10[[#This Row],[Pcode]])-1</f>
        <v>0</v>
      </c>
    </row>
    <row r="164" spans="1:14" x14ac:dyDescent="0.25">
      <c r="A164" s="381" t="s">
        <v>125</v>
      </c>
      <c r="B164" s="26" t="str">
        <f ca="1">OFFSET(CampList[Priority],MATCH(Table10[[#This Row],[Pcode]],CampList[CP_Pcode],0)-1,0,1,1)</f>
        <v>P4</v>
      </c>
      <c r="C164" s="26" t="str">
        <f ca="1">OFFSET(CampList[Camp],MATCH(Table10[[#This Row],[Pcode]],CampList[CP_Pcode],0)-1,0,1,1)</f>
        <v xml:space="preserve">Ward 2 Sai Taung Baptist Church, Seik Mu </v>
      </c>
      <c r="D164" s="26" t="str">
        <f ca="1">OFFSET(CampList[Township],MATCH(Table10[[#This Row],[Pcode]],CampList[CP_Pcode],0)-1,0,1,1)</f>
        <v>Hpakant</v>
      </c>
      <c r="E164" s="422">
        <f ca="1">OFFSET(CampList[HH],MATCH(Table10[[#This Row],[Pcode]],CampList[CP_Pcode],0)-1,0,1,1)</f>
        <v>41</v>
      </c>
      <c r="F164" s="422">
        <f ca="1">OFFSET(CampList[Total],MATCH(Table10[[#This Row],[Pcode]],CampList[CP_Pcode],0)-1,0,1,1)</f>
        <v>201</v>
      </c>
      <c r="G164" s="422">
        <f>SUMIF('NFI Tracking'!AO$6:AO$1048576,Table10[[#This Row],[Pcode]],'NFI Tracking'!AI$6:AI$1048576)</f>
        <v>94</v>
      </c>
      <c r="H164" s="422">
        <f>SUMIF('NFI Tracking'!AO$6:AO$1048576,Table10[[#This Row],[Pcode]],'NFI Tracking'!AJ$6:AJ$1048576)</f>
        <v>58</v>
      </c>
      <c r="I164" s="422">
        <f>SUMIF('NFI Tracking'!AO$6:AO$1048576,Table10[[#This Row],[Pcode]],'NFI Tracking'!AK$6:AK$1048576)</f>
        <v>0</v>
      </c>
      <c r="J164" s="422">
        <f ca="1">MAX(Table10[[#This Row],[HH]]*VLOOKUP("Winter Clothes Adult",NFI,6)-Table10[[#This Row],[Winter Clothes Adult ]],0)</f>
        <v>0</v>
      </c>
      <c r="K164" s="422">
        <f ca="1">MAX(Table10[[#This Row],[HH]]*VLOOKUP("Winter Clothes Children ",NFI,6)-Table10[[#This Row],[Winter Clothes Children ]],0)</f>
        <v>0</v>
      </c>
      <c r="L164" s="422">
        <f ca="1">MAX(Table10[[#This Row],[HH]]*VLOOKUP("Winter Items Other ",NFI,6)-Table10[[#This Row],[Winter Items Other ]],0)</f>
        <v>41</v>
      </c>
      <c r="M164" s="464" t="str">
        <f>IF(OR(Table10[[#This Row],[Winter Clothes Adult ]]&lt;&gt;0,Table10[[#This Row],[Winter Clothes Children ]]&lt;&gt;0,Table10[[#This Row],[Winter Items Other ]]&lt;&gt;0),"No","")</f>
        <v>No</v>
      </c>
      <c r="N164" s="465">
        <f>COUNTIF(A:A,Table10[[#This Row],[Pcode]])-1</f>
        <v>0</v>
      </c>
    </row>
    <row r="165" spans="1:14" x14ac:dyDescent="0.25">
      <c r="A165" s="381" t="s">
        <v>352</v>
      </c>
      <c r="B165" s="26" t="str">
        <f ca="1">OFFSET(CampList[Priority],MATCH(Table10[[#This Row],[Pcode]],CampList[CP_Pcode],0)-1,0,1,1)</f>
        <v>P4</v>
      </c>
      <c r="C165" s="26" t="str">
        <f ca="1">OFFSET(CampList[Camp],MATCH(Table10[[#This Row],[Pcode]],CampList[CP_Pcode],0)-1,0,1,1)</f>
        <v xml:space="preserve">Woi Chyai </v>
      </c>
      <c r="D165" s="26" t="str">
        <f ca="1">OFFSET(CampList[Township],MATCH(Table10[[#This Row],[Pcode]],CampList[CP_Pcode],0)-1,0,1,1)</f>
        <v>Waingmaw</v>
      </c>
      <c r="E165" s="422">
        <f ca="1">OFFSET(CampList[HH],MATCH(Table10[[#This Row],[Pcode]],CampList[CP_Pcode],0)-1,0,1,1)</f>
        <v>1348</v>
      </c>
      <c r="F165" s="422">
        <f ca="1">OFFSET(CampList[Total],MATCH(Table10[[#This Row],[Pcode]],CampList[CP_Pcode],0)-1,0,1,1)</f>
        <v>6839</v>
      </c>
      <c r="G165" s="422">
        <f>SUMIF('NFI Tracking'!AO$6:AO$1048576,Table10[[#This Row],[Pcode]],'NFI Tracking'!AI$6:AI$1048576)</f>
        <v>1620</v>
      </c>
      <c r="H165" s="422">
        <f>SUMIF('NFI Tracking'!AO$6:AO$1048576,Table10[[#This Row],[Pcode]],'NFI Tracking'!AJ$6:AJ$1048576)</f>
        <v>2207</v>
      </c>
      <c r="I165" s="422">
        <f>SUMIF('NFI Tracking'!AO$6:AO$1048576,Table10[[#This Row],[Pcode]],'NFI Tracking'!AK$6:AK$1048576)</f>
        <v>0</v>
      </c>
      <c r="J165" s="422">
        <f ca="1">MAX(Table10[[#This Row],[HH]]*VLOOKUP("Winter Clothes Adult",NFI,6)-Table10[[#This Row],[Winter Clothes Adult ]],0)</f>
        <v>1076</v>
      </c>
      <c r="K165" s="422">
        <f ca="1">MAX(Table10[[#This Row],[HH]]*VLOOKUP("Winter Clothes Children ",NFI,6)-Table10[[#This Row],[Winter Clothes Children ]],0)</f>
        <v>0</v>
      </c>
      <c r="L165" s="422">
        <f ca="1">MAX(Table10[[#This Row],[HH]]*VLOOKUP("Winter Items Other ",NFI,6)-Table10[[#This Row],[Winter Items Other ]],0)</f>
        <v>1348</v>
      </c>
      <c r="M165" s="464" t="str">
        <f>IF(OR(Table10[[#This Row],[Winter Clothes Adult ]]&lt;&gt;0,Table10[[#This Row],[Winter Clothes Children ]]&lt;&gt;0,Table10[[#This Row],[Winter Items Other ]]&lt;&gt;0),"No","")</f>
        <v>No</v>
      </c>
      <c r="N165" s="465">
        <f>COUNTIF(A:A,Table10[[#This Row],[Pcode]])-1</f>
        <v>0</v>
      </c>
    </row>
    <row r="166" spans="1:14" x14ac:dyDescent="0.25">
      <c r="A166" s="381" t="s">
        <v>282</v>
      </c>
      <c r="B166" s="26" t="str">
        <f ca="1">OFFSET(CampList[Priority],MATCH(Table10[[#This Row],[Pcode]],CampList[CP_Pcode],0)-1,0,1,1)</f>
        <v>P4</v>
      </c>
      <c r="C166" s="26" t="str">
        <f ca="1">OFFSET(CampList[Camp],MATCH(Table10[[#This Row],[Pcode]],CampList[CP_Pcode],0)-1,0,1,1)</f>
        <v>Wun Tho Buddhist Monastery</v>
      </c>
      <c r="D166" s="26" t="str">
        <f ca="1">OFFSET(CampList[Township],MATCH(Table10[[#This Row],[Pcode]],CampList[CP_Pcode],0)-1,0,1,1)</f>
        <v>Myitkyina</v>
      </c>
      <c r="E166" s="422">
        <f ca="1">OFFSET(CampList[HH],MATCH(Table10[[#This Row],[Pcode]],CampList[CP_Pcode],0)-1,0,1,1)</f>
        <v>7</v>
      </c>
      <c r="F166" s="422">
        <f ca="1">OFFSET(CampList[Total],MATCH(Table10[[#This Row],[Pcode]],CampList[CP_Pcode],0)-1,0,1,1)</f>
        <v>37</v>
      </c>
      <c r="G166" s="422">
        <f>SUMIF('NFI Tracking'!AO$6:AO$1048576,Table10[[#This Row],[Pcode]],'NFI Tracking'!AI$6:AI$1048576)</f>
        <v>0</v>
      </c>
      <c r="H166" s="422">
        <f>SUMIF('NFI Tracking'!AO$6:AO$1048576,Table10[[#This Row],[Pcode]],'NFI Tracking'!AJ$6:AJ$1048576)</f>
        <v>0</v>
      </c>
      <c r="I166" s="422">
        <f>SUMIF('NFI Tracking'!AO$6:AO$1048576,Table10[[#This Row],[Pcode]],'NFI Tracking'!AK$6:AK$1048576)</f>
        <v>0</v>
      </c>
      <c r="J166" s="422">
        <f ca="1">MAX(Table10[[#This Row],[HH]]*VLOOKUP("Winter Clothes Adult",NFI,6)-Table10[[#This Row],[Winter Clothes Adult ]],0)</f>
        <v>14</v>
      </c>
      <c r="K166" s="422">
        <f ca="1">MAX(Table10[[#This Row],[HH]]*VLOOKUP("Winter Clothes Children ",NFI,6)-Table10[[#This Row],[Winter Clothes Children ]],0)</f>
        <v>7</v>
      </c>
      <c r="L166" s="422">
        <f ca="1">MAX(Table10[[#This Row],[HH]]*VLOOKUP("Winter Items Other ",NFI,6)-Table10[[#This Row],[Winter Items Other ]],0)</f>
        <v>7</v>
      </c>
      <c r="M166" s="464" t="str">
        <f>IF(OR(Table10[[#This Row],[Winter Clothes Adult ]]&lt;&gt;0,Table10[[#This Row],[Winter Clothes Children ]]&lt;&gt;0,Table10[[#This Row],[Winter Items Other ]]&lt;&gt;0),"No","")</f>
        <v/>
      </c>
      <c r="N166" s="465">
        <f>COUNTIF(A:A,Table10[[#This Row],[Pcode]])-1</f>
        <v>0</v>
      </c>
    </row>
    <row r="167" spans="1:14" x14ac:dyDescent="0.25">
      <c r="A167" s="381" t="s">
        <v>25</v>
      </c>
      <c r="B167" s="26" t="str">
        <f ca="1">OFFSET(CampList[Priority],MATCH(Table10[[#This Row],[Pcode]],CampList[CP_Pcode],0)-1,0,1,1)</f>
        <v>P4</v>
      </c>
      <c r="C167" s="26" t="str">
        <f ca="1">OFFSET(CampList[Camp],MATCH(Table10[[#This Row],[Pcode]],CampList[CP_Pcode],0)-1,0,1,1)</f>
        <v>Yoe Kyi Monastery</v>
      </c>
      <c r="D167" s="26" t="str">
        <f ca="1">OFFSET(CampList[Township],MATCH(Table10[[#This Row],[Pcode]],CampList[CP_Pcode],0)-1,0,1,1)</f>
        <v>Bhamo</v>
      </c>
      <c r="E167" s="422">
        <f ca="1">OFFSET(CampList[HH],MATCH(Table10[[#This Row],[Pcode]],CampList[CP_Pcode],0)-1,0,1,1)</f>
        <v>15</v>
      </c>
      <c r="F167" s="422">
        <f ca="1">OFFSET(CampList[Total],MATCH(Table10[[#This Row],[Pcode]],CampList[CP_Pcode],0)-1,0,1,1)</f>
        <v>64</v>
      </c>
      <c r="G167" s="422">
        <f>SUMIF('NFI Tracking'!AO$6:AO$1048576,Table10[[#This Row],[Pcode]],'NFI Tracking'!AI$6:AI$1048576)</f>
        <v>0</v>
      </c>
      <c r="H167" s="422">
        <f>SUMIF('NFI Tracking'!AO$6:AO$1048576,Table10[[#This Row],[Pcode]],'NFI Tracking'!AJ$6:AJ$1048576)</f>
        <v>0</v>
      </c>
      <c r="I167" s="422">
        <f>SUMIF('NFI Tracking'!AO$6:AO$1048576,Table10[[#This Row],[Pcode]],'NFI Tracking'!AK$6:AK$1048576)</f>
        <v>0</v>
      </c>
      <c r="J167" s="422">
        <f ca="1">MAX(Table10[[#This Row],[HH]]*VLOOKUP("Winter Clothes Adult",NFI,6)-Table10[[#This Row],[Winter Clothes Adult ]],0)</f>
        <v>30</v>
      </c>
      <c r="K167" s="422">
        <f ca="1">MAX(Table10[[#This Row],[HH]]*VLOOKUP("Winter Clothes Children ",NFI,6)-Table10[[#This Row],[Winter Clothes Children ]],0)</f>
        <v>15</v>
      </c>
      <c r="L167" s="422">
        <f ca="1">MAX(Table10[[#This Row],[HH]]*VLOOKUP("Winter Items Other ",NFI,6)-Table10[[#This Row],[Winter Items Other ]],0)</f>
        <v>15</v>
      </c>
      <c r="M167" s="464" t="str">
        <f>IF(OR(Table10[[#This Row],[Winter Clothes Adult ]]&lt;&gt;0,Table10[[#This Row],[Winter Clothes Children ]]&lt;&gt;0,Table10[[#This Row],[Winter Items Other ]]&lt;&gt;0),"No","")</f>
        <v/>
      </c>
      <c r="N167" s="465">
        <f>COUNTIF(A:A,Table10[[#This Row],[Pcode]])-1</f>
        <v>0</v>
      </c>
    </row>
    <row r="168" spans="1:14" x14ac:dyDescent="0.25">
      <c r="A168" s="342" t="s">
        <v>139</v>
      </c>
      <c r="B168" s="425" t="str">
        <f ca="1">OFFSET(CampList[Priority],MATCH(Table10[[#This Row],[Pcode]],CampList[CP_Pcode],0)-1,0,1,1)</f>
        <v>P4</v>
      </c>
      <c r="C168" s="425" t="str">
        <f ca="1">OFFSET(CampList[Camp],MATCH(Table10[[#This Row],[Pcode]],CampList[CP_Pcode],0)-1,0,1,1)</f>
        <v>Yumar Baptist Church</v>
      </c>
      <c r="D168" s="425" t="str">
        <f ca="1">OFFSET(CampList[Township],MATCH(Table10[[#This Row],[Pcode]],CampList[CP_Pcode],0)-1,0,1,1)</f>
        <v>Hpakant</v>
      </c>
      <c r="E168" s="466">
        <f ca="1">OFFSET(CampList[HH],MATCH(Table10[[#This Row],[Pcode]],CampList[CP_Pcode],0)-1,0,1,1)</f>
        <v>20</v>
      </c>
      <c r="F168" s="466">
        <f ca="1">OFFSET(CampList[Total],MATCH(Table10[[#This Row],[Pcode]],CampList[CP_Pcode],0)-1,0,1,1)</f>
        <v>80</v>
      </c>
      <c r="G168" s="466">
        <f>SUMIF('NFI Tracking'!AO$6:AO$1048576,Table10[[#This Row],[Pcode]],'NFI Tracking'!AI$6:AI$1048576)</f>
        <v>33</v>
      </c>
      <c r="H168" s="466">
        <f>SUMIF('NFI Tracking'!AO$6:AO$1048576,Table10[[#This Row],[Pcode]],'NFI Tracking'!AJ$6:AJ$1048576)</f>
        <v>8</v>
      </c>
      <c r="I168" s="466">
        <f>SUMIF('NFI Tracking'!AO$6:AO$1048576,Table10[[#This Row],[Pcode]],'NFI Tracking'!AK$6:AK$1048576)</f>
        <v>0</v>
      </c>
      <c r="J168" s="466">
        <f ca="1">MAX(Table10[[#This Row],[HH]]*VLOOKUP("Winter Clothes Adult",NFI,6)-Table10[[#This Row],[Winter Clothes Adult ]],0)</f>
        <v>7</v>
      </c>
      <c r="K168" s="466">
        <f ca="1">MAX(Table10[[#This Row],[HH]]*VLOOKUP("Winter Clothes Children ",NFI,6)-Table10[[#This Row],[Winter Clothes Children ]],0)</f>
        <v>12</v>
      </c>
      <c r="L168" s="466">
        <f ca="1">MAX(Table10[[#This Row],[HH]]*VLOOKUP("Winter Items Other ",NFI,6)-Table10[[#This Row],[Winter Items Other ]],0)</f>
        <v>20</v>
      </c>
      <c r="M168" s="467" t="str">
        <f>IF(OR(Table10[[#This Row],[Winter Clothes Adult ]]&lt;&gt;0,Table10[[#This Row],[Winter Clothes Children ]]&lt;&gt;0,Table10[[#This Row],[Winter Items Other ]]&lt;&gt;0),"No","")</f>
        <v>No</v>
      </c>
      <c r="N168" s="468">
        <f>COUNTIF(A:A,Table10[[#This Row],[Pcode]])-1</f>
        <v>0</v>
      </c>
    </row>
  </sheetData>
  <printOptions horizontalCentered="1"/>
  <pageMargins left="0" right="0" top="0" bottom="0" header="0.3" footer="0.3"/>
  <pageSetup paperSize="9" orientation="landscape"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sheetPr>
  <dimension ref="A1:BJ102"/>
  <sheetViews>
    <sheetView showZeros="0" zoomScaleNormal="100" zoomScaleSheetLayoutView="80" workbookViewId="0">
      <selection activeCell="AI31" sqref="AI31"/>
    </sheetView>
  </sheetViews>
  <sheetFormatPr defaultColWidth="11.42578125" defaultRowHeight="15" x14ac:dyDescent="0.25"/>
  <cols>
    <col min="1" max="1" width="2.42578125" style="129" customWidth="1"/>
    <col min="2" max="2" width="2.140625" style="129" customWidth="1"/>
    <col min="3" max="3" width="12.28515625" style="37" customWidth="1"/>
    <col min="4" max="10" width="6.85546875" style="37" customWidth="1"/>
    <col min="11" max="11" width="6.85546875" style="129" customWidth="1"/>
    <col min="12" max="12" width="17" style="37" customWidth="1"/>
    <col min="13" max="13" width="6.85546875" style="37" customWidth="1"/>
    <col min="14" max="14" width="6.5703125" style="37" customWidth="1"/>
    <col min="15" max="15" width="8" style="37" customWidth="1"/>
    <col min="16" max="16" width="6.85546875" style="37" customWidth="1"/>
    <col min="17" max="17" width="6.85546875" style="38" customWidth="1"/>
    <col min="18" max="19" width="6.85546875" style="129" customWidth="1"/>
    <col min="20" max="20" width="2.7109375" style="129" customWidth="1"/>
    <col min="21" max="21" width="5" style="129" customWidth="1"/>
    <col min="22" max="22" width="10.140625" style="129" hidden="1" customWidth="1"/>
    <col min="23" max="23" width="9.85546875" style="129" hidden="1" customWidth="1"/>
    <col min="24" max="24" width="8.140625" style="129" hidden="1" customWidth="1"/>
    <col min="25" max="25" width="9" style="129" hidden="1" customWidth="1"/>
    <col min="26" max="27" width="10.140625" style="129" hidden="1" customWidth="1"/>
    <col min="28" max="28" width="8.85546875" style="129" hidden="1" customWidth="1"/>
    <col min="29" max="29" width="15" style="129" hidden="1" customWidth="1"/>
    <col min="30" max="30" width="12" style="129" hidden="1" customWidth="1"/>
    <col min="31" max="31" width="13.42578125" style="129" hidden="1" customWidth="1"/>
    <col min="32" max="32" width="16" style="37" hidden="1" customWidth="1"/>
    <col min="33" max="33" width="13.42578125" style="37" customWidth="1"/>
    <col min="34" max="259" width="11.42578125" style="37"/>
    <col min="260" max="260" width="5.28515625" style="37" customWidth="1"/>
    <col min="261" max="261" width="15.28515625" style="37" customWidth="1"/>
    <col min="262" max="262" width="14.42578125" style="37" bestFit="1" customWidth="1"/>
    <col min="263" max="263" width="10.42578125" style="37" bestFit="1" customWidth="1"/>
    <col min="264" max="264" width="12.28515625" style="37" customWidth="1"/>
    <col min="265" max="269" width="11.42578125" style="37" customWidth="1"/>
    <col min="270" max="271" width="10.5703125" style="37" bestFit="1" customWidth="1"/>
    <col min="272" max="273" width="11.42578125" style="37" customWidth="1"/>
    <col min="274" max="274" width="6.140625" style="37" customWidth="1"/>
    <col min="275" max="285" width="11.42578125" style="37" customWidth="1"/>
    <col min="286" max="515" width="11.42578125" style="37"/>
    <col min="516" max="516" width="5.28515625" style="37" customWidth="1"/>
    <col min="517" max="517" width="15.28515625" style="37" customWidth="1"/>
    <col min="518" max="518" width="14.42578125" style="37" bestFit="1" customWidth="1"/>
    <col min="519" max="519" width="10.42578125" style="37" bestFit="1" customWidth="1"/>
    <col min="520" max="520" width="12.28515625" style="37" customWidth="1"/>
    <col min="521" max="525" width="11.42578125" style="37" customWidth="1"/>
    <col min="526" max="527" width="10.5703125" style="37" bestFit="1" customWidth="1"/>
    <col min="528" max="529" width="11.42578125" style="37" customWidth="1"/>
    <col min="530" max="530" width="6.140625" style="37" customWidth="1"/>
    <col min="531" max="541" width="11.42578125" style="37" customWidth="1"/>
    <col min="542" max="771" width="11.42578125" style="37"/>
    <col min="772" max="772" width="5.28515625" style="37" customWidth="1"/>
    <col min="773" max="773" width="15.28515625" style="37" customWidth="1"/>
    <col min="774" max="774" width="14.42578125" style="37" bestFit="1" customWidth="1"/>
    <col min="775" max="775" width="10.42578125" style="37" bestFit="1" customWidth="1"/>
    <col min="776" max="776" width="12.28515625" style="37" customWidth="1"/>
    <col min="777" max="781" width="11.42578125" style="37" customWidth="1"/>
    <col min="782" max="783" width="10.5703125" style="37" bestFit="1" customWidth="1"/>
    <col min="784" max="785" width="11.42578125" style="37" customWidth="1"/>
    <col min="786" max="786" width="6.140625" style="37" customWidth="1"/>
    <col min="787" max="797" width="11.42578125" style="37" customWidth="1"/>
    <col min="798" max="1027" width="11.42578125" style="37"/>
    <col min="1028" max="1028" width="5.28515625" style="37" customWidth="1"/>
    <col min="1029" max="1029" width="15.28515625" style="37" customWidth="1"/>
    <col min="1030" max="1030" width="14.42578125" style="37" bestFit="1" customWidth="1"/>
    <col min="1031" max="1031" width="10.42578125" style="37" bestFit="1" customWidth="1"/>
    <col min="1032" max="1032" width="12.28515625" style="37" customWidth="1"/>
    <col min="1033" max="1037" width="11.42578125" style="37" customWidth="1"/>
    <col min="1038" max="1039" width="10.5703125" style="37" bestFit="1" customWidth="1"/>
    <col min="1040" max="1041" width="11.42578125" style="37" customWidth="1"/>
    <col min="1042" max="1042" width="6.140625" style="37" customWidth="1"/>
    <col min="1043" max="1053" width="11.42578125" style="37" customWidth="1"/>
    <col min="1054" max="1283" width="11.42578125" style="37"/>
    <col min="1284" max="1284" width="5.28515625" style="37" customWidth="1"/>
    <col min="1285" max="1285" width="15.28515625" style="37" customWidth="1"/>
    <col min="1286" max="1286" width="14.42578125" style="37" bestFit="1" customWidth="1"/>
    <col min="1287" max="1287" width="10.42578125" style="37" bestFit="1" customWidth="1"/>
    <col min="1288" max="1288" width="12.28515625" style="37" customWidth="1"/>
    <col min="1289" max="1293" width="11.42578125" style="37" customWidth="1"/>
    <col min="1294" max="1295" width="10.5703125" style="37" bestFit="1" customWidth="1"/>
    <col min="1296" max="1297" width="11.42578125" style="37" customWidth="1"/>
    <col min="1298" max="1298" width="6.140625" style="37" customWidth="1"/>
    <col min="1299" max="1309" width="11.42578125" style="37" customWidth="1"/>
    <col min="1310" max="1539" width="11.42578125" style="37"/>
    <col min="1540" max="1540" width="5.28515625" style="37" customWidth="1"/>
    <col min="1541" max="1541" width="15.28515625" style="37" customWidth="1"/>
    <col min="1542" max="1542" width="14.42578125" style="37" bestFit="1" customWidth="1"/>
    <col min="1543" max="1543" width="10.42578125" style="37" bestFit="1" customWidth="1"/>
    <col min="1544" max="1544" width="12.28515625" style="37" customWidth="1"/>
    <col min="1545" max="1549" width="11.42578125" style="37" customWidth="1"/>
    <col min="1550" max="1551" width="10.5703125" style="37" bestFit="1" customWidth="1"/>
    <col min="1552" max="1553" width="11.42578125" style="37" customWidth="1"/>
    <col min="1554" max="1554" width="6.140625" style="37" customWidth="1"/>
    <col min="1555" max="1565" width="11.42578125" style="37" customWidth="1"/>
    <col min="1566" max="1795" width="11.42578125" style="37"/>
    <col min="1796" max="1796" width="5.28515625" style="37" customWidth="1"/>
    <col min="1797" max="1797" width="15.28515625" style="37" customWidth="1"/>
    <col min="1798" max="1798" width="14.42578125" style="37" bestFit="1" customWidth="1"/>
    <col min="1799" max="1799" width="10.42578125" style="37" bestFit="1" customWidth="1"/>
    <col min="1800" max="1800" width="12.28515625" style="37" customWidth="1"/>
    <col min="1801" max="1805" width="11.42578125" style="37" customWidth="1"/>
    <col min="1806" max="1807" width="10.5703125" style="37" bestFit="1" customWidth="1"/>
    <col min="1808" max="1809" width="11.42578125" style="37" customWidth="1"/>
    <col min="1810" max="1810" width="6.140625" style="37" customWidth="1"/>
    <col min="1811" max="1821" width="11.42578125" style="37" customWidth="1"/>
    <col min="1822" max="2051" width="11.42578125" style="37"/>
    <col min="2052" max="2052" width="5.28515625" style="37" customWidth="1"/>
    <col min="2053" max="2053" width="15.28515625" style="37" customWidth="1"/>
    <col min="2054" max="2054" width="14.42578125" style="37" bestFit="1" customWidth="1"/>
    <col min="2055" max="2055" width="10.42578125" style="37" bestFit="1" customWidth="1"/>
    <col min="2056" max="2056" width="12.28515625" style="37" customWidth="1"/>
    <col min="2057" max="2061" width="11.42578125" style="37" customWidth="1"/>
    <col min="2062" max="2063" width="10.5703125" style="37" bestFit="1" customWidth="1"/>
    <col min="2064" max="2065" width="11.42578125" style="37" customWidth="1"/>
    <col min="2066" max="2066" width="6.140625" style="37" customWidth="1"/>
    <col min="2067" max="2077" width="11.42578125" style="37" customWidth="1"/>
    <col min="2078" max="2307" width="11.42578125" style="37"/>
    <col min="2308" max="2308" width="5.28515625" style="37" customWidth="1"/>
    <col min="2309" max="2309" width="15.28515625" style="37" customWidth="1"/>
    <col min="2310" max="2310" width="14.42578125" style="37" bestFit="1" customWidth="1"/>
    <col min="2311" max="2311" width="10.42578125" style="37" bestFit="1" customWidth="1"/>
    <col min="2312" max="2312" width="12.28515625" style="37" customWidth="1"/>
    <col min="2313" max="2317" width="11.42578125" style="37" customWidth="1"/>
    <col min="2318" max="2319" width="10.5703125" style="37" bestFit="1" customWidth="1"/>
    <col min="2320" max="2321" width="11.42578125" style="37" customWidth="1"/>
    <col min="2322" max="2322" width="6.140625" style="37" customWidth="1"/>
    <col min="2323" max="2333" width="11.42578125" style="37" customWidth="1"/>
    <col min="2334" max="2563" width="11.42578125" style="37"/>
    <col min="2564" max="2564" width="5.28515625" style="37" customWidth="1"/>
    <col min="2565" max="2565" width="15.28515625" style="37" customWidth="1"/>
    <col min="2566" max="2566" width="14.42578125" style="37" bestFit="1" customWidth="1"/>
    <col min="2567" max="2567" width="10.42578125" style="37" bestFit="1" customWidth="1"/>
    <col min="2568" max="2568" width="12.28515625" style="37" customWidth="1"/>
    <col min="2569" max="2573" width="11.42578125" style="37" customWidth="1"/>
    <col min="2574" max="2575" width="10.5703125" style="37" bestFit="1" customWidth="1"/>
    <col min="2576" max="2577" width="11.42578125" style="37" customWidth="1"/>
    <col min="2578" max="2578" width="6.140625" style="37" customWidth="1"/>
    <col min="2579" max="2589" width="11.42578125" style="37" customWidth="1"/>
    <col min="2590" max="2819" width="11.42578125" style="37"/>
    <col min="2820" max="2820" width="5.28515625" style="37" customWidth="1"/>
    <col min="2821" max="2821" width="15.28515625" style="37" customWidth="1"/>
    <col min="2822" max="2822" width="14.42578125" style="37" bestFit="1" customWidth="1"/>
    <col min="2823" max="2823" width="10.42578125" style="37" bestFit="1" customWidth="1"/>
    <col min="2824" max="2824" width="12.28515625" style="37" customWidth="1"/>
    <col min="2825" max="2829" width="11.42578125" style="37" customWidth="1"/>
    <col min="2830" max="2831" width="10.5703125" style="37" bestFit="1" customWidth="1"/>
    <col min="2832" max="2833" width="11.42578125" style="37" customWidth="1"/>
    <col min="2834" max="2834" width="6.140625" style="37" customWidth="1"/>
    <col min="2835" max="2845" width="11.42578125" style="37" customWidth="1"/>
    <col min="2846" max="3075" width="11.42578125" style="37"/>
    <col min="3076" max="3076" width="5.28515625" style="37" customWidth="1"/>
    <col min="3077" max="3077" width="15.28515625" style="37" customWidth="1"/>
    <col min="3078" max="3078" width="14.42578125" style="37" bestFit="1" customWidth="1"/>
    <col min="3079" max="3079" width="10.42578125" style="37" bestFit="1" customWidth="1"/>
    <col min="3080" max="3080" width="12.28515625" style="37" customWidth="1"/>
    <col min="3081" max="3085" width="11.42578125" style="37" customWidth="1"/>
    <col min="3086" max="3087" width="10.5703125" style="37" bestFit="1" customWidth="1"/>
    <col min="3088" max="3089" width="11.42578125" style="37" customWidth="1"/>
    <col min="3090" max="3090" width="6.140625" style="37" customWidth="1"/>
    <col min="3091" max="3101" width="11.42578125" style="37" customWidth="1"/>
    <col min="3102" max="3331" width="11.42578125" style="37"/>
    <col min="3332" max="3332" width="5.28515625" style="37" customWidth="1"/>
    <col min="3333" max="3333" width="15.28515625" style="37" customWidth="1"/>
    <col min="3334" max="3334" width="14.42578125" style="37" bestFit="1" customWidth="1"/>
    <col min="3335" max="3335" width="10.42578125" style="37" bestFit="1" customWidth="1"/>
    <col min="3336" max="3336" width="12.28515625" style="37" customWidth="1"/>
    <col min="3337" max="3341" width="11.42578125" style="37" customWidth="1"/>
    <col min="3342" max="3343" width="10.5703125" style="37" bestFit="1" customWidth="1"/>
    <col min="3344" max="3345" width="11.42578125" style="37" customWidth="1"/>
    <col min="3346" max="3346" width="6.140625" style="37" customWidth="1"/>
    <col min="3347" max="3357" width="11.42578125" style="37" customWidth="1"/>
    <col min="3358" max="3587" width="11.42578125" style="37"/>
    <col min="3588" max="3588" width="5.28515625" style="37" customWidth="1"/>
    <col min="3589" max="3589" width="15.28515625" style="37" customWidth="1"/>
    <col min="3590" max="3590" width="14.42578125" style="37" bestFit="1" customWidth="1"/>
    <col min="3591" max="3591" width="10.42578125" style="37" bestFit="1" customWidth="1"/>
    <col min="3592" max="3592" width="12.28515625" style="37" customWidth="1"/>
    <col min="3593" max="3597" width="11.42578125" style="37" customWidth="1"/>
    <col min="3598" max="3599" width="10.5703125" style="37" bestFit="1" customWidth="1"/>
    <col min="3600" max="3601" width="11.42578125" style="37" customWidth="1"/>
    <col min="3602" max="3602" width="6.140625" style="37" customWidth="1"/>
    <col min="3603" max="3613" width="11.42578125" style="37" customWidth="1"/>
    <col min="3614" max="3843" width="11.42578125" style="37"/>
    <col min="3844" max="3844" width="5.28515625" style="37" customWidth="1"/>
    <col min="3845" max="3845" width="15.28515625" style="37" customWidth="1"/>
    <col min="3846" max="3846" width="14.42578125" style="37" bestFit="1" customWidth="1"/>
    <col min="3847" max="3847" width="10.42578125" style="37" bestFit="1" customWidth="1"/>
    <col min="3848" max="3848" width="12.28515625" style="37" customWidth="1"/>
    <col min="3849" max="3853" width="11.42578125" style="37" customWidth="1"/>
    <col min="3854" max="3855" width="10.5703125" style="37" bestFit="1" customWidth="1"/>
    <col min="3856" max="3857" width="11.42578125" style="37" customWidth="1"/>
    <col min="3858" max="3858" width="6.140625" style="37" customWidth="1"/>
    <col min="3859" max="3869" width="11.42578125" style="37" customWidth="1"/>
    <col min="3870" max="4099" width="11.42578125" style="37"/>
    <col min="4100" max="4100" width="5.28515625" style="37" customWidth="1"/>
    <col min="4101" max="4101" width="15.28515625" style="37" customWidth="1"/>
    <col min="4102" max="4102" width="14.42578125" style="37" bestFit="1" customWidth="1"/>
    <col min="4103" max="4103" width="10.42578125" style="37" bestFit="1" customWidth="1"/>
    <col min="4104" max="4104" width="12.28515625" style="37" customWidth="1"/>
    <col min="4105" max="4109" width="11.42578125" style="37" customWidth="1"/>
    <col min="4110" max="4111" width="10.5703125" style="37" bestFit="1" customWidth="1"/>
    <col min="4112" max="4113" width="11.42578125" style="37" customWidth="1"/>
    <col min="4114" max="4114" width="6.140625" style="37" customWidth="1"/>
    <col min="4115" max="4125" width="11.42578125" style="37" customWidth="1"/>
    <col min="4126" max="4355" width="11.42578125" style="37"/>
    <col min="4356" max="4356" width="5.28515625" style="37" customWidth="1"/>
    <col min="4357" max="4357" width="15.28515625" style="37" customWidth="1"/>
    <col min="4358" max="4358" width="14.42578125" style="37" bestFit="1" customWidth="1"/>
    <col min="4359" max="4359" width="10.42578125" style="37" bestFit="1" customWidth="1"/>
    <col min="4360" max="4360" width="12.28515625" style="37" customWidth="1"/>
    <col min="4361" max="4365" width="11.42578125" style="37" customWidth="1"/>
    <col min="4366" max="4367" width="10.5703125" style="37" bestFit="1" customWidth="1"/>
    <col min="4368" max="4369" width="11.42578125" style="37" customWidth="1"/>
    <col min="4370" max="4370" width="6.140625" style="37" customWidth="1"/>
    <col min="4371" max="4381" width="11.42578125" style="37" customWidth="1"/>
    <col min="4382" max="4611" width="11.42578125" style="37"/>
    <col min="4612" max="4612" width="5.28515625" style="37" customWidth="1"/>
    <col min="4613" max="4613" width="15.28515625" style="37" customWidth="1"/>
    <col min="4614" max="4614" width="14.42578125" style="37" bestFit="1" customWidth="1"/>
    <col min="4615" max="4615" width="10.42578125" style="37" bestFit="1" customWidth="1"/>
    <col min="4616" max="4616" width="12.28515625" style="37" customWidth="1"/>
    <col min="4617" max="4621" width="11.42578125" style="37" customWidth="1"/>
    <col min="4622" max="4623" width="10.5703125" style="37" bestFit="1" customWidth="1"/>
    <col min="4624" max="4625" width="11.42578125" style="37" customWidth="1"/>
    <col min="4626" max="4626" width="6.140625" style="37" customWidth="1"/>
    <col min="4627" max="4637" width="11.42578125" style="37" customWidth="1"/>
    <col min="4638" max="4867" width="11.42578125" style="37"/>
    <col min="4868" max="4868" width="5.28515625" style="37" customWidth="1"/>
    <col min="4869" max="4869" width="15.28515625" style="37" customWidth="1"/>
    <col min="4870" max="4870" width="14.42578125" style="37" bestFit="1" customWidth="1"/>
    <col min="4871" max="4871" width="10.42578125" style="37" bestFit="1" customWidth="1"/>
    <col min="4872" max="4872" width="12.28515625" style="37" customWidth="1"/>
    <col min="4873" max="4877" width="11.42578125" style="37" customWidth="1"/>
    <col min="4878" max="4879" width="10.5703125" style="37" bestFit="1" customWidth="1"/>
    <col min="4880" max="4881" width="11.42578125" style="37" customWidth="1"/>
    <col min="4882" max="4882" width="6.140625" style="37" customWidth="1"/>
    <col min="4883" max="4893" width="11.42578125" style="37" customWidth="1"/>
    <col min="4894" max="5123" width="11.42578125" style="37"/>
    <col min="5124" max="5124" width="5.28515625" style="37" customWidth="1"/>
    <col min="5125" max="5125" width="15.28515625" style="37" customWidth="1"/>
    <col min="5126" max="5126" width="14.42578125" style="37" bestFit="1" customWidth="1"/>
    <col min="5127" max="5127" width="10.42578125" style="37" bestFit="1" customWidth="1"/>
    <col min="5128" max="5128" width="12.28515625" style="37" customWidth="1"/>
    <col min="5129" max="5133" width="11.42578125" style="37" customWidth="1"/>
    <col min="5134" max="5135" width="10.5703125" style="37" bestFit="1" customWidth="1"/>
    <col min="5136" max="5137" width="11.42578125" style="37" customWidth="1"/>
    <col min="5138" max="5138" width="6.140625" style="37" customWidth="1"/>
    <col min="5139" max="5149" width="11.42578125" style="37" customWidth="1"/>
    <col min="5150" max="5379" width="11.42578125" style="37"/>
    <col min="5380" max="5380" width="5.28515625" style="37" customWidth="1"/>
    <col min="5381" max="5381" width="15.28515625" style="37" customWidth="1"/>
    <col min="5382" max="5382" width="14.42578125" style="37" bestFit="1" customWidth="1"/>
    <col min="5383" max="5383" width="10.42578125" style="37" bestFit="1" customWidth="1"/>
    <col min="5384" max="5384" width="12.28515625" style="37" customWidth="1"/>
    <col min="5385" max="5389" width="11.42578125" style="37" customWidth="1"/>
    <col min="5390" max="5391" width="10.5703125" style="37" bestFit="1" customWidth="1"/>
    <col min="5392" max="5393" width="11.42578125" style="37" customWidth="1"/>
    <col min="5394" max="5394" width="6.140625" style="37" customWidth="1"/>
    <col min="5395" max="5405" width="11.42578125" style="37" customWidth="1"/>
    <col min="5406" max="5635" width="11.42578125" style="37"/>
    <col min="5636" max="5636" width="5.28515625" style="37" customWidth="1"/>
    <col min="5637" max="5637" width="15.28515625" style="37" customWidth="1"/>
    <col min="5638" max="5638" width="14.42578125" style="37" bestFit="1" customWidth="1"/>
    <col min="5639" max="5639" width="10.42578125" style="37" bestFit="1" customWidth="1"/>
    <col min="5640" max="5640" width="12.28515625" style="37" customWidth="1"/>
    <col min="5641" max="5645" width="11.42578125" style="37" customWidth="1"/>
    <col min="5646" max="5647" width="10.5703125" style="37" bestFit="1" customWidth="1"/>
    <col min="5648" max="5649" width="11.42578125" style="37" customWidth="1"/>
    <col min="5650" max="5650" width="6.140625" style="37" customWidth="1"/>
    <col min="5651" max="5661" width="11.42578125" style="37" customWidth="1"/>
    <col min="5662" max="5891" width="11.42578125" style="37"/>
    <col min="5892" max="5892" width="5.28515625" style="37" customWidth="1"/>
    <col min="5893" max="5893" width="15.28515625" style="37" customWidth="1"/>
    <col min="5894" max="5894" width="14.42578125" style="37" bestFit="1" customWidth="1"/>
    <col min="5895" max="5895" width="10.42578125" style="37" bestFit="1" customWidth="1"/>
    <col min="5896" max="5896" width="12.28515625" style="37" customWidth="1"/>
    <col min="5897" max="5901" width="11.42578125" style="37" customWidth="1"/>
    <col min="5902" max="5903" width="10.5703125" style="37" bestFit="1" customWidth="1"/>
    <col min="5904" max="5905" width="11.42578125" style="37" customWidth="1"/>
    <col min="5906" max="5906" width="6.140625" style="37" customWidth="1"/>
    <col min="5907" max="5917" width="11.42578125" style="37" customWidth="1"/>
    <col min="5918" max="6147" width="11.42578125" style="37"/>
    <col min="6148" max="6148" width="5.28515625" style="37" customWidth="1"/>
    <col min="6149" max="6149" width="15.28515625" style="37" customWidth="1"/>
    <col min="6150" max="6150" width="14.42578125" style="37" bestFit="1" customWidth="1"/>
    <col min="6151" max="6151" width="10.42578125" style="37" bestFit="1" customWidth="1"/>
    <col min="6152" max="6152" width="12.28515625" style="37" customWidth="1"/>
    <col min="6153" max="6157" width="11.42578125" style="37" customWidth="1"/>
    <col min="6158" max="6159" width="10.5703125" style="37" bestFit="1" customWidth="1"/>
    <col min="6160" max="6161" width="11.42578125" style="37" customWidth="1"/>
    <col min="6162" max="6162" width="6.140625" style="37" customWidth="1"/>
    <col min="6163" max="6173" width="11.42578125" style="37" customWidth="1"/>
    <col min="6174" max="6403" width="11.42578125" style="37"/>
    <col min="6404" max="6404" width="5.28515625" style="37" customWidth="1"/>
    <col min="6405" max="6405" width="15.28515625" style="37" customWidth="1"/>
    <col min="6406" max="6406" width="14.42578125" style="37" bestFit="1" customWidth="1"/>
    <col min="6407" max="6407" width="10.42578125" style="37" bestFit="1" customWidth="1"/>
    <col min="6408" max="6408" width="12.28515625" style="37" customWidth="1"/>
    <col min="6409" max="6413" width="11.42578125" style="37" customWidth="1"/>
    <col min="6414" max="6415" width="10.5703125" style="37" bestFit="1" customWidth="1"/>
    <col min="6416" max="6417" width="11.42578125" style="37" customWidth="1"/>
    <col min="6418" max="6418" width="6.140625" style="37" customWidth="1"/>
    <col min="6419" max="6429" width="11.42578125" style="37" customWidth="1"/>
    <col min="6430" max="6659" width="11.42578125" style="37"/>
    <col min="6660" max="6660" width="5.28515625" style="37" customWidth="1"/>
    <col min="6661" max="6661" width="15.28515625" style="37" customWidth="1"/>
    <col min="6662" max="6662" width="14.42578125" style="37" bestFit="1" customWidth="1"/>
    <col min="6663" max="6663" width="10.42578125" style="37" bestFit="1" customWidth="1"/>
    <col min="6664" max="6664" width="12.28515625" style="37" customWidth="1"/>
    <col min="6665" max="6669" width="11.42578125" style="37" customWidth="1"/>
    <col min="6670" max="6671" width="10.5703125" style="37" bestFit="1" customWidth="1"/>
    <col min="6672" max="6673" width="11.42578125" style="37" customWidth="1"/>
    <col min="6674" max="6674" width="6.140625" style="37" customWidth="1"/>
    <col min="6675" max="6685" width="11.42578125" style="37" customWidth="1"/>
    <col min="6686" max="6915" width="11.42578125" style="37"/>
    <col min="6916" max="6916" width="5.28515625" style="37" customWidth="1"/>
    <col min="6917" max="6917" width="15.28515625" style="37" customWidth="1"/>
    <col min="6918" max="6918" width="14.42578125" style="37" bestFit="1" customWidth="1"/>
    <col min="6919" max="6919" width="10.42578125" style="37" bestFit="1" customWidth="1"/>
    <col min="6920" max="6920" width="12.28515625" style="37" customWidth="1"/>
    <col min="6921" max="6925" width="11.42578125" style="37" customWidth="1"/>
    <col min="6926" max="6927" width="10.5703125" style="37" bestFit="1" customWidth="1"/>
    <col min="6928" max="6929" width="11.42578125" style="37" customWidth="1"/>
    <col min="6930" max="6930" width="6.140625" style="37" customWidth="1"/>
    <col min="6931" max="6941" width="11.42578125" style="37" customWidth="1"/>
    <col min="6942" max="7171" width="11.42578125" style="37"/>
    <col min="7172" max="7172" width="5.28515625" style="37" customWidth="1"/>
    <col min="7173" max="7173" width="15.28515625" style="37" customWidth="1"/>
    <col min="7174" max="7174" width="14.42578125" style="37" bestFit="1" customWidth="1"/>
    <col min="7175" max="7175" width="10.42578125" style="37" bestFit="1" customWidth="1"/>
    <col min="7176" max="7176" width="12.28515625" style="37" customWidth="1"/>
    <col min="7177" max="7181" width="11.42578125" style="37" customWidth="1"/>
    <col min="7182" max="7183" width="10.5703125" style="37" bestFit="1" customWidth="1"/>
    <col min="7184" max="7185" width="11.42578125" style="37" customWidth="1"/>
    <col min="7186" max="7186" width="6.140625" style="37" customWidth="1"/>
    <col min="7187" max="7197" width="11.42578125" style="37" customWidth="1"/>
    <col min="7198" max="7427" width="11.42578125" style="37"/>
    <col min="7428" max="7428" width="5.28515625" style="37" customWidth="1"/>
    <col min="7429" max="7429" width="15.28515625" style="37" customWidth="1"/>
    <col min="7430" max="7430" width="14.42578125" style="37" bestFit="1" customWidth="1"/>
    <col min="7431" max="7431" width="10.42578125" style="37" bestFit="1" customWidth="1"/>
    <col min="7432" max="7432" width="12.28515625" style="37" customWidth="1"/>
    <col min="7433" max="7437" width="11.42578125" style="37" customWidth="1"/>
    <col min="7438" max="7439" width="10.5703125" style="37" bestFit="1" customWidth="1"/>
    <col min="7440" max="7441" width="11.42578125" style="37" customWidth="1"/>
    <col min="7442" max="7442" width="6.140625" style="37" customWidth="1"/>
    <col min="7443" max="7453" width="11.42578125" style="37" customWidth="1"/>
    <col min="7454" max="7683" width="11.42578125" style="37"/>
    <col min="7684" max="7684" width="5.28515625" style="37" customWidth="1"/>
    <col min="7685" max="7685" width="15.28515625" style="37" customWidth="1"/>
    <col min="7686" max="7686" width="14.42578125" style="37" bestFit="1" customWidth="1"/>
    <col min="7687" max="7687" width="10.42578125" style="37" bestFit="1" customWidth="1"/>
    <col min="7688" max="7688" width="12.28515625" style="37" customWidth="1"/>
    <col min="7689" max="7693" width="11.42578125" style="37" customWidth="1"/>
    <col min="7694" max="7695" width="10.5703125" style="37" bestFit="1" customWidth="1"/>
    <col min="7696" max="7697" width="11.42578125" style="37" customWidth="1"/>
    <col min="7698" max="7698" width="6.140625" style="37" customWidth="1"/>
    <col min="7699" max="7709" width="11.42578125" style="37" customWidth="1"/>
    <col min="7710" max="7939" width="11.42578125" style="37"/>
    <col min="7940" max="7940" width="5.28515625" style="37" customWidth="1"/>
    <col min="7941" max="7941" width="15.28515625" style="37" customWidth="1"/>
    <col min="7942" max="7942" width="14.42578125" style="37" bestFit="1" customWidth="1"/>
    <col min="7943" max="7943" width="10.42578125" style="37" bestFit="1" customWidth="1"/>
    <col min="7944" max="7944" width="12.28515625" style="37" customWidth="1"/>
    <col min="7945" max="7949" width="11.42578125" style="37" customWidth="1"/>
    <col min="7950" max="7951" width="10.5703125" style="37" bestFit="1" customWidth="1"/>
    <col min="7952" max="7953" width="11.42578125" style="37" customWidth="1"/>
    <col min="7954" max="7954" width="6.140625" style="37" customWidth="1"/>
    <col min="7955" max="7965" width="11.42578125" style="37" customWidth="1"/>
    <col min="7966" max="8195" width="11.42578125" style="37"/>
    <col min="8196" max="8196" width="5.28515625" style="37" customWidth="1"/>
    <col min="8197" max="8197" width="15.28515625" style="37" customWidth="1"/>
    <col min="8198" max="8198" width="14.42578125" style="37" bestFit="1" customWidth="1"/>
    <col min="8199" max="8199" width="10.42578125" style="37" bestFit="1" customWidth="1"/>
    <col min="8200" max="8200" width="12.28515625" style="37" customWidth="1"/>
    <col min="8201" max="8205" width="11.42578125" style="37" customWidth="1"/>
    <col min="8206" max="8207" width="10.5703125" style="37" bestFit="1" customWidth="1"/>
    <col min="8208" max="8209" width="11.42578125" style="37" customWidth="1"/>
    <col min="8210" max="8210" width="6.140625" style="37" customWidth="1"/>
    <col min="8211" max="8221" width="11.42578125" style="37" customWidth="1"/>
    <col min="8222" max="8451" width="11.42578125" style="37"/>
    <col min="8452" max="8452" width="5.28515625" style="37" customWidth="1"/>
    <col min="8453" max="8453" width="15.28515625" style="37" customWidth="1"/>
    <col min="8454" max="8454" width="14.42578125" style="37" bestFit="1" customWidth="1"/>
    <col min="8455" max="8455" width="10.42578125" style="37" bestFit="1" customWidth="1"/>
    <col min="8456" max="8456" width="12.28515625" style="37" customWidth="1"/>
    <col min="8457" max="8461" width="11.42578125" style="37" customWidth="1"/>
    <col min="8462" max="8463" width="10.5703125" style="37" bestFit="1" customWidth="1"/>
    <col min="8464" max="8465" width="11.42578125" style="37" customWidth="1"/>
    <col min="8466" max="8466" width="6.140625" style="37" customWidth="1"/>
    <col min="8467" max="8477" width="11.42578125" style="37" customWidth="1"/>
    <col min="8478" max="8707" width="11.42578125" style="37"/>
    <col min="8708" max="8708" width="5.28515625" style="37" customWidth="1"/>
    <col min="8709" max="8709" width="15.28515625" style="37" customWidth="1"/>
    <col min="8710" max="8710" width="14.42578125" style="37" bestFit="1" customWidth="1"/>
    <col min="8711" max="8711" width="10.42578125" style="37" bestFit="1" customWidth="1"/>
    <col min="8712" max="8712" width="12.28515625" style="37" customWidth="1"/>
    <col min="8713" max="8717" width="11.42578125" style="37" customWidth="1"/>
    <col min="8718" max="8719" width="10.5703125" style="37" bestFit="1" customWidth="1"/>
    <col min="8720" max="8721" width="11.42578125" style="37" customWidth="1"/>
    <col min="8722" max="8722" width="6.140625" style="37" customWidth="1"/>
    <col min="8723" max="8733" width="11.42578125" style="37" customWidth="1"/>
    <col min="8734" max="8963" width="11.42578125" style="37"/>
    <col min="8964" max="8964" width="5.28515625" style="37" customWidth="1"/>
    <col min="8965" max="8965" width="15.28515625" style="37" customWidth="1"/>
    <col min="8966" max="8966" width="14.42578125" style="37" bestFit="1" customWidth="1"/>
    <col min="8967" max="8967" width="10.42578125" style="37" bestFit="1" customWidth="1"/>
    <col min="8968" max="8968" width="12.28515625" style="37" customWidth="1"/>
    <col min="8969" max="8973" width="11.42578125" style="37" customWidth="1"/>
    <col min="8974" max="8975" width="10.5703125" style="37" bestFit="1" customWidth="1"/>
    <col min="8976" max="8977" width="11.42578125" style="37" customWidth="1"/>
    <col min="8978" max="8978" width="6.140625" style="37" customWidth="1"/>
    <col min="8979" max="8989" width="11.42578125" style="37" customWidth="1"/>
    <col min="8990" max="9219" width="11.42578125" style="37"/>
    <col min="9220" max="9220" width="5.28515625" style="37" customWidth="1"/>
    <col min="9221" max="9221" width="15.28515625" style="37" customWidth="1"/>
    <col min="9222" max="9222" width="14.42578125" style="37" bestFit="1" customWidth="1"/>
    <col min="9223" max="9223" width="10.42578125" style="37" bestFit="1" customWidth="1"/>
    <col min="9224" max="9224" width="12.28515625" style="37" customWidth="1"/>
    <col min="9225" max="9229" width="11.42578125" style="37" customWidth="1"/>
    <col min="9230" max="9231" width="10.5703125" style="37" bestFit="1" customWidth="1"/>
    <col min="9232" max="9233" width="11.42578125" style="37" customWidth="1"/>
    <col min="9234" max="9234" width="6.140625" style="37" customWidth="1"/>
    <col min="9235" max="9245" width="11.42578125" style="37" customWidth="1"/>
    <col min="9246" max="9475" width="11.42578125" style="37"/>
    <col min="9476" max="9476" width="5.28515625" style="37" customWidth="1"/>
    <col min="9477" max="9477" width="15.28515625" style="37" customWidth="1"/>
    <col min="9478" max="9478" width="14.42578125" style="37" bestFit="1" customWidth="1"/>
    <col min="9479" max="9479" width="10.42578125" style="37" bestFit="1" customWidth="1"/>
    <col min="9480" max="9480" width="12.28515625" style="37" customWidth="1"/>
    <col min="9481" max="9485" width="11.42578125" style="37" customWidth="1"/>
    <col min="9486" max="9487" width="10.5703125" style="37" bestFit="1" customWidth="1"/>
    <col min="9488" max="9489" width="11.42578125" style="37" customWidth="1"/>
    <col min="9490" max="9490" width="6.140625" style="37" customWidth="1"/>
    <col min="9491" max="9501" width="11.42578125" style="37" customWidth="1"/>
    <col min="9502" max="9731" width="11.42578125" style="37"/>
    <col min="9732" max="9732" width="5.28515625" style="37" customWidth="1"/>
    <col min="9733" max="9733" width="15.28515625" style="37" customWidth="1"/>
    <col min="9734" max="9734" width="14.42578125" style="37" bestFit="1" customWidth="1"/>
    <col min="9735" max="9735" width="10.42578125" style="37" bestFit="1" customWidth="1"/>
    <col min="9736" max="9736" width="12.28515625" style="37" customWidth="1"/>
    <col min="9737" max="9741" width="11.42578125" style="37" customWidth="1"/>
    <col min="9742" max="9743" width="10.5703125" style="37" bestFit="1" customWidth="1"/>
    <col min="9744" max="9745" width="11.42578125" style="37" customWidth="1"/>
    <col min="9746" max="9746" width="6.140625" style="37" customWidth="1"/>
    <col min="9747" max="9757" width="11.42578125" style="37" customWidth="1"/>
    <col min="9758" max="9987" width="11.42578125" style="37"/>
    <col min="9988" max="9988" width="5.28515625" style="37" customWidth="1"/>
    <col min="9989" max="9989" width="15.28515625" style="37" customWidth="1"/>
    <col min="9990" max="9990" width="14.42578125" style="37" bestFit="1" customWidth="1"/>
    <col min="9991" max="9991" width="10.42578125" style="37" bestFit="1" customWidth="1"/>
    <col min="9992" max="9992" width="12.28515625" style="37" customWidth="1"/>
    <col min="9993" max="9997" width="11.42578125" style="37" customWidth="1"/>
    <col min="9998" max="9999" width="10.5703125" style="37" bestFit="1" customWidth="1"/>
    <col min="10000" max="10001" width="11.42578125" style="37" customWidth="1"/>
    <col min="10002" max="10002" width="6.140625" style="37" customWidth="1"/>
    <col min="10003" max="10013" width="11.42578125" style="37" customWidth="1"/>
    <col min="10014" max="10243" width="11.42578125" style="37"/>
    <col min="10244" max="10244" width="5.28515625" style="37" customWidth="1"/>
    <col min="10245" max="10245" width="15.28515625" style="37" customWidth="1"/>
    <col min="10246" max="10246" width="14.42578125" style="37" bestFit="1" customWidth="1"/>
    <col min="10247" max="10247" width="10.42578125" style="37" bestFit="1" customWidth="1"/>
    <col min="10248" max="10248" width="12.28515625" style="37" customWidth="1"/>
    <col min="10249" max="10253" width="11.42578125" style="37" customWidth="1"/>
    <col min="10254" max="10255" width="10.5703125" style="37" bestFit="1" customWidth="1"/>
    <col min="10256" max="10257" width="11.42578125" style="37" customWidth="1"/>
    <col min="10258" max="10258" width="6.140625" style="37" customWidth="1"/>
    <col min="10259" max="10269" width="11.42578125" style="37" customWidth="1"/>
    <col min="10270" max="10499" width="11.42578125" style="37"/>
    <col min="10500" max="10500" width="5.28515625" style="37" customWidth="1"/>
    <col min="10501" max="10501" width="15.28515625" style="37" customWidth="1"/>
    <col min="10502" max="10502" width="14.42578125" style="37" bestFit="1" customWidth="1"/>
    <col min="10503" max="10503" width="10.42578125" style="37" bestFit="1" customWidth="1"/>
    <col min="10504" max="10504" width="12.28515625" style="37" customWidth="1"/>
    <col min="10505" max="10509" width="11.42578125" style="37" customWidth="1"/>
    <col min="10510" max="10511" width="10.5703125" style="37" bestFit="1" customWidth="1"/>
    <col min="10512" max="10513" width="11.42578125" style="37" customWidth="1"/>
    <col min="10514" max="10514" width="6.140625" style="37" customWidth="1"/>
    <col min="10515" max="10525" width="11.42578125" style="37" customWidth="1"/>
    <col min="10526" max="10755" width="11.42578125" style="37"/>
    <col min="10756" max="10756" width="5.28515625" style="37" customWidth="1"/>
    <col min="10757" max="10757" width="15.28515625" style="37" customWidth="1"/>
    <col min="10758" max="10758" width="14.42578125" style="37" bestFit="1" customWidth="1"/>
    <col min="10759" max="10759" width="10.42578125" style="37" bestFit="1" customWidth="1"/>
    <col min="10760" max="10760" width="12.28515625" style="37" customWidth="1"/>
    <col min="10761" max="10765" width="11.42578125" style="37" customWidth="1"/>
    <col min="10766" max="10767" width="10.5703125" style="37" bestFit="1" customWidth="1"/>
    <col min="10768" max="10769" width="11.42578125" style="37" customWidth="1"/>
    <col min="10770" max="10770" width="6.140625" style="37" customWidth="1"/>
    <col min="10771" max="10781" width="11.42578125" style="37" customWidth="1"/>
    <col min="10782" max="11011" width="11.42578125" style="37"/>
    <col min="11012" max="11012" width="5.28515625" style="37" customWidth="1"/>
    <col min="11013" max="11013" width="15.28515625" style="37" customWidth="1"/>
    <col min="11014" max="11014" width="14.42578125" style="37" bestFit="1" customWidth="1"/>
    <col min="11015" max="11015" width="10.42578125" style="37" bestFit="1" customWidth="1"/>
    <col min="11016" max="11016" width="12.28515625" style="37" customWidth="1"/>
    <col min="11017" max="11021" width="11.42578125" style="37" customWidth="1"/>
    <col min="11022" max="11023" width="10.5703125" style="37" bestFit="1" customWidth="1"/>
    <col min="11024" max="11025" width="11.42578125" style="37" customWidth="1"/>
    <col min="11026" max="11026" width="6.140625" style="37" customWidth="1"/>
    <col min="11027" max="11037" width="11.42578125" style="37" customWidth="1"/>
    <col min="11038" max="11267" width="11.42578125" style="37"/>
    <col min="11268" max="11268" width="5.28515625" style="37" customWidth="1"/>
    <col min="11269" max="11269" width="15.28515625" style="37" customWidth="1"/>
    <col min="11270" max="11270" width="14.42578125" style="37" bestFit="1" customWidth="1"/>
    <col min="11271" max="11271" width="10.42578125" style="37" bestFit="1" customWidth="1"/>
    <col min="11272" max="11272" width="12.28515625" style="37" customWidth="1"/>
    <col min="11273" max="11277" width="11.42578125" style="37" customWidth="1"/>
    <col min="11278" max="11279" width="10.5703125" style="37" bestFit="1" customWidth="1"/>
    <col min="11280" max="11281" width="11.42578125" style="37" customWidth="1"/>
    <col min="11282" max="11282" width="6.140625" style="37" customWidth="1"/>
    <col min="11283" max="11293" width="11.42578125" style="37" customWidth="1"/>
    <col min="11294" max="11523" width="11.42578125" style="37"/>
    <col min="11524" max="11524" width="5.28515625" style="37" customWidth="1"/>
    <col min="11525" max="11525" width="15.28515625" style="37" customWidth="1"/>
    <col min="11526" max="11526" width="14.42578125" style="37" bestFit="1" customWidth="1"/>
    <col min="11527" max="11527" width="10.42578125" style="37" bestFit="1" customWidth="1"/>
    <col min="11528" max="11528" width="12.28515625" style="37" customWidth="1"/>
    <col min="11529" max="11533" width="11.42578125" style="37" customWidth="1"/>
    <col min="11534" max="11535" width="10.5703125" style="37" bestFit="1" customWidth="1"/>
    <col min="11536" max="11537" width="11.42578125" style="37" customWidth="1"/>
    <col min="11538" max="11538" width="6.140625" style="37" customWidth="1"/>
    <col min="11539" max="11549" width="11.42578125" style="37" customWidth="1"/>
    <col min="11550" max="11779" width="11.42578125" style="37"/>
    <col min="11780" max="11780" width="5.28515625" style="37" customWidth="1"/>
    <col min="11781" max="11781" width="15.28515625" style="37" customWidth="1"/>
    <col min="11782" max="11782" width="14.42578125" style="37" bestFit="1" customWidth="1"/>
    <col min="11783" max="11783" width="10.42578125" style="37" bestFit="1" customWidth="1"/>
    <col min="11784" max="11784" width="12.28515625" style="37" customWidth="1"/>
    <col min="11785" max="11789" width="11.42578125" style="37" customWidth="1"/>
    <col min="11790" max="11791" width="10.5703125" style="37" bestFit="1" customWidth="1"/>
    <col min="11792" max="11793" width="11.42578125" style="37" customWidth="1"/>
    <col min="11794" max="11794" width="6.140625" style="37" customWidth="1"/>
    <col min="11795" max="11805" width="11.42578125" style="37" customWidth="1"/>
    <col min="11806" max="12035" width="11.42578125" style="37"/>
    <col min="12036" max="12036" width="5.28515625" style="37" customWidth="1"/>
    <col min="12037" max="12037" width="15.28515625" style="37" customWidth="1"/>
    <col min="12038" max="12038" width="14.42578125" style="37" bestFit="1" customWidth="1"/>
    <col min="12039" max="12039" width="10.42578125" style="37" bestFit="1" customWidth="1"/>
    <col min="12040" max="12040" width="12.28515625" style="37" customWidth="1"/>
    <col min="12041" max="12045" width="11.42578125" style="37" customWidth="1"/>
    <col min="12046" max="12047" width="10.5703125" style="37" bestFit="1" customWidth="1"/>
    <col min="12048" max="12049" width="11.42578125" style="37" customWidth="1"/>
    <col min="12050" max="12050" width="6.140625" style="37" customWidth="1"/>
    <col min="12051" max="12061" width="11.42578125" style="37" customWidth="1"/>
    <col min="12062" max="12291" width="11.42578125" style="37"/>
    <col min="12292" max="12292" width="5.28515625" style="37" customWidth="1"/>
    <col min="12293" max="12293" width="15.28515625" style="37" customWidth="1"/>
    <col min="12294" max="12294" width="14.42578125" style="37" bestFit="1" customWidth="1"/>
    <col min="12295" max="12295" width="10.42578125" style="37" bestFit="1" customWidth="1"/>
    <col min="12296" max="12296" width="12.28515625" style="37" customWidth="1"/>
    <col min="12297" max="12301" width="11.42578125" style="37" customWidth="1"/>
    <col min="12302" max="12303" width="10.5703125" style="37" bestFit="1" customWidth="1"/>
    <col min="12304" max="12305" width="11.42578125" style="37" customWidth="1"/>
    <col min="12306" max="12306" width="6.140625" style="37" customWidth="1"/>
    <col min="12307" max="12317" width="11.42578125" style="37" customWidth="1"/>
    <col min="12318" max="12547" width="11.42578125" style="37"/>
    <col min="12548" max="12548" width="5.28515625" style="37" customWidth="1"/>
    <col min="12549" max="12549" width="15.28515625" style="37" customWidth="1"/>
    <col min="12550" max="12550" width="14.42578125" style="37" bestFit="1" customWidth="1"/>
    <col min="12551" max="12551" width="10.42578125" style="37" bestFit="1" customWidth="1"/>
    <col min="12552" max="12552" width="12.28515625" style="37" customWidth="1"/>
    <col min="12553" max="12557" width="11.42578125" style="37" customWidth="1"/>
    <col min="12558" max="12559" width="10.5703125" style="37" bestFit="1" customWidth="1"/>
    <col min="12560" max="12561" width="11.42578125" style="37" customWidth="1"/>
    <col min="12562" max="12562" width="6.140625" style="37" customWidth="1"/>
    <col min="12563" max="12573" width="11.42578125" style="37" customWidth="1"/>
    <col min="12574" max="12803" width="11.42578125" style="37"/>
    <col min="12804" max="12804" width="5.28515625" style="37" customWidth="1"/>
    <col min="12805" max="12805" width="15.28515625" style="37" customWidth="1"/>
    <col min="12806" max="12806" width="14.42578125" style="37" bestFit="1" customWidth="1"/>
    <col min="12807" max="12807" width="10.42578125" style="37" bestFit="1" customWidth="1"/>
    <col min="12808" max="12808" width="12.28515625" style="37" customWidth="1"/>
    <col min="12809" max="12813" width="11.42578125" style="37" customWidth="1"/>
    <col min="12814" max="12815" width="10.5703125" style="37" bestFit="1" customWidth="1"/>
    <col min="12816" max="12817" width="11.42578125" style="37" customWidth="1"/>
    <col min="12818" max="12818" width="6.140625" style="37" customWidth="1"/>
    <col min="12819" max="12829" width="11.42578125" style="37" customWidth="1"/>
    <col min="12830" max="13059" width="11.42578125" style="37"/>
    <col min="13060" max="13060" width="5.28515625" style="37" customWidth="1"/>
    <col min="13061" max="13061" width="15.28515625" style="37" customWidth="1"/>
    <col min="13062" max="13062" width="14.42578125" style="37" bestFit="1" customWidth="1"/>
    <col min="13063" max="13063" width="10.42578125" style="37" bestFit="1" customWidth="1"/>
    <col min="13064" max="13064" width="12.28515625" style="37" customWidth="1"/>
    <col min="13065" max="13069" width="11.42578125" style="37" customWidth="1"/>
    <col min="13070" max="13071" width="10.5703125" style="37" bestFit="1" customWidth="1"/>
    <col min="13072" max="13073" width="11.42578125" style="37" customWidth="1"/>
    <col min="13074" max="13074" width="6.140625" style="37" customWidth="1"/>
    <col min="13075" max="13085" width="11.42578125" style="37" customWidth="1"/>
    <col min="13086" max="13315" width="11.42578125" style="37"/>
    <col min="13316" max="13316" width="5.28515625" style="37" customWidth="1"/>
    <col min="13317" max="13317" width="15.28515625" style="37" customWidth="1"/>
    <col min="13318" max="13318" width="14.42578125" style="37" bestFit="1" customWidth="1"/>
    <col min="13319" max="13319" width="10.42578125" style="37" bestFit="1" customWidth="1"/>
    <col min="13320" max="13320" width="12.28515625" style="37" customWidth="1"/>
    <col min="13321" max="13325" width="11.42578125" style="37" customWidth="1"/>
    <col min="13326" max="13327" width="10.5703125" style="37" bestFit="1" customWidth="1"/>
    <col min="13328" max="13329" width="11.42578125" style="37" customWidth="1"/>
    <col min="13330" max="13330" width="6.140625" style="37" customWidth="1"/>
    <col min="13331" max="13341" width="11.42578125" style="37" customWidth="1"/>
    <col min="13342" max="13571" width="11.42578125" style="37"/>
    <col min="13572" max="13572" width="5.28515625" style="37" customWidth="1"/>
    <col min="13573" max="13573" width="15.28515625" style="37" customWidth="1"/>
    <col min="13574" max="13574" width="14.42578125" style="37" bestFit="1" customWidth="1"/>
    <col min="13575" max="13575" width="10.42578125" style="37" bestFit="1" customWidth="1"/>
    <col min="13576" max="13576" width="12.28515625" style="37" customWidth="1"/>
    <col min="13577" max="13581" width="11.42578125" style="37" customWidth="1"/>
    <col min="13582" max="13583" width="10.5703125" style="37" bestFit="1" customWidth="1"/>
    <col min="13584" max="13585" width="11.42578125" style="37" customWidth="1"/>
    <col min="13586" max="13586" width="6.140625" style="37" customWidth="1"/>
    <col min="13587" max="13597" width="11.42578125" style="37" customWidth="1"/>
    <col min="13598" max="13827" width="11.42578125" style="37"/>
    <col min="13828" max="13828" width="5.28515625" style="37" customWidth="1"/>
    <col min="13829" max="13829" width="15.28515625" style="37" customWidth="1"/>
    <col min="13830" max="13830" width="14.42578125" style="37" bestFit="1" customWidth="1"/>
    <col min="13831" max="13831" width="10.42578125" style="37" bestFit="1" customWidth="1"/>
    <col min="13832" max="13832" width="12.28515625" style="37" customWidth="1"/>
    <col min="13833" max="13837" width="11.42578125" style="37" customWidth="1"/>
    <col min="13838" max="13839" width="10.5703125" style="37" bestFit="1" customWidth="1"/>
    <col min="13840" max="13841" width="11.42578125" style="37" customWidth="1"/>
    <col min="13842" max="13842" width="6.140625" style="37" customWidth="1"/>
    <col min="13843" max="13853" width="11.42578125" style="37" customWidth="1"/>
    <col min="13854" max="14083" width="11.42578125" style="37"/>
    <col min="14084" max="14084" width="5.28515625" style="37" customWidth="1"/>
    <col min="14085" max="14085" width="15.28515625" style="37" customWidth="1"/>
    <col min="14086" max="14086" width="14.42578125" style="37" bestFit="1" customWidth="1"/>
    <col min="14087" max="14087" width="10.42578125" style="37" bestFit="1" customWidth="1"/>
    <col min="14088" max="14088" width="12.28515625" style="37" customWidth="1"/>
    <col min="14089" max="14093" width="11.42578125" style="37" customWidth="1"/>
    <col min="14094" max="14095" width="10.5703125" style="37" bestFit="1" customWidth="1"/>
    <col min="14096" max="14097" width="11.42578125" style="37" customWidth="1"/>
    <col min="14098" max="14098" width="6.140625" style="37" customWidth="1"/>
    <col min="14099" max="14109" width="11.42578125" style="37" customWidth="1"/>
    <col min="14110" max="14339" width="11.42578125" style="37"/>
    <col min="14340" max="14340" width="5.28515625" style="37" customWidth="1"/>
    <col min="14341" max="14341" width="15.28515625" style="37" customWidth="1"/>
    <col min="14342" max="14342" width="14.42578125" style="37" bestFit="1" customWidth="1"/>
    <col min="14343" max="14343" width="10.42578125" style="37" bestFit="1" customWidth="1"/>
    <col min="14344" max="14344" width="12.28515625" style="37" customWidth="1"/>
    <col min="14345" max="14349" width="11.42578125" style="37" customWidth="1"/>
    <col min="14350" max="14351" width="10.5703125" style="37" bestFit="1" customWidth="1"/>
    <col min="14352" max="14353" width="11.42578125" style="37" customWidth="1"/>
    <col min="14354" max="14354" width="6.140625" style="37" customWidth="1"/>
    <col min="14355" max="14365" width="11.42578125" style="37" customWidth="1"/>
    <col min="14366" max="14595" width="11.42578125" style="37"/>
    <col min="14596" max="14596" width="5.28515625" style="37" customWidth="1"/>
    <col min="14597" max="14597" width="15.28515625" style="37" customWidth="1"/>
    <col min="14598" max="14598" width="14.42578125" style="37" bestFit="1" customWidth="1"/>
    <col min="14599" max="14599" width="10.42578125" style="37" bestFit="1" customWidth="1"/>
    <col min="14600" max="14600" width="12.28515625" style="37" customWidth="1"/>
    <col min="14601" max="14605" width="11.42578125" style="37" customWidth="1"/>
    <col min="14606" max="14607" width="10.5703125" style="37" bestFit="1" customWidth="1"/>
    <col min="14608" max="14609" width="11.42578125" style="37" customWidth="1"/>
    <col min="14610" max="14610" width="6.140625" style="37" customWidth="1"/>
    <col min="14611" max="14621" width="11.42578125" style="37" customWidth="1"/>
    <col min="14622" max="14851" width="11.42578125" style="37"/>
    <col min="14852" max="14852" width="5.28515625" style="37" customWidth="1"/>
    <col min="14853" max="14853" width="15.28515625" style="37" customWidth="1"/>
    <col min="14854" max="14854" width="14.42578125" style="37" bestFit="1" customWidth="1"/>
    <col min="14855" max="14855" width="10.42578125" style="37" bestFit="1" customWidth="1"/>
    <col min="14856" max="14856" width="12.28515625" style="37" customWidth="1"/>
    <col min="14857" max="14861" width="11.42578125" style="37" customWidth="1"/>
    <col min="14862" max="14863" width="10.5703125" style="37" bestFit="1" customWidth="1"/>
    <col min="14864" max="14865" width="11.42578125" style="37" customWidth="1"/>
    <col min="14866" max="14866" width="6.140625" style="37" customWidth="1"/>
    <col min="14867" max="14877" width="11.42578125" style="37" customWidth="1"/>
    <col min="14878" max="15107" width="11.42578125" style="37"/>
    <col min="15108" max="15108" width="5.28515625" style="37" customWidth="1"/>
    <col min="15109" max="15109" width="15.28515625" style="37" customWidth="1"/>
    <col min="15110" max="15110" width="14.42578125" style="37" bestFit="1" customWidth="1"/>
    <col min="15111" max="15111" width="10.42578125" style="37" bestFit="1" customWidth="1"/>
    <col min="15112" max="15112" width="12.28515625" style="37" customWidth="1"/>
    <col min="15113" max="15117" width="11.42578125" style="37" customWidth="1"/>
    <col min="15118" max="15119" width="10.5703125" style="37" bestFit="1" customWidth="1"/>
    <col min="15120" max="15121" width="11.42578125" style="37" customWidth="1"/>
    <col min="15122" max="15122" width="6.140625" style="37" customWidth="1"/>
    <col min="15123" max="15133" width="11.42578125" style="37" customWidth="1"/>
    <col min="15134" max="15363" width="11.42578125" style="37"/>
    <col min="15364" max="15364" width="5.28515625" style="37" customWidth="1"/>
    <col min="15365" max="15365" width="15.28515625" style="37" customWidth="1"/>
    <col min="15366" max="15366" width="14.42578125" style="37" bestFit="1" customWidth="1"/>
    <col min="15367" max="15367" width="10.42578125" style="37" bestFit="1" customWidth="1"/>
    <col min="15368" max="15368" width="12.28515625" style="37" customWidth="1"/>
    <col min="15369" max="15373" width="11.42578125" style="37" customWidth="1"/>
    <col min="15374" max="15375" width="10.5703125" style="37" bestFit="1" customWidth="1"/>
    <col min="15376" max="15377" width="11.42578125" style="37" customWidth="1"/>
    <col min="15378" max="15378" width="6.140625" style="37" customWidth="1"/>
    <col min="15379" max="15389" width="11.42578125" style="37" customWidth="1"/>
    <col min="15390" max="15619" width="11.42578125" style="37"/>
    <col min="15620" max="15620" width="5.28515625" style="37" customWidth="1"/>
    <col min="15621" max="15621" width="15.28515625" style="37" customWidth="1"/>
    <col min="15622" max="15622" width="14.42578125" style="37" bestFit="1" customWidth="1"/>
    <col min="15623" max="15623" width="10.42578125" style="37" bestFit="1" customWidth="1"/>
    <col min="15624" max="15624" width="12.28515625" style="37" customWidth="1"/>
    <col min="15625" max="15629" width="11.42578125" style="37" customWidth="1"/>
    <col min="15630" max="15631" width="10.5703125" style="37" bestFit="1" customWidth="1"/>
    <col min="15632" max="15633" width="11.42578125" style="37" customWidth="1"/>
    <col min="15634" max="15634" width="6.140625" style="37" customWidth="1"/>
    <col min="15635" max="15645" width="11.42578125" style="37" customWidth="1"/>
    <col min="15646" max="15875" width="11.42578125" style="37"/>
    <col min="15876" max="15876" width="5.28515625" style="37" customWidth="1"/>
    <col min="15877" max="15877" width="15.28515625" style="37" customWidth="1"/>
    <col min="15878" max="15878" width="14.42578125" style="37" bestFit="1" customWidth="1"/>
    <col min="15879" max="15879" width="10.42578125" style="37" bestFit="1" customWidth="1"/>
    <col min="15880" max="15880" width="12.28515625" style="37" customWidth="1"/>
    <col min="15881" max="15885" width="11.42578125" style="37" customWidth="1"/>
    <col min="15886" max="15887" width="10.5703125" style="37" bestFit="1" customWidth="1"/>
    <col min="15888" max="15889" width="11.42578125" style="37" customWidth="1"/>
    <col min="15890" max="15890" width="6.140625" style="37" customWidth="1"/>
    <col min="15891" max="15901" width="11.42578125" style="37" customWidth="1"/>
    <col min="15902" max="16131" width="11.42578125" style="37"/>
    <col min="16132" max="16132" width="5.28515625" style="37" customWidth="1"/>
    <col min="16133" max="16133" width="15.28515625" style="37" customWidth="1"/>
    <col min="16134" max="16134" width="14.42578125" style="37" bestFit="1" customWidth="1"/>
    <col min="16135" max="16135" width="10.42578125" style="37" bestFit="1" customWidth="1"/>
    <col min="16136" max="16136" width="12.28515625" style="37" customWidth="1"/>
    <col min="16137" max="16141" width="11.42578125" style="37" customWidth="1"/>
    <col min="16142" max="16143" width="10.5703125" style="37" bestFit="1" customWidth="1"/>
    <col min="16144" max="16145" width="11.42578125" style="37" customWidth="1"/>
    <col min="16146" max="16146" width="6.140625" style="37" customWidth="1"/>
    <col min="16147" max="16157" width="11.42578125" style="37" customWidth="1"/>
    <col min="16158" max="16384" width="11.42578125" style="37"/>
  </cols>
  <sheetData>
    <row r="1" spans="1:62" s="129" customFormat="1" ht="10.5" customHeight="1" thickBot="1" x14ac:dyDescent="0.3">
      <c r="Q1" s="38"/>
    </row>
    <row r="2" spans="1:62" s="129" customFormat="1" x14ac:dyDescent="0.25">
      <c r="B2" s="259"/>
      <c r="C2" s="260"/>
      <c r="D2" s="260"/>
      <c r="E2" s="260"/>
      <c r="F2" s="260"/>
      <c r="G2" s="260"/>
      <c r="H2" s="260"/>
      <c r="I2" s="260"/>
      <c r="J2" s="260"/>
      <c r="K2" s="260"/>
      <c r="L2" s="260"/>
      <c r="M2" s="260"/>
      <c r="N2" s="260"/>
      <c r="O2" s="260"/>
      <c r="P2" s="260"/>
      <c r="Q2" s="260"/>
      <c r="R2" s="260"/>
      <c r="S2" s="260"/>
      <c r="T2" s="261"/>
    </row>
    <row r="3" spans="1:62" s="1" customFormat="1" ht="36" x14ac:dyDescent="0.25">
      <c r="B3" s="262"/>
      <c r="C3" s="276"/>
      <c r="D3" s="276"/>
      <c r="E3" s="276"/>
      <c r="F3" s="276"/>
      <c r="G3" s="276"/>
      <c r="H3" s="276"/>
      <c r="I3" s="276"/>
      <c r="J3" s="276"/>
      <c r="K3" s="276"/>
      <c r="L3" s="276"/>
      <c r="M3" s="276"/>
      <c r="N3" s="276"/>
      <c r="O3" s="276"/>
      <c r="P3" s="276"/>
      <c r="Q3" s="276"/>
      <c r="R3" s="276"/>
      <c r="S3" s="276"/>
      <c r="T3" s="263"/>
      <c r="U3" s="129"/>
      <c r="V3" s="1" t="s">
        <v>1244</v>
      </c>
      <c r="W3" s="189">
        <v>1</v>
      </c>
      <c r="X3" s="129"/>
      <c r="Y3" s="129"/>
      <c r="Z3" s="129"/>
      <c r="AA3" s="129"/>
      <c r="AB3" s="129"/>
      <c r="AC3" s="129"/>
      <c r="AD3" s="129"/>
      <c r="AE3" s="129"/>
      <c r="BI3" s="59"/>
      <c r="BJ3" s="59"/>
    </row>
    <row r="4" spans="1:62" s="1" customFormat="1" ht="33" customHeight="1" x14ac:dyDescent="0.25">
      <c r="B4" s="262"/>
      <c r="C4" s="294" t="s">
        <v>593</v>
      </c>
      <c r="D4" s="294"/>
      <c r="E4" s="294"/>
      <c r="F4" s="294"/>
      <c r="G4" s="294"/>
      <c r="H4" s="294"/>
      <c r="I4" s="294"/>
      <c r="J4" s="252"/>
      <c r="K4" s="252"/>
      <c r="L4" s="252"/>
      <c r="M4" s="252"/>
      <c r="N4" s="252"/>
      <c r="O4" s="252"/>
      <c r="P4" s="252"/>
      <c r="Q4" s="252"/>
      <c r="R4" s="252"/>
      <c r="S4" s="252"/>
      <c r="T4" s="263"/>
      <c r="V4" s="129" t="s">
        <v>1242</v>
      </c>
      <c r="W4" s="187">
        <f>SUMIFS(CampList[HH],CampList[Status],"open",CampList[Opening Date],"&gt;=" &amp; NFI_Monitor_Date)</f>
        <v>548</v>
      </c>
      <c r="X4" s="129"/>
      <c r="Y4" s="129"/>
      <c r="Z4" s="129"/>
      <c r="AA4" s="129"/>
      <c r="AB4" s="129"/>
      <c r="AC4" s="129"/>
      <c r="AD4" s="129"/>
      <c r="AE4" s="129"/>
      <c r="AF4" s="82"/>
      <c r="AG4" s="82"/>
      <c r="AH4" s="82"/>
      <c r="AI4" s="82"/>
      <c r="AJ4" s="82"/>
      <c r="AK4" s="82"/>
      <c r="AL4" s="82"/>
      <c r="AM4" s="82"/>
      <c r="AN4" s="82"/>
      <c r="AO4" s="82"/>
      <c r="AP4" s="82"/>
      <c r="AQ4" s="82"/>
      <c r="AR4" s="82"/>
      <c r="AS4" s="82"/>
      <c r="BC4" s="59"/>
      <c r="BD4" s="59"/>
    </row>
    <row r="5" spans="1:62" s="18" customFormat="1" ht="12.75" customHeight="1" x14ac:dyDescent="0.25">
      <c r="B5" s="262"/>
      <c r="C5" s="898">
        <f>Report_Date</f>
        <v>42370</v>
      </c>
      <c r="D5" s="898"/>
      <c r="E5" s="898"/>
      <c r="F5" s="898"/>
      <c r="G5" s="898"/>
      <c r="H5" s="898"/>
      <c r="I5" s="295"/>
      <c r="J5" s="252"/>
      <c r="K5" s="252"/>
      <c r="L5" s="252"/>
      <c r="M5" s="252"/>
      <c r="N5" s="252"/>
      <c r="O5" s="252"/>
      <c r="P5" s="252"/>
      <c r="Q5" s="252"/>
      <c r="R5" s="252"/>
      <c r="S5" s="252"/>
      <c r="T5" s="263"/>
      <c r="V5" s="129" t="s">
        <v>1243</v>
      </c>
      <c r="W5" s="187">
        <f>SUMIFS(CampList[HH],CampList[Status],"open",CampList[Priority],"P1")</f>
        <v>1850</v>
      </c>
      <c r="X5" s="129"/>
      <c r="Y5" s="129"/>
      <c r="Z5" s="129"/>
      <c r="AA5" s="129"/>
      <c r="AB5" s="129"/>
      <c r="AC5" s="129"/>
      <c r="AD5" s="129"/>
      <c r="AE5" s="129"/>
      <c r="AF5" s="82"/>
      <c r="AG5" s="82"/>
      <c r="AH5" s="82"/>
      <c r="AI5" s="82"/>
      <c r="AJ5" s="82"/>
      <c r="AK5" s="82"/>
      <c r="AL5" s="82"/>
      <c r="AM5" s="82"/>
      <c r="AN5" s="82"/>
      <c r="AO5" s="82"/>
      <c r="AP5" s="82"/>
      <c r="AQ5" s="82"/>
      <c r="AR5" s="82"/>
      <c r="AS5" s="82"/>
      <c r="BC5" s="60"/>
      <c r="BD5" s="60"/>
    </row>
    <row r="6" spans="1:62" s="47" customFormat="1" ht="44.25" customHeight="1" x14ac:dyDescent="0.55000000000000004">
      <c r="B6" s="299"/>
      <c r="C6" s="296"/>
      <c r="D6" s="297"/>
      <c r="E6" s="297"/>
      <c r="F6" s="297"/>
      <c r="G6" s="297"/>
      <c r="H6" s="297"/>
      <c r="I6" s="297"/>
      <c r="J6" s="297"/>
      <c r="K6" s="297"/>
      <c r="L6" s="297"/>
      <c r="M6" s="297"/>
      <c r="N6" s="297"/>
      <c r="O6" s="297"/>
      <c r="P6" s="297"/>
      <c r="Q6" s="298"/>
      <c r="R6" s="297"/>
      <c r="S6" s="297"/>
      <c r="T6" s="300"/>
    </row>
    <row r="7" spans="1:62" s="47" customFormat="1" ht="7.5" customHeight="1" x14ac:dyDescent="0.55000000000000004">
      <c r="B7" s="473"/>
      <c r="C7" s="474"/>
      <c r="D7" s="475"/>
      <c r="E7" s="475"/>
      <c r="F7" s="475"/>
      <c r="G7" s="475"/>
      <c r="H7" s="475"/>
      <c r="I7" s="475"/>
      <c r="J7" s="475"/>
      <c r="K7" s="475"/>
      <c r="L7" s="475"/>
      <c r="M7" s="475"/>
      <c r="N7" s="475"/>
      <c r="O7" s="475"/>
      <c r="P7" s="475"/>
      <c r="Q7" s="476"/>
      <c r="R7" s="475"/>
      <c r="S7" s="475"/>
      <c r="T7" s="477"/>
    </row>
    <row r="8" spans="1:62" s="82" customFormat="1" ht="12.75" customHeight="1" x14ac:dyDescent="0.35">
      <c r="A8" s="129"/>
      <c r="B8" s="283"/>
      <c r="C8" s="39"/>
      <c r="D8" s="39"/>
      <c r="E8" s="39"/>
      <c r="F8" s="39"/>
      <c r="G8" s="39"/>
      <c r="H8" s="39"/>
      <c r="I8" s="39"/>
      <c r="J8" s="39"/>
      <c r="K8" s="39"/>
      <c r="L8" s="39"/>
      <c r="M8" s="39"/>
      <c r="N8" s="39"/>
      <c r="O8" s="39"/>
      <c r="P8" s="39"/>
      <c r="Q8" s="478"/>
      <c r="R8" s="39"/>
      <c r="S8" s="39"/>
      <c r="T8" s="277"/>
      <c r="U8" s="129"/>
      <c r="V8" s="129"/>
      <c r="W8" s="129"/>
      <c r="X8" s="129"/>
      <c r="Y8" s="129"/>
      <c r="Z8" s="129"/>
      <c r="AA8" s="129"/>
      <c r="AB8" s="129"/>
      <c r="AC8" s="129"/>
      <c r="AD8" s="129"/>
      <c r="AE8" s="129"/>
    </row>
    <row r="9" spans="1:62" s="82" customFormat="1" ht="12.75" customHeight="1" x14ac:dyDescent="0.25">
      <c r="A9" s="129"/>
      <c r="B9" s="283"/>
      <c r="C9" s="39"/>
      <c r="D9" s="39"/>
      <c r="E9" s="39"/>
      <c r="F9" s="39"/>
      <c r="G9" s="39"/>
      <c r="H9" s="39"/>
      <c r="I9" s="39"/>
      <c r="J9" s="39"/>
      <c r="K9" s="39"/>
      <c r="L9" s="39"/>
      <c r="M9" s="39"/>
      <c r="N9" s="39"/>
      <c r="O9" s="39"/>
      <c r="P9" s="39"/>
      <c r="Q9" s="39"/>
      <c r="R9" s="39"/>
      <c r="S9" s="39"/>
      <c r="T9" s="277"/>
      <c r="U9" s="129"/>
      <c r="V9" s="129"/>
      <c r="W9" s="129"/>
      <c r="X9" s="129"/>
      <c r="Y9" s="129"/>
      <c r="Z9" s="129"/>
      <c r="AA9" s="129"/>
      <c r="AB9" s="129"/>
      <c r="AC9" s="129"/>
      <c r="AD9" s="129"/>
      <c r="AE9" s="129"/>
    </row>
    <row r="10" spans="1:62" ht="12.75" customHeight="1" thickBot="1" x14ac:dyDescent="0.3">
      <c r="B10" s="283"/>
      <c r="C10" s="39"/>
      <c r="D10" s="39"/>
      <c r="E10" s="39"/>
      <c r="F10" s="39"/>
      <c r="G10" s="39"/>
      <c r="H10" s="39"/>
      <c r="I10" s="39"/>
      <c r="J10" s="39"/>
      <c r="K10" s="39"/>
      <c r="L10" s="39"/>
      <c r="M10" s="39"/>
      <c r="N10" s="39"/>
      <c r="O10" s="39"/>
      <c r="P10" s="39"/>
      <c r="Q10" s="39"/>
      <c r="R10" s="39"/>
      <c r="S10" s="39"/>
      <c r="T10" s="277"/>
      <c r="Y10" s="1"/>
    </row>
    <row r="11" spans="1:62" ht="12.75" customHeight="1" x14ac:dyDescent="0.25">
      <c r="B11" s="283"/>
      <c r="C11" s="39"/>
      <c r="D11" s="39"/>
      <c r="E11" s="39"/>
      <c r="F11" s="39"/>
      <c r="G11" s="39"/>
      <c r="H11" s="39"/>
      <c r="I11" s="39"/>
      <c r="J11" s="39"/>
      <c r="K11" s="39"/>
      <c r="L11" s="39"/>
      <c r="M11" s="39"/>
      <c r="N11" s="39"/>
      <c r="O11" s="39"/>
      <c r="P11" s="39"/>
      <c r="Q11" s="39"/>
      <c r="R11" s="39"/>
      <c r="S11" s="39"/>
      <c r="T11" s="277"/>
      <c r="W11" s="301"/>
      <c r="X11" s="302"/>
      <c r="Y11" s="483"/>
      <c r="Z11" s="484"/>
      <c r="AA11" s="484"/>
      <c r="AB11" s="484"/>
      <c r="AC11" s="484"/>
      <c r="AD11" s="484"/>
      <c r="AE11" s="484"/>
      <c r="AF11" s="485"/>
    </row>
    <row r="12" spans="1:62" ht="24" customHeight="1" x14ac:dyDescent="0.25">
      <c r="B12" s="283"/>
      <c r="C12" s="200" t="s">
        <v>587</v>
      </c>
      <c r="D12" s="201" t="s">
        <v>456</v>
      </c>
      <c r="E12" s="202" t="s">
        <v>837</v>
      </c>
      <c r="F12" s="203" t="s">
        <v>833</v>
      </c>
      <c r="G12" s="203" t="s">
        <v>834</v>
      </c>
      <c r="H12" s="204" t="s">
        <v>835</v>
      </c>
      <c r="I12" s="204" t="s">
        <v>836</v>
      </c>
      <c r="J12" s="205" t="s">
        <v>1245</v>
      </c>
      <c r="K12" s="39"/>
      <c r="L12" s="200" t="s">
        <v>587</v>
      </c>
      <c r="M12" s="201" t="s">
        <v>456</v>
      </c>
      <c r="N12" s="202" t="s">
        <v>837</v>
      </c>
      <c r="O12" s="203" t="s">
        <v>833</v>
      </c>
      <c r="P12" s="203" t="s">
        <v>834</v>
      </c>
      <c r="Q12" s="204" t="s">
        <v>835</v>
      </c>
      <c r="R12" s="204" t="s">
        <v>836</v>
      </c>
      <c r="S12" s="205" t="s">
        <v>1245</v>
      </c>
      <c r="T12" s="277"/>
      <c r="W12" s="48"/>
      <c r="X12" s="1"/>
      <c r="Y12" s="283"/>
      <c r="Z12" s="479" t="s">
        <v>837</v>
      </c>
      <c r="AA12" s="479" t="s">
        <v>838</v>
      </c>
      <c r="AB12" s="142" t="s">
        <v>839</v>
      </c>
      <c r="AC12" s="142" t="s">
        <v>840</v>
      </c>
      <c r="AD12" s="143" t="s">
        <v>841</v>
      </c>
      <c r="AE12" s="143" t="s">
        <v>842</v>
      </c>
      <c r="AF12" s="277"/>
    </row>
    <row r="13" spans="1:62" ht="12.75" customHeight="1" x14ac:dyDescent="0.25">
      <c r="B13" s="283"/>
      <c r="C13" s="206" t="s">
        <v>597</v>
      </c>
      <c r="D13" s="207">
        <f t="shared" ref="D13:D19" si="0">VLOOKUP($C13,NFI,6,0)</f>
        <v>2</v>
      </c>
      <c r="E13" s="208">
        <f>$W$4*D13</f>
        <v>1096</v>
      </c>
      <c r="F13" s="209">
        <f ca="1">SUMIFS(Table_NFI[Mosquito net_LS],Table_NFI[opening_date],1,Table_NFI[Status],"open")</f>
        <v>0</v>
      </c>
      <c r="G13" s="210">
        <f t="shared" ref="G13:G18" ca="1" si="1">IF((F13/E13)&gt;100%,100%,(F13/E13))</f>
        <v>0</v>
      </c>
      <c r="H13" s="209">
        <f ca="1">SUM(INDIRECT(VLOOKUP($C13,NFI,3,0)))</f>
        <v>3299</v>
      </c>
      <c r="I13" s="211">
        <f ca="1">H13/E13</f>
        <v>3.0100364963503647</v>
      </c>
      <c r="J13" s="212">
        <f ca="1">MAX(0,1-G13-I13)</f>
        <v>0</v>
      </c>
      <c r="K13" s="39"/>
      <c r="L13" s="206" t="s">
        <v>994</v>
      </c>
      <c r="M13" s="207">
        <f>VLOOKUP($L13,NFI,6,0)</f>
        <v>2</v>
      </c>
      <c r="N13" s="208">
        <f>$W$5*M13</f>
        <v>3700</v>
      </c>
      <c r="O13" s="209">
        <f ca="1">SUMIFS(Table_NFI[Winter Clothes Adult_LS],Table_NFI[Priority],"P1",Table_NFI[Status],"open")</f>
        <v>941</v>
      </c>
      <c r="P13" s="210">
        <f t="shared" ref="P13:P14" ca="1" si="2">IF((O13/N13)&gt;100%,100%,(O13/N13))</f>
        <v>0.25432432432432434</v>
      </c>
      <c r="Q13" s="209">
        <f ca="1">SUM(INDIRECT(VLOOKUP($L13,NFI,3,0)))</f>
        <v>0</v>
      </c>
      <c r="R13" s="211">
        <f t="shared" ref="R13:R14" ca="1" si="3">Q13/N13</f>
        <v>0</v>
      </c>
      <c r="S13" s="212">
        <f ca="1">MAX(0,1-P13-R13)</f>
        <v>0.74567567567567572</v>
      </c>
      <c r="T13" s="277"/>
      <c r="W13" s="48"/>
      <c r="X13" s="1"/>
      <c r="Y13" s="283"/>
      <c r="Z13" s="88">
        <f t="shared" ref="Z13:Z19" ca="1" si="4">IF((E13-(SUM(F13:H13)))&lt;0,0,(E13-(SUM(F13:H13))))</f>
        <v>0</v>
      </c>
      <c r="AA13" s="480">
        <f t="shared" ref="AA13:AA19" ca="1" si="5">Z13/E13</f>
        <v>0</v>
      </c>
      <c r="AB13" s="88">
        <f t="shared" ref="AB13:AB19" ca="1" si="6">SUMIFS(INDIRECT(VLOOKUP($C13,NFI,4,0)),NFI_Pipeline_State,$C$6)</f>
        <v>0</v>
      </c>
      <c r="AC13" s="87">
        <f t="shared" ref="AC13:AC19" ca="1" si="7">AB13/E13</f>
        <v>0</v>
      </c>
      <c r="AD13" s="89">
        <f t="shared" ref="AD13:AD19" ca="1" si="8">IF((E13-(F13+H13+AB13))&lt;0,0,(E13-(F13+H13+AB13)))</f>
        <v>0</v>
      </c>
      <c r="AE13" s="90">
        <f t="shared" ref="AE13:AE19" ca="1" si="9">AD13/E13</f>
        <v>0</v>
      </c>
      <c r="AF13" s="277"/>
    </row>
    <row r="14" spans="1:62" ht="12.75" customHeight="1" x14ac:dyDescent="0.25">
      <c r="B14" s="283"/>
      <c r="C14" s="206" t="s">
        <v>459</v>
      </c>
      <c r="D14" s="207">
        <f t="shared" si="0"/>
        <v>1</v>
      </c>
      <c r="E14" s="208">
        <f t="shared" ref="E14:E19" si="10">$W$4*D14</f>
        <v>548</v>
      </c>
      <c r="F14" s="209">
        <f ca="1">SUMIFS(Table_NFI[Tarpaulin_LS],Table_NFI[opening_date],1,Table_NFI[Status],"open")</f>
        <v>0</v>
      </c>
      <c r="G14" s="210">
        <f t="shared" ca="1" si="1"/>
        <v>0</v>
      </c>
      <c r="H14" s="209">
        <f ca="1">SUM(INDIRECT(VLOOKUP($C14,NFI,3,0)))</f>
        <v>1466</v>
      </c>
      <c r="I14" s="211">
        <f ca="1">H14/E14</f>
        <v>2.6751824817518246</v>
      </c>
      <c r="J14" s="212">
        <f t="shared" ref="J14:J19" ca="1" si="11">MAX(0,1-G14-I14)</f>
        <v>0</v>
      </c>
      <c r="K14" s="39"/>
      <c r="L14" s="206" t="s">
        <v>998</v>
      </c>
      <c r="M14" s="207">
        <f>VLOOKUP($L14,NFI,6,0)</f>
        <v>3</v>
      </c>
      <c r="N14" s="208">
        <f>$W$5*M14</f>
        <v>5550</v>
      </c>
      <c r="O14" s="209">
        <f ca="1">SUMIFS(Table_NFI[Winter Clothes Children_LS],Table_NFI[Priority],"P1",Table_NFI[Status],"open")</f>
        <v>619</v>
      </c>
      <c r="P14" s="210">
        <f t="shared" ca="1" si="2"/>
        <v>0.11153153153153153</v>
      </c>
      <c r="Q14" s="209">
        <f ca="1">SUM(INDIRECT(VLOOKUP($L14,NFI,3,0)))</f>
        <v>0</v>
      </c>
      <c r="R14" s="211">
        <f t="shared" ca="1" si="3"/>
        <v>0</v>
      </c>
      <c r="S14" s="212">
        <f ca="1">MAX(0,1-P14-R14)</f>
        <v>0.8884684684684685</v>
      </c>
      <c r="T14" s="277"/>
      <c r="W14" s="48"/>
      <c r="X14" s="1"/>
      <c r="Y14" s="283"/>
      <c r="Z14" s="88">
        <f t="shared" ca="1" si="4"/>
        <v>0</v>
      </c>
      <c r="AA14" s="480">
        <f t="shared" ca="1" si="5"/>
        <v>0</v>
      </c>
      <c r="AB14" s="88">
        <f t="shared" ca="1" si="6"/>
        <v>0</v>
      </c>
      <c r="AC14" s="87">
        <f t="shared" ca="1" si="7"/>
        <v>0</v>
      </c>
      <c r="AD14" s="89">
        <f t="shared" ca="1" si="8"/>
        <v>0</v>
      </c>
      <c r="AE14" s="90">
        <f t="shared" ca="1" si="9"/>
        <v>0</v>
      </c>
      <c r="AF14" s="277"/>
    </row>
    <row r="15" spans="1:62" x14ac:dyDescent="0.25">
      <c r="B15" s="283"/>
      <c r="C15" s="206" t="s">
        <v>436</v>
      </c>
      <c r="D15" s="207">
        <f t="shared" si="0"/>
        <v>2</v>
      </c>
      <c r="E15" s="208">
        <f t="shared" si="10"/>
        <v>1096</v>
      </c>
      <c r="F15" s="209">
        <f ca="1">SUMIFS(Table_NFI[Blanket_LS],Table_NFI[opening_date],1,Table_NFI[Status],"open")</f>
        <v>0</v>
      </c>
      <c r="G15" s="210">
        <f t="shared" ca="1" si="1"/>
        <v>0</v>
      </c>
      <c r="H15" s="209">
        <f t="shared" ref="H15:H19" ca="1" si="12">SUM(INDIRECT(VLOOKUP($C15,NFI,3,0)))</f>
        <v>4637</v>
      </c>
      <c r="I15" s="211">
        <f ca="1">H15/E15</f>
        <v>4.2308394160583944</v>
      </c>
      <c r="J15" s="212">
        <f ca="1">MAX(0,1-G15-I15)</f>
        <v>0</v>
      </c>
      <c r="K15" s="39"/>
      <c r="L15" s="206" t="s">
        <v>1118</v>
      </c>
      <c r="M15" s="207">
        <f>VLOOKUP(L15,NFI,6,0)</f>
        <v>2</v>
      </c>
      <c r="N15" s="208">
        <f>$W$5*M15</f>
        <v>3700</v>
      </c>
      <c r="O15" s="209">
        <f ca="1">SUMIFS(Table_NFI[Winter Blanket_LS],Table_NFI[Priority],"P1",Table_NFI[Status],"open")</f>
        <v>549</v>
      </c>
      <c r="P15" s="210">
        <f ca="1">IF((O15/N15)&gt;100%,100%,(O15/N15))</f>
        <v>0.14837837837837839</v>
      </c>
      <c r="Q15" s="209">
        <f ca="1">SUM(INDIRECT(VLOOKUP($L15,NFI,3,0)))</f>
        <v>667</v>
      </c>
      <c r="R15" s="211">
        <f t="shared" ref="R15" ca="1" si="13">Q15/N15</f>
        <v>0.18027027027027026</v>
      </c>
      <c r="S15" s="212">
        <f ca="1">MAX(0,1-P15-R15)</f>
        <v>0.67135135135135138</v>
      </c>
      <c r="T15" s="277"/>
      <c r="W15" s="48"/>
      <c r="X15" s="1"/>
      <c r="Y15" s="283"/>
      <c r="Z15" s="88">
        <f t="shared" ca="1" si="4"/>
        <v>0</v>
      </c>
      <c r="AA15" s="480">
        <f t="shared" ca="1" si="5"/>
        <v>0</v>
      </c>
      <c r="AB15" s="88">
        <f t="shared" ca="1" si="6"/>
        <v>0</v>
      </c>
      <c r="AC15" s="87">
        <f t="shared" ca="1" si="7"/>
        <v>0</v>
      </c>
      <c r="AD15" s="89">
        <f t="shared" ca="1" si="8"/>
        <v>0</v>
      </c>
      <c r="AE15" s="90">
        <f t="shared" ca="1" si="9"/>
        <v>0</v>
      </c>
      <c r="AF15" s="277"/>
    </row>
    <row r="16" spans="1:62" x14ac:dyDescent="0.25">
      <c r="B16" s="283"/>
      <c r="C16" s="206" t="s">
        <v>437</v>
      </c>
      <c r="D16" s="207">
        <f t="shared" si="0"/>
        <v>1</v>
      </c>
      <c r="E16" s="208">
        <f t="shared" si="10"/>
        <v>548</v>
      </c>
      <c r="F16" s="209">
        <f ca="1">SUMIFS(Table_NFI[Kitchen Set_LS],Table_NFI[opening_date],1,Table_NFI[Status],"open")</f>
        <v>0</v>
      </c>
      <c r="G16" s="210">
        <f t="shared" ca="1" si="1"/>
        <v>0</v>
      </c>
      <c r="H16" s="209">
        <f t="shared" ca="1" si="12"/>
        <v>1174</v>
      </c>
      <c r="I16" s="211">
        <f ca="1">H16/E16</f>
        <v>2.1423357664233578</v>
      </c>
      <c r="J16" s="212">
        <f t="shared" ca="1" si="11"/>
        <v>0</v>
      </c>
      <c r="K16" s="39"/>
      <c r="L16" s="39"/>
      <c r="M16" s="39"/>
      <c r="N16" s="39"/>
      <c r="O16" s="39"/>
      <c r="P16" s="39"/>
      <c r="Q16" s="39"/>
      <c r="R16" s="39"/>
      <c r="S16" s="39"/>
      <c r="T16" s="277"/>
      <c r="W16" s="48"/>
      <c r="X16" s="1"/>
      <c r="Y16" s="283"/>
      <c r="Z16" s="88">
        <f t="shared" ca="1" si="4"/>
        <v>0</v>
      </c>
      <c r="AA16" s="480">
        <f t="shared" ca="1" si="5"/>
        <v>0</v>
      </c>
      <c r="AB16" s="88">
        <f t="shared" ca="1" si="6"/>
        <v>0</v>
      </c>
      <c r="AC16" s="87">
        <f t="shared" ca="1" si="7"/>
        <v>0</v>
      </c>
      <c r="AD16" s="89">
        <f t="shared" ca="1" si="8"/>
        <v>0</v>
      </c>
      <c r="AE16" s="90">
        <f t="shared" ca="1" si="9"/>
        <v>0</v>
      </c>
      <c r="AF16" s="277"/>
    </row>
    <row r="17" spans="2:32" x14ac:dyDescent="0.25">
      <c r="B17" s="283"/>
      <c r="C17" s="206" t="s">
        <v>1232</v>
      </c>
      <c r="D17" s="207">
        <f t="shared" si="0"/>
        <v>1</v>
      </c>
      <c r="E17" s="208">
        <f t="shared" si="10"/>
        <v>548</v>
      </c>
      <c r="F17" s="209">
        <f ca="1">SUMIFS(Table_NFI[Clothes Kit_LS],Table_NFI[opening_date],1,Table_NFI[Status],"open")</f>
        <v>0</v>
      </c>
      <c r="G17" s="210">
        <f t="shared" ca="1" si="1"/>
        <v>0</v>
      </c>
      <c r="H17" s="209">
        <f t="shared" ca="1" si="12"/>
        <v>0</v>
      </c>
      <c r="I17" s="211">
        <f t="shared" ref="I17:I19" ca="1" si="14">H17/E17</f>
        <v>0</v>
      </c>
      <c r="J17" s="212">
        <f t="shared" ca="1" si="11"/>
        <v>1</v>
      </c>
      <c r="K17" s="39"/>
      <c r="L17" s="39"/>
      <c r="M17" s="39"/>
      <c r="N17" s="39"/>
      <c r="O17" s="39"/>
      <c r="P17" s="39"/>
      <c r="Q17" s="39"/>
      <c r="R17" s="39"/>
      <c r="S17" s="39"/>
      <c r="T17" s="277"/>
      <c r="W17" s="48"/>
      <c r="X17" s="1"/>
      <c r="Y17" s="283"/>
      <c r="Z17" s="88">
        <f t="shared" ca="1" si="4"/>
        <v>548</v>
      </c>
      <c r="AA17" s="480">
        <f t="shared" ca="1" si="5"/>
        <v>1</v>
      </c>
      <c r="AB17" s="88">
        <f t="shared" ca="1" si="6"/>
        <v>0</v>
      </c>
      <c r="AC17" s="87">
        <f t="shared" ca="1" si="7"/>
        <v>0</v>
      </c>
      <c r="AD17" s="89">
        <f t="shared" ca="1" si="8"/>
        <v>548</v>
      </c>
      <c r="AE17" s="90">
        <f t="shared" ca="1" si="9"/>
        <v>1</v>
      </c>
      <c r="AF17" s="277"/>
    </row>
    <row r="18" spans="2:32" x14ac:dyDescent="0.25">
      <c r="B18" s="283"/>
      <c r="C18" s="206" t="s">
        <v>579</v>
      </c>
      <c r="D18" s="207">
        <f t="shared" si="0"/>
        <v>1</v>
      </c>
      <c r="E18" s="208">
        <f t="shared" si="10"/>
        <v>548</v>
      </c>
      <c r="F18" s="209">
        <f ca="1">SUMIFS(Table_NFI[Plastic Bucket _LS],Table_NFI[opening_date],1,Table_NFI[Status],"open")</f>
        <v>0</v>
      </c>
      <c r="G18" s="210">
        <f t="shared" ca="1" si="1"/>
        <v>0</v>
      </c>
      <c r="H18" s="209">
        <f ca="1">SUM(INDIRECT(VLOOKUP($C18,NFI,3,0)))</f>
        <v>933</v>
      </c>
      <c r="I18" s="211">
        <f t="shared" ca="1" si="14"/>
        <v>1.7025547445255473</v>
      </c>
      <c r="J18" s="212">
        <f t="shared" ca="1" si="11"/>
        <v>0</v>
      </c>
      <c r="K18" s="39"/>
      <c r="L18" s="39"/>
      <c r="M18" s="39"/>
      <c r="N18" s="39"/>
      <c r="O18" s="39"/>
      <c r="P18" s="39"/>
      <c r="Q18" s="39"/>
      <c r="R18" s="39"/>
      <c r="S18" s="39"/>
      <c r="T18" s="277"/>
      <c r="W18" s="48"/>
      <c r="X18" s="1"/>
      <c r="Y18" s="283"/>
      <c r="Z18" s="88">
        <f t="shared" ca="1" si="4"/>
        <v>0</v>
      </c>
      <c r="AA18" s="480">
        <f t="shared" ca="1" si="5"/>
        <v>0</v>
      </c>
      <c r="AB18" s="88">
        <f t="shared" ca="1" si="6"/>
        <v>0</v>
      </c>
      <c r="AC18" s="87">
        <f t="shared" ca="1" si="7"/>
        <v>0</v>
      </c>
      <c r="AD18" s="89">
        <f t="shared" ca="1" si="8"/>
        <v>0</v>
      </c>
      <c r="AE18" s="90">
        <f t="shared" ca="1" si="9"/>
        <v>0</v>
      </c>
      <c r="AF18" s="277"/>
    </row>
    <row r="19" spans="2:32" x14ac:dyDescent="0.25">
      <c r="B19" s="283"/>
      <c r="C19" s="206" t="s">
        <v>580</v>
      </c>
      <c r="D19" s="207">
        <f t="shared" si="0"/>
        <v>5</v>
      </c>
      <c r="E19" s="208">
        <f t="shared" si="10"/>
        <v>2740</v>
      </c>
      <c r="F19" s="209">
        <f ca="1">SUMIFS(Table_NFI[Plastic  Mat_LS],Table_NFI[opening_date],1,Table_NFI[Status],"open")</f>
        <v>0</v>
      </c>
      <c r="G19" s="210">
        <f ca="1">IF((F19/E19)&gt;100%,100%,(F19/E19))</f>
        <v>0</v>
      </c>
      <c r="H19" s="209">
        <f t="shared" ca="1" si="12"/>
        <v>4819</v>
      </c>
      <c r="I19" s="211">
        <f t="shared" ca="1" si="14"/>
        <v>1.7587591240875913</v>
      </c>
      <c r="J19" s="212">
        <f t="shared" ca="1" si="11"/>
        <v>0</v>
      </c>
      <c r="K19" s="39"/>
      <c r="L19" s="39"/>
      <c r="M19" s="39"/>
      <c r="N19" s="39"/>
      <c r="O19" s="39"/>
      <c r="P19" s="39"/>
      <c r="Q19" s="39"/>
      <c r="R19" s="39"/>
      <c r="S19" s="39"/>
      <c r="T19" s="277"/>
      <c r="W19" s="48"/>
      <c r="X19" s="1"/>
      <c r="Y19" s="283"/>
      <c r="Z19" s="88">
        <f t="shared" ca="1" si="4"/>
        <v>0</v>
      </c>
      <c r="AA19" s="480">
        <f t="shared" ca="1" si="5"/>
        <v>0</v>
      </c>
      <c r="AB19" s="88">
        <f t="shared" ca="1" si="6"/>
        <v>0</v>
      </c>
      <c r="AC19" s="87">
        <f t="shared" ca="1" si="7"/>
        <v>0</v>
      </c>
      <c r="AD19" s="89">
        <f t="shared" ca="1" si="8"/>
        <v>0</v>
      </c>
      <c r="AE19" s="90">
        <f t="shared" ca="1" si="9"/>
        <v>0</v>
      </c>
      <c r="AF19" s="277"/>
    </row>
    <row r="20" spans="2:32" s="129" customFormat="1" x14ac:dyDescent="0.25">
      <c r="B20" s="283"/>
      <c r="C20" s="39"/>
      <c r="D20" s="39"/>
      <c r="E20" s="39"/>
      <c r="F20" s="39"/>
      <c r="G20" s="39"/>
      <c r="H20" s="39"/>
      <c r="I20" s="39"/>
      <c r="J20" s="39"/>
      <c r="K20" s="39"/>
      <c r="L20" s="39"/>
      <c r="M20" s="39"/>
      <c r="N20" s="39"/>
      <c r="O20" s="39"/>
      <c r="P20" s="39"/>
      <c r="Q20" s="39"/>
      <c r="R20" s="39"/>
      <c r="S20" s="39"/>
      <c r="T20" s="277"/>
      <c r="W20" s="48"/>
      <c r="X20" s="1"/>
      <c r="Y20" s="283"/>
      <c r="Z20" s="88">
        <f ca="1">IF((N13-(SUM(O13:Q13)))&lt;0,0,(N13-(SUM(O13:Q13))))</f>
        <v>2758.7456756756756</v>
      </c>
      <c r="AA20" s="480">
        <f ca="1">Z20/N13</f>
        <v>0.74560693937180422</v>
      </c>
      <c r="AB20" s="88">
        <f ca="1">SUMIFS(INDIRECT(VLOOKUP($L13,NFI,4,0)),NFI_Pipeline_State,$C$6)</f>
        <v>0</v>
      </c>
      <c r="AC20" s="87">
        <f ca="1">AB20/N13</f>
        <v>0</v>
      </c>
      <c r="AD20" s="89">
        <f ca="1">IF((N13-(O13+Q13+AB20))&lt;0,0,(N13-(O13+Q13+AB20)))</f>
        <v>2759</v>
      </c>
      <c r="AE20" s="90">
        <f ca="1">AD20/N13</f>
        <v>0.74567567567567572</v>
      </c>
      <c r="AF20" s="277"/>
    </row>
    <row r="21" spans="2:32" s="129" customFormat="1" x14ac:dyDescent="0.25">
      <c r="B21" s="283"/>
      <c r="C21" s="39"/>
      <c r="D21" s="39"/>
      <c r="E21" s="39"/>
      <c r="F21" s="39"/>
      <c r="G21" s="39"/>
      <c r="H21" s="39"/>
      <c r="I21" s="39"/>
      <c r="J21" s="39"/>
      <c r="K21" s="39"/>
      <c r="L21" s="39"/>
      <c r="M21" s="39"/>
      <c r="N21" s="39"/>
      <c r="O21" s="39"/>
      <c r="P21" s="39"/>
      <c r="Q21" s="39"/>
      <c r="R21" s="39"/>
      <c r="S21" s="39"/>
      <c r="T21" s="277"/>
      <c r="W21" s="48"/>
      <c r="X21" s="1"/>
      <c r="Y21" s="283"/>
      <c r="Z21" s="88">
        <f ca="1">IF((N14-(SUM(O14:Q14)))&lt;0,0,(N14-(SUM(O14:Q14))))</f>
        <v>4930.8884684684681</v>
      </c>
      <c r="AA21" s="480">
        <f ca="1">Z21/N14</f>
        <v>0.88844837269702126</v>
      </c>
      <c r="AB21" s="88">
        <f ca="1">SUMIFS(INDIRECT(VLOOKUP($L14,NFI,4,0)),NFI_Pipeline_State,$C$6)</f>
        <v>0</v>
      </c>
      <c r="AC21" s="87">
        <f ca="1">AB21/N14</f>
        <v>0</v>
      </c>
      <c r="AD21" s="89">
        <f ca="1">IF((N14-(O14+Q14+AB21))&lt;0,0,(N14-(O14+Q14+AB21)))</f>
        <v>4931</v>
      </c>
      <c r="AE21" s="90">
        <f ca="1">AD21/N14</f>
        <v>0.8884684684684685</v>
      </c>
      <c r="AF21" s="277"/>
    </row>
    <row r="22" spans="2:32" x14ac:dyDescent="0.25">
      <c r="B22" s="283"/>
      <c r="C22" s="39"/>
      <c r="D22" s="39"/>
      <c r="E22" s="39"/>
      <c r="F22" s="39"/>
      <c r="G22" s="39"/>
      <c r="H22" s="39"/>
      <c r="I22" s="39"/>
      <c r="J22" s="39"/>
      <c r="K22" s="39"/>
      <c r="L22" s="39"/>
      <c r="M22" s="39"/>
      <c r="N22" s="39"/>
      <c r="O22" s="39"/>
      <c r="P22" s="39"/>
      <c r="Q22" s="39"/>
      <c r="R22" s="39"/>
      <c r="S22" s="39"/>
      <c r="T22" s="277"/>
      <c r="W22" s="48"/>
      <c r="X22" s="1"/>
      <c r="Y22" s="283"/>
      <c r="Z22" s="88">
        <f ca="1">IF((N15-(SUM(O15:Q15)))&lt;0,0,(N15-(SUM(O15:Q15))))</f>
        <v>2483.8516216216217</v>
      </c>
      <c r="AA22" s="480">
        <f ca="1">Z22/N15</f>
        <v>0.67131124908692474</v>
      </c>
      <c r="AB22" s="88">
        <f ca="1">SUMIFS(INDIRECT(VLOOKUP($L15,NFI,4,0)),NFI_Pipeline_State,$C$6)</f>
        <v>0</v>
      </c>
      <c r="AC22" s="87">
        <f ca="1">AB22/N15</f>
        <v>0</v>
      </c>
      <c r="AD22" s="89">
        <f ca="1">IF((N15-(O15+Q15+AB22))&lt;0,0,(N15-(O15+Q15+AB22)))</f>
        <v>2484</v>
      </c>
      <c r="AE22" s="90">
        <f ca="1">AD22/N15</f>
        <v>0.67135135135135138</v>
      </c>
      <c r="AF22" s="277"/>
    </row>
    <row r="23" spans="2:32" ht="15.75" thickBot="1" x14ac:dyDescent="0.3">
      <c r="B23" s="283"/>
      <c r="C23" s="39"/>
      <c r="D23" s="39"/>
      <c r="E23" s="39"/>
      <c r="F23" s="39"/>
      <c r="G23" s="39"/>
      <c r="H23" s="39"/>
      <c r="I23" s="39"/>
      <c r="J23" s="39"/>
      <c r="K23" s="39"/>
      <c r="L23" s="39"/>
      <c r="M23" s="39"/>
      <c r="N23" s="39"/>
      <c r="O23" s="39"/>
      <c r="P23" s="39"/>
      <c r="Q23" s="39"/>
      <c r="R23" s="39"/>
      <c r="S23" s="39"/>
      <c r="T23" s="277"/>
      <c r="W23" s="267"/>
      <c r="X23" s="268"/>
      <c r="Y23" s="284"/>
      <c r="Z23" s="269"/>
      <c r="AA23" s="269"/>
      <c r="AB23" s="269"/>
      <c r="AC23" s="269"/>
      <c r="AD23" s="269"/>
      <c r="AE23" s="269"/>
      <c r="AF23" s="282"/>
    </row>
    <row r="24" spans="2:32" x14ac:dyDescent="0.25">
      <c r="B24" s="283"/>
      <c r="C24" s="39"/>
      <c r="D24" s="39"/>
      <c r="E24" s="39"/>
      <c r="F24" s="39"/>
      <c r="G24" s="39"/>
      <c r="H24" s="39"/>
      <c r="I24" s="39"/>
      <c r="J24" s="39"/>
      <c r="K24" s="39"/>
      <c r="L24" s="39"/>
      <c r="M24" s="39"/>
      <c r="N24" s="39"/>
      <c r="O24" s="39"/>
      <c r="P24" s="39"/>
      <c r="Q24" s="39"/>
      <c r="R24" s="39"/>
      <c r="S24" s="39"/>
      <c r="T24" s="277"/>
      <c r="Y24" s="1"/>
    </row>
    <row r="25" spans="2:32" x14ac:dyDescent="0.25">
      <c r="B25" s="283"/>
      <c r="C25" s="39"/>
      <c r="D25" s="39"/>
      <c r="E25" s="39"/>
      <c r="F25" s="39"/>
      <c r="G25" s="39"/>
      <c r="H25" s="39"/>
      <c r="I25" s="39"/>
      <c r="J25" s="39"/>
      <c r="K25" s="39"/>
      <c r="L25" s="39"/>
      <c r="M25" s="39"/>
      <c r="N25" s="39"/>
      <c r="O25" s="39"/>
      <c r="P25" s="39"/>
      <c r="Q25" s="39"/>
      <c r="R25" s="39"/>
      <c r="S25" s="39"/>
      <c r="T25" s="277"/>
      <c r="Y25" s="1"/>
    </row>
    <row r="26" spans="2:32" x14ac:dyDescent="0.25">
      <c r="B26" s="283"/>
      <c r="C26" s="39"/>
      <c r="D26" s="39"/>
      <c r="E26" s="39"/>
      <c r="F26" s="39"/>
      <c r="G26" s="39"/>
      <c r="H26" s="39"/>
      <c r="I26" s="39"/>
      <c r="J26" s="39"/>
      <c r="K26" s="39"/>
      <c r="L26" s="39"/>
      <c r="M26" s="39"/>
      <c r="N26" s="39"/>
      <c r="O26" s="39"/>
      <c r="P26" s="39"/>
      <c r="Q26" s="39"/>
      <c r="R26" s="39"/>
      <c r="S26" s="39"/>
      <c r="T26" s="277"/>
    </row>
    <row r="27" spans="2:32" x14ac:dyDescent="0.25">
      <c r="B27" s="283"/>
      <c r="C27" s="39"/>
      <c r="D27" s="39"/>
      <c r="E27" s="39"/>
      <c r="F27" s="39"/>
      <c r="G27" s="39"/>
      <c r="H27" s="39"/>
      <c r="I27" s="39"/>
      <c r="J27" s="39"/>
      <c r="K27" s="39"/>
      <c r="L27" s="39"/>
      <c r="M27" s="39"/>
      <c r="N27" s="39"/>
      <c r="O27" s="39"/>
      <c r="P27" s="39"/>
      <c r="Q27" s="39"/>
      <c r="R27" s="39"/>
      <c r="S27" s="39"/>
      <c r="T27" s="277"/>
    </row>
    <row r="28" spans="2:32" x14ac:dyDescent="0.25">
      <c r="B28" s="283"/>
      <c r="C28" s="39"/>
      <c r="D28" s="39"/>
      <c r="E28" s="39"/>
      <c r="F28" s="39"/>
      <c r="G28" s="39"/>
      <c r="H28" s="39"/>
      <c r="I28" s="39"/>
      <c r="J28" s="39"/>
      <c r="K28" s="39"/>
      <c r="L28" s="39"/>
      <c r="M28" s="39"/>
      <c r="N28" s="39"/>
      <c r="O28" s="39"/>
      <c r="P28" s="39"/>
      <c r="Q28" s="39"/>
      <c r="R28" s="39"/>
      <c r="S28" s="39"/>
      <c r="T28" s="277"/>
    </row>
    <row r="29" spans="2:32" x14ac:dyDescent="0.25">
      <c r="B29" s="283"/>
      <c r="C29" s="39"/>
      <c r="D29" s="39"/>
      <c r="E29" s="39"/>
      <c r="F29" s="39"/>
      <c r="G29" s="39"/>
      <c r="H29" s="39"/>
      <c r="I29" s="39"/>
      <c r="J29" s="39"/>
      <c r="K29" s="39"/>
      <c r="L29" s="39"/>
      <c r="M29" s="39"/>
      <c r="N29" s="39"/>
      <c r="O29" s="39"/>
      <c r="P29" s="39"/>
      <c r="Q29" s="39"/>
      <c r="R29" s="39"/>
      <c r="S29" s="39"/>
      <c r="T29" s="277"/>
    </row>
    <row r="30" spans="2:32" x14ac:dyDescent="0.25">
      <c r="B30" s="283"/>
      <c r="C30" s="39"/>
      <c r="D30" s="39"/>
      <c r="E30" s="39"/>
      <c r="F30" s="39"/>
      <c r="G30" s="39"/>
      <c r="H30" s="39"/>
      <c r="I30" s="39"/>
      <c r="J30" s="39"/>
      <c r="K30" s="39"/>
      <c r="L30" s="39"/>
      <c r="M30" s="39"/>
      <c r="N30" s="39"/>
      <c r="O30" s="39"/>
      <c r="P30" s="39"/>
      <c r="Q30" s="39"/>
      <c r="R30" s="39"/>
      <c r="S30" s="39"/>
      <c r="T30" s="277"/>
    </row>
    <row r="31" spans="2:32" x14ac:dyDescent="0.25">
      <c r="B31" s="283"/>
      <c r="C31" s="39"/>
      <c r="D31" s="39"/>
      <c r="E31" s="39"/>
      <c r="F31" s="39"/>
      <c r="G31" s="39"/>
      <c r="H31" s="39"/>
      <c r="I31" s="39"/>
      <c r="J31" s="39"/>
      <c r="K31" s="39"/>
      <c r="L31" s="39"/>
      <c r="M31" s="39"/>
      <c r="N31" s="39"/>
      <c r="O31" s="39"/>
      <c r="P31" s="39"/>
      <c r="Q31" s="39"/>
      <c r="R31" s="39"/>
      <c r="S31" s="39"/>
      <c r="T31" s="277"/>
    </row>
    <row r="32" spans="2:32" s="129" customFormat="1" x14ac:dyDescent="0.25">
      <c r="B32" s="283"/>
      <c r="C32" s="39"/>
      <c r="D32" s="39"/>
      <c r="E32" s="39"/>
      <c r="F32" s="39"/>
      <c r="G32" s="39"/>
      <c r="H32" s="39"/>
      <c r="I32" s="39"/>
      <c r="J32" s="39"/>
      <c r="K32" s="39"/>
      <c r="L32" s="39"/>
      <c r="M32" s="39"/>
      <c r="N32" s="39"/>
      <c r="O32" s="39"/>
      <c r="P32" s="39"/>
      <c r="Q32" s="39"/>
      <c r="R32" s="39"/>
      <c r="S32" s="39"/>
      <c r="T32" s="277"/>
    </row>
    <row r="33" spans="2:20" s="129" customFormat="1" x14ac:dyDescent="0.25">
      <c r="B33" s="283"/>
      <c r="C33" s="39"/>
      <c r="D33" s="39"/>
      <c r="E33" s="39"/>
      <c r="F33" s="39"/>
      <c r="G33" s="39"/>
      <c r="H33" s="39"/>
      <c r="I33" s="39"/>
      <c r="J33" s="39"/>
      <c r="K33" s="39"/>
      <c r="L33" s="39"/>
      <c r="M33" s="39"/>
      <c r="N33" s="39"/>
      <c r="O33" s="39"/>
      <c r="P33" s="39"/>
      <c r="Q33" s="39"/>
      <c r="R33" s="39"/>
      <c r="S33" s="39"/>
      <c r="T33" s="277"/>
    </row>
    <row r="34" spans="2:20" x14ac:dyDescent="0.25">
      <c r="B34" s="283"/>
      <c r="C34" s="39"/>
      <c r="D34" s="39"/>
      <c r="E34" s="39"/>
      <c r="F34" s="39"/>
      <c r="G34" s="39"/>
      <c r="H34" s="39"/>
      <c r="I34" s="39"/>
      <c r="J34" s="39"/>
      <c r="K34" s="39"/>
      <c r="L34" s="39"/>
      <c r="M34" s="39"/>
      <c r="N34" s="39"/>
      <c r="O34" s="39"/>
      <c r="P34" s="39"/>
      <c r="Q34" s="39"/>
      <c r="R34" s="39"/>
      <c r="S34" s="39"/>
      <c r="T34" s="277"/>
    </row>
    <row r="35" spans="2:20" x14ac:dyDescent="0.25">
      <c r="B35" s="283"/>
      <c r="C35" s="39"/>
      <c r="D35" s="39"/>
      <c r="E35" s="39"/>
      <c r="F35" s="39"/>
      <c r="G35" s="39"/>
      <c r="H35" s="39"/>
      <c r="I35" s="39"/>
      <c r="J35" s="39"/>
      <c r="K35" s="39"/>
      <c r="L35" s="39"/>
      <c r="M35" s="39"/>
      <c r="N35" s="39"/>
      <c r="O35" s="39"/>
      <c r="P35" s="39"/>
      <c r="Q35" s="39"/>
      <c r="R35" s="39"/>
      <c r="S35" s="39"/>
      <c r="T35" s="277"/>
    </row>
    <row r="36" spans="2:20" x14ac:dyDescent="0.25">
      <c r="B36" s="283"/>
      <c r="C36" s="39"/>
      <c r="D36" s="39"/>
      <c r="E36" s="39"/>
      <c r="F36" s="39"/>
      <c r="G36" s="39"/>
      <c r="H36" s="39"/>
      <c r="I36" s="39"/>
      <c r="J36" s="39"/>
      <c r="K36" s="39"/>
      <c r="L36" s="39"/>
      <c r="M36" s="39"/>
      <c r="N36" s="39"/>
      <c r="O36" s="39"/>
      <c r="P36" s="39"/>
      <c r="Q36" s="39"/>
      <c r="R36" s="39"/>
      <c r="S36" s="39"/>
      <c r="T36" s="277"/>
    </row>
    <row r="37" spans="2:20" s="129" customFormat="1" x14ac:dyDescent="0.25">
      <c r="B37" s="283"/>
      <c r="C37" s="39"/>
      <c r="D37" s="39"/>
      <c r="E37" s="39"/>
      <c r="F37" s="39"/>
      <c r="G37" s="39"/>
      <c r="H37" s="39"/>
      <c r="I37" s="39"/>
      <c r="J37" s="39"/>
      <c r="K37" s="39"/>
      <c r="L37" s="39"/>
      <c r="M37" s="39"/>
      <c r="N37" s="39"/>
      <c r="O37" s="39"/>
      <c r="P37" s="39"/>
      <c r="Q37" s="39"/>
      <c r="R37" s="39"/>
      <c r="S37" s="39"/>
      <c r="T37" s="277"/>
    </row>
    <row r="38" spans="2:20" s="129" customFormat="1" x14ac:dyDescent="0.25">
      <c r="B38" s="283"/>
      <c r="C38" s="39"/>
      <c r="D38" s="39"/>
      <c r="E38" s="39"/>
      <c r="F38" s="39"/>
      <c r="G38" s="39"/>
      <c r="H38" s="39"/>
      <c r="I38" s="39"/>
      <c r="J38" s="39"/>
      <c r="K38" s="39"/>
      <c r="L38" s="39"/>
      <c r="M38" s="39"/>
      <c r="N38" s="39"/>
      <c r="O38" s="39"/>
      <c r="P38" s="39"/>
      <c r="Q38" s="39"/>
      <c r="R38" s="39"/>
      <c r="S38" s="39"/>
      <c r="T38" s="277"/>
    </row>
    <row r="39" spans="2:20" ht="20.25" customHeight="1" x14ac:dyDescent="0.25">
      <c r="B39" s="283"/>
      <c r="C39" s="39"/>
      <c r="D39" s="39"/>
      <c r="E39" s="39"/>
      <c r="F39" s="39"/>
      <c r="G39" s="39"/>
      <c r="H39" s="39"/>
      <c r="I39" s="39"/>
      <c r="J39" s="39"/>
      <c r="K39" s="39"/>
      <c r="L39" s="39"/>
      <c r="M39" s="39"/>
      <c r="N39" s="39"/>
      <c r="O39" s="39"/>
      <c r="P39" s="39"/>
      <c r="Q39" s="39"/>
      <c r="R39" s="39"/>
      <c r="S39" s="39"/>
      <c r="T39" s="277"/>
    </row>
    <row r="40" spans="2:20" ht="14.25" customHeight="1" thickBot="1" x14ac:dyDescent="0.3">
      <c r="B40" s="284"/>
      <c r="C40" s="269"/>
      <c r="D40" s="269"/>
      <c r="E40" s="269"/>
      <c r="F40" s="269"/>
      <c r="G40" s="269"/>
      <c r="H40" s="269"/>
      <c r="I40" s="269"/>
      <c r="J40" s="269"/>
      <c r="K40" s="269"/>
      <c r="L40" s="269"/>
      <c r="M40" s="269"/>
      <c r="N40" s="269"/>
      <c r="O40" s="269"/>
      <c r="P40" s="269"/>
      <c r="Q40" s="269"/>
      <c r="R40" s="269"/>
      <c r="S40" s="269"/>
      <c r="T40" s="282"/>
    </row>
    <row r="41" spans="2:20" x14ac:dyDescent="0.25">
      <c r="C41" s="6"/>
      <c r="D41" s="6"/>
      <c r="E41" s="6"/>
      <c r="F41" s="6"/>
      <c r="G41" s="6"/>
      <c r="H41" s="6"/>
      <c r="I41" s="6"/>
      <c r="J41" s="6"/>
      <c r="K41" s="6"/>
      <c r="L41" s="6"/>
      <c r="M41" s="6"/>
      <c r="N41" s="6"/>
      <c r="O41" s="6"/>
      <c r="P41" s="6"/>
      <c r="Q41" s="6"/>
    </row>
    <row r="43" spans="2:20" ht="3.75" customHeight="1" x14ac:dyDescent="0.25"/>
    <row r="44" spans="2:20" x14ac:dyDescent="0.25">
      <c r="J44" s="38"/>
      <c r="K44" s="38"/>
    </row>
    <row r="49" spans="3:10" x14ac:dyDescent="0.25">
      <c r="C49"/>
      <c r="D49"/>
      <c r="E49"/>
      <c r="F49"/>
      <c r="G49"/>
      <c r="H49"/>
      <c r="I49"/>
      <c r="J49"/>
    </row>
    <row r="80" spans="3:10" x14ac:dyDescent="0.25">
      <c r="C80"/>
      <c r="D80"/>
      <c r="E80"/>
      <c r="F80"/>
      <c r="G80"/>
      <c r="H80"/>
      <c r="I80"/>
      <c r="J80"/>
    </row>
    <row r="81" spans="3:10" x14ac:dyDescent="0.25">
      <c r="C81"/>
      <c r="D81"/>
      <c r="E81"/>
      <c r="F81"/>
      <c r="G81"/>
      <c r="H81"/>
      <c r="I81"/>
      <c r="J81"/>
    </row>
    <row r="82" spans="3:10" x14ac:dyDescent="0.25">
      <c r="C82"/>
      <c r="D82"/>
      <c r="E82"/>
      <c r="F82"/>
      <c r="G82"/>
      <c r="H82"/>
      <c r="I82"/>
      <c r="J82"/>
    </row>
    <row r="83" spans="3:10" x14ac:dyDescent="0.25">
      <c r="C83"/>
      <c r="D83"/>
      <c r="E83"/>
      <c r="F83"/>
      <c r="G83"/>
      <c r="H83"/>
      <c r="I83"/>
      <c r="J83"/>
    </row>
    <row r="84" spans="3:10" x14ac:dyDescent="0.25">
      <c r="C84"/>
      <c r="D84"/>
      <c r="E84"/>
      <c r="F84"/>
      <c r="G84"/>
      <c r="H84"/>
      <c r="I84"/>
      <c r="J84"/>
    </row>
    <row r="85" spans="3:10" x14ac:dyDescent="0.25">
      <c r="C85"/>
      <c r="D85"/>
      <c r="E85"/>
      <c r="F85"/>
      <c r="G85"/>
      <c r="H85"/>
      <c r="I85"/>
      <c r="J85"/>
    </row>
    <row r="86" spans="3:10" x14ac:dyDescent="0.25">
      <c r="C86"/>
      <c r="D86"/>
      <c r="E86"/>
      <c r="F86"/>
      <c r="G86"/>
      <c r="H86"/>
      <c r="I86"/>
      <c r="J86"/>
    </row>
    <row r="87" spans="3:10" x14ac:dyDescent="0.25">
      <c r="C87"/>
      <c r="D87"/>
      <c r="E87"/>
      <c r="F87"/>
      <c r="G87"/>
      <c r="H87"/>
      <c r="I87"/>
      <c r="J87"/>
    </row>
    <row r="88" spans="3:10" x14ac:dyDescent="0.25">
      <c r="C88"/>
      <c r="D88"/>
      <c r="E88"/>
      <c r="F88"/>
      <c r="G88"/>
      <c r="H88"/>
      <c r="I88"/>
      <c r="J88"/>
    </row>
    <row r="89" spans="3:10" x14ac:dyDescent="0.25">
      <c r="C89"/>
      <c r="D89"/>
      <c r="E89"/>
      <c r="F89"/>
      <c r="G89"/>
      <c r="H89"/>
      <c r="I89"/>
      <c r="J89"/>
    </row>
    <row r="90" spans="3:10" x14ac:dyDescent="0.25">
      <c r="C90"/>
      <c r="D90"/>
      <c r="E90"/>
      <c r="F90"/>
      <c r="G90"/>
      <c r="H90"/>
      <c r="I90"/>
      <c r="J90"/>
    </row>
    <row r="91" spans="3:10" x14ac:dyDescent="0.25">
      <c r="C91"/>
      <c r="D91"/>
      <c r="E91"/>
      <c r="F91"/>
      <c r="G91"/>
      <c r="H91"/>
      <c r="I91"/>
      <c r="J91"/>
    </row>
    <row r="92" spans="3:10" x14ac:dyDescent="0.25">
      <c r="C92"/>
      <c r="D92"/>
      <c r="E92"/>
      <c r="F92"/>
      <c r="G92"/>
      <c r="H92"/>
      <c r="I92"/>
      <c r="J92"/>
    </row>
    <row r="93" spans="3:10" x14ac:dyDescent="0.25">
      <c r="C93"/>
      <c r="D93"/>
      <c r="E93"/>
      <c r="F93"/>
      <c r="G93"/>
      <c r="H93"/>
      <c r="I93"/>
      <c r="J93"/>
    </row>
    <row r="94" spans="3:10" x14ac:dyDescent="0.25">
      <c r="C94"/>
      <c r="D94"/>
      <c r="E94"/>
      <c r="F94"/>
      <c r="G94"/>
      <c r="H94"/>
      <c r="I94"/>
      <c r="J94"/>
    </row>
    <row r="95" spans="3:10" x14ac:dyDescent="0.25">
      <c r="C95"/>
      <c r="D95"/>
      <c r="E95"/>
      <c r="F95"/>
      <c r="G95"/>
      <c r="H95"/>
      <c r="I95"/>
      <c r="J95"/>
    </row>
    <row r="96" spans="3:10" x14ac:dyDescent="0.25">
      <c r="C96"/>
      <c r="D96"/>
      <c r="E96"/>
      <c r="F96"/>
      <c r="G96"/>
      <c r="H96"/>
      <c r="I96"/>
      <c r="J96"/>
    </row>
    <row r="97" spans="3:10" x14ac:dyDescent="0.25">
      <c r="C97"/>
      <c r="D97"/>
      <c r="E97"/>
      <c r="F97"/>
      <c r="G97"/>
      <c r="H97"/>
      <c r="I97"/>
      <c r="J97"/>
    </row>
    <row r="98" spans="3:10" x14ac:dyDescent="0.25">
      <c r="C98"/>
      <c r="D98"/>
      <c r="E98"/>
      <c r="F98"/>
      <c r="G98"/>
      <c r="H98"/>
      <c r="I98"/>
      <c r="J98"/>
    </row>
    <row r="99" spans="3:10" x14ac:dyDescent="0.25">
      <c r="C99"/>
      <c r="D99"/>
      <c r="E99"/>
      <c r="F99"/>
      <c r="G99"/>
      <c r="H99"/>
      <c r="I99"/>
      <c r="J99"/>
    </row>
    <row r="100" spans="3:10" x14ac:dyDescent="0.25">
      <c r="C100"/>
      <c r="D100"/>
      <c r="E100"/>
      <c r="F100"/>
      <c r="G100"/>
      <c r="H100"/>
      <c r="I100"/>
      <c r="J100"/>
    </row>
    <row r="101" spans="3:10" x14ac:dyDescent="0.25">
      <c r="C101"/>
      <c r="D101"/>
      <c r="E101"/>
      <c r="F101"/>
      <c r="G101"/>
      <c r="H101"/>
      <c r="I101"/>
      <c r="J101"/>
    </row>
    <row r="102" spans="3:10" x14ac:dyDescent="0.25">
      <c r="C102"/>
      <c r="D102"/>
      <c r="E102"/>
      <c r="F102"/>
      <c r="G102"/>
      <c r="H102"/>
      <c r="I102"/>
      <c r="J102"/>
    </row>
  </sheetData>
  <mergeCells count="1">
    <mergeCell ref="C5:H5"/>
  </mergeCells>
  <printOptions horizontalCentered="1" verticalCentered="1"/>
  <pageMargins left="0.19685039370078741" right="0.19685039370078741" top="0.19685039370078741" bottom="0.19685039370078741" header="0" footer="0"/>
  <pageSetup paperSize="9" orientation="landscape"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800"/>
    <pageSetUpPr fitToPage="1"/>
  </sheetPr>
  <dimension ref="A1:DH52"/>
  <sheetViews>
    <sheetView zoomScale="50" zoomScaleNormal="50" zoomScalePageLayoutView="50" workbookViewId="0">
      <selection activeCell="AA4" sqref="AA4"/>
    </sheetView>
  </sheetViews>
  <sheetFormatPr defaultColWidth="9.140625" defaultRowHeight="12" customHeight="1" x14ac:dyDescent="0.35"/>
  <cols>
    <col min="1" max="1" width="12.7109375" style="4" customWidth="1"/>
    <col min="2" max="2" width="12.28515625" style="4" customWidth="1"/>
    <col min="3" max="4" width="8.5703125" style="4" customWidth="1"/>
    <col min="5" max="5" width="9.42578125" style="4" customWidth="1"/>
    <col min="6" max="6" width="9.85546875" style="4" customWidth="1"/>
    <col min="7" max="7" width="8.140625" style="4" customWidth="1"/>
    <col min="8" max="8" width="8.42578125" style="4" customWidth="1"/>
    <col min="9" max="10" width="7.140625" style="4" customWidth="1"/>
    <col min="11" max="11" width="10.42578125" style="4" bestFit="1" customWidth="1"/>
    <col min="12" max="12" width="5.5703125" style="4" bestFit="1" customWidth="1"/>
    <col min="13" max="18" width="4.28515625" style="4" customWidth="1"/>
    <col min="19" max="19" width="14.42578125" style="4" customWidth="1"/>
    <col min="20" max="20" width="14.42578125" style="158" customWidth="1"/>
    <col min="21" max="21" width="19.28515625" style="158" customWidth="1"/>
    <col min="22" max="24" width="9.28515625" style="158" customWidth="1"/>
    <col min="25" max="25" width="15.5703125" style="158" customWidth="1"/>
    <col min="26" max="26" width="9.28515625" style="158" customWidth="1"/>
    <col min="27" max="27" width="24.7109375" style="158" customWidth="1"/>
    <col min="28" max="33" width="9.28515625" style="158" customWidth="1"/>
    <col min="34" max="97" width="14.42578125" style="4" customWidth="1"/>
    <col min="98" max="109" width="14.42578125" style="18" customWidth="1"/>
    <col min="110" max="110" width="12.7109375" style="18" customWidth="1"/>
    <col min="111" max="111" width="9.140625" style="18"/>
    <col min="112" max="112" width="11.42578125" style="18" customWidth="1"/>
    <col min="113" max="113" width="6.140625" style="4" customWidth="1"/>
    <col min="114" max="114" width="5.85546875" style="4" customWidth="1"/>
    <col min="115" max="16384" width="9.140625" style="4"/>
  </cols>
  <sheetData>
    <row r="1" spans="15:112" ht="18.75" customHeight="1" thickBot="1" x14ac:dyDescent="0.4">
      <c r="O1" s="18"/>
      <c r="P1" s="18"/>
      <c r="S1" s="18">
        <v>23.5</v>
      </c>
      <c r="T1" s="154" t="s">
        <v>556</v>
      </c>
      <c r="U1" s="155"/>
      <c r="V1" s="155"/>
      <c r="W1" s="155"/>
      <c r="X1" s="155"/>
      <c r="Y1" s="155"/>
      <c r="Z1" s="155"/>
      <c r="AA1" s="156" t="s">
        <v>449</v>
      </c>
      <c r="AB1" s="154" t="s">
        <v>450</v>
      </c>
      <c r="AC1" s="155"/>
      <c r="AD1" s="157"/>
      <c r="CT1" s="4"/>
      <c r="CU1" s="4"/>
      <c r="CV1" s="4"/>
      <c r="CW1" s="4"/>
      <c r="CX1" s="4"/>
      <c r="CY1" s="4"/>
      <c r="CZ1" s="4"/>
      <c r="DA1" s="4"/>
      <c r="DB1" s="4"/>
      <c r="DC1" s="4"/>
      <c r="DD1" s="4"/>
      <c r="DE1" s="4"/>
      <c r="DF1" s="4"/>
      <c r="DG1" s="4"/>
      <c r="DH1" s="4"/>
    </row>
    <row r="2" spans="15:112" ht="18.75" customHeight="1" x14ac:dyDescent="0.35">
      <c r="O2" s="18"/>
      <c r="P2" s="18"/>
      <c r="S2" s="18">
        <v>96.5</v>
      </c>
      <c r="T2" s="159" t="s">
        <v>560</v>
      </c>
      <c r="U2" s="160" t="s">
        <v>0</v>
      </c>
      <c r="V2" s="160" t="s">
        <v>562</v>
      </c>
      <c r="W2" s="161" t="s">
        <v>561</v>
      </c>
      <c r="X2" s="159" t="s">
        <v>565</v>
      </c>
      <c r="Y2" s="160" t="s">
        <v>566</v>
      </c>
      <c r="Z2" s="162" t="s">
        <v>577</v>
      </c>
      <c r="AA2" s="163" t="s">
        <v>442</v>
      </c>
      <c r="AB2" s="164" t="s">
        <v>557</v>
      </c>
      <c r="AC2" s="160" t="s">
        <v>558</v>
      </c>
      <c r="AD2" s="162" t="s">
        <v>559</v>
      </c>
      <c r="AE2" s="165" t="s">
        <v>563</v>
      </c>
      <c r="AF2" s="166" t="s">
        <v>564</v>
      </c>
      <c r="AG2" s="167" t="s">
        <v>567</v>
      </c>
      <c r="CT2" s="4"/>
      <c r="CU2" s="4"/>
      <c r="CV2" s="4"/>
      <c r="CW2" s="4"/>
      <c r="CX2" s="4"/>
      <c r="CY2" s="4"/>
      <c r="CZ2" s="4"/>
      <c r="DA2" s="4"/>
      <c r="DB2" s="4"/>
      <c r="DC2" s="4"/>
      <c r="DD2" s="4"/>
      <c r="DE2" s="4"/>
      <c r="DF2" s="4"/>
      <c r="DG2" s="4"/>
      <c r="DH2" s="4"/>
    </row>
    <row r="3" spans="15:112" ht="18.75" customHeight="1" x14ac:dyDescent="0.35">
      <c r="O3" s="18"/>
      <c r="P3" s="18"/>
      <c r="S3" s="18">
        <v>600</v>
      </c>
      <c r="T3" s="168" t="s">
        <v>532</v>
      </c>
      <c r="U3" s="169" t="s">
        <v>5</v>
      </c>
      <c r="V3" s="168">
        <v>97.12</v>
      </c>
      <c r="W3" s="169">
        <v>24.3</v>
      </c>
      <c r="X3" s="169">
        <f>'CCCM Dashboard'!D12</f>
        <v>1548</v>
      </c>
      <c r="Y3" s="170">
        <f>'CCCM Dashboard'!E12</f>
        <v>8110</v>
      </c>
      <c r="Z3" s="171" t="str">
        <f t="shared" ref="Z3:Z23" si="0">CONCATENATE(AG3, " cp",IF(AG3&gt;1,"s",""))</f>
        <v>11 cps</v>
      </c>
      <c r="AA3" s="172" t="e">
        <f>'Shelter Coverage &amp; Gaps'!#REF!</f>
        <v>#REF!</v>
      </c>
      <c r="AB3" s="172">
        <v>0</v>
      </c>
      <c r="AC3" s="172">
        <v>0</v>
      </c>
      <c r="AD3" s="172">
        <v>0</v>
      </c>
      <c r="AE3" s="173">
        <f t="shared" ref="AE3:AE23" si="1">$S$3-ROUND((W3-$S$1)*$S$5,0)</f>
        <v>496</v>
      </c>
      <c r="AF3" s="174">
        <f t="shared" ref="AF3:AF23" si="2">ROUND((V3-$S$2)*$S$5,0)+$S$4</f>
        <v>181</v>
      </c>
      <c r="AG3" s="175">
        <f>'CCCM Dashboard'!F12</f>
        <v>11</v>
      </c>
      <c r="CT3" s="4"/>
      <c r="CU3" s="4"/>
      <c r="CV3" s="4"/>
      <c r="CW3" s="4"/>
      <c r="CX3" s="4"/>
      <c r="CY3" s="4"/>
      <c r="CZ3" s="4"/>
      <c r="DA3" s="4"/>
      <c r="DB3" s="4"/>
      <c r="DC3" s="4"/>
      <c r="DD3" s="4"/>
      <c r="DE3" s="4"/>
      <c r="DF3" s="4"/>
      <c r="DG3" s="4"/>
      <c r="DH3" s="4"/>
    </row>
    <row r="4" spans="15:112" ht="18.75" customHeight="1" x14ac:dyDescent="0.35">
      <c r="O4" s="18"/>
      <c r="P4" s="18"/>
      <c r="S4" s="18">
        <v>100</v>
      </c>
      <c r="T4" s="176" t="s">
        <v>536</v>
      </c>
      <c r="U4" s="169" t="s">
        <v>27</v>
      </c>
      <c r="V4" s="176">
        <v>98.322799999999987</v>
      </c>
      <c r="W4" s="169">
        <v>25.917999999999999</v>
      </c>
      <c r="X4" s="169">
        <f>'CCCM Dashboard'!D13</f>
        <v>501</v>
      </c>
      <c r="Y4" s="170">
        <f>'CCCM Dashboard'!E13</f>
        <v>2570</v>
      </c>
      <c r="Z4" s="171" t="str">
        <f t="shared" si="0"/>
        <v>6 cps</v>
      </c>
      <c r="AA4" s="172" t="e">
        <f>'Shelter Coverage &amp; Gaps'!#REF!</f>
        <v>#REF!</v>
      </c>
      <c r="AB4" s="172">
        <v>1</v>
      </c>
      <c r="AC4" s="172">
        <v>0</v>
      </c>
      <c r="AD4" s="172">
        <v>0.95387840670859536</v>
      </c>
      <c r="AE4" s="173">
        <f t="shared" si="1"/>
        <v>286</v>
      </c>
      <c r="AF4" s="174">
        <f t="shared" si="2"/>
        <v>337</v>
      </c>
      <c r="AG4" s="175">
        <f>'CCCM Dashboard'!F13</f>
        <v>6</v>
      </c>
      <c r="CT4" s="4"/>
      <c r="CU4" s="4"/>
      <c r="CV4" s="4"/>
      <c r="CW4" s="4"/>
      <c r="CX4" s="4"/>
      <c r="CY4" s="4"/>
      <c r="CZ4" s="4"/>
      <c r="DA4" s="4"/>
      <c r="DB4" s="4"/>
      <c r="DC4" s="4"/>
      <c r="DD4" s="4"/>
      <c r="DE4" s="4"/>
      <c r="DF4" s="4"/>
      <c r="DG4" s="4"/>
      <c r="DH4" s="4"/>
    </row>
    <row r="5" spans="15:112" ht="18.75" customHeight="1" x14ac:dyDescent="0.35">
      <c r="O5" s="18"/>
      <c r="P5" s="18"/>
      <c r="S5" s="18">
        <v>130</v>
      </c>
      <c r="T5" s="168" t="s">
        <v>530</v>
      </c>
      <c r="U5" s="169" t="s">
        <v>529</v>
      </c>
      <c r="V5" s="168">
        <v>96.373750000000001</v>
      </c>
      <c r="W5" s="169">
        <v>25.9</v>
      </c>
      <c r="X5" s="169">
        <f>'CCCM Dashboard'!D14</f>
        <v>724</v>
      </c>
      <c r="Y5" s="170">
        <f>'CCCM Dashboard'!E14</f>
        <v>3566</v>
      </c>
      <c r="Z5" s="171" t="str">
        <f t="shared" si="0"/>
        <v>20 cps</v>
      </c>
      <c r="AA5" s="172" t="e">
        <f>'Shelter Coverage &amp; Gaps'!#REF!</f>
        <v>#REF!</v>
      </c>
      <c r="AB5" s="172">
        <v>0.69172932330827064</v>
      </c>
      <c r="AC5" s="172">
        <v>0</v>
      </c>
      <c r="AD5" s="172">
        <v>1</v>
      </c>
      <c r="AE5" s="173">
        <f t="shared" si="1"/>
        <v>288</v>
      </c>
      <c r="AF5" s="174">
        <f t="shared" si="2"/>
        <v>84</v>
      </c>
      <c r="AG5" s="175">
        <f>'CCCM Dashboard'!F14</f>
        <v>20</v>
      </c>
      <c r="CT5" s="4"/>
      <c r="CU5" s="4"/>
      <c r="CV5" s="4"/>
      <c r="CW5" s="4"/>
      <c r="CX5" s="4"/>
      <c r="CY5" s="4"/>
      <c r="CZ5" s="4"/>
      <c r="DA5" s="4"/>
      <c r="DB5" s="4"/>
      <c r="DC5" s="4"/>
      <c r="DD5" s="4"/>
      <c r="DE5" s="4"/>
      <c r="DF5" s="4"/>
      <c r="DG5" s="4"/>
      <c r="DH5" s="4"/>
    </row>
    <row r="6" spans="15:112" ht="18.75" customHeight="1" x14ac:dyDescent="0.35">
      <c r="O6" s="18"/>
      <c r="P6" s="18"/>
      <c r="T6" s="176"/>
      <c r="U6" s="169" t="s">
        <v>784</v>
      </c>
      <c r="V6" s="177">
        <v>98.1</v>
      </c>
      <c r="W6" s="178">
        <v>23.28</v>
      </c>
      <c r="X6" s="169">
        <f>'CCCM Dashboard'!D15</f>
        <v>111</v>
      </c>
      <c r="Y6" s="170">
        <f>'CCCM Dashboard'!E15</f>
        <v>665</v>
      </c>
      <c r="Z6" s="171" t="str">
        <f>CONCATENATE(AG6, " cp",IF(AG6&gt;1,"s",""))</f>
        <v>2 cps</v>
      </c>
      <c r="AA6" s="172" t="e">
        <f>'Shelter Coverage &amp; Gaps'!#REF!</f>
        <v>#REF!</v>
      </c>
      <c r="AB6" s="172"/>
      <c r="AC6" s="172"/>
      <c r="AD6" s="172"/>
      <c r="AE6" s="173">
        <f t="shared" si="1"/>
        <v>629</v>
      </c>
      <c r="AF6" s="174">
        <f t="shared" si="2"/>
        <v>308</v>
      </c>
      <c r="AG6" s="175">
        <f>'CCCM Dashboard'!F15</f>
        <v>2</v>
      </c>
      <c r="AI6" s="18"/>
      <c r="CT6" s="4"/>
      <c r="CU6" s="4"/>
      <c r="CV6" s="4"/>
      <c r="CW6" s="4"/>
      <c r="CX6" s="4"/>
      <c r="CY6" s="4"/>
      <c r="CZ6" s="4"/>
      <c r="DA6" s="4"/>
      <c r="DB6" s="4"/>
      <c r="DC6" s="4"/>
      <c r="DD6" s="4"/>
      <c r="DE6" s="4"/>
      <c r="DF6" s="4"/>
      <c r="DG6" s="4"/>
      <c r="DH6" s="4"/>
    </row>
    <row r="7" spans="15:112" ht="18.75" customHeight="1" x14ac:dyDescent="0.35">
      <c r="O7" s="18"/>
      <c r="P7" s="18"/>
      <c r="T7" s="176" t="s">
        <v>550</v>
      </c>
      <c r="U7" s="169" t="s">
        <v>363</v>
      </c>
      <c r="V7" s="176">
        <v>97.89587301587305</v>
      </c>
      <c r="W7" s="169">
        <v>26.232698412698419</v>
      </c>
      <c r="X7" s="169">
        <f>'CCCM Dashboard'!D16</f>
        <v>0</v>
      </c>
      <c r="Y7" s="170">
        <f>'CCCM Dashboard'!E16</f>
        <v>0</v>
      </c>
      <c r="Z7" s="171" t="str">
        <f t="shared" si="0"/>
        <v>0 cp</v>
      </c>
      <c r="AA7" s="172" t="e">
        <f>'Shelter Coverage &amp; Gaps'!#REF!</f>
        <v>#REF!</v>
      </c>
      <c r="AB7" s="172">
        <v>0</v>
      </c>
      <c r="AC7" s="172">
        <v>0</v>
      </c>
      <c r="AD7" s="172">
        <v>0</v>
      </c>
      <c r="AE7" s="173">
        <f t="shared" si="1"/>
        <v>245</v>
      </c>
      <c r="AF7" s="174">
        <f t="shared" si="2"/>
        <v>281</v>
      </c>
      <c r="AG7" s="175">
        <f>'CCCM Dashboard'!F16</f>
        <v>0</v>
      </c>
      <c r="CT7" s="4"/>
      <c r="CU7" s="4"/>
      <c r="CV7" s="4"/>
      <c r="CW7" s="4"/>
      <c r="CX7" s="4"/>
      <c r="CY7" s="4"/>
      <c r="CZ7" s="4"/>
      <c r="DA7" s="4"/>
      <c r="DB7" s="4"/>
      <c r="DC7" s="4"/>
      <c r="DD7" s="4"/>
      <c r="DE7" s="4"/>
      <c r="DF7" s="4"/>
      <c r="DG7" s="4"/>
      <c r="DH7" s="4"/>
    </row>
    <row r="8" spans="15:112" ht="18.75" customHeight="1" x14ac:dyDescent="0.35">
      <c r="O8" s="18"/>
      <c r="P8" s="18"/>
      <c r="T8" s="168" t="s">
        <v>549</v>
      </c>
      <c r="U8" s="169" t="s">
        <v>144</v>
      </c>
      <c r="V8" s="168">
        <v>98.438571428571422</v>
      </c>
      <c r="W8" s="169">
        <v>27.1</v>
      </c>
      <c r="X8" s="169">
        <f>'CCCM Dashboard'!D17</f>
        <v>11</v>
      </c>
      <c r="Y8" s="170">
        <f>'CCCM Dashboard'!E17</f>
        <v>17</v>
      </c>
      <c r="Z8" s="171" t="str">
        <f t="shared" si="0"/>
        <v>1 cp</v>
      </c>
      <c r="AA8" s="172" t="e">
        <f>'Shelter Coverage &amp; Gaps'!#REF!</f>
        <v>#REF!</v>
      </c>
      <c r="AB8" s="172">
        <v>0</v>
      </c>
      <c r="AC8" s="172">
        <v>0</v>
      </c>
      <c r="AD8" s="172">
        <v>0</v>
      </c>
      <c r="AE8" s="173">
        <f t="shared" si="1"/>
        <v>132</v>
      </c>
      <c r="AF8" s="174">
        <f t="shared" si="2"/>
        <v>352</v>
      </c>
      <c r="AG8" s="175">
        <f>'CCCM Dashboard'!F17</f>
        <v>1</v>
      </c>
      <c r="CT8" s="4"/>
      <c r="CU8" s="4"/>
      <c r="CV8" s="4"/>
      <c r="CW8" s="4"/>
      <c r="CX8" s="4"/>
      <c r="CY8" s="4"/>
      <c r="CZ8" s="4"/>
      <c r="DA8" s="4"/>
      <c r="DB8" s="4"/>
      <c r="DC8" s="4"/>
      <c r="DD8" s="4"/>
      <c r="DE8" s="4"/>
      <c r="DF8" s="4"/>
      <c r="DG8" s="4"/>
      <c r="DH8" s="4"/>
    </row>
    <row r="9" spans="15:112" ht="18.75" customHeight="1" x14ac:dyDescent="0.35">
      <c r="O9" s="18"/>
      <c r="P9" s="18"/>
      <c r="T9" s="176" t="s">
        <v>546</v>
      </c>
      <c r="U9" s="169" t="s">
        <v>146</v>
      </c>
      <c r="V9" s="176">
        <v>98.1</v>
      </c>
      <c r="W9" s="169">
        <v>23.553031914893619</v>
      </c>
      <c r="X9" s="169">
        <f>'CCCM Dashboard'!D18</f>
        <v>700</v>
      </c>
      <c r="Y9" s="170">
        <f>'CCCM Dashboard'!E18</f>
        <v>3409</v>
      </c>
      <c r="Z9" s="171" t="str">
        <f t="shared" si="0"/>
        <v>9 cps</v>
      </c>
      <c r="AA9" s="172" t="e">
        <f>'Shelter Coverage &amp; Gaps'!#REF!</f>
        <v>#REF!</v>
      </c>
      <c r="AB9" s="172">
        <v>0</v>
      </c>
      <c r="AC9" s="172">
        <v>0</v>
      </c>
      <c r="AD9" s="172">
        <v>1</v>
      </c>
      <c r="AE9" s="173">
        <f t="shared" si="1"/>
        <v>593</v>
      </c>
      <c r="AF9" s="174">
        <f t="shared" si="2"/>
        <v>308</v>
      </c>
      <c r="AG9" s="175">
        <f>'CCCM Dashboard'!F18</f>
        <v>9</v>
      </c>
      <c r="CT9" s="4"/>
      <c r="CU9" s="4"/>
      <c r="CV9" s="4"/>
      <c r="CW9" s="4"/>
      <c r="CX9" s="4"/>
      <c r="CY9" s="4"/>
      <c r="CZ9" s="4"/>
      <c r="DA9" s="4"/>
      <c r="DB9" s="4"/>
      <c r="DC9" s="4"/>
      <c r="DD9" s="4"/>
      <c r="DE9" s="4"/>
      <c r="DF9" s="4"/>
      <c r="DG9" s="4"/>
      <c r="DH9" s="4"/>
    </row>
    <row r="10" spans="15:112" ht="18.75" customHeight="1" x14ac:dyDescent="0.35">
      <c r="O10" s="18"/>
      <c r="P10" s="18"/>
      <c r="T10" s="176"/>
      <c r="U10" s="169" t="s">
        <v>899</v>
      </c>
      <c r="V10" s="177">
        <v>97.88</v>
      </c>
      <c r="W10" s="178">
        <v>27.2</v>
      </c>
      <c r="X10" s="169">
        <f>'CCCM Dashboard'!D19</f>
        <v>0</v>
      </c>
      <c r="Y10" s="170">
        <f>'CCCM Dashboard'!E19</f>
        <v>0</v>
      </c>
      <c r="Z10" s="171" t="str">
        <f>U3</f>
        <v>Bhamo</v>
      </c>
      <c r="AA10" s="172" t="e">
        <f>'Shelter Coverage &amp; Gaps'!#REF!</f>
        <v>#REF!</v>
      </c>
      <c r="AB10" s="172"/>
      <c r="AC10" s="172"/>
      <c r="AD10" s="172"/>
      <c r="AE10" s="173">
        <f t="shared" si="1"/>
        <v>119</v>
      </c>
      <c r="AF10" s="174">
        <f t="shared" si="2"/>
        <v>279</v>
      </c>
      <c r="AG10" s="175">
        <f>'CCCM Dashboard'!F19</f>
        <v>0</v>
      </c>
      <c r="CT10" s="4"/>
      <c r="CU10" s="4"/>
      <c r="CV10" s="4"/>
      <c r="CW10" s="4"/>
      <c r="CX10" s="4"/>
      <c r="CY10" s="4"/>
      <c r="CZ10" s="4"/>
      <c r="DA10" s="4"/>
      <c r="DB10" s="4"/>
      <c r="DC10" s="4"/>
      <c r="DD10" s="4"/>
      <c r="DE10" s="4"/>
      <c r="DF10" s="4"/>
      <c r="DG10" s="4"/>
      <c r="DH10" s="4"/>
    </row>
    <row r="11" spans="15:112" ht="18.75" customHeight="1" x14ac:dyDescent="0.35">
      <c r="O11" s="18"/>
      <c r="P11" s="18"/>
      <c r="T11" s="168" t="s">
        <v>541</v>
      </c>
      <c r="U11" s="169" t="s">
        <v>151</v>
      </c>
      <c r="V11" s="168">
        <v>97.372845528455244</v>
      </c>
      <c r="W11" s="169">
        <v>24</v>
      </c>
      <c r="X11" s="169">
        <f>'CCCM Dashboard'!D20</f>
        <v>2785</v>
      </c>
      <c r="Y11" s="170">
        <f>'CCCM Dashboard'!E20</f>
        <v>12558</v>
      </c>
      <c r="Z11" s="171" t="str">
        <f t="shared" si="0"/>
        <v>12 cps</v>
      </c>
      <c r="AA11" s="172" t="e">
        <f>'Shelter Coverage &amp; Gaps'!#REF!</f>
        <v>#REF!</v>
      </c>
      <c r="AB11" s="172">
        <v>0</v>
      </c>
      <c r="AC11" s="172">
        <v>0</v>
      </c>
      <c r="AD11" s="172">
        <v>0</v>
      </c>
      <c r="AE11" s="173">
        <f t="shared" si="1"/>
        <v>535</v>
      </c>
      <c r="AF11" s="174">
        <f t="shared" si="2"/>
        <v>213</v>
      </c>
      <c r="AG11" s="175">
        <f>'CCCM Dashboard'!F20</f>
        <v>12</v>
      </c>
      <c r="CT11" s="4"/>
      <c r="CU11" s="4"/>
      <c r="CV11" s="4"/>
      <c r="CW11" s="4"/>
      <c r="CX11" s="4"/>
      <c r="CY11" s="4"/>
      <c r="CZ11" s="4"/>
      <c r="DA11" s="4"/>
      <c r="DB11" s="4"/>
      <c r="DC11" s="4"/>
      <c r="DD11" s="4"/>
      <c r="DE11" s="4"/>
      <c r="DF11" s="4"/>
      <c r="DG11" s="4"/>
      <c r="DH11" s="4"/>
    </row>
    <row r="12" spans="15:112" ht="18.75" customHeight="1" x14ac:dyDescent="0.35">
      <c r="O12" s="18"/>
      <c r="P12" s="18"/>
      <c r="T12" s="176" t="s">
        <v>545</v>
      </c>
      <c r="U12" s="169" t="s">
        <v>166</v>
      </c>
      <c r="V12" s="176">
        <v>97.266347826086943</v>
      </c>
      <c r="W12" s="169">
        <v>23.345826086956535</v>
      </c>
      <c r="X12" s="169">
        <f>'CCCM Dashboard'!D21</f>
        <v>69</v>
      </c>
      <c r="Y12" s="170">
        <f>'CCCM Dashboard'!E21</f>
        <v>347</v>
      </c>
      <c r="Z12" s="171" t="str">
        <f t="shared" si="0"/>
        <v>2 cps</v>
      </c>
      <c r="AA12" s="172" t="e">
        <f>'Shelter Coverage &amp; Gaps'!#REF!</f>
        <v>#REF!</v>
      </c>
      <c r="AB12" s="172">
        <v>0</v>
      </c>
      <c r="AC12" s="172">
        <v>0</v>
      </c>
      <c r="AD12" s="172">
        <v>0</v>
      </c>
      <c r="AE12" s="173">
        <f t="shared" si="1"/>
        <v>620</v>
      </c>
      <c r="AF12" s="174">
        <f t="shared" si="2"/>
        <v>200</v>
      </c>
      <c r="AG12" s="175">
        <f>'CCCM Dashboard'!F21</f>
        <v>2</v>
      </c>
      <c r="CT12" s="4"/>
      <c r="CU12" s="4"/>
      <c r="CV12" s="4"/>
      <c r="CW12" s="4"/>
      <c r="CX12" s="4"/>
      <c r="CY12" s="4"/>
      <c r="CZ12" s="4"/>
      <c r="DA12" s="4"/>
      <c r="DB12" s="4"/>
      <c r="DC12" s="4"/>
      <c r="DD12" s="4"/>
      <c r="DE12" s="4"/>
      <c r="DF12" s="4"/>
      <c r="DG12" s="4"/>
      <c r="DH12" s="4"/>
    </row>
    <row r="13" spans="15:112" ht="18.75" customHeight="1" x14ac:dyDescent="0.35">
      <c r="O13" s="18"/>
      <c r="P13" s="18"/>
      <c r="T13" s="168" t="s">
        <v>547</v>
      </c>
      <c r="U13" s="169" t="s">
        <v>173</v>
      </c>
      <c r="V13" s="168">
        <v>96.9</v>
      </c>
      <c r="W13" s="169">
        <v>25.4</v>
      </c>
      <c r="X13" s="169">
        <f>'CCCM Dashboard'!D22</f>
        <v>120</v>
      </c>
      <c r="Y13" s="170">
        <f>'CCCM Dashboard'!E22</f>
        <v>477</v>
      </c>
      <c r="Z13" s="171" t="str">
        <f t="shared" si="0"/>
        <v>6 cps</v>
      </c>
      <c r="AA13" s="172" t="e">
        <f>'Shelter Coverage &amp; Gaps'!#REF!</f>
        <v>#REF!</v>
      </c>
      <c r="AB13" s="172">
        <v>0</v>
      </c>
      <c r="AC13" s="172">
        <v>0</v>
      </c>
      <c r="AD13" s="172">
        <v>0</v>
      </c>
      <c r="AE13" s="173">
        <f t="shared" si="1"/>
        <v>353</v>
      </c>
      <c r="AF13" s="174">
        <f t="shared" si="2"/>
        <v>152</v>
      </c>
      <c r="AG13" s="175">
        <f>'CCCM Dashboard'!F22</f>
        <v>6</v>
      </c>
      <c r="CT13" s="4"/>
      <c r="CU13" s="4"/>
      <c r="CV13" s="4"/>
      <c r="CW13" s="4"/>
      <c r="CX13" s="4"/>
      <c r="CY13" s="4"/>
      <c r="CZ13" s="4"/>
      <c r="DA13" s="4"/>
      <c r="DB13" s="4"/>
      <c r="DC13" s="4"/>
      <c r="DD13" s="4"/>
      <c r="DE13" s="4"/>
      <c r="DF13" s="4"/>
      <c r="DG13" s="4"/>
      <c r="DH13" s="4"/>
    </row>
    <row r="14" spans="15:112" ht="18.75" customHeight="1" x14ac:dyDescent="0.35">
      <c r="O14" s="18"/>
      <c r="P14" s="18"/>
      <c r="T14" s="176" t="s">
        <v>553</v>
      </c>
      <c r="U14" s="169" t="s">
        <v>180</v>
      </c>
      <c r="V14" s="176">
        <v>96.376558441558373</v>
      </c>
      <c r="W14" s="169">
        <v>24.957077922077939</v>
      </c>
      <c r="X14" s="169">
        <f>'CCCM Dashboard'!D23</f>
        <v>82</v>
      </c>
      <c r="Y14" s="170">
        <f>'CCCM Dashboard'!E23</f>
        <v>416</v>
      </c>
      <c r="Z14" s="171" t="str">
        <f t="shared" si="0"/>
        <v>4 cps</v>
      </c>
      <c r="AA14" s="172" t="e">
        <f>'Shelter Coverage &amp; Gaps'!#REF!</f>
        <v>#REF!</v>
      </c>
      <c r="AB14" s="172">
        <v>1</v>
      </c>
      <c r="AC14" s="172">
        <v>0</v>
      </c>
      <c r="AD14" s="172">
        <v>0</v>
      </c>
      <c r="AE14" s="173">
        <f t="shared" si="1"/>
        <v>411</v>
      </c>
      <c r="AF14" s="174">
        <f t="shared" si="2"/>
        <v>84</v>
      </c>
      <c r="AG14" s="175">
        <f>'CCCM Dashboard'!F23</f>
        <v>4</v>
      </c>
      <c r="CT14" s="4"/>
      <c r="CU14" s="4"/>
      <c r="CV14" s="4"/>
      <c r="CW14" s="4"/>
      <c r="CX14" s="4"/>
      <c r="CY14" s="4"/>
      <c r="CZ14" s="4"/>
      <c r="DA14" s="4"/>
      <c r="DB14" s="4"/>
      <c r="DC14" s="4"/>
      <c r="DD14" s="4"/>
      <c r="DE14" s="4"/>
      <c r="DF14" s="4"/>
      <c r="DG14" s="4"/>
      <c r="DH14" s="4"/>
    </row>
    <row r="15" spans="15:112" ht="18.75" customHeight="1" x14ac:dyDescent="0.35">
      <c r="O15" s="18"/>
      <c r="P15" s="18"/>
      <c r="T15" s="168" t="s">
        <v>535</v>
      </c>
      <c r="U15" s="169" t="s">
        <v>185</v>
      </c>
      <c r="V15" s="168">
        <v>97.449510489510473</v>
      </c>
      <c r="W15" s="169">
        <v>24.6</v>
      </c>
      <c r="X15" s="169">
        <f>'CCCM Dashboard'!D24</f>
        <v>4821</v>
      </c>
      <c r="Y15" s="170">
        <f>'CCCM Dashboard'!E24</f>
        <v>24578</v>
      </c>
      <c r="Z15" s="171" t="str">
        <f t="shared" si="0"/>
        <v>22 cps</v>
      </c>
      <c r="AA15" s="172" t="e">
        <f>'Shelter Coverage &amp; Gaps'!#REF!</f>
        <v>#REF!</v>
      </c>
      <c r="AB15" s="172">
        <v>0.12549019607843137</v>
      </c>
      <c r="AC15" s="172">
        <v>0</v>
      </c>
      <c r="AD15" s="172">
        <v>0.58263305322128844</v>
      </c>
      <c r="AE15" s="173">
        <f t="shared" si="1"/>
        <v>457</v>
      </c>
      <c r="AF15" s="174">
        <f t="shared" si="2"/>
        <v>223</v>
      </c>
      <c r="AG15" s="175">
        <f>'CCCM Dashboard'!F24</f>
        <v>22</v>
      </c>
      <c r="CT15" s="4"/>
      <c r="CU15" s="4"/>
      <c r="CV15" s="4"/>
      <c r="CW15" s="4"/>
      <c r="CX15" s="4"/>
      <c r="CY15" s="4"/>
      <c r="CZ15" s="4"/>
      <c r="DA15" s="4"/>
      <c r="DB15" s="4"/>
      <c r="DC15" s="4"/>
      <c r="DD15" s="4"/>
      <c r="DE15" s="4"/>
      <c r="DF15" s="4"/>
      <c r="DG15" s="4"/>
      <c r="DH15" s="4"/>
    </row>
    <row r="16" spans="15:112" ht="18.75" customHeight="1" x14ac:dyDescent="0.35">
      <c r="O16" s="18"/>
      <c r="P16" s="18"/>
      <c r="T16" s="176" t="s">
        <v>540</v>
      </c>
      <c r="U16" s="169" t="s">
        <v>230</v>
      </c>
      <c r="V16" s="176">
        <v>98.12</v>
      </c>
      <c r="W16" s="169">
        <v>23.972235294117642</v>
      </c>
      <c r="X16" s="169">
        <f>'CCCM Dashboard'!D25</f>
        <v>283</v>
      </c>
      <c r="Y16" s="170">
        <f>'CCCM Dashboard'!E25</f>
        <v>1090</v>
      </c>
      <c r="Z16" s="171" t="str">
        <f t="shared" si="0"/>
        <v>7 cps</v>
      </c>
      <c r="AA16" s="172" t="e">
        <f>'Shelter Coverage &amp; Gaps'!#REF!</f>
        <v>#REF!</v>
      </c>
      <c r="AB16" s="172">
        <v>0</v>
      </c>
      <c r="AC16" s="172">
        <v>0</v>
      </c>
      <c r="AD16" s="172">
        <v>0</v>
      </c>
      <c r="AE16" s="173">
        <f t="shared" si="1"/>
        <v>539</v>
      </c>
      <c r="AF16" s="174">
        <f t="shared" si="2"/>
        <v>311</v>
      </c>
      <c r="AG16" s="175">
        <f>'CCCM Dashboard'!F25</f>
        <v>7</v>
      </c>
      <c r="CT16" s="4"/>
      <c r="CU16" s="4"/>
      <c r="CV16" s="4"/>
      <c r="CW16" s="4"/>
      <c r="CX16" s="4"/>
      <c r="CY16" s="4"/>
      <c r="CZ16" s="4"/>
      <c r="DA16" s="4"/>
      <c r="DB16" s="4"/>
      <c r="DC16" s="4"/>
      <c r="DD16" s="4"/>
      <c r="DE16" s="4"/>
      <c r="DF16" s="4"/>
      <c r="DG16" s="4"/>
      <c r="DH16" s="4"/>
    </row>
    <row r="17" spans="1:112" ht="18.75" customHeight="1" x14ac:dyDescent="0.35">
      <c r="O17" s="18"/>
      <c r="P17" s="18"/>
      <c r="T17" s="168" t="s">
        <v>537</v>
      </c>
      <c r="U17" s="169" t="s">
        <v>237</v>
      </c>
      <c r="V17" s="168">
        <v>97.301176470588288</v>
      </c>
      <c r="W17" s="169">
        <v>25.24</v>
      </c>
      <c r="X17" s="169">
        <f>'CCCM Dashboard'!D26</f>
        <v>1511</v>
      </c>
      <c r="Y17" s="170">
        <f>'CCCM Dashboard'!E26</f>
        <v>7415</v>
      </c>
      <c r="Z17" s="171" t="str">
        <f t="shared" si="0"/>
        <v>24 cps</v>
      </c>
      <c r="AA17" s="172" t="e">
        <f>'Shelter Coverage &amp; Gaps'!#REF!</f>
        <v>#REF!</v>
      </c>
      <c r="AB17" s="172">
        <v>0.65062761506276146</v>
      </c>
      <c r="AC17" s="172">
        <v>0</v>
      </c>
      <c r="AD17" s="172">
        <v>0.25732217573221761</v>
      </c>
      <c r="AE17" s="173">
        <f t="shared" si="1"/>
        <v>374</v>
      </c>
      <c r="AF17" s="174">
        <f t="shared" si="2"/>
        <v>204</v>
      </c>
      <c r="AG17" s="175">
        <f>'CCCM Dashboard'!F26</f>
        <v>24</v>
      </c>
      <c r="CT17" s="4"/>
      <c r="CU17" s="4"/>
      <c r="CV17" s="4"/>
      <c r="CW17" s="4"/>
      <c r="CX17" s="4"/>
      <c r="CY17" s="4"/>
      <c r="CZ17" s="4"/>
      <c r="DA17" s="4"/>
      <c r="DB17" s="4"/>
      <c r="DC17" s="4"/>
      <c r="DD17" s="4"/>
      <c r="DE17" s="4"/>
      <c r="DF17" s="4"/>
      <c r="DG17" s="4"/>
      <c r="DH17" s="4"/>
    </row>
    <row r="18" spans="1:112" ht="18.75" customHeight="1" x14ac:dyDescent="0.35">
      <c r="O18" s="18"/>
      <c r="P18" s="18"/>
      <c r="T18" s="176" t="s">
        <v>551</v>
      </c>
      <c r="U18" s="169" t="s">
        <v>289</v>
      </c>
      <c r="V18" s="176">
        <v>97.619855072463778</v>
      </c>
      <c r="W18" s="169">
        <v>23.7</v>
      </c>
      <c r="X18" s="169">
        <f>'CCCM Dashboard'!D27</f>
        <v>380</v>
      </c>
      <c r="Y18" s="170">
        <f>'CCCM Dashboard'!E27</f>
        <v>1896</v>
      </c>
      <c r="Z18" s="171" t="str">
        <f t="shared" si="0"/>
        <v>5 cps</v>
      </c>
      <c r="AA18" s="172" t="e">
        <f>'Shelter Coverage &amp; Gaps'!#REF!</f>
        <v>#REF!</v>
      </c>
      <c r="AB18" s="172">
        <v>0</v>
      </c>
      <c r="AC18" s="172">
        <v>0</v>
      </c>
      <c r="AD18" s="172">
        <v>0</v>
      </c>
      <c r="AE18" s="173">
        <f t="shared" si="1"/>
        <v>574</v>
      </c>
      <c r="AF18" s="174">
        <f t="shared" si="2"/>
        <v>246</v>
      </c>
      <c r="AG18" s="175">
        <f>'CCCM Dashboard'!F27</f>
        <v>5</v>
      </c>
      <c r="CT18" s="4"/>
      <c r="CU18" s="4"/>
      <c r="CV18" s="4"/>
      <c r="CW18" s="4"/>
      <c r="CX18" s="4"/>
      <c r="CY18" s="4"/>
      <c r="CZ18" s="4"/>
      <c r="DA18" s="4"/>
      <c r="DB18" s="4"/>
      <c r="DC18" s="4"/>
      <c r="DD18" s="4"/>
      <c r="DE18" s="4"/>
      <c r="DF18" s="4"/>
      <c r="DG18" s="4"/>
      <c r="DH18" s="4"/>
    </row>
    <row r="19" spans="1:112" ht="18.75" customHeight="1" x14ac:dyDescent="0.35">
      <c r="O19" s="18"/>
      <c r="P19" s="18"/>
      <c r="T19" s="168" t="s">
        <v>552</v>
      </c>
      <c r="U19" s="169" t="s">
        <v>298</v>
      </c>
      <c r="V19" s="168">
        <v>97.48</v>
      </c>
      <c r="W19" s="169">
        <v>23.01813559322035</v>
      </c>
      <c r="X19" s="169">
        <f>'CCCM Dashboard'!D28</f>
        <v>128</v>
      </c>
      <c r="Y19" s="170">
        <f>'CCCM Dashboard'!E28</f>
        <v>561</v>
      </c>
      <c r="Z19" s="171" t="str">
        <f t="shared" si="0"/>
        <v>2 cps</v>
      </c>
      <c r="AA19" s="172" t="e">
        <f>'Shelter Coverage &amp; Gaps'!#REF!</f>
        <v>#REF!</v>
      </c>
      <c r="AB19" s="172">
        <v>0</v>
      </c>
      <c r="AC19" s="172">
        <v>0</v>
      </c>
      <c r="AD19" s="172">
        <v>0</v>
      </c>
      <c r="AE19" s="173">
        <f t="shared" si="1"/>
        <v>663</v>
      </c>
      <c r="AF19" s="174">
        <f t="shared" si="2"/>
        <v>227</v>
      </c>
      <c r="AG19" s="175">
        <f>'CCCM Dashboard'!F28</f>
        <v>2</v>
      </c>
      <c r="CT19" s="4"/>
      <c r="CU19" s="4"/>
      <c r="CV19" s="4"/>
      <c r="CW19" s="4"/>
      <c r="CX19" s="4"/>
      <c r="CY19" s="4"/>
      <c r="CZ19" s="4"/>
      <c r="DA19" s="4"/>
      <c r="DB19" s="4"/>
      <c r="DC19" s="4"/>
      <c r="DD19" s="4"/>
      <c r="DE19" s="4"/>
      <c r="DF19" s="4"/>
      <c r="DG19" s="4"/>
      <c r="DH19" s="4"/>
    </row>
    <row r="20" spans="1:112" ht="18.75" customHeight="1" x14ac:dyDescent="0.35">
      <c r="O20" s="18"/>
      <c r="P20" s="18"/>
      <c r="T20" s="176" t="s">
        <v>554</v>
      </c>
      <c r="U20" s="169" t="s">
        <v>300</v>
      </c>
      <c r="V20" s="176">
        <v>97.435148514851463</v>
      </c>
      <c r="W20" s="169">
        <v>27.327029702970304</v>
      </c>
      <c r="X20" s="169">
        <f>'CCCM Dashboard'!D29</f>
        <v>82</v>
      </c>
      <c r="Y20" s="170">
        <f>'CCCM Dashboard'!E29</f>
        <v>344</v>
      </c>
      <c r="Z20" s="171" t="str">
        <f t="shared" si="0"/>
        <v>3 cps</v>
      </c>
      <c r="AA20" s="172" t="e">
        <f>'Shelter Coverage &amp; Gaps'!#REF!</f>
        <v>#REF!</v>
      </c>
      <c r="AB20" s="172">
        <v>0</v>
      </c>
      <c r="AC20" s="172">
        <v>0</v>
      </c>
      <c r="AD20" s="172">
        <v>0</v>
      </c>
      <c r="AE20" s="173">
        <f t="shared" si="1"/>
        <v>102</v>
      </c>
      <c r="AF20" s="174">
        <f t="shared" si="2"/>
        <v>222</v>
      </c>
      <c r="AG20" s="175">
        <f>'CCCM Dashboard'!F29</f>
        <v>3</v>
      </c>
      <c r="CT20" s="4"/>
      <c r="CU20" s="4"/>
      <c r="CV20" s="4"/>
      <c r="CW20" s="4"/>
      <c r="CX20" s="4"/>
      <c r="CY20" s="4"/>
      <c r="CZ20" s="4"/>
      <c r="DA20" s="4"/>
      <c r="DB20" s="4"/>
      <c r="DC20" s="4"/>
      <c r="DD20" s="4"/>
      <c r="DE20" s="4"/>
      <c r="DF20" s="4"/>
      <c r="DG20" s="4"/>
      <c r="DH20" s="4"/>
    </row>
    <row r="21" spans="1:112" ht="18.75" customHeight="1" x14ac:dyDescent="0.35">
      <c r="T21" s="168" t="s">
        <v>542</v>
      </c>
      <c r="U21" s="169" t="s">
        <v>302</v>
      </c>
      <c r="V21" s="168">
        <v>96.752179487179433</v>
      </c>
      <c r="W21" s="169">
        <v>24.4</v>
      </c>
      <c r="X21" s="169">
        <f>'CCCM Dashboard'!D30</f>
        <v>508</v>
      </c>
      <c r="Y21" s="170">
        <f>'CCCM Dashboard'!E30</f>
        <v>2166</v>
      </c>
      <c r="Z21" s="169" t="str">
        <f t="shared" si="0"/>
        <v>4 cps</v>
      </c>
      <c r="AA21" s="172" t="e">
        <f>'Shelter Coverage &amp; Gaps'!#REF!</f>
        <v>#REF!</v>
      </c>
      <c r="AB21" s="172">
        <v>0</v>
      </c>
      <c r="AC21" s="172">
        <v>0</v>
      </c>
      <c r="AD21" s="172">
        <v>0</v>
      </c>
      <c r="AE21" s="173">
        <f t="shared" si="1"/>
        <v>483</v>
      </c>
      <c r="AF21" s="174">
        <f t="shared" si="2"/>
        <v>133</v>
      </c>
      <c r="AG21" s="175">
        <f>'CCCM Dashboard'!F30</f>
        <v>4</v>
      </c>
      <c r="DA21" s="68"/>
      <c r="DB21" s="69"/>
      <c r="DC21" s="69"/>
      <c r="DD21" s="69"/>
      <c r="DE21" s="69"/>
    </row>
    <row r="22" spans="1:112" ht="18.75" customHeight="1" x14ac:dyDescent="0.35">
      <c r="A22" s="80"/>
      <c r="B22" s="80"/>
      <c r="C22" s="80"/>
      <c r="D22" s="80"/>
      <c r="E22" s="80"/>
      <c r="F22" s="80"/>
      <c r="G22" s="80"/>
      <c r="H22" s="80"/>
      <c r="I22" s="80"/>
      <c r="J22" s="80"/>
      <c r="K22" s="80"/>
      <c r="L22" s="80"/>
      <c r="M22" s="80"/>
      <c r="N22" s="71"/>
      <c r="T22" s="176"/>
      <c r="U22" s="169" t="s">
        <v>813</v>
      </c>
      <c r="V22" s="168">
        <v>97.5</v>
      </c>
      <c r="W22" s="178">
        <v>26.5</v>
      </c>
      <c r="X22" s="169">
        <f>'CCCM Dashboard'!D31</f>
        <v>166</v>
      </c>
      <c r="Y22" s="170">
        <f>'CCCM Dashboard'!E31</f>
        <v>1232</v>
      </c>
      <c r="Z22" s="171" t="str">
        <f>CONCATENATE(AG22, " cp",IF(AG22&gt;1,"s",""))</f>
        <v>3 cps</v>
      </c>
      <c r="AA22" s="172" t="e">
        <f>'Shelter Coverage &amp; Gaps'!#REF!</f>
        <v>#REF!</v>
      </c>
      <c r="AB22" s="172"/>
      <c r="AC22" s="172"/>
      <c r="AD22" s="172"/>
      <c r="AE22" s="173">
        <f t="shared" si="1"/>
        <v>210</v>
      </c>
      <c r="AF22" s="174">
        <f t="shared" si="2"/>
        <v>230</v>
      </c>
      <c r="AG22" s="175">
        <f>'CCCM Dashboard'!F31</f>
        <v>3</v>
      </c>
      <c r="DA22" s="68"/>
      <c r="DB22" s="69"/>
      <c r="DC22" s="69"/>
      <c r="DD22" s="69"/>
      <c r="DE22" s="69"/>
    </row>
    <row r="23" spans="1:112" ht="18.75" customHeight="1" x14ac:dyDescent="0.35">
      <c r="A23" s="73"/>
      <c r="B23" s="73"/>
      <c r="C23" s="74"/>
      <c r="D23" s="74"/>
      <c r="E23" s="75"/>
      <c r="F23" s="75"/>
      <c r="G23" s="76"/>
      <c r="H23" s="77"/>
      <c r="I23" s="77"/>
      <c r="J23" s="77"/>
      <c r="K23" s="78"/>
      <c r="L23" s="79"/>
      <c r="M23" s="80"/>
      <c r="N23" s="71"/>
      <c r="T23" s="176" t="s">
        <v>534</v>
      </c>
      <c r="U23" s="169" t="s">
        <v>310</v>
      </c>
      <c r="V23" s="176">
        <v>97.8</v>
      </c>
      <c r="W23" s="169">
        <v>25.5</v>
      </c>
      <c r="X23" s="169">
        <f>'CCCM Dashboard'!D32</f>
        <v>4774</v>
      </c>
      <c r="Y23" s="170">
        <f>'CCCM Dashboard'!E32</f>
        <v>24396</v>
      </c>
      <c r="Z23" s="169" t="str">
        <f t="shared" si="0"/>
        <v>22 cps</v>
      </c>
      <c r="AA23" s="172" t="e">
        <f>'Shelter Coverage &amp; Gaps'!#REF!</f>
        <v>#REF!</v>
      </c>
      <c r="AB23" s="172">
        <v>0.37372161553128791</v>
      </c>
      <c r="AC23" s="172">
        <v>0</v>
      </c>
      <c r="AD23" s="172">
        <v>4.6281851274050934E-2</v>
      </c>
      <c r="AE23" s="173">
        <f t="shared" si="1"/>
        <v>340</v>
      </c>
      <c r="AF23" s="174">
        <f t="shared" si="2"/>
        <v>269</v>
      </c>
      <c r="AG23" s="175">
        <f>'CCCM Dashboard'!F32</f>
        <v>22</v>
      </c>
      <c r="DA23" s="68"/>
      <c r="DB23" s="69"/>
      <c r="DC23" s="69"/>
      <c r="DD23" s="69"/>
      <c r="DE23" s="69"/>
    </row>
    <row r="24" spans="1:112" ht="18.75" customHeight="1" x14ac:dyDescent="0.35">
      <c r="T24" s="169"/>
      <c r="U24" s="169" t="s">
        <v>568</v>
      </c>
      <c r="V24" s="178" t="s">
        <v>570</v>
      </c>
      <c r="W24" s="178" t="s">
        <v>569</v>
      </c>
      <c r="X24" s="179">
        <f>SUBTOTAL(109,Table58[HS])</f>
        <v>19304</v>
      </c>
      <c r="Y24" s="170">
        <f>SUBTOTAL(109,Table58[Pop])</f>
        <v>95813</v>
      </c>
      <c r="Z24" s="171" t="str">
        <f>CONCATENATE(Table58[[#Totals],[Column1]]," camps")</f>
        <v>165 camps</v>
      </c>
      <c r="AA24" s="180" t="e">
        <f>SUMPRODUCT(Table58[Pop]*Table58[Coverage])/Table58[[#Totals],[Pop]]</f>
        <v>#REF!</v>
      </c>
      <c r="AB24" s="180">
        <f>SUMPRODUCT(Table58[Pop]*Table58[Hygiene])/Table58[[#Totals],[Pop]]</f>
        <v>0.23461034624032914</v>
      </c>
      <c r="AC24" s="180">
        <f>SUMPRODUCT(Table58[Pop]*Table58[Core])/Table58[[#Totals],[Pop]]</f>
        <v>0</v>
      </c>
      <c r="AD24" s="180">
        <f>SUMPRODUCT(Table58[Pop]*Table58[Sanitary])/Table58[[#Totals],[Pop]]</f>
        <v>0.27953992322597199</v>
      </c>
      <c r="AE24" s="181">
        <f>1000-ROUND((W24-23.5)*$S$5,0)</f>
        <v>545</v>
      </c>
      <c r="AF24" s="182">
        <f>ROUND((V24-96.5)*$S$5,0)+100</f>
        <v>35</v>
      </c>
      <c r="AG24" s="183">
        <f>SUBTOTAL(109,Table58[Column1])</f>
        <v>165</v>
      </c>
      <c r="DA24" s="68"/>
      <c r="DE24" s="1"/>
      <c r="DF24" s="46"/>
    </row>
    <row r="25" spans="1:112" ht="18.75" customHeight="1" x14ac:dyDescent="0.35">
      <c r="DA25" s="68"/>
      <c r="DE25" s="1"/>
      <c r="DF25" s="46"/>
    </row>
    <row r="26" spans="1:112" ht="18.75" customHeight="1" x14ac:dyDescent="0.35">
      <c r="P26" s="72"/>
      <c r="Q26" s="72"/>
      <c r="DA26" s="68"/>
      <c r="DE26" s="1"/>
      <c r="DF26" s="46"/>
    </row>
    <row r="27" spans="1:112" s="18" customFormat="1" ht="18.75" customHeight="1" x14ac:dyDescent="0.35">
      <c r="A27" s="4"/>
      <c r="B27" s="4"/>
      <c r="C27" s="4"/>
      <c r="D27" s="4"/>
      <c r="E27" s="4"/>
      <c r="F27" s="4"/>
      <c r="G27" s="4"/>
      <c r="H27" s="4"/>
      <c r="I27" s="4"/>
      <c r="J27" s="4"/>
      <c r="K27" s="4"/>
      <c r="L27" s="4"/>
      <c r="M27" s="4"/>
      <c r="N27" s="4"/>
      <c r="O27" s="4"/>
      <c r="P27" s="4"/>
      <c r="Q27" s="4"/>
      <c r="R27" s="4"/>
      <c r="S27" s="4"/>
      <c r="T27" s="158"/>
      <c r="U27" s="158"/>
      <c r="V27" s="158"/>
      <c r="W27" s="158"/>
      <c r="X27" s="158"/>
      <c r="Y27" s="158"/>
      <c r="Z27" s="158"/>
      <c r="AA27" s="158"/>
      <c r="AB27" s="158"/>
      <c r="AC27" s="158"/>
      <c r="AD27" s="158"/>
      <c r="AE27" s="158"/>
      <c r="AF27" s="158"/>
      <c r="AG27" s="158"/>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DA27" s="68"/>
      <c r="DE27" s="1"/>
      <c r="DF27" s="46"/>
    </row>
    <row r="28" spans="1:112" s="18" customFormat="1" ht="18.75" customHeight="1" x14ac:dyDescent="0.35">
      <c r="A28" s="4"/>
      <c r="B28" s="4"/>
      <c r="C28" s="4"/>
      <c r="D28" s="4"/>
      <c r="E28" s="4"/>
      <c r="F28" s="4"/>
      <c r="G28" s="4"/>
      <c r="H28" s="4"/>
      <c r="I28" s="4"/>
      <c r="J28" s="4"/>
      <c r="K28" s="4"/>
      <c r="L28" s="4"/>
      <c r="M28" s="4"/>
      <c r="N28" s="4"/>
      <c r="O28" s="4"/>
      <c r="P28" s="4"/>
      <c r="Q28" s="4"/>
      <c r="R28" s="4"/>
      <c r="S28" s="4"/>
      <c r="T28" s="158"/>
      <c r="U28" s="158"/>
      <c r="V28" s="158"/>
      <c r="W28" s="158"/>
      <c r="X28" s="158"/>
      <c r="Y28" s="158"/>
      <c r="Z28" s="158"/>
      <c r="AA28" s="158"/>
      <c r="AB28" s="158"/>
      <c r="AC28" s="158"/>
      <c r="AD28" s="158"/>
      <c r="AE28" s="158"/>
      <c r="AF28" s="158"/>
      <c r="AG28" s="158"/>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DA28" s="68"/>
      <c r="DE28" s="1"/>
      <c r="DF28" s="46"/>
    </row>
    <row r="29" spans="1:112" s="18" customFormat="1" ht="18.75" customHeight="1" x14ac:dyDescent="0.35">
      <c r="A29" s="4"/>
      <c r="B29" s="4"/>
      <c r="C29" s="4"/>
      <c r="D29" s="4"/>
      <c r="E29" s="4"/>
      <c r="F29" s="4"/>
      <c r="G29" s="4"/>
      <c r="H29" s="4"/>
      <c r="I29" s="4"/>
      <c r="J29" s="4"/>
      <c r="K29" s="4"/>
      <c r="L29" s="4"/>
      <c r="M29" s="4"/>
      <c r="N29" s="4"/>
      <c r="O29" s="4"/>
      <c r="P29" s="4"/>
      <c r="Q29" s="4"/>
      <c r="R29" s="4"/>
      <c r="S29" s="4"/>
      <c r="T29" s="158"/>
      <c r="U29" s="158"/>
      <c r="V29" s="158"/>
      <c r="W29" s="158"/>
      <c r="X29" s="158"/>
      <c r="Y29" s="158"/>
      <c r="Z29" s="158"/>
      <c r="AA29" s="158"/>
      <c r="AB29" s="158"/>
      <c r="AC29" s="158"/>
      <c r="AD29" s="158"/>
      <c r="AE29" s="158"/>
      <c r="AF29" s="158"/>
      <c r="AG29" s="158"/>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DA29" s="68"/>
      <c r="DE29" s="1"/>
      <c r="DF29" s="46"/>
    </row>
    <row r="30" spans="1:112" s="18" customFormat="1" ht="18.75" customHeight="1" x14ac:dyDescent="0.35">
      <c r="A30" s="4"/>
      <c r="B30" s="4"/>
      <c r="C30" s="4"/>
      <c r="D30" s="4"/>
      <c r="E30" s="4"/>
      <c r="F30" s="4"/>
      <c r="G30" s="4"/>
      <c r="H30" s="4"/>
      <c r="I30" s="4"/>
      <c r="J30" s="4"/>
      <c r="K30" s="4"/>
      <c r="L30" s="4"/>
      <c r="M30" s="4"/>
      <c r="N30" s="4"/>
      <c r="O30" s="4"/>
      <c r="P30" s="4"/>
      <c r="Q30" s="4"/>
      <c r="R30" s="4"/>
      <c r="S30" s="4"/>
      <c r="T30" s="158"/>
      <c r="U30" s="158"/>
      <c r="V30" s="158"/>
      <c r="W30" s="158"/>
      <c r="X30" s="158"/>
      <c r="Y30" s="158"/>
      <c r="Z30" s="158"/>
      <c r="AA30" s="158"/>
      <c r="AB30" s="158"/>
      <c r="AC30" s="158"/>
      <c r="AD30" s="158"/>
      <c r="AE30" s="158"/>
      <c r="AF30" s="158"/>
      <c r="AG30" s="158"/>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DA30" s="68"/>
      <c r="DE30" s="1"/>
      <c r="DF30" s="46"/>
    </row>
    <row r="31" spans="1:112" s="18" customFormat="1" ht="18.75" customHeight="1" x14ac:dyDescent="0.35">
      <c r="A31" s="4"/>
      <c r="B31" s="4"/>
      <c r="C31" s="4"/>
      <c r="D31" s="4"/>
      <c r="E31" s="4"/>
      <c r="F31" s="4"/>
      <c r="G31" s="4"/>
      <c r="H31" s="4"/>
      <c r="I31" s="4"/>
      <c r="J31" s="4"/>
      <c r="K31" s="4"/>
      <c r="L31" s="4"/>
      <c r="M31" s="4"/>
      <c r="N31" s="4"/>
      <c r="O31" s="4"/>
      <c r="P31" s="4"/>
      <c r="Q31" s="4"/>
      <c r="R31" s="4"/>
      <c r="S31" s="4"/>
      <c r="T31" s="158"/>
      <c r="U31" s="158"/>
      <c r="V31" s="158"/>
      <c r="W31" s="158"/>
      <c r="X31" s="158"/>
      <c r="Y31" s="158"/>
      <c r="Z31" s="158"/>
      <c r="AA31" s="158"/>
      <c r="AB31" s="158"/>
      <c r="AC31" s="158"/>
      <c r="AD31" s="158"/>
      <c r="AE31" s="158"/>
      <c r="AF31" s="158"/>
      <c r="AG31" s="158"/>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DA31" s="68"/>
      <c r="DE31" s="1"/>
      <c r="DF31" s="46"/>
    </row>
    <row r="32" spans="1:112" s="18" customFormat="1" ht="18.75" customHeight="1" x14ac:dyDescent="0.35">
      <c r="A32" s="4"/>
      <c r="B32" s="4"/>
      <c r="C32" s="4"/>
      <c r="D32" s="4"/>
      <c r="E32" s="4"/>
      <c r="F32" s="4"/>
      <c r="G32" s="4"/>
      <c r="H32" s="4"/>
      <c r="I32" s="4"/>
      <c r="J32" s="4"/>
      <c r="K32" s="4"/>
      <c r="L32" s="4"/>
      <c r="M32" s="4"/>
      <c r="N32" s="4"/>
      <c r="O32" s="4"/>
      <c r="P32" s="4"/>
      <c r="Q32" s="4"/>
      <c r="R32" s="4"/>
      <c r="S32" s="4"/>
      <c r="T32" s="158"/>
      <c r="U32" s="158"/>
      <c r="V32" s="158"/>
      <c r="W32" s="158"/>
      <c r="X32" s="158"/>
      <c r="Y32" s="158"/>
      <c r="Z32" s="158"/>
      <c r="AA32" s="158"/>
      <c r="AB32" s="158"/>
      <c r="AC32" s="158"/>
      <c r="AD32" s="158"/>
      <c r="AE32" s="158"/>
      <c r="AF32" s="158"/>
      <c r="AG32" s="158"/>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DE32" s="1"/>
      <c r="DF32" s="46"/>
    </row>
    <row r="33" spans="1:111" s="18" customFormat="1" ht="18.75" customHeight="1" x14ac:dyDescent="0.35">
      <c r="A33" s="4"/>
      <c r="B33" s="4"/>
      <c r="C33" s="4"/>
      <c r="D33" s="4"/>
      <c r="E33" s="4"/>
      <c r="F33" s="4"/>
      <c r="G33" s="4"/>
      <c r="H33" s="4"/>
      <c r="I33" s="4"/>
      <c r="J33" s="4"/>
      <c r="K33" s="4"/>
      <c r="L33" s="4"/>
      <c r="M33" s="4"/>
      <c r="N33" s="4"/>
      <c r="O33" s="4"/>
      <c r="P33" s="4"/>
      <c r="Q33" s="4"/>
      <c r="R33" s="4"/>
      <c r="S33" s="4"/>
      <c r="T33" s="158"/>
      <c r="U33" s="158"/>
      <c r="V33" s="158"/>
      <c r="W33" s="158"/>
      <c r="X33" s="158"/>
      <c r="Y33" s="158"/>
      <c r="Z33" s="158"/>
      <c r="AA33" s="158"/>
      <c r="AB33" s="158"/>
      <c r="AC33" s="158"/>
      <c r="AD33" s="158"/>
      <c r="AE33" s="158"/>
      <c r="AF33" s="158"/>
      <c r="AG33" s="158"/>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DE33" s="1"/>
      <c r="DF33" s="46"/>
    </row>
    <row r="34" spans="1:111" s="18" customFormat="1" ht="18.75" customHeight="1" x14ac:dyDescent="0.35">
      <c r="A34" s="4"/>
      <c r="B34" s="4"/>
      <c r="C34" s="4"/>
      <c r="D34" s="4"/>
      <c r="E34" s="4"/>
      <c r="F34" s="4"/>
      <c r="G34" s="4"/>
      <c r="H34" s="4"/>
      <c r="I34" s="4"/>
      <c r="J34" s="4"/>
      <c r="K34" s="4"/>
      <c r="L34" s="4"/>
      <c r="M34" s="4"/>
      <c r="N34" s="4"/>
      <c r="O34" s="4"/>
      <c r="P34" s="4"/>
      <c r="Q34" s="4"/>
      <c r="R34" s="4"/>
      <c r="S34" s="4"/>
      <c r="T34" s="158"/>
      <c r="U34" s="158"/>
      <c r="V34" s="158"/>
      <c r="W34" s="158"/>
      <c r="X34" s="158"/>
      <c r="Y34" s="158"/>
      <c r="Z34" s="158"/>
      <c r="AA34" s="158"/>
      <c r="AB34" s="158"/>
      <c r="AC34" s="158"/>
      <c r="AD34" s="158"/>
      <c r="AE34" s="158"/>
      <c r="AF34" s="158"/>
      <c r="AG34" s="158"/>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DE34" s="1"/>
      <c r="DF34" s="46"/>
    </row>
    <row r="35" spans="1:111" s="18" customFormat="1" ht="18.75" customHeight="1" x14ac:dyDescent="0.35">
      <c r="A35" s="4"/>
      <c r="B35" s="4"/>
      <c r="C35" s="4"/>
      <c r="D35" s="4"/>
      <c r="E35" s="4"/>
      <c r="F35" s="4"/>
      <c r="G35" s="4"/>
      <c r="H35" s="4"/>
      <c r="I35" s="4"/>
      <c r="J35" s="4"/>
      <c r="K35" s="4"/>
      <c r="L35" s="4"/>
      <c r="M35" s="4"/>
      <c r="N35" s="4"/>
      <c r="O35" s="4"/>
      <c r="P35" s="4"/>
      <c r="Q35" s="4"/>
      <c r="R35" s="4"/>
      <c r="S35" s="4"/>
      <c r="T35" s="158"/>
      <c r="U35" s="158"/>
      <c r="V35" s="158"/>
      <c r="W35" s="158"/>
      <c r="X35" s="158"/>
      <c r="Y35" s="158"/>
      <c r="Z35" s="158"/>
      <c r="AA35" s="158"/>
      <c r="AB35" s="158"/>
      <c r="AC35" s="158"/>
      <c r="AD35" s="158"/>
      <c r="AE35" s="158"/>
      <c r="AF35" s="158"/>
      <c r="AG35" s="158"/>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DE35" s="1"/>
      <c r="DF35" s="46"/>
    </row>
    <row r="36" spans="1:111" s="18" customFormat="1" ht="18.75" customHeight="1" x14ac:dyDescent="0.35">
      <c r="A36" s="4"/>
      <c r="B36" s="4"/>
      <c r="C36" s="4"/>
      <c r="D36" s="4"/>
      <c r="E36" s="4"/>
      <c r="F36" s="4"/>
      <c r="G36" s="4"/>
      <c r="H36" s="4"/>
      <c r="I36" s="4"/>
      <c r="J36" s="4"/>
      <c r="K36" s="4"/>
      <c r="L36" s="4"/>
      <c r="M36" s="4"/>
      <c r="N36" s="4"/>
      <c r="O36" s="4"/>
      <c r="P36" s="4"/>
      <c r="Q36" s="4"/>
      <c r="R36" s="4"/>
      <c r="S36" s="4"/>
      <c r="T36" s="158"/>
      <c r="U36" s="158"/>
      <c r="V36" s="158"/>
      <c r="W36" s="158"/>
      <c r="X36" s="158"/>
      <c r="Y36" s="158"/>
      <c r="Z36" s="158"/>
      <c r="AA36" s="158"/>
      <c r="AB36" s="158"/>
      <c r="AC36" s="158"/>
      <c r="AD36" s="158"/>
      <c r="AE36" s="158"/>
      <c r="AF36" s="158"/>
      <c r="AG36" s="158"/>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DE36" s="1"/>
      <c r="DF36" s="46"/>
    </row>
    <row r="37" spans="1:111" s="18" customFormat="1" ht="18.75" customHeight="1" x14ac:dyDescent="0.35">
      <c r="A37" s="4"/>
      <c r="B37" s="4"/>
      <c r="C37" s="4"/>
      <c r="D37" s="4"/>
      <c r="E37" s="4"/>
      <c r="F37" s="4"/>
      <c r="G37" s="4"/>
      <c r="H37" s="4"/>
      <c r="I37" s="4"/>
      <c r="J37" s="4"/>
      <c r="K37" s="4"/>
      <c r="L37" s="4"/>
      <c r="M37" s="4"/>
      <c r="N37" s="4"/>
      <c r="O37" s="4"/>
      <c r="P37" s="4"/>
      <c r="Q37" s="4"/>
      <c r="R37" s="4"/>
      <c r="S37" s="4"/>
      <c r="T37" s="158"/>
      <c r="U37" s="158"/>
      <c r="V37" s="158"/>
      <c r="W37" s="158"/>
      <c r="X37" s="158"/>
      <c r="Y37" s="158"/>
      <c r="Z37" s="158"/>
      <c r="AA37" s="158"/>
      <c r="AB37" s="158"/>
      <c r="AC37" s="158"/>
      <c r="AD37" s="158"/>
      <c r="AE37" s="158"/>
      <c r="AF37" s="158"/>
      <c r="AG37" s="158"/>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DE37" s="1"/>
      <c r="DF37" s="46"/>
    </row>
    <row r="38" spans="1:111" s="18" customFormat="1" ht="18.75" customHeight="1" x14ac:dyDescent="0.35">
      <c r="A38" s="4"/>
      <c r="B38" s="4"/>
      <c r="C38" s="4"/>
      <c r="D38" s="4"/>
      <c r="E38" s="4"/>
      <c r="F38" s="4"/>
      <c r="G38" s="4"/>
      <c r="H38" s="4"/>
      <c r="I38" s="4"/>
      <c r="J38" s="4"/>
      <c r="K38" s="4"/>
      <c r="L38" s="4"/>
      <c r="M38" s="4"/>
      <c r="N38" s="4"/>
      <c r="O38" s="4"/>
      <c r="P38" s="4"/>
      <c r="Q38" s="4"/>
      <c r="R38" s="4"/>
      <c r="S38" s="4"/>
      <c r="T38" s="158"/>
      <c r="U38" s="158"/>
      <c r="V38" s="158"/>
      <c r="W38" s="158"/>
      <c r="X38" s="158"/>
      <c r="Y38" s="158"/>
      <c r="Z38" s="158"/>
      <c r="AA38" s="158"/>
      <c r="AB38" s="158"/>
      <c r="AC38" s="158"/>
      <c r="AD38" s="158"/>
      <c r="AE38" s="158"/>
      <c r="AF38" s="158"/>
      <c r="AG38" s="158"/>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DE38" s="1"/>
      <c r="DF38" s="46"/>
    </row>
    <row r="39" spans="1:111" s="18" customFormat="1" ht="18.75" customHeight="1" x14ac:dyDescent="0.35">
      <c r="A39" s="4"/>
      <c r="B39" s="4"/>
      <c r="C39" s="4"/>
      <c r="D39" s="4"/>
      <c r="E39" s="4"/>
      <c r="F39" s="4"/>
      <c r="G39" s="4"/>
      <c r="H39" s="4"/>
      <c r="I39" s="4"/>
      <c r="J39" s="4"/>
      <c r="K39" s="4"/>
      <c r="L39" s="4"/>
      <c r="M39" s="4"/>
      <c r="N39" s="4"/>
      <c r="O39" s="4"/>
      <c r="P39" s="4"/>
      <c r="Q39" s="4"/>
      <c r="R39" s="4"/>
      <c r="S39" s="4"/>
      <c r="T39" s="158"/>
      <c r="U39" s="158"/>
      <c r="V39" s="158"/>
      <c r="W39" s="158"/>
      <c r="X39" s="158"/>
      <c r="Y39" s="158"/>
      <c r="Z39" s="158"/>
      <c r="AA39" s="158"/>
      <c r="AB39" s="158"/>
      <c r="AC39" s="158"/>
      <c r="AD39" s="158"/>
      <c r="AE39" s="158"/>
      <c r="AF39" s="158"/>
      <c r="AG39" s="158"/>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DE39" s="1"/>
      <c r="DF39" s="46"/>
    </row>
    <row r="40" spans="1:111" s="18" customFormat="1" ht="18.75" customHeight="1" x14ac:dyDescent="0.35">
      <c r="A40" s="4"/>
      <c r="B40" s="4"/>
      <c r="C40" s="4"/>
      <c r="D40" s="4"/>
      <c r="E40" s="4"/>
      <c r="F40" s="4"/>
      <c r="G40" s="4"/>
      <c r="H40" s="4"/>
      <c r="I40" s="4"/>
      <c r="J40" s="4"/>
      <c r="K40" s="4"/>
      <c r="L40" s="4"/>
      <c r="M40" s="4"/>
      <c r="N40" s="4"/>
      <c r="O40" s="4"/>
      <c r="P40" s="4"/>
      <c r="Q40" s="4"/>
      <c r="R40" s="4"/>
      <c r="S40" s="4"/>
      <c r="T40" s="158"/>
      <c r="U40" s="158"/>
      <c r="V40" s="158"/>
      <c r="W40" s="158"/>
      <c r="X40" s="158"/>
      <c r="Y40" s="158"/>
      <c r="Z40" s="158"/>
      <c r="AA40" s="158"/>
      <c r="AB40" s="158"/>
      <c r="AC40" s="158"/>
      <c r="AD40" s="158"/>
      <c r="AE40" s="158"/>
      <c r="AF40" s="158"/>
      <c r="AG40" s="158"/>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DE40" s="1"/>
      <c r="DF40" s="46"/>
    </row>
    <row r="41" spans="1:111" s="18" customFormat="1" ht="18.75" customHeight="1" x14ac:dyDescent="0.35">
      <c r="A41" s="4"/>
      <c r="B41" s="4"/>
      <c r="C41" s="4"/>
      <c r="D41" s="4"/>
      <c r="E41" s="4"/>
      <c r="F41" s="4"/>
      <c r="G41" s="4"/>
      <c r="H41" s="4"/>
      <c r="I41" s="4"/>
      <c r="J41" s="4"/>
      <c r="K41" s="4"/>
      <c r="L41" s="4"/>
      <c r="M41" s="4"/>
      <c r="N41" s="4"/>
      <c r="O41" s="4"/>
      <c r="P41" s="4"/>
      <c r="Q41" s="4"/>
      <c r="R41" s="4"/>
      <c r="S41" s="4"/>
      <c r="T41" s="158"/>
      <c r="U41" s="158"/>
      <c r="V41" s="158"/>
      <c r="W41" s="158"/>
      <c r="X41" s="158"/>
      <c r="Y41" s="158"/>
      <c r="Z41" s="158"/>
      <c r="AA41" s="158"/>
      <c r="AB41" s="158"/>
      <c r="AC41" s="158"/>
      <c r="AD41" s="158"/>
      <c r="AE41" s="158"/>
      <c r="AF41" s="158"/>
      <c r="AG41" s="158"/>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DE41" s="1"/>
      <c r="DF41" s="46"/>
    </row>
    <row r="42" spans="1:111" s="18" customFormat="1" ht="18.75" customHeight="1" x14ac:dyDescent="0.35">
      <c r="A42" s="4"/>
      <c r="B42" s="4"/>
      <c r="C42" s="4"/>
      <c r="D42" s="4"/>
      <c r="E42" s="4"/>
      <c r="F42" s="4"/>
      <c r="G42" s="4"/>
      <c r="H42" s="4"/>
      <c r="I42" s="4"/>
      <c r="J42" s="4"/>
      <c r="K42" s="4"/>
      <c r="L42" s="4"/>
      <c r="M42" s="4"/>
      <c r="N42" s="4"/>
      <c r="O42" s="4"/>
      <c r="P42" s="4"/>
      <c r="Q42" s="4"/>
      <c r="R42" s="4"/>
      <c r="S42" s="4"/>
      <c r="T42" s="158"/>
      <c r="U42" s="158"/>
      <c r="V42" s="158"/>
      <c r="W42" s="158"/>
      <c r="X42" s="158"/>
      <c r="Y42" s="158"/>
      <c r="Z42" s="158"/>
      <c r="AA42" s="158"/>
      <c r="AB42" s="158"/>
      <c r="AC42" s="158"/>
      <c r="AD42" s="158"/>
      <c r="AE42" s="158"/>
      <c r="AF42" s="158"/>
      <c r="AG42" s="158"/>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DE42" s="1"/>
      <c r="DF42" s="46"/>
    </row>
    <row r="43" spans="1:111" s="18" customFormat="1" ht="18.75" customHeight="1" x14ac:dyDescent="0.35">
      <c r="A43" s="4"/>
      <c r="B43" s="4"/>
      <c r="C43" s="4"/>
      <c r="D43" s="4"/>
      <c r="E43" s="4"/>
      <c r="F43" s="4"/>
      <c r="G43" s="4"/>
      <c r="H43" s="4"/>
      <c r="I43" s="4"/>
      <c r="J43" s="4"/>
      <c r="K43" s="4"/>
      <c r="L43" s="4"/>
      <c r="M43" s="4"/>
      <c r="N43" s="4"/>
      <c r="O43" s="4"/>
      <c r="P43" s="4"/>
      <c r="Q43" s="4"/>
      <c r="R43" s="4"/>
      <c r="S43" s="4"/>
      <c r="T43" s="158"/>
      <c r="U43" s="158"/>
      <c r="V43" s="158"/>
      <c r="W43" s="158"/>
      <c r="X43" s="158"/>
      <c r="Y43" s="158"/>
      <c r="Z43" s="158"/>
      <c r="AA43" s="158"/>
      <c r="AB43" s="158"/>
      <c r="AC43" s="158"/>
      <c r="AD43" s="158"/>
      <c r="AE43" s="158"/>
      <c r="AF43" s="158"/>
      <c r="AG43" s="158"/>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DE43" s="1"/>
      <c r="DF43" s="46"/>
    </row>
    <row r="44" spans="1:111" s="18" customFormat="1" ht="18.75" customHeight="1" x14ac:dyDescent="0.35">
      <c r="A44" s="4"/>
      <c r="B44" s="4"/>
      <c r="C44" s="4"/>
      <c r="D44" s="4"/>
      <c r="E44" s="4"/>
      <c r="F44" s="4"/>
      <c r="G44" s="4"/>
      <c r="H44" s="4"/>
      <c r="I44" s="4"/>
      <c r="J44" s="4"/>
      <c r="K44" s="4"/>
      <c r="L44" s="4"/>
      <c r="M44" s="4"/>
      <c r="N44" s="4"/>
      <c r="O44" s="4"/>
      <c r="P44" s="4"/>
      <c r="Q44" s="4"/>
      <c r="R44" s="4"/>
      <c r="S44" s="4"/>
      <c r="T44" s="158"/>
      <c r="U44" s="158"/>
      <c r="V44" s="158"/>
      <c r="W44" s="158"/>
      <c r="X44" s="158"/>
      <c r="Y44" s="158"/>
      <c r="Z44" s="158"/>
      <c r="AA44" s="158"/>
      <c r="AB44" s="158"/>
      <c r="AC44" s="158"/>
      <c r="AD44" s="158"/>
      <c r="AE44" s="158"/>
      <c r="AF44" s="158"/>
      <c r="AG44" s="158"/>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DE44" s="1"/>
      <c r="DF44" s="46"/>
    </row>
    <row r="45" spans="1:111" s="18" customFormat="1" ht="12" customHeight="1" x14ac:dyDescent="0.35">
      <c r="A45" s="4"/>
      <c r="B45" s="4"/>
      <c r="C45" s="4"/>
      <c r="D45" s="4"/>
      <c r="E45" s="4"/>
      <c r="F45" s="4"/>
      <c r="G45" s="4"/>
      <c r="H45" s="4"/>
      <c r="I45" s="4"/>
      <c r="J45" s="4"/>
      <c r="K45" s="4"/>
      <c r="L45" s="4"/>
      <c r="M45" s="4"/>
      <c r="N45" s="4"/>
      <c r="O45" s="4"/>
      <c r="P45" s="4"/>
      <c r="Q45" s="4"/>
      <c r="R45" s="4"/>
      <c r="S45" s="4"/>
      <c r="T45" s="158"/>
      <c r="U45" s="158"/>
      <c r="V45" s="158"/>
      <c r="W45" s="158"/>
      <c r="X45" s="158"/>
      <c r="Y45" s="158"/>
      <c r="Z45" s="158"/>
      <c r="AA45" s="158"/>
      <c r="AB45" s="158"/>
      <c r="AC45" s="158"/>
      <c r="AD45" s="158"/>
      <c r="AE45" s="158"/>
      <c r="AF45" s="158"/>
      <c r="AG45" s="158"/>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DE45" s="1"/>
      <c r="DF45" s="46"/>
    </row>
    <row r="46" spans="1:111" s="18" customFormat="1" ht="12" customHeight="1" x14ac:dyDescent="0.35">
      <c r="A46" s="4"/>
      <c r="B46" s="4"/>
      <c r="C46" s="4"/>
      <c r="D46" s="4"/>
      <c r="E46" s="4"/>
      <c r="F46" s="4"/>
      <c r="G46" s="4"/>
      <c r="H46" s="4"/>
      <c r="I46" s="4"/>
      <c r="J46" s="4"/>
      <c r="K46" s="4"/>
      <c r="L46" s="4"/>
      <c r="M46" s="4"/>
      <c r="N46" s="4"/>
      <c r="O46" s="4"/>
      <c r="P46" s="4"/>
      <c r="Q46" s="4"/>
      <c r="R46" s="4"/>
      <c r="S46" s="4"/>
      <c r="T46" s="158"/>
      <c r="U46" s="158"/>
      <c r="V46" s="158"/>
      <c r="W46" s="158"/>
      <c r="X46" s="158"/>
      <c r="Y46" s="158"/>
      <c r="Z46" s="158"/>
      <c r="AA46" s="158"/>
      <c r="AB46" s="158"/>
      <c r="AC46" s="158"/>
      <c r="AD46" s="158"/>
      <c r="AE46" s="158"/>
      <c r="AF46" s="158"/>
      <c r="AG46" s="158"/>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DE46" s="1"/>
      <c r="DF46" s="46"/>
      <c r="DG46" s="46"/>
    </row>
    <row r="47" spans="1:111" s="18" customFormat="1" ht="12" customHeight="1" x14ac:dyDescent="0.35">
      <c r="A47" s="4"/>
      <c r="B47" s="4"/>
      <c r="C47" s="4"/>
      <c r="D47" s="4"/>
      <c r="E47" s="4"/>
      <c r="F47" s="4"/>
      <c r="G47" s="4"/>
      <c r="H47" s="4"/>
      <c r="I47" s="4"/>
      <c r="J47" s="4"/>
      <c r="K47" s="4"/>
      <c r="L47" s="4"/>
      <c r="M47" s="4"/>
      <c r="N47" s="4"/>
      <c r="O47" s="4"/>
      <c r="P47" s="4"/>
      <c r="Q47" s="4"/>
      <c r="R47" s="4"/>
      <c r="S47" s="4"/>
      <c r="T47" s="158"/>
      <c r="U47" s="158"/>
      <c r="V47" s="158"/>
      <c r="W47" s="158"/>
      <c r="X47" s="158"/>
      <c r="Y47" s="158"/>
      <c r="Z47" s="158"/>
      <c r="AA47" s="158"/>
      <c r="AB47" s="158"/>
      <c r="AC47" s="158"/>
      <c r="AD47" s="158"/>
      <c r="AE47" s="158"/>
      <c r="AF47" s="158"/>
      <c r="AG47" s="158"/>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DE47" s="1"/>
      <c r="DF47" s="46"/>
      <c r="DG47" s="46"/>
    </row>
    <row r="48" spans="1:111" s="18" customFormat="1" ht="12" customHeight="1" x14ac:dyDescent="0.35">
      <c r="A48" s="4"/>
      <c r="B48" s="4"/>
      <c r="C48" s="4"/>
      <c r="D48" s="4"/>
      <c r="E48" s="4"/>
      <c r="F48" s="4"/>
      <c r="G48" s="4"/>
      <c r="H48" s="4"/>
      <c r="I48" s="4"/>
      <c r="J48" s="4"/>
      <c r="K48" s="4"/>
      <c r="L48" s="4"/>
      <c r="M48" s="4"/>
      <c r="N48" s="4"/>
      <c r="O48" s="4"/>
      <c r="P48" s="4"/>
      <c r="Q48" s="4"/>
      <c r="R48" s="4"/>
      <c r="S48" s="4"/>
      <c r="T48" s="158"/>
      <c r="U48" s="158"/>
      <c r="V48" s="158"/>
      <c r="W48" s="158"/>
      <c r="X48" s="158"/>
      <c r="Y48" s="158"/>
      <c r="Z48" s="158"/>
      <c r="AA48" s="158"/>
      <c r="AB48" s="158"/>
      <c r="AC48" s="158"/>
      <c r="AD48" s="158"/>
      <c r="AE48" s="158"/>
      <c r="AF48" s="158"/>
      <c r="AG48" s="158"/>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DE48" s="1"/>
      <c r="DF48" s="46"/>
      <c r="DG48" s="46"/>
    </row>
    <row r="49" spans="1:111" s="18" customFormat="1" ht="12" customHeight="1" x14ac:dyDescent="0.35">
      <c r="A49" s="4"/>
      <c r="B49" s="4"/>
      <c r="C49" s="4"/>
      <c r="D49" s="4"/>
      <c r="E49" s="4"/>
      <c r="F49" s="4"/>
      <c r="G49" s="4"/>
      <c r="H49" s="4"/>
      <c r="I49" s="4"/>
      <c r="J49" s="4"/>
      <c r="K49" s="4"/>
      <c r="L49" s="4"/>
      <c r="M49" s="4"/>
      <c r="N49" s="4"/>
      <c r="O49" s="4"/>
      <c r="P49" s="4"/>
      <c r="Q49" s="4"/>
      <c r="R49" s="4"/>
      <c r="S49" s="4"/>
      <c r="T49" s="158"/>
      <c r="U49" s="158"/>
      <c r="V49" s="158"/>
      <c r="W49" s="158"/>
      <c r="X49" s="158"/>
      <c r="Y49" s="158"/>
      <c r="Z49" s="158"/>
      <c r="AA49" s="158"/>
      <c r="AB49" s="158"/>
      <c r="AC49" s="158"/>
      <c r="AD49" s="158"/>
      <c r="AE49" s="158"/>
      <c r="AF49" s="158"/>
      <c r="AG49" s="158"/>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DE49" s="1"/>
      <c r="DF49" s="46"/>
      <c r="DG49" s="46"/>
    </row>
    <row r="50" spans="1:111" s="18" customFormat="1" ht="12" customHeight="1" x14ac:dyDescent="0.35">
      <c r="A50" s="4"/>
      <c r="B50" s="4"/>
      <c r="C50" s="4"/>
      <c r="D50" s="4"/>
      <c r="E50" s="4"/>
      <c r="F50" s="4"/>
      <c r="G50" s="4"/>
      <c r="H50" s="4"/>
      <c r="I50" s="4"/>
      <c r="J50" s="4"/>
      <c r="K50" s="4"/>
      <c r="L50" s="4"/>
      <c r="M50" s="4"/>
      <c r="N50" s="4"/>
      <c r="O50" s="4"/>
      <c r="P50" s="4"/>
      <c r="Q50" s="4"/>
      <c r="R50" s="4"/>
      <c r="S50" s="4"/>
      <c r="T50" s="158"/>
      <c r="U50" s="158"/>
      <c r="V50" s="158"/>
      <c r="W50" s="158"/>
      <c r="X50" s="158"/>
      <c r="Y50" s="158"/>
      <c r="Z50" s="158"/>
      <c r="AA50" s="158"/>
      <c r="AB50" s="158"/>
      <c r="AC50" s="158"/>
      <c r="AD50" s="158"/>
      <c r="AE50" s="158"/>
      <c r="AF50" s="158"/>
      <c r="AG50" s="158"/>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DE50" s="1"/>
      <c r="DF50" s="46"/>
      <c r="DG50" s="46"/>
    </row>
    <row r="51" spans="1:111" s="18" customFormat="1" ht="12" customHeight="1" x14ac:dyDescent="0.35">
      <c r="A51" s="4"/>
      <c r="B51" s="4"/>
      <c r="C51" s="4"/>
      <c r="D51" s="4"/>
      <c r="E51" s="4"/>
      <c r="F51" s="4"/>
      <c r="G51" s="4"/>
      <c r="H51" s="4"/>
      <c r="I51" s="4"/>
      <c r="J51" s="4"/>
      <c r="K51" s="4"/>
      <c r="L51" s="4"/>
      <c r="M51" s="4"/>
      <c r="N51" s="4"/>
      <c r="O51" s="4"/>
      <c r="P51" s="4"/>
      <c r="Q51" s="4"/>
      <c r="R51" s="4"/>
      <c r="S51" s="4"/>
      <c r="T51" s="158"/>
      <c r="U51" s="158"/>
      <c r="V51" s="158"/>
      <c r="W51" s="158"/>
      <c r="X51" s="158"/>
      <c r="Y51" s="158"/>
      <c r="Z51" s="158"/>
      <c r="AA51" s="158"/>
      <c r="AB51" s="158"/>
      <c r="AC51" s="158"/>
      <c r="AD51" s="158"/>
      <c r="AE51" s="158"/>
      <c r="AF51" s="158"/>
      <c r="AG51" s="158"/>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DE51" s="1"/>
      <c r="DF51" s="46"/>
      <c r="DG51" s="46"/>
    </row>
    <row r="52" spans="1:111" s="18" customFormat="1" ht="12" customHeight="1" x14ac:dyDescent="0.35">
      <c r="A52" s="4"/>
      <c r="B52" s="4"/>
      <c r="C52" s="4"/>
      <c r="D52" s="4"/>
      <c r="E52" s="4"/>
      <c r="F52" s="4"/>
      <c r="G52" s="4"/>
      <c r="H52" s="4"/>
      <c r="I52" s="4"/>
      <c r="J52" s="4"/>
      <c r="K52" s="4"/>
      <c r="L52" s="4"/>
      <c r="M52" s="4"/>
      <c r="N52" s="4"/>
      <c r="O52" s="4"/>
      <c r="P52" s="4"/>
      <c r="Q52" s="4"/>
      <c r="R52" s="4"/>
      <c r="S52" s="4"/>
      <c r="T52" s="158"/>
      <c r="U52" s="158"/>
      <c r="V52" s="158"/>
      <c r="W52" s="158"/>
      <c r="X52" s="158"/>
      <c r="Y52" s="158"/>
      <c r="Z52" s="158"/>
      <c r="AA52" s="158"/>
      <c r="AB52" s="158"/>
      <c r="AC52" s="158"/>
      <c r="AD52" s="158"/>
      <c r="AE52" s="158"/>
      <c r="AF52" s="158"/>
      <c r="AG52" s="158"/>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DE52" s="1"/>
      <c r="DF52" s="46"/>
      <c r="DG52" s="46"/>
    </row>
  </sheetData>
  <dataConsolidate/>
  <conditionalFormatting sqref="H23:K23 AA3:AD24">
    <cfRule type="cellIs" dxfId="265" priority="1" operator="between">
      <formula>0.4</formula>
      <formula>0.6</formula>
    </cfRule>
    <cfRule type="cellIs" dxfId="264" priority="2" operator="greaterThan">
      <formula>0.8</formula>
    </cfRule>
    <cfRule type="cellIs" dxfId="263" priority="3" operator="between">
      <formula>0.6</formula>
      <formula>0.8</formula>
    </cfRule>
    <cfRule type="cellIs" dxfId="262" priority="4" operator="between">
      <formula>0.2</formula>
      <formula>0.4</formula>
    </cfRule>
    <cfRule type="cellIs" dxfId="261" priority="5" operator="between">
      <formula>0</formula>
      <formula>0.2</formula>
    </cfRule>
  </conditionalFormatting>
  <pageMargins left="0.19685039370078741" right="0.19685039370078741" top="0.78740157480314965" bottom="0.74803149606299213" header="0.11811023622047245" footer="0.31496062992125984"/>
  <pageSetup paperSize="9" scale="93" fitToHeight="0" orientation="portrait" r:id="rId1"/>
  <headerFooter scaleWithDoc="0">
    <oddHeader>&amp;L&amp;18&amp;G&amp;C&amp;18Kachin  IDPs camps
Situation JUly 2013&amp;R&amp;G</oddHeader>
  </headerFooter>
  <rowBreaks count="1" manualBreakCount="1">
    <brk id="21" max="16383" man="1"/>
  </rowBreaks>
  <drawing r:id="rId2"/>
  <legacyDrawing r:id="rId3"/>
  <legacyDrawingHF r:id="rId4"/>
  <controls>
    <mc:AlternateContent xmlns:mc="http://schemas.openxmlformats.org/markup-compatibility/2006">
      <mc:Choice Requires="x14">
        <control shapeId="64513" r:id="rId5" name="CommandButton1">
          <controlPr defaultSize="0" autoLine="0" r:id="rId6">
            <anchor moveWithCells="1">
              <from>
                <xdr:col>15</xdr:col>
                <xdr:colOff>0</xdr:colOff>
                <xdr:row>0</xdr:row>
                <xdr:rowOff>133350</xdr:rowOff>
              </from>
              <to>
                <xdr:col>19</xdr:col>
                <xdr:colOff>457200</xdr:colOff>
                <xdr:row>5</xdr:row>
                <xdr:rowOff>47625</xdr:rowOff>
              </to>
            </anchor>
          </controlPr>
        </control>
      </mc:Choice>
      <mc:Fallback>
        <control shapeId="64513" r:id="rId5" name="CommandButton1"/>
      </mc:Fallback>
    </mc:AlternateContent>
    <mc:AlternateContent xmlns:mc="http://schemas.openxmlformats.org/markup-compatibility/2006">
      <mc:Choice Requires="x14">
        <control shapeId="64514" r:id="rId7" name="Label 2">
          <controlPr defaultSize="0" autoFill="0" autoLine="0" autoPict="0">
            <anchor moveWithCells="1" sizeWithCells="1">
              <from>
                <xdr:col>0</xdr:col>
                <xdr:colOff>228600</xdr:colOff>
                <xdr:row>4</xdr:row>
                <xdr:rowOff>219075</xdr:rowOff>
              </from>
              <to>
                <xdr:col>0</xdr:col>
                <xdr:colOff>590550</xdr:colOff>
                <xdr:row>5</xdr:row>
                <xdr:rowOff>171450</xdr:rowOff>
              </to>
            </anchor>
          </controlPr>
        </control>
      </mc:Choice>
    </mc:AlternateContent>
    <mc:AlternateContent xmlns:mc="http://schemas.openxmlformats.org/markup-compatibility/2006">
      <mc:Choice Requires="x14">
        <control shapeId="64515" r:id="rId8" name="Label 3">
          <controlPr defaultSize="0" autoFill="0" autoLine="0" autoPict="0">
            <anchor moveWithCells="1" sizeWithCells="1">
              <from>
                <xdr:col>0</xdr:col>
                <xdr:colOff>752475</xdr:colOff>
                <xdr:row>4</xdr:row>
                <xdr:rowOff>209550</xdr:rowOff>
              </from>
              <to>
                <xdr:col>1</xdr:col>
                <xdr:colOff>257175</xdr:colOff>
                <xdr:row>5</xdr:row>
                <xdr:rowOff>161925</xdr:rowOff>
              </to>
            </anchor>
          </controlPr>
        </control>
      </mc:Choice>
    </mc:AlternateContent>
    <mc:AlternateContent xmlns:mc="http://schemas.openxmlformats.org/markup-compatibility/2006">
      <mc:Choice Requires="x14">
        <control shapeId="64516" r:id="rId9" name="Label 4">
          <controlPr defaultSize="0" autoFill="0" autoLine="0" autoPict="0">
            <anchor moveWithCells="1" sizeWithCells="1">
              <from>
                <xdr:col>1</xdr:col>
                <xdr:colOff>647700</xdr:colOff>
                <xdr:row>4</xdr:row>
                <xdr:rowOff>228600</xdr:rowOff>
              </from>
              <to>
                <xdr:col>2</xdr:col>
                <xdr:colOff>190500</xdr:colOff>
                <xdr:row>5</xdr:row>
                <xdr:rowOff>180975</xdr:rowOff>
              </to>
            </anchor>
          </controlPr>
        </control>
      </mc:Choice>
    </mc:AlternateContent>
    <mc:AlternateContent xmlns:mc="http://schemas.openxmlformats.org/markup-compatibility/2006">
      <mc:Choice Requires="x14">
        <control shapeId="64518" r:id="rId10" name="Label 6">
          <controlPr defaultSize="0" autoFill="0" autoLine="0" autoPict="0">
            <anchor moveWithCells="1" sizeWithCells="1">
              <from>
                <xdr:col>0</xdr:col>
                <xdr:colOff>638175</xdr:colOff>
                <xdr:row>0</xdr:row>
                <xdr:rowOff>190500</xdr:rowOff>
              </from>
              <to>
                <xdr:col>1</xdr:col>
                <xdr:colOff>723900</xdr:colOff>
                <xdr:row>1</xdr:row>
                <xdr:rowOff>133350</xdr:rowOff>
              </to>
            </anchor>
          </controlPr>
        </control>
      </mc:Choice>
    </mc:AlternateContent>
  </controls>
  <tableParts count="1">
    <tablePart r:id="rId1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V247"/>
  <sheetViews>
    <sheetView workbookViewId="0">
      <selection activeCell="G13" sqref="G4:G246"/>
      <pivotSelection pane="bottomRight" showHeader="1" activeRow="12" activeCol="6" click="1" r:id="rId2">
        <pivotArea dataOnly="0" labelOnly="1" outline="0" fieldPosition="0">
          <references count="1">
            <reference field="11" count="0"/>
          </references>
        </pivotArea>
      </pivotSelection>
    </sheetView>
  </sheetViews>
  <sheetFormatPr defaultRowHeight="15" x14ac:dyDescent="0.25"/>
  <cols>
    <col min="1" max="1" width="13.85546875" customWidth="1"/>
    <col min="2" max="2" width="56.5703125" customWidth="1"/>
    <col min="3" max="3" width="56.5703125" bestFit="1" customWidth="1"/>
    <col min="4" max="4" width="13.85546875" customWidth="1"/>
    <col min="6" max="6" width="4.5703125" customWidth="1"/>
    <col min="7" max="7" width="56.7109375" bestFit="1" customWidth="1"/>
    <col min="8" max="8" width="16.140625" bestFit="1" customWidth="1"/>
    <col min="9" max="9" width="7" bestFit="1" customWidth="1"/>
    <col min="10" max="10" width="10.140625" bestFit="1" customWidth="1"/>
    <col min="13" max="13" width="16.140625" style="129" bestFit="1" customWidth="1"/>
    <col min="14" max="14" width="56.7109375" style="129" bestFit="1" customWidth="1"/>
    <col min="15" max="15" width="13.85546875" style="129" bestFit="1" customWidth="1"/>
    <col min="16" max="16" width="10.140625" style="129" bestFit="1" customWidth="1"/>
    <col min="17" max="17" width="12" bestFit="1" customWidth="1"/>
    <col min="21" max="21" width="16.140625" bestFit="1" customWidth="1"/>
    <col min="22" max="22" width="23.28515625" customWidth="1"/>
  </cols>
  <sheetData>
    <row r="1" spans="1:22" x14ac:dyDescent="0.25">
      <c r="A1" s="500" t="s">
        <v>500</v>
      </c>
      <c r="B1" s="492" t="s">
        <v>598</v>
      </c>
      <c r="M1" s="500" t="s">
        <v>500</v>
      </c>
      <c r="N1" s="492" t="s">
        <v>598</v>
      </c>
    </row>
    <row r="2" spans="1:22" x14ac:dyDescent="0.25">
      <c r="G2" s="112"/>
      <c r="U2" s="500" t="s">
        <v>500</v>
      </c>
      <c r="V2" s="492" t="s">
        <v>598</v>
      </c>
    </row>
    <row r="3" spans="1:22" x14ac:dyDescent="0.25">
      <c r="A3" s="500" t="s">
        <v>0</v>
      </c>
      <c r="B3" s="500" t="s">
        <v>556</v>
      </c>
      <c r="G3" s="500" t="s">
        <v>556</v>
      </c>
      <c r="H3" s="500" t="s">
        <v>932</v>
      </c>
      <c r="I3" s="500" t="s">
        <v>500</v>
      </c>
      <c r="J3" t="s">
        <v>874</v>
      </c>
      <c r="M3" s="500" t="s">
        <v>932</v>
      </c>
      <c r="N3" s="500" t="s">
        <v>556</v>
      </c>
      <c r="O3" s="500" t="s">
        <v>1196</v>
      </c>
      <c r="P3" s="500" t="s">
        <v>0</v>
      </c>
      <c r="Q3" s="492" t="s">
        <v>874</v>
      </c>
      <c r="R3" s="492" t="s">
        <v>832</v>
      </c>
    </row>
    <row r="4" spans="1:22" x14ac:dyDescent="0.25">
      <c r="A4" s="492" t="s">
        <v>5</v>
      </c>
      <c r="B4" s="492" t="s">
        <v>6</v>
      </c>
      <c r="G4" s="492" t="s">
        <v>128</v>
      </c>
      <c r="H4" s="492" t="s">
        <v>127</v>
      </c>
      <c r="I4" s="492" t="s">
        <v>849</v>
      </c>
      <c r="J4" s="494">
        <v>0</v>
      </c>
      <c r="M4" s="492" t="s">
        <v>236</v>
      </c>
      <c r="N4" s="492" t="s">
        <v>238</v>
      </c>
      <c r="O4" s="492" t="s">
        <v>237</v>
      </c>
      <c r="P4" s="492" t="s">
        <v>237</v>
      </c>
      <c r="Q4" s="494">
        <v>70</v>
      </c>
      <c r="R4" s="494">
        <v>369</v>
      </c>
      <c r="U4" s="500" t="s">
        <v>932</v>
      </c>
      <c r="V4" s="500" t="s">
        <v>402</v>
      </c>
    </row>
    <row r="5" spans="1:22" x14ac:dyDescent="0.25">
      <c r="A5" s="492" t="s">
        <v>5</v>
      </c>
      <c r="B5" s="492" t="s">
        <v>514</v>
      </c>
      <c r="G5" s="492" t="s">
        <v>62</v>
      </c>
      <c r="H5" s="492" t="s">
        <v>61</v>
      </c>
      <c r="I5" s="492" t="s">
        <v>502</v>
      </c>
      <c r="J5" s="494">
        <v>76</v>
      </c>
      <c r="M5" s="492" t="s">
        <v>268</v>
      </c>
      <c r="N5" s="492" t="s">
        <v>269</v>
      </c>
      <c r="O5" s="492" t="s">
        <v>237</v>
      </c>
      <c r="P5" s="492" t="s">
        <v>237</v>
      </c>
      <c r="Q5" s="494">
        <v>57</v>
      </c>
      <c r="R5" s="494">
        <v>233</v>
      </c>
      <c r="U5" s="492" t="s">
        <v>236</v>
      </c>
      <c r="V5" s="492" t="s">
        <v>556</v>
      </c>
    </row>
    <row r="6" spans="1:22" x14ac:dyDescent="0.25">
      <c r="A6" s="492" t="s">
        <v>5</v>
      </c>
      <c r="B6" s="492" t="s">
        <v>10</v>
      </c>
      <c r="G6" s="492" t="s">
        <v>120</v>
      </c>
      <c r="H6" s="492" t="s">
        <v>119</v>
      </c>
      <c r="I6" s="492" t="s">
        <v>502</v>
      </c>
      <c r="J6" s="494">
        <v>75</v>
      </c>
      <c r="M6" s="492" t="s">
        <v>250</v>
      </c>
      <c r="N6" s="492" t="s">
        <v>251</v>
      </c>
      <c r="O6" s="492" t="s">
        <v>237</v>
      </c>
      <c r="P6" s="492" t="s">
        <v>237</v>
      </c>
      <c r="Q6" s="494">
        <v>32</v>
      </c>
      <c r="R6" s="494">
        <v>146</v>
      </c>
      <c r="U6" s="492" t="s">
        <v>268</v>
      </c>
      <c r="V6" s="492" t="s">
        <v>556</v>
      </c>
    </row>
    <row r="7" spans="1:22" x14ac:dyDescent="0.25">
      <c r="A7" s="492" t="s">
        <v>5</v>
      </c>
      <c r="B7" s="492" t="s">
        <v>12</v>
      </c>
      <c r="G7" s="492" t="s">
        <v>6</v>
      </c>
      <c r="H7" s="492" t="s">
        <v>4</v>
      </c>
      <c r="I7" s="492" t="s">
        <v>502</v>
      </c>
      <c r="J7" s="494">
        <v>274</v>
      </c>
      <c r="M7" s="492" t="s">
        <v>248</v>
      </c>
      <c r="N7" s="492" t="s">
        <v>249</v>
      </c>
      <c r="O7" s="492" t="s">
        <v>237</v>
      </c>
      <c r="P7" s="492" t="s">
        <v>237</v>
      </c>
      <c r="Q7" s="494">
        <v>12</v>
      </c>
      <c r="R7" s="494">
        <v>57</v>
      </c>
      <c r="U7" s="492" t="s">
        <v>250</v>
      </c>
      <c r="V7" s="492" t="s">
        <v>556</v>
      </c>
    </row>
    <row r="8" spans="1:22" x14ac:dyDescent="0.25">
      <c r="A8" s="492" t="s">
        <v>5</v>
      </c>
      <c r="B8" s="492" t="s">
        <v>14</v>
      </c>
      <c r="G8" s="492" t="s">
        <v>41</v>
      </c>
      <c r="H8" s="492" t="s">
        <v>40</v>
      </c>
      <c r="I8" s="492" t="s">
        <v>502</v>
      </c>
      <c r="J8" s="494">
        <v>67</v>
      </c>
      <c r="M8" s="492" t="s">
        <v>274</v>
      </c>
      <c r="N8" s="492" t="s">
        <v>275</v>
      </c>
      <c r="O8" s="492" t="s">
        <v>237</v>
      </c>
      <c r="P8" s="492" t="s">
        <v>237</v>
      </c>
      <c r="Q8" s="494">
        <v>44</v>
      </c>
      <c r="R8" s="494">
        <v>212</v>
      </c>
      <c r="U8" s="492" t="s">
        <v>248</v>
      </c>
      <c r="V8" s="492" t="s">
        <v>556</v>
      </c>
    </row>
    <row r="9" spans="1:22" x14ac:dyDescent="0.25">
      <c r="A9" s="492" t="s">
        <v>5</v>
      </c>
      <c r="B9" s="492" t="s">
        <v>16</v>
      </c>
      <c r="G9" s="492" t="s">
        <v>43</v>
      </c>
      <c r="H9" s="492" t="s">
        <v>42</v>
      </c>
      <c r="I9" s="492" t="s">
        <v>502</v>
      </c>
      <c r="J9" s="494">
        <v>14</v>
      </c>
      <c r="M9" s="492" t="s">
        <v>276</v>
      </c>
      <c r="N9" s="492" t="s">
        <v>277</v>
      </c>
      <c r="O9" s="492" t="s">
        <v>237</v>
      </c>
      <c r="P9" s="492" t="s">
        <v>237</v>
      </c>
      <c r="Q9" s="494">
        <v>95</v>
      </c>
      <c r="R9" s="494">
        <v>385</v>
      </c>
      <c r="U9" s="492" t="s">
        <v>274</v>
      </c>
      <c r="V9" s="492" t="s">
        <v>556</v>
      </c>
    </row>
    <row r="10" spans="1:22" x14ac:dyDescent="0.25">
      <c r="A10" s="492" t="s">
        <v>5</v>
      </c>
      <c r="B10" s="492" t="s">
        <v>18</v>
      </c>
      <c r="G10" s="492" t="s">
        <v>39</v>
      </c>
      <c r="H10" s="492" t="s">
        <v>38</v>
      </c>
      <c r="I10" s="492" t="s">
        <v>849</v>
      </c>
      <c r="J10" s="494">
        <v>0</v>
      </c>
      <c r="M10" s="492" t="s">
        <v>278</v>
      </c>
      <c r="N10" s="492" t="s">
        <v>279</v>
      </c>
      <c r="O10" s="492" t="s">
        <v>237</v>
      </c>
      <c r="P10" s="492" t="s">
        <v>237</v>
      </c>
      <c r="Q10" s="494">
        <v>28</v>
      </c>
      <c r="R10" s="494">
        <v>132</v>
      </c>
      <c r="U10" s="492" t="s">
        <v>276</v>
      </c>
      <c r="V10" s="492" t="s">
        <v>556</v>
      </c>
    </row>
    <row r="11" spans="1:22" x14ac:dyDescent="0.25">
      <c r="A11" s="492" t="s">
        <v>5</v>
      </c>
      <c r="B11" s="492" t="s">
        <v>8</v>
      </c>
      <c r="G11" s="492" t="s">
        <v>514</v>
      </c>
      <c r="H11" s="492" t="s">
        <v>377</v>
      </c>
      <c r="I11" s="492" t="s">
        <v>502</v>
      </c>
      <c r="J11" s="494">
        <v>12</v>
      </c>
      <c r="M11" s="492" t="s">
        <v>260</v>
      </c>
      <c r="N11" s="492" t="s">
        <v>261</v>
      </c>
      <c r="O11" s="492" t="s">
        <v>237</v>
      </c>
      <c r="P11" s="492" t="s">
        <v>237</v>
      </c>
      <c r="Q11" s="494">
        <v>96</v>
      </c>
      <c r="R11" s="494">
        <v>505</v>
      </c>
      <c r="U11" s="492" t="s">
        <v>278</v>
      </c>
      <c r="V11" s="492" t="s">
        <v>556</v>
      </c>
    </row>
    <row r="12" spans="1:22" x14ac:dyDescent="0.25">
      <c r="A12" s="492" t="s">
        <v>5</v>
      </c>
      <c r="B12" s="492" t="s">
        <v>20</v>
      </c>
      <c r="G12" s="492" t="s">
        <v>48</v>
      </c>
      <c r="H12" s="492" t="s">
        <v>47</v>
      </c>
      <c r="I12" s="492" t="s">
        <v>849</v>
      </c>
      <c r="J12" s="494">
        <v>0</v>
      </c>
      <c r="M12" s="492" t="s">
        <v>280</v>
      </c>
      <c r="N12" s="492" t="s">
        <v>281</v>
      </c>
      <c r="O12" s="492" t="s">
        <v>237</v>
      </c>
      <c r="P12" s="492" t="s">
        <v>237</v>
      </c>
      <c r="Q12" s="494">
        <v>90</v>
      </c>
      <c r="R12" s="494">
        <v>487</v>
      </c>
      <c r="U12" s="492" t="s">
        <v>260</v>
      </c>
      <c r="V12" s="492" t="s">
        <v>556</v>
      </c>
    </row>
    <row r="13" spans="1:22" x14ac:dyDescent="0.25">
      <c r="A13" s="492" t="s">
        <v>5</v>
      </c>
      <c r="B13" s="492" t="s">
        <v>366</v>
      </c>
      <c r="G13" s="492" t="s">
        <v>50</v>
      </c>
      <c r="H13" s="492" t="s">
        <v>49</v>
      </c>
      <c r="I13" s="492" t="s">
        <v>849</v>
      </c>
      <c r="J13" s="494">
        <v>0</v>
      </c>
      <c r="M13" s="492" t="s">
        <v>244</v>
      </c>
      <c r="N13" s="492" t="s">
        <v>245</v>
      </c>
      <c r="O13" s="492" t="s">
        <v>237</v>
      </c>
      <c r="P13" s="492" t="s">
        <v>237</v>
      </c>
      <c r="Q13" s="494">
        <v>6</v>
      </c>
      <c r="R13" s="494">
        <v>39</v>
      </c>
      <c r="U13" s="492" t="s">
        <v>280</v>
      </c>
      <c r="V13" s="492" t="s">
        <v>556</v>
      </c>
    </row>
    <row r="14" spans="1:22" x14ac:dyDescent="0.25">
      <c r="A14" s="492" t="s">
        <v>5</v>
      </c>
      <c r="B14" s="492" t="s">
        <v>22</v>
      </c>
      <c r="G14" s="492" t="s">
        <v>888</v>
      </c>
      <c r="H14" s="492" t="s">
        <v>886</v>
      </c>
      <c r="I14" s="492" t="s">
        <v>849</v>
      </c>
      <c r="J14" s="494">
        <v>0</v>
      </c>
      <c r="M14" s="492" t="s">
        <v>246</v>
      </c>
      <c r="N14" s="492" t="s">
        <v>247</v>
      </c>
      <c r="O14" s="492" t="s">
        <v>237</v>
      </c>
      <c r="P14" s="492" t="s">
        <v>237</v>
      </c>
      <c r="Q14" s="494">
        <v>50</v>
      </c>
      <c r="R14" s="494">
        <v>236</v>
      </c>
      <c r="U14" s="492" t="s">
        <v>244</v>
      </c>
      <c r="V14" s="492" t="s">
        <v>556</v>
      </c>
    </row>
    <row r="15" spans="1:22" x14ac:dyDescent="0.25">
      <c r="A15" s="492" t="s">
        <v>5</v>
      </c>
      <c r="B15" s="492" t="s">
        <v>904</v>
      </c>
      <c r="G15" s="492" t="s">
        <v>883</v>
      </c>
      <c r="H15" s="492" t="s">
        <v>887</v>
      </c>
      <c r="I15" s="492" t="s">
        <v>849</v>
      </c>
      <c r="J15" s="494">
        <v>0</v>
      </c>
      <c r="M15" s="492" t="s">
        <v>242</v>
      </c>
      <c r="N15" s="492" t="s">
        <v>243</v>
      </c>
      <c r="O15" s="492" t="s">
        <v>237</v>
      </c>
      <c r="P15" s="492" t="s">
        <v>237</v>
      </c>
      <c r="Q15" s="494">
        <v>6</v>
      </c>
      <c r="R15" s="494">
        <v>28</v>
      </c>
      <c r="U15" s="492" t="s">
        <v>246</v>
      </c>
      <c r="V15" s="492" t="s">
        <v>556</v>
      </c>
    </row>
    <row r="16" spans="1:22" x14ac:dyDescent="0.25">
      <c r="A16" s="492" t="s">
        <v>5</v>
      </c>
      <c r="B16" s="492" t="s">
        <v>24</v>
      </c>
      <c r="G16" s="492" t="s">
        <v>884</v>
      </c>
      <c r="H16" s="492" t="s">
        <v>885</v>
      </c>
      <c r="I16" s="492" t="s">
        <v>849</v>
      </c>
      <c r="J16" s="494">
        <v>0</v>
      </c>
      <c r="M16" s="492" t="s">
        <v>256</v>
      </c>
      <c r="N16" s="492" t="s">
        <v>257</v>
      </c>
      <c r="O16" s="492" t="s">
        <v>237</v>
      </c>
      <c r="P16" s="492" t="s">
        <v>237</v>
      </c>
      <c r="Q16" s="494">
        <v>45</v>
      </c>
      <c r="R16" s="494">
        <v>194</v>
      </c>
      <c r="U16" s="492" t="s">
        <v>242</v>
      </c>
      <c r="V16" s="492" t="s">
        <v>556</v>
      </c>
    </row>
    <row r="17" spans="1:22" x14ac:dyDescent="0.25">
      <c r="A17" s="492" t="s">
        <v>5</v>
      </c>
      <c r="B17" s="492" t="s">
        <v>875</v>
      </c>
      <c r="G17" s="492" t="s">
        <v>52</v>
      </c>
      <c r="H17" s="492" t="s">
        <v>51</v>
      </c>
      <c r="I17" s="492" t="s">
        <v>502</v>
      </c>
      <c r="J17" s="494">
        <v>35</v>
      </c>
      <c r="M17" s="492" t="s">
        <v>284</v>
      </c>
      <c r="N17" s="492" t="s">
        <v>285</v>
      </c>
      <c r="O17" s="492" t="s">
        <v>237</v>
      </c>
      <c r="P17" s="492" t="s">
        <v>237</v>
      </c>
      <c r="Q17" s="494">
        <v>163</v>
      </c>
      <c r="R17" s="494">
        <v>712</v>
      </c>
      <c r="U17" s="492" t="s">
        <v>256</v>
      </c>
      <c r="V17" s="492" t="s">
        <v>556</v>
      </c>
    </row>
    <row r="18" spans="1:22" x14ac:dyDescent="0.25">
      <c r="A18" s="492" t="s">
        <v>5</v>
      </c>
      <c r="B18" s="492" t="s">
        <v>26</v>
      </c>
      <c r="G18" s="492" t="s">
        <v>58</v>
      </c>
      <c r="H18" s="492" t="s">
        <v>57</v>
      </c>
      <c r="I18" s="492" t="s">
        <v>849</v>
      </c>
      <c r="J18" s="494">
        <v>0</v>
      </c>
      <c r="M18" s="492" t="s">
        <v>239</v>
      </c>
      <c r="N18" s="492" t="s">
        <v>240</v>
      </c>
      <c r="O18" s="492" t="s">
        <v>237</v>
      </c>
      <c r="P18" s="492" t="s">
        <v>237</v>
      </c>
      <c r="Q18" s="494">
        <v>108</v>
      </c>
      <c r="R18" s="494">
        <v>605</v>
      </c>
      <c r="U18" s="492" t="s">
        <v>284</v>
      </c>
      <c r="V18" s="492" t="s">
        <v>556</v>
      </c>
    </row>
    <row r="19" spans="1:22" x14ac:dyDescent="0.25">
      <c r="A19" s="492" t="s">
        <v>5</v>
      </c>
      <c r="B19" s="492" t="s">
        <v>1028</v>
      </c>
      <c r="G19" s="492" t="s">
        <v>60</v>
      </c>
      <c r="H19" s="492" t="s">
        <v>59</v>
      </c>
      <c r="I19" s="492" t="s">
        <v>849</v>
      </c>
      <c r="J19" s="494">
        <v>0</v>
      </c>
      <c r="M19" s="492" t="s">
        <v>258</v>
      </c>
      <c r="N19" s="492" t="s">
        <v>259</v>
      </c>
      <c r="O19" s="492" t="s">
        <v>237</v>
      </c>
      <c r="P19" s="492" t="s">
        <v>237</v>
      </c>
      <c r="Q19" s="494">
        <v>72</v>
      </c>
      <c r="R19" s="494">
        <v>375</v>
      </c>
      <c r="U19" s="492" t="s">
        <v>239</v>
      </c>
      <c r="V19" s="492" t="s">
        <v>556</v>
      </c>
    </row>
    <row r="20" spans="1:22" x14ac:dyDescent="0.25">
      <c r="A20" s="492" t="s">
        <v>27</v>
      </c>
      <c r="B20" s="492" t="s">
        <v>28</v>
      </c>
      <c r="G20" s="492" t="s">
        <v>358</v>
      </c>
      <c r="H20" s="492" t="s">
        <v>357</v>
      </c>
      <c r="I20" s="492" t="s">
        <v>849</v>
      </c>
      <c r="J20" s="494">
        <v>0</v>
      </c>
      <c r="M20" s="492" t="s">
        <v>266</v>
      </c>
      <c r="N20" s="492" t="s">
        <v>267</v>
      </c>
      <c r="O20" s="492" t="s">
        <v>237</v>
      </c>
      <c r="P20" s="492" t="s">
        <v>237</v>
      </c>
      <c r="Q20" s="494">
        <v>0</v>
      </c>
      <c r="R20" s="494">
        <v>0</v>
      </c>
      <c r="U20" s="492" t="s">
        <v>258</v>
      </c>
      <c r="V20" s="492" t="s">
        <v>556</v>
      </c>
    </row>
    <row r="21" spans="1:22" x14ac:dyDescent="0.25">
      <c r="A21" s="492" t="s">
        <v>27</v>
      </c>
      <c r="B21" s="492" t="s">
        <v>32</v>
      </c>
      <c r="G21" s="492" t="s">
        <v>334</v>
      </c>
      <c r="H21" s="492" t="s">
        <v>333</v>
      </c>
      <c r="I21" s="492" t="s">
        <v>502</v>
      </c>
      <c r="J21" s="494">
        <v>155</v>
      </c>
      <c r="M21" s="492" t="s">
        <v>252</v>
      </c>
      <c r="N21" s="492" t="s">
        <v>253</v>
      </c>
      <c r="O21" s="492" t="s">
        <v>237</v>
      </c>
      <c r="P21" s="492" t="s">
        <v>237</v>
      </c>
      <c r="Q21" s="494">
        <v>203</v>
      </c>
      <c r="R21" s="494">
        <v>1072</v>
      </c>
      <c r="U21" s="492" t="s">
        <v>266</v>
      </c>
      <c r="V21" s="492" t="s">
        <v>556</v>
      </c>
    </row>
    <row r="22" spans="1:22" x14ac:dyDescent="0.25">
      <c r="A22" s="492" t="s">
        <v>27</v>
      </c>
      <c r="B22" s="492" t="s">
        <v>364</v>
      </c>
      <c r="G22" s="492" t="s">
        <v>188</v>
      </c>
      <c r="H22" s="492" t="s">
        <v>187</v>
      </c>
      <c r="I22" s="492" t="s">
        <v>502</v>
      </c>
      <c r="J22" s="494">
        <v>245</v>
      </c>
      <c r="M22" s="492" t="s">
        <v>254</v>
      </c>
      <c r="N22" s="492" t="s">
        <v>255</v>
      </c>
      <c r="O22" s="492" t="s">
        <v>237</v>
      </c>
      <c r="P22" s="492" t="s">
        <v>237</v>
      </c>
      <c r="Q22" s="494">
        <v>109</v>
      </c>
      <c r="R22" s="494">
        <v>487</v>
      </c>
      <c r="U22" s="492" t="s">
        <v>252</v>
      </c>
      <c r="V22" s="492" t="s">
        <v>556</v>
      </c>
    </row>
    <row r="23" spans="1:22" x14ac:dyDescent="0.25">
      <c r="A23" s="492" t="s">
        <v>27</v>
      </c>
      <c r="B23" s="492" t="s">
        <v>34</v>
      </c>
      <c r="G23" s="492" t="s">
        <v>1041</v>
      </c>
      <c r="H23" s="492" t="s">
        <v>1042</v>
      </c>
      <c r="I23" s="492" t="s">
        <v>502</v>
      </c>
      <c r="J23" s="494">
        <v>219</v>
      </c>
      <c r="M23" s="492" t="s">
        <v>262</v>
      </c>
      <c r="N23" s="492" t="s">
        <v>263</v>
      </c>
      <c r="O23" s="492" t="s">
        <v>237</v>
      </c>
      <c r="P23" s="492" t="s">
        <v>237</v>
      </c>
      <c r="Q23" s="494">
        <v>22</v>
      </c>
      <c r="R23" s="494">
        <v>104</v>
      </c>
      <c r="U23" s="492" t="s">
        <v>254</v>
      </c>
      <c r="V23" s="492" t="s">
        <v>556</v>
      </c>
    </row>
    <row r="24" spans="1:22" x14ac:dyDescent="0.25">
      <c r="A24" s="492" t="s">
        <v>27</v>
      </c>
      <c r="B24" s="492" t="s">
        <v>365</v>
      </c>
      <c r="G24" s="492" t="s">
        <v>72</v>
      </c>
      <c r="H24" s="492" t="s">
        <v>71</v>
      </c>
      <c r="I24" s="492" t="s">
        <v>502</v>
      </c>
      <c r="J24" s="494">
        <v>6</v>
      </c>
      <c r="M24" s="492" t="s">
        <v>264</v>
      </c>
      <c r="N24" s="492" t="s">
        <v>265</v>
      </c>
      <c r="O24" s="492" t="s">
        <v>237</v>
      </c>
      <c r="P24" s="492" t="s">
        <v>237</v>
      </c>
      <c r="Q24" s="494">
        <v>14</v>
      </c>
      <c r="R24" s="494">
        <v>73</v>
      </c>
      <c r="U24" s="492" t="s">
        <v>262</v>
      </c>
      <c r="V24" s="492" t="s">
        <v>556</v>
      </c>
    </row>
    <row r="25" spans="1:22" x14ac:dyDescent="0.25">
      <c r="A25" s="492" t="s">
        <v>27</v>
      </c>
      <c r="B25" s="492" t="s">
        <v>870</v>
      </c>
      <c r="G25" s="492" t="s">
        <v>70</v>
      </c>
      <c r="H25" s="492" t="s">
        <v>69</v>
      </c>
      <c r="I25" s="492" t="s">
        <v>849</v>
      </c>
      <c r="J25" s="494">
        <v>0</v>
      </c>
      <c r="M25" s="492" t="s">
        <v>282</v>
      </c>
      <c r="N25" s="492" t="s">
        <v>283</v>
      </c>
      <c r="O25" s="492" t="s">
        <v>237</v>
      </c>
      <c r="P25" s="492" t="s">
        <v>237</v>
      </c>
      <c r="Q25" s="494">
        <v>7</v>
      </c>
      <c r="R25" s="494">
        <v>37</v>
      </c>
      <c r="U25" s="492" t="s">
        <v>264</v>
      </c>
      <c r="V25" s="492" t="s">
        <v>556</v>
      </c>
    </row>
    <row r="26" spans="1:22" x14ac:dyDescent="0.25">
      <c r="A26" s="492" t="s">
        <v>27</v>
      </c>
      <c r="B26" s="492" t="s">
        <v>37</v>
      </c>
      <c r="G26" s="492" t="s">
        <v>28</v>
      </c>
      <c r="H26" s="492" t="s">
        <v>30</v>
      </c>
      <c r="I26" s="492" t="s">
        <v>502</v>
      </c>
      <c r="J26" s="494">
        <v>108</v>
      </c>
      <c r="M26" s="492" t="s">
        <v>241</v>
      </c>
      <c r="N26" s="492" t="s">
        <v>1258</v>
      </c>
      <c r="O26" s="492" t="s">
        <v>237</v>
      </c>
      <c r="P26" s="492" t="s">
        <v>237</v>
      </c>
      <c r="Q26" s="494">
        <v>68</v>
      </c>
      <c r="R26" s="494">
        <v>340</v>
      </c>
      <c r="U26" s="492" t="s">
        <v>282</v>
      </c>
      <c r="V26" s="492" t="s">
        <v>556</v>
      </c>
    </row>
    <row r="27" spans="1:22" x14ac:dyDescent="0.25">
      <c r="A27" s="492" t="s">
        <v>27</v>
      </c>
      <c r="B27" s="492" t="s">
        <v>1026</v>
      </c>
      <c r="G27" s="492" t="s">
        <v>10</v>
      </c>
      <c r="H27" s="492" t="s">
        <v>9</v>
      </c>
      <c r="I27" s="492" t="s">
        <v>849</v>
      </c>
      <c r="J27" s="494">
        <v>0</v>
      </c>
      <c r="M27" s="492" t="s">
        <v>270</v>
      </c>
      <c r="N27" s="492" t="s">
        <v>271</v>
      </c>
      <c r="O27" s="492" t="s">
        <v>237</v>
      </c>
      <c r="P27" s="492" t="s">
        <v>237</v>
      </c>
      <c r="Q27" s="494">
        <v>69</v>
      </c>
      <c r="R27" s="494">
        <v>325</v>
      </c>
      <c r="U27" s="492" t="s">
        <v>241</v>
      </c>
      <c r="V27" s="492" t="s">
        <v>556</v>
      </c>
    </row>
    <row r="28" spans="1:22" x14ac:dyDescent="0.25">
      <c r="A28" s="492" t="s">
        <v>529</v>
      </c>
      <c r="B28" s="492" t="s">
        <v>128</v>
      </c>
      <c r="G28" s="492" t="s">
        <v>1347</v>
      </c>
      <c r="H28" s="492" t="s">
        <v>1348</v>
      </c>
      <c r="I28" s="492" t="s">
        <v>502</v>
      </c>
      <c r="J28" s="494"/>
      <c r="M28" s="492" t="s">
        <v>341</v>
      </c>
      <c r="N28" s="492" t="s">
        <v>342</v>
      </c>
      <c r="O28" s="492" t="s">
        <v>310</v>
      </c>
      <c r="P28" s="492" t="s">
        <v>310</v>
      </c>
      <c r="Q28" s="494">
        <v>65</v>
      </c>
      <c r="R28" s="494">
        <v>322</v>
      </c>
      <c r="U28" s="492" t="s">
        <v>270</v>
      </c>
      <c r="V28" s="492" t="s">
        <v>556</v>
      </c>
    </row>
    <row r="29" spans="1:22" x14ac:dyDescent="0.25">
      <c r="A29" s="492" t="s">
        <v>529</v>
      </c>
      <c r="B29" s="492" t="s">
        <v>62</v>
      </c>
      <c r="G29" s="492" t="s">
        <v>76</v>
      </c>
      <c r="H29" s="492" t="s">
        <v>75</v>
      </c>
      <c r="I29" s="492" t="s">
        <v>502</v>
      </c>
      <c r="J29" s="494">
        <v>65</v>
      </c>
      <c r="M29" s="492" t="s">
        <v>350</v>
      </c>
      <c r="N29" s="492" t="s">
        <v>351</v>
      </c>
      <c r="O29" s="492" t="s">
        <v>310</v>
      </c>
      <c r="P29" s="492" t="s">
        <v>310</v>
      </c>
      <c r="Q29" s="494">
        <v>91</v>
      </c>
      <c r="R29" s="494">
        <v>484</v>
      </c>
      <c r="U29" s="492" t="s">
        <v>341</v>
      </c>
      <c r="V29" s="492" t="s">
        <v>556</v>
      </c>
    </row>
    <row r="30" spans="1:22" x14ac:dyDescent="0.25">
      <c r="A30" s="492" t="s">
        <v>529</v>
      </c>
      <c r="B30" s="492" t="s">
        <v>120</v>
      </c>
      <c r="G30" s="492" t="s">
        <v>243</v>
      </c>
      <c r="H30" s="492" t="s">
        <v>242</v>
      </c>
      <c r="I30" s="492" t="s">
        <v>502</v>
      </c>
      <c r="J30" s="494">
        <v>6</v>
      </c>
      <c r="M30" s="492" t="s">
        <v>319</v>
      </c>
      <c r="N30" s="492" t="s">
        <v>320</v>
      </c>
      <c r="O30" s="492" t="s">
        <v>310</v>
      </c>
      <c r="P30" s="492" t="s">
        <v>310</v>
      </c>
      <c r="Q30" s="494">
        <v>25</v>
      </c>
      <c r="R30" s="494">
        <v>138</v>
      </c>
      <c r="U30" s="492" t="s">
        <v>350</v>
      </c>
      <c r="V30" s="492" t="s">
        <v>556</v>
      </c>
    </row>
    <row r="31" spans="1:22" x14ac:dyDescent="0.25">
      <c r="A31" s="492" t="s">
        <v>529</v>
      </c>
      <c r="B31" s="492" t="s">
        <v>41</v>
      </c>
      <c r="G31" s="492" t="s">
        <v>245</v>
      </c>
      <c r="H31" s="492" t="s">
        <v>244</v>
      </c>
      <c r="I31" s="492" t="s">
        <v>502</v>
      </c>
      <c r="J31" s="494">
        <v>6</v>
      </c>
      <c r="M31" s="492" t="s">
        <v>312</v>
      </c>
      <c r="N31" s="492" t="s">
        <v>313</v>
      </c>
      <c r="O31" s="492" t="s">
        <v>310</v>
      </c>
      <c r="P31" s="492" t="s">
        <v>310</v>
      </c>
      <c r="Q31" s="494">
        <v>111</v>
      </c>
      <c r="R31" s="494">
        <v>511</v>
      </c>
      <c r="U31" s="492" t="s">
        <v>319</v>
      </c>
      <c r="V31" s="492" t="s">
        <v>556</v>
      </c>
    </row>
    <row r="32" spans="1:22" x14ac:dyDescent="0.25">
      <c r="A32" s="492" t="s">
        <v>529</v>
      </c>
      <c r="B32" s="492" t="s">
        <v>43</v>
      </c>
      <c r="G32" s="492" t="s">
        <v>247</v>
      </c>
      <c r="H32" s="492" t="s">
        <v>246</v>
      </c>
      <c r="I32" s="492" t="s">
        <v>502</v>
      </c>
      <c r="J32" s="494">
        <v>50</v>
      </c>
      <c r="M32" s="492" t="s">
        <v>329</v>
      </c>
      <c r="N32" s="492" t="s">
        <v>330</v>
      </c>
      <c r="O32" s="492" t="s">
        <v>310</v>
      </c>
      <c r="P32" s="492" t="s">
        <v>310</v>
      </c>
      <c r="Q32" s="494">
        <v>227</v>
      </c>
      <c r="R32" s="494">
        <v>1221</v>
      </c>
      <c r="U32" s="492" t="s">
        <v>312</v>
      </c>
      <c r="V32" s="492" t="s">
        <v>556</v>
      </c>
    </row>
    <row r="33" spans="1:22" x14ac:dyDescent="0.25">
      <c r="A33" s="492" t="s">
        <v>529</v>
      </c>
      <c r="B33" s="492" t="s">
        <v>39</v>
      </c>
      <c r="G33" s="492" t="s">
        <v>192</v>
      </c>
      <c r="H33" s="492" t="s">
        <v>191</v>
      </c>
      <c r="I33" s="492" t="s">
        <v>502</v>
      </c>
      <c r="J33" s="494">
        <v>116</v>
      </c>
      <c r="M33" s="492" t="s">
        <v>337</v>
      </c>
      <c r="N33" s="492" t="s">
        <v>338</v>
      </c>
      <c r="O33" s="492" t="s">
        <v>310</v>
      </c>
      <c r="P33" s="492" t="s">
        <v>310</v>
      </c>
      <c r="Q33" s="494">
        <v>31</v>
      </c>
      <c r="R33" s="494">
        <v>171</v>
      </c>
      <c r="U33" s="492" t="s">
        <v>329</v>
      </c>
      <c r="V33" s="492" t="s">
        <v>556</v>
      </c>
    </row>
    <row r="34" spans="1:22" x14ac:dyDescent="0.25">
      <c r="A34" s="492" t="s">
        <v>529</v>
      </c>
      <c r="B34" s="492" t="s">
        <v>48</v>
      </c>
      <c r="G34" s="492" t="s">
        <v>78</v>
      </c>
      <c r="H34" s="492" t="s">
        <v>77</v>
      </c>
      <c r="I34" s="492" t="s">
        <v>849</v>
      </c>
      <c r="J34" s="494">
        <v>0</v>
      </c>
      <c r="M34" s="492" t="s">
        <v>327</v>
      </c>
      <c r="N34" s="492" t="s">
        <v>328</v>
      </c>
      <c r="O34" s="492" t="s">
        <v>310</v>
      </c>
      <c r="P34" s="492" t="s">
        <v>310</v>
      </c>
      <c r="Q34" s="494">
        <v>135</v>
      </c>
      <c r="R34" s="494">
        <v>729</v>
      </c>
      <c r="U34" s="492" t="s">
        <v>337</v>
      </c>
      <c r="V34" s="492" t="s">
        <v>556</v>
      </c>
    </row>
    <row r="35" spans="1:22" x14ac:dyDescent="0.25">
      <c r="A35" s="492" t="s">
        <v>529</v>
      </c>
      <c r="B35" s="492" t="s">
        <v>50</v>
      </c>
      <c r="G35" s="492" t="s">
        <v>82</v>
      </c>
      <c r="H35" s="492" t="s">
        <v>81</v>
      </c>
      <c r="I35" s="492" t="s">
        <v>849</v>
      </c>
      <c r="J35" s="494">
        <v>0</v>
      </c>
      <c r="M35" s="492" t="s">
        <v>317</v>
      </c>
      <c r="N35" s="492" t="s">
        <v>318</v>
      </c>
      <c r="O35" s="492" t="s">
        <v>310</v>
      </c>
      <c r="P35" s="492" t="s">
        <v>310</v>
      </c>
      <c r="Q35" s="494">
        <v>94</v>
      </c>
      <c r="R35" s="494">
        <v>342</v>
      </c>
      <c r="U35" s="492" t="s">
        <v>327</v>
      </c>
      <c r="V35" s="492" t="s">
        <v>556</v>
      </c>
    </row>
    <row r="36" spans="1:22" x14ac:dyDescent="0.25">
      <c r="A36" s="492" t="s">
        <v>529</v>
      </c>
      <c r="B36" s="492" t="s">
        <v>52</v>
      </c>
      <c r="G36" s="492" t="s">
        <v>937</v>
      </c>
      <c r="H36" s="492" t="s">
        <v>938</v>
      </c>
      <c r="I36" s="492" t="s">
        <v>849</v>
      </c>
      <c r="J36" s="494">
        <v>0</v>
      </c>
      <c r="M36" s="492" t="s">
        <v>343</v>
      </c>
      <c r="N36" s="492" t="s">
        <v>344</v>
      </c>
      <c r="O36" s="492" t="s">
        <v>310</v>
      </c>
      <c r="P36" s="492" t="s">
        <v>310</v>
      </c>
      <c r="Q36" s="494">
        <v>18</v>
      </c>
      <c r="R36" s="494">
        <v>82</v>
      </c>
      <c r="U36" s="492" t="s">
        <v>317</v>
      </c>
      <c r="V36" s="492" t="s">
        <v>556</v>
      </c>
    </row>
    <row r="37" spans="1:22" x14ac:dyDescent="0.25">
      <c r="A37" s="492" t="s">
        <v>529</v>
      </c>
      <c r="B37" s="492" t="s">
        <v>58</v>
      </c>
      <c r="G37" s="492" t="s">
        <v>939</v>
      </c>
      <c r="H37" s="492" t="s">
        <v>940</v>
      </c>
      <c r="I37" s="492" t="s">
        <v>849</v>
      </c>
      <c r="J37" s="494">
        <v>0</v>
      </c>
      <c r="M37" s="492" t="s">
        <v>360</v>
      </c>
      <c r="N37" s="492" t="s">
        <v>1261</v>
      </c>
      <c r="O37" s="492" t="s">
        <v>310</v>
      </c>
      <c r="P37" s="492" t="s">
        <v>310</v>
      </c>
      <c r="Q37" s="494">
        <v>0</v>
      </c>
      <c r="R37" s="494">
        <v>0</v>
      </c>
      <c r="U37" s="492" t="s">
        <v>343</v>
      </c>
      <c r="V37" s="492" t="s">
        <v>556</v>
      </c>
    </row>
    <row r="38" spans="1:22" x14ac:dyDescent="0.25">
      <c r="A38" s="492" t="s">
        <v>529</v>
      </c>
      <c r="B38" s="492" t="s">
        <v>60</v>
      </c>
      <c r="G38" s="492" t="s">
        <v>32</v>
      </c>
      <c r="H38" s="492" t="s">
        <v>31</v>
      </c>
      <c r="I38" s="492" t="s">
        <v>849</v>
      </c>
      <c r="J38" s="494"/>
      <c r="M38" s="492" t="s">
        <v>359</v>
      </c>
      <c r="N38" s="492" t="s">
        <v>1260</v>
      </c>
      <c r="O38" s="492" t="s">
        <v>310</v>
      </c>
      <c r="P38" s="492" t="s">
        <v>310</v>
      </c>
      <c r="Q38" s="494">
        <v>0</v>
      </c>
      <c r="R38" s="494">
        <v>0</v>
      </c>
      <c r="U38" s="492" t="s">
        <v>360</v>
      </c>
      <c r="V38" s="492" t="s">
        <v>556</v>
      </c>
    </row>
    <row r="39" spans="1:22" x14ac:dyDescent="0.25">
      <c r="A39" s="492" t="s">
        <v>529</v>
      </c>
      <c r="B39" s="492" t="s">
        <v>72</v>
      </c>
      <c r="G39" s="492" t="s">
        <v>313</v>
      </c>
      <c r="H39" s="492" t="s">
        <v>312</v>
      </c>
      <c r="I39" s="492" t="s">
        <v>502</v>
      </c>
      <c r="J39" s="494">
        <v>111</v>
      </c>
      <c r="M39" s="492" t="s">
        <v>309</v>
      </c>
      <c r="N39" s="492" t="s">
        <v>311</v>
      </c>
      <c r="O39" s="492" t="s">
        <v>310</v>
      </c>
      <c r="P39" s="492" t="s">
        <v>310</v>
      </c>
      <c r="Q39" s="494"/>
      <c r="R39" s="494"/>
      <c r="U39" s="492" t="s">
        <v>359</v>
      </c>
      <c r="V39" s="492" t="s">
        <v>556</v>
      </c>
    </row>
    <row r="40" spans="1:22" x14ac:dyDescent="0.25">
      <c r="A40" s="492" t="s">
        <v>529</v>
      </c>
      <c r="B40" s="492" t="s">
        <v>70</v>
      </c>
      <c r="G40" s="492" t="s">
        <v>336</v>
      </c>
      <c r="H40" s="492" t="s">
        <v>335</v>
      </c>
      <c r="I40" s="492" t="s">
        <v>502</v>
      </c>
      <c r="J40" s="494">
        <v>154</v>
      </c>
      <c r="M40" s="492" t="s">
        <v>348</v>
      </c>
      <c r="N40" s="492" t="s">
        <v>349</v>
      </c>
      <c r="O40" s="492" t="s">
        <v>310</v>
      </c>
      <c r="P40" s="492" t="s">
        <v>310</v>
      </c>
      <c r="Q40" s="494">
        <v>44</v>
      </c>
      <c r="R40" s="494">
        <v>182</v>
      </c>
      <c r="U40" s="492" t="s">
        <v>309</v>
      </c>
      <c r="V40" s="492" t="s">
        <v>993</v>
      </c>
    </row>
    <row r="41" spans="1:22" x14ac:dyDescent="0.25">
      <c r="A41" s="492" t="s">
        <v>529</v>
      </c>
      <c r="B41" s="492" t="s">
        <v>76</v>
      </c>
      <c r="G41" s="492" t="s">
        <v>88</v>
      </c>
      <c r="H41" s="492" t="s">
        <v>87</v>
      </c>
      <c r="I41" s="492" t="s">
        <v>502</v>
      </c>
      <c r="J41" s="494">
        <v>12</v>
      </c>
      <c r="M41" s="492" t="s">
        <v>315</v>
      </c>
      <c r="N41" s="492" t="s">
        <v>316</v>
      </c>
      <c r="O41" s="492" t="s">
        <v>310</v>
      </c>
      <c r="P41" s="492" t="s">
        <v>310</v>
      </c>
      <c r="Q41" s="494">
        <v>90</v>
      </c>
      <c r="R41" s="494">
        <v>365</v>
      </c>
      <c r="U41" s="492" t="s">
        <v>348</v>
      </c>
      <c r="V41" s="492" t="s">
        <v>556</v>
      </c>
    </row>
    <row r="42" spans="1:22" x14ac:dyDescent="0.25">
      <c r="A42" s="492" t="s">
        <v>529</v>
      </c>
      <c r="B42" s="492" t="s">
        <v>78</v>
      </c>
      <c r="G42" s="492" t="s">
        <v>44</v>
      </c>
      <c r="H42" s="492" t="s">
        <v>45</v>
      </c>
      <c r="I42" s="492" t="s">
        <v>502</v>
      </c>
      <c r="J42" s="494">
        <v>13</v>
      </c>
      <c r="M42" s="492" t="s">
        <v>325</v>
      </c>
      <c r="N42" s="492" t="s">
        <v>326</v>
      </c>
      <c r="O42" s="492" t="s">
        <v>310</v>
      </c>
      <c r="P42" s="492" t="s">
        <v>310</v>
      </c>
      <c r="Q42" s="494">
        <v>48</v>
      </c>
      <c r="R42" s="494">
        <v>199</v>
      </c>
      <c r="U42" s="492" t="s">
        <v>315</v>
      </c>
      <c r="V42" s="492" t="s">
        <v>556</v>
      </c>
    </row>
    <row r="43" spans="1:22" x14ac:dyDescent="0.25">
      <c r="A43" s="492" t="s">
        <v>529</v>
      </c>
      <c r="B43" s="492" t="s">
        <v>82</v>
      </c>
      <c r="G43" s="492" t="s">
        <v>56</v>
      </c>
      <c r="H43" s="492" t="s">
        <v>55</v>
      </c>
      <c r="I43" s="492" t="s">
        <v>849</v>
      </c>
      <c r="J43" s="494">
        <v>0</v>
      </c>
      <c r="M43" s="492" t="s">
        <v>323</v>
      </c>
      <c r="N43" s="492" t="s">
        <v>324</v>
      </c>
      <c r="O43" s="492" t="s">
        <v>310</v>
      </c>
      <c r="P43" s="492" t="s">
        <v>310</v>
      </c>
      <c r="Q43" s="494">
        <v>428</v>
      </c>
      <c r="R43" s="494">
        <v>2219</v>
      </c>
      <c r="U43" s="492" t="s">
        <v>325</v>
      </c>
      <c r="V43" s="492" t="s">
        <v>556</v>
      </c>
    </row>
    <row r="44" spans="1:22" x14ac:dyDescent="0.25">
      <c r="A44" s="492" t="s">
        <v>529</v>
      </c>
      <c r="B44" s="492" t="s">
        <v>88</v>
      </c>
      <c r="G44" s="492" t="s">
        <v>1170</v>
      </c>
      <c r="H44" s="492" t="s">
        <v>1172</v>
      </c>
      <c r="I44" s="492" t="s">
        <v>502</v>
      </c>
      <c r="J44" s="494">
        <v>36</v>
      </c>
      <c r="M44" s="492" t="s">
        <v>346</v>
      </c>
      <c r="N44" s="492" t="s">
        <v>347</v>
      </c>
      <c r="O44" s="492" t="s">
        <v>310</v>
      </c>
      <c r="P44" s="492" t="s">
        <v>310</v>
      </c>
      <c r="Q44" s="494">
        <v>183</v>
      </c>
      <c r="R44" s="494">
        <v>919</v>
      </c>
      <c r="U44" s="492" t="s">
        <v>323</v>
      </c>
      <c r="V44" s="492" t="s">
        <v>556</v>
      </c>
    </row>
    <row r="45" spans="1:22" x14ac:dyDescent="0.25">
      <c r="A45" s="492" t="s">
        <v>529</v>
      </c>
      <c r="B45" s="492" t="s">
        <v>44</v>
      </c>
      <c r="G45" s="492" t="s">
        <v>12</v>
      </c>
      <c r="H45" s="492" t="s">
        <v>11</v>
      </c>
      <c r="I45" s="492" t="s">
        <v>502</v>
      </c>
      <c r="J45" s="494">
        <v>211</v>
      </c>
      <c r="M45" s="492" t="s">
        <v>30</v>
      </c>
      <c r="N45" s="492" t="s">
        <v>28</v>
      </c>
      <c r="O45" s="492" t="s">
        <v>27</v>
      </c>
      <c r="P45" s="492" t="s">
        <v>27</v>
      </c>
      <c r="Q45" s="494">
        <v>108</v>
      </c>
      <c r="R45" s="494">
        <v>518</v>
      </c>
      <c r="U45" s="492" t="s">
        <v>346</v>
      </c>
      <c r="V45" s="492" t="s">
        <v>556</v>
      </c>
    </row>
    <row r="46" spans="1:22" x14ac:dyDescent="0.25">
      <c r="A46" s="492" t="s">
        <v>529</v>
      </c>
      <c r="B46" s="492" t="s">
        <v>56</v>
      </c>
      <c r="G46" s="492" t="s">
        <v>12</v>
      </c>
      <c r="H46" s="492" t="s">
        <v>391</v>
      </c>
      <c r="I46" s="492" t="s">
        <v>502</v>
      </c>
      <c r="J46" s="494">
        <v>76</v>
      </c>
      <c r="M46" s="492" t="s">
        <v>29</v>
      </c>
      <c r="N46" s="492" t="s">
        <v>364</v>
      </c>
      <c r="O46" s="492" t="s">
        <v>27</v>
      </c>
      <c r="P46" s="492" t="s">
        <v>27</v>
      </c>
      <c r="Q46" s="494">
        <v>154</v>
      </c>
      <c r="R46" s="494">
        <v>920</v>
      </c>
      <c r="U46" s="492" t="s">
        <v>30</v>
      </c>
      <c r="V46" s="492" t="s">
        <v>556</v>
      </c>
    </row>
    <row r="47" spans="1:22" x14ac:dyDescent="0.25">
      <c r="A47" s="492" t="s">
        <v>529</v>
      </c>
      <c r="B47" s="492" t="s">
        <v>90</v>
      </c>
      <c r="G47" s="492" t="s">
        <v>12</v>
      </c>
      <c r="H47" s="492" t="s">
        <v>392</v>
      </c>
      <c r="I47" s="492" t="s">
        <v>502</v>
      </c>
      <c r="J47" s="494">
        <v>320</v>
      </c>
      <c r="M47" s="492" t="s">
        <v>36</v>
      </c>
      <c r="N47" s="492" t="s">
        <v>37</v>
      </c>
      <c r="O47" s="492" t="s">
        <v>27</v>
      </c>
      <c r="P47" s="492" t="s">
        <v>27</v>
      </c>
      <c r="Q47" s="494">
        <v>0</v>
      </c>
      <c r="R47" s="494">
        <v>0</v>
      </c>
      <c r="U47" s="492" t="s">
        <v>29</v>
      </c>
      <c r="V47" s="492" t="s">
        <v>556</v>
      </c>
    </row>
    <row r="48" spans="1:22" x14ac:dyDescent="0.25">
      <c r="A48" s="492" t="s">
        <v>529</v>
      </c>
      <c r="B48" s="492" t="s">
        <v>92</v>
      </c>
      <c r="G48" s="492" t="s">
        <v>12</v>
      </c>
      <c r="H48" s="492" t="s">
        <v>394</v>
      </c>
      <c r="I48" s="492" t="s">
        <v>502</v>
      </c>
      <c r="J48" s="494">
        <v>9</v>
      </c>
      <c r="M48" s="492" t="s">
        <v>33</v>
      </c>
      <c r="N48" s="492" t="s">
        <v>34</v>
      </c>
      <c r="O48" s="492" t="s">
        <v>27</v>
      </c>
      <c r="P48" s="492" t="s">
        <v>27</v>
      </c>
      <c r="Q48" s="494"/>
      <c r="R48" s="494"/>
      <c r="U48" s="492" t="s">
        <v>36</v>
      </c>
      <c r="V48" s="492" t="s">
        <v>556</v>
      </c>
    </row>
    <row r="49" spans="1:22" x14ac:dyDescent="0.25">
      <c r="A49" s="492" t="s">
        <v>529</v>
      </c>
      <c r="B49" s="492" t="s">
        <v>94</v>
      </c>
      <c r="G49" s="492" t="s">
        <v>169</v>
      </c>
      <c r="H49" s="492" t="s">
        <v>168</v>
      </c>
      <c r="I49" s="492" t="s">
        <v>502</v>
      </c>
      <c r="J49" s="494">
        <v>32</v>
      </c>
      <c r="M49" s="492" t="s">
        <v>31</v>
      </c>
      <c r="N49" s="492" t="s">
        <v>32</v>
      </c>
      <c r="O49" s="492" t="s">
        <v>27</v>
      </c>
      <c r="P49" s="492" t="s">
        <v>27</v>
      </c>
      <c r="Q49" s="494"/>
      <c r="R49" s="494"/>
      <c r="U49" s="492" t="s">
        <v>33</v>
      </c>
      <c r="V49" s="492" t="s">
        <v>12</v>
      </c>
    </row>
    <row r="50" spans="1:22" x14ac:dyDescent="0.25">
      <c r="A50" s="492" t="s">
        <v>529</v>
      </c>
      <c r="B50" s="492" t="s">
        <v>54</v>
      </c>
      <c r="G50" s="492" t="s">
        <v>231</v>
      </c>
      <c r="H50" s="492" t="s">
        <v>388</v>
      </c>
      <c r="I50" s="492" t="s">
        <v>502</v>
      </c>
      <c r="J50" s="494">
        <v>32</v>
      </c>
      <c r="M50" s="492" t="s">
        <v>21</v>
      </c>
      <c r="N50" s="492" t="s">
        <v>22</v>
      </c>
      <c r="O50" s="492" t="s">
        <v>5</v>
      </c>
      <c r="P50" s="492" t="s">
        <v>5</v>
      </c>
      <c r="Q50" s="494">
        <v>652</v>
      </c>
      <c r="R50" s="494">
        <v>3706</v>
      </c>
      <c r="U50" s="492" t="s">
        <v>31</v>
      </c>
      <c r="V50" s="492" t="s">
        <v>556</v>
      </c>
    </row>
    <row r="51" spans="1:22" x14ac:dyDescent="0.25">
      <c r="A51" s="492" t="s">
        <v>529</v>
      </c>
      <c r="B51" s="492" t="s">
        <v>66</v>
      </c>
      <c r="G51" s="492" t="s">
        <v>1072</v>
      </c>
      <c r="H51" s="492" t="s">
        <v>1073</v>
      </c>
      <c r="I51" s="492" t="s">
        <v>502</v>
      </c>
      <c r="J51" s="494">
        <v>116</v>
      </c>
      <c r="M51" s="492" t="s">
        <v>15</v>
      </c>
      <c r="N51" s="492" t="s">
        <v>16</v>
      </c>
      <c r="O51" s="492" t="s">
        <v>5</v>
      </c>
      <c r="P51" s="492" t="s">
        <v>5</v>
      </c>
      <c r="Q51" s="494">
        <v>0</v>
      </c>
      <c r="R51" s="494">
        <v>0</v>
      </c>
      <c r="U51" s="492" t="s">
        <v>21</v>
      </c>
      <c r="V51" s="492" t="s">
        <v>556</v>
      </c>
    </row>
    <row r="52" spans="1:22" x14ac:dyDescent="0.25">
      <c r="A52" s="492" t="s">
        <v>529</v>
      </c>
      <c r="B52" s="492" t="s">
        <v>80</v>
      </c>
      <c r="G52" s="492" t="s">
        <v>364</v>
      </c>
      <c r="H52" s="492" t="s">
        <v>29</v>
      </c>
      <c r="I52" s="492" t="s">
        <v>502</v>
      </c>
      <c r="J52" s="494">
        <v>154</v>
      </c>
      <c r="M52" s="492" t="s">
        <v>17</v>
      </c>
      <c r="N52" s="492" t="s">
        <v>18</v>
      </c>
      <c r="O52" s="492" t="s">
        <v>5</v>
      </c>
      <c r="P52" s="492" t="s">
        <v>5</v>
      </c>
      <c r="Q52" s="494">
        <v>116</v>
      </c>
      <c r="R52" s="494">
        <v>659</v>
      </c>
      <c r="U52" s="492" t="s">
        <v>15</v>
      </c>
      <c r="V52" s="492" t="s">
        <v>556</v>
      </c>
    </row>
    <row r="53" spans="1:22" x14ac:dyDescent="0.25">
      <c r="A53" s="492" t="s">
        <v>529</v>
      </c>
      <c r="B53" s="492" t="s">
        <v>102</v>
      </c>
      <c r="G53" s="492" t="s">
        <v>194</v>
      </c>
      <c r="H53" s="492" t="s">
        <v>193</v>
      </c>
      <c r="I53" s="492" t="s">
        <v>502</v>
      </c>
      <c r="J53" s="494">
        <v>614</v>
      </c>
      <c r="M53" s="492" t="s">
        <v>4</v>
      </c>
      <c r="N53" s="492" t="s">
        <v>6</v>
      </c>
      <c r="O53" s="492" t="s">
        <v>5</v>
      </c>
      <c r="P53" s="492" t="s">
        <v>5</v>
      </c>
      <c r="Q53" s="494">
        <v>274</v>
      </c>
      <c r="R53" s="494">
        <v>1349</v>
      </c>
      <c r="U53" s="492" t="s">
        <v>17</v>
      </c>
      <c r="V53" s="492" t="s">
        <v>556</v>
      </c>
    </row>
    <row r="54" spans="1:22" x14ac:dyDescent="0.25">
      <c r="A54" s="492" t="s">
        <v>529</v>
      </c>
      <c r="B54" s="492" t="s">
        <v>106</v>
      </c>
      <c r="G54" s="492" t="s">
        <v>14</v>
      </c>
      <c r="H54" s="492" t="s">
        <v>13</v>
      </c>
      <c r="I54" s="492" t="s">
        <v>502</v>
      </c>
      <c r="J54" s="494">
        <v>43</v>
      </c>
      <c r="M54" s="492" t="s">
        <v>7</v>
      </c>
      <c r="N54" s="492" t="s">
        <v>8</v>
      </c>
      <c r="O54" s="492" t="s">
        <v>5</v>
      </c>
      <c r="P54" s="492" t="s">
        <v>5</v>
      </c>
      <c r="Q54" s="494">
        <v>23</v>
      </c>
      <c r="R54" s="494">
        <v>86</v>
      </c>
      <c r="U54" s="492" t="s">
        <v>4</v>
      </c>
      <c r="V54" s="492" t="s">
        <v>556</v>
      </c>
    </row>
    <row r="55" spans="1:22" x14ac:dyDescent="0.25">
      <c r="A55" s="492" t="s">
        <v>529</v>
      </c>
      <c r="B55" s="492" t="s">
        <v>116</v>
      </c>
      <c r="G55" s="492" t="s">
        <v>818</v>
      </c>
      <c r="H55" s="492" t="s">
        <v>819</v>
      </c>
      <c r="I55" s="492" t="s">
        <v>502</v>
      </c>
      <c r="J55" s="494"/>
      <c r="M55" s="492" t="s">
        <v>13</v>
      </c>
      <c r="N55" s="492" t="s">
        <v>14</v>
      </c>
      <c r="O55" s="492" t="s">
        <v>5</v>
      </c>
      <c r="P55" s="492" t="s">
        <v>5</v>
      </c>
      <c r="Q55" s="494">
        <v>43</v>
      </c>
      <c r="R55" s="494">
        <v>237</v>
      </c>
      <c r="U55" s="492" t="s">
        <v>7</v>
      </c>
      <c r="V55" s="492" t="s">
        <v>556</v>
      </c>
    </row>
    <row r="56" spans="1:22" x14ac:dyDescent="0.25">
      <c r="A56" s="492" t="s">
        <v>529</v>
      </c>
      <c r="B56" s="492" t="s">
        <v>130</v>
      </c>
      <c r="G56" s="492" t="s">
        <v>890</v>
      </c>
      <c r="H56" s="492" t="s">
        <v>889</v>
      </c>
      <c r="I56" s="492" t="s">
        <v>849</v>
      </c>
      <c r="J56" s="494">
        <v>0</v>
      </c>
      <c r="M56" s="492" t="s">
        <v>25</v>
      </c>
      <c r="N56" s="492" t="s">
        <v>26</v>
      </c>
      <c r="O56" s="492" t="s">
        <v>5</v>
      </c>
      <c r="P56" s="492" t="s">
        <v>5</v>
      </c>
      <c r="Q56" s="494">
        <v>15</v>
      </c>
      <c r="R56" s="494">
        <v>64</v>
      </c>
      <c r="U56" s="492" t="s">
        <v>13</v>
      </c>
      <c r="V56" s="492" t="s">
        <v>556</v>
      </c>
    </row>
    <row r="57" spans="1:22" x14ac:dyDescent="0.25">
      <c r="A57" s="492" t="s">
        <v>529</v>
      </c>
      <c r="B57" s="492" t="s">
        <v>138</v>
      </c>
      <c r="G57" s="492" t="s">
        <v>1048</v>
      </c>
      <c r="H57" s="492" t="s">
        <v>1050</v>
      </c>
      <c r="I57" s="492" t="s">
        <v>502</v>
      </c>
      <c r="J57" s="494">
        <v>10</v>
      </c>
      <c r="M57" s="492" t="s">
        <v>19</v>
      </c>
      <c r="N57" s="492" t="s">
        <v>20</v>
      </c>
      <c r="O57" s="492" t="s">
        <v>5</v>
      </c>
      <c r="P57" s="492" t="s">
        <v>5</v>
      </c>
      <c r="Q57" s="494">
        <v>20</v>
      </c>
      <c r="R57" s="494">
        <v>103</v>
      </c>
      <c r="U57" s="492" t="s">
        <v>25</v>
      </c>
      <c r="V57" s="492" t="s">
        <v>556</v>
      </c>
    </row>
    <row r="58" spans="1:22" x14ac:dyDescent="0.25">
      <c r="A58" s="492" t="s">
        <v>529</v>
      </c>
      <c r="B58" s="492" t="s">
        <v>136</v>
      </c>
      <c r="G58" s="492" t="s">
        <v>253</v>
      </c>
      <c r="H58" s="492" t="s">
        <v>252</v>
      </c>
      <c r="I58" s="492" t="s">
        <v>502</v>
      </c>
      <c r="J58" s="494">
        <v>203</v>
      </c>
      <c r="M58" s="492" t="s">
        <v>23</v>
      </c>
      <c r="N58" s="492" t="s">
        <v>24</v>
      </c>
      <c r="O58" s="492" t="s">
        <v>5</v>
      </c>
      <c r="P58" s="492" t="s">
        <v>5</v>
      </c>
      <c r="Q58" s="494">
        <v>25</v>
      </c>
      <c r="R58" s="494">
        <v>104</v>
      </c>
      <c r="U58" s="492" t="s">
        <v>19</v>
      </c>
      <c r="V58" s="492" t="s">
        <v>556</v>
      </c>
    </row>
    <row r="59" spans="1:22" x14ac:dyDescent="0.25">
      <c r="A59" s="492" t="s">
        <v>529</v>
      </c>
      <c r="B59" s="492" t="s">
        <v>68</v>
      </c>
      <c r="G59" s="492" t="s">
        <v>255</v>
      </c>
      <c r="H59" s="492" t="s">
        <v>254</v>
      </c>
      <c r="I59" s="492" t="s">
        <v>502</v>
      </c>
      <c r="J59" s="494">
        <v>109</v>
      </c>
      <c r="M59" s="492" t="s">
        <v>208</v>
      </c>
      <c r="N59" s="492" t="s">
        <v>209</v>
      </c>
      <c r="O59" s="492" t="s">
        <v>185</v>
      </c>
      <c r="P59" s="492" t="s">
        <v>185</v>
      </c>
      <c r="Q59" s="494">
        <v>207</v>
      </c>
      <c r="R59" s="494">
        <v>1863</v>
      </c>
      <c r="U59" s="492" t="s">
        <v>23</v>
      </c>
      <c r="V59" s="492" t="s">
        <v>556</v>
      </c>
    </row>
    <row r="60" spans="1:22" x14ac:dyDescent="0.25">
      <c r="A60" s="492" t="s">
        <v>529</v>
      </c>
      <c r="B60" s="492" t="s">
        <v>84</v>
      </c>
      <c r="G60" s="492" t="s">
        <v>196</v>
      </c>
      <c r="H60" s="492" t="s">
        <v>195</v>
      </c>
      <c r="I60" s="492" t="s">
        <v>502</v>
      </c>
      <c r="J60" s="494">
        <v>1695</v>
      </c>
      <c r="M60" s="492" t="s">
        <v>210</v>
      </c>
      <c r="N60" s="492" t="s">
        <v>211</v>
      </c>
      <c r="O60" s="492" t="s">
        <v>185</v>
      </c>
      <c r="P60" s="492" t="s">
        <v>185</v>
      </c>
      <c r="Q60" s="494"/>
      <c r="R60" s="494"/>
      <c r="U60" s="492" t="s">
        <v>208</v>
      </c>
      <c r="V60" s="492" t="s">
        <v>556</v>
      </c>
    </row>
    <row r="61" spans="1:22" x14ac:dyDescent="0.25">
      <c r="A61" s="492" t="s">
        <v>529</v>
      </c>
      <c r="B61" s="492" t="s">
        <v>86</v>
      </c>
      <c r="G61" s="492" t="s">
        <v>16</v>
      </c>
      <c r="H61" s="492" t="s">
        <v>15</v>
      </c>
      <c r="I61" s="492" t="s">
        <v>849</v>
      </c>
      <c r="J61" s="494">
        <v>0</v>
      </c>
      <c r="M61" s="492" t="s">
        <v>206</v>
      </c>
      <c r="N61" s="492" t="s">
        <v>207</v>
      </c>
      <c r="O61" s="492" t="s">
        <v>185</v>
      </c>
      <c r="P61" s="492" t="s">
        <v>185</v>
      </c>
      <c r="Q61" s="494"/>
      <c r="R61" s="494"/>
      <c r="U61" s="492" t="s">
        <v>210</v>
      </c>
      <c r="V61" s="492" t="s">
        <v>556</v>
      </c>
    </row>
    <row r="62" spans="1:22" x14ac:dyDescent="0.25">
      <c r="A62" s="492" t="s">
        <v>529</v>
      </c>
      <c r="B62" s="492" t="s">
        <v>100</v>
      </c>
      <c r="G62" s="492" t="s">
        <v>523</v>
      </c>
      <c r="H62" s="492" t="s">
        <v>524</v>
      </c>
      <c r="I62" s="492" t="s">
        <v>502</v>
      </c>
      <c r="J62" s="494">
        <v>4</v>
      </c>
      <c r="M62" s="492" t="s">
        <v>216</v>
      </c>
      <c r="N62" s="492" t="s">
        <v>217</v>
      </c>
      <c r="O62" s="492" t="s">
        <v>185</v>
      </c>
      <c r="P62" s="492" t="s">
        <v>185</v>
      </c>
      <c r="Q62" s="494">
        <v>24</v>
      </c>
      <c r="R62" s="494">
        <v>89</v>
      </c>
      <c r="U62" s="492" t="s">
        <v>206</v>
      </c>
      <c r="V62" s="492" t="s">
        <v>556</v>
      </c>
    </row>
    <row r="63" spans="1:22" x14ac:dyDescent="0.25">
      <c r="A63" s="492" t="s">
        <v>529</v>
      </c>
      <c r="B63" s="492" t="s">
        <v>104</v>
      </c>
      <c r="G63" s="492" t="s">
        <v>372</v>
      </c>
      <c r="H63" s="492" t="s">
        <v>382</v>
      </c>
      <c r="I63" s="492" t="s">
        <v>502</v>
      </c>
      <c r="J63" s="494">
        <v>87</v>
      </c>
      <c r="M63" s="492" t="s">
        <v>226</v>
      </c>
      <c r="N63" s="492" t="s">
        <v>227</v>
      </c>
      <c r="O63" s="492" t="s">
        <v>185</v>
      </c>
      <c r="P63" s="492" t="s">
        <v>185</v>
      </c>
      <c r="Q63" s="494">
        <v>10</v>
      </c>
      <c r="R63" s="494">
        <v>38</v>
      </c>
      <c r="U63" s="492" t="s">
        <v>216</v>
      </c>
      <c r="V63" s="492" t="s">
        <v>556</v>
      </c>
    </row>
    <row r="64" spans="1:22" x14ac:dyDescent="0.25">
      <c r="A64" s="492" t="s">
        <v>529</v>
      </c>
      <c r="B64" s="492" t="s">
        <v>98</v>
      </c>
      <c r="G64" s="492" t="s">
        <v>1127</v>
      </c>
      <c r="H64" s="492" t="s">
        <v>1128</v>
      </c>
      <c r="I64" s="492" t="s">
        <v>502</v>
      </c>
      <c r="J64" s="494">
        <v>50</v>
      </c>
      <c r="M64" s="492" t="s">
        <v>212</v>
      </c>
      <c r="N64" s="492" t="s">
        <v>213</v>
      </c>
      <c r="O64" s="492" t="s">
        <v>185</v>
      </c>
      <c r="P64" s="492" t="s">
        <v>185</v>
      </c>
      <c r="Q64" s="494">
        <v>13</v>
      </c>
      <c r="R64" s="494">
        <v>53</v>
      </c>
      <c r="U64" s="492" t="s">
        <v>226</v>
      </c>
      <c r="V64" s="492" t="s">
        <v>12</v>
      </c>
    </row>
    <row r="65" spans="1:22" x14ac:dyDescent="0.25">
      <c r="A65" s="492" t="s">
        <v>529</v>
      </c>
      <c r="B65" s="492" t="s">
        <v>142</v>
      </c>
      <c r="G65" s="492" t="s">
        <v>369</v>
      </c>
      <c r="H65" s="492" t="s">
        <v>383</v>
      </c>
      <c r="I65" s="492" t="s">
        <v>502</v>
      </c>
      <c r="J65" s="494">
        <v>64</v>
      </c>
      <c r="M65" s="492" t="s">
        <v>201</v>
      </c>
      <c r="N65" s="492" t="s">
        <v>202</v>
      </c>
      <c r="O65" s="492" t="s">
        <v>185</v>
      </c>
      <c r="P65" s="492" t="s">
        <v>185</v>
      </c>
      <c r="Q65" s="494">
        <v>261</v>
      </c>
      <c r="R65" s="494">
        <v>1155</v>
      </c>
      <c r="U65" s="492" t="s">
        <v>212</v>
      </c>
      <c r="V65" s="492" t="s">
        <v>12</v>
      </c>
    </row>
    <row r="66" spans="1:22" x14ac:dyDescent="0.25">
      <c r="A66" s="492" t="s">
        <v>529</v>
      </c>
      <c r="B66" s="492" t="s">
        <v>613</v>
      </c>
      <c r="G66" s="492" t="s">
        <v>370</v>
      </c>
      <c r="H66" s="492" t="s">
        <v>384</v>
      </c>
      <c r="I66" s="492" t="s">
        <v>502</v>
      </c>
      <c r="J66" s="494">
        <v>31</v>
      </c>
      <c r="M66" s="492" t="s">
        <v>203</v>
      </c>
      <c r="N66" s="492" t="s">
        <v>204</v>
      </c>
      <c r="O66" s="492" t="s">
        <v>185</v>
      </c>
      <c r="P66" s="492" t="s">
        <v>185</v>
      </c>
      <c r="Q66" s="494">
        <v>28</v>
      </c>
      <c r="R66" s="494">
        <v>136</v>
      </c>
      <c r="U66" s="492" t="s">
        <v>201</v>
      </c>
      <c r="V66" s="492" t="s">
        <v>556</v>
      </c>
    </row>
    <row r="67" spans="1:22" x14ac:dyDescent="0.25">
      <c r="A67" s="492" t="s">
        <v>529</v>
      </c>
      <c r="B67" s="492" t="s">
        <v>108</v>
      </c>
      <c r="G67" s="492" t="s">
        <v>257</v>
      </c>
      <c r="H67" s="492" t="s">
        <v>256</v>
      </c>
      <c r="I67" s="492" t="s">
        <v>502</v>
      </c>
      <c r="J67" s="494">
        <v>45</v>
      </c>
      <c r="M67" s="492" t="s">
        <v>199</v>
      </c>
      <c r="N67" s="492" t="s">
        <v>200</v>
      </c>
      <c r="O67" s="492" t="s">
        <v>185</v>
      </c>
      <c r="P67" s="492" t="s">
        <v>185</v>
      </c>
      <c r="Q67" s="494">
        <v>2</v>
      </c>
      <c r="R67" s="494">
        <v>9</v>
      </c>
      <c r="U67" s="492" t="s">
        <v>203</v>
      </c>
      <c r="V67" s="492" t="s">
        <v>12</v>
      </c>
    </row>
    <row r="68" spans="1:22" x14ac:dyDescent="0.25">
      <c r="A68" s="492" t="s">
        <v>529</v>
      </c>
      <c r="B68" s="492" t="s">
        <v>110</v>
      </c>
      <c r="G68" s="492" t="s">
        <v>174</v>
      </c>
      <c r="H68" s="492" t="s">
        <v>172</v>
      </c>
      <c r="I68" s="492" t="s">
        <v>502</v>
      </c>
      <c r="J68" s="494">
        <v>16</v>
      </c>
      <c r="M68" s="492" t="s">
        <v>220</v>
      </c>
      <c r="N68" s="492" t="s">
        <v>221</v>
      </c>
      <c r="O68" s="492" t="s">
        <v>185</v>
      </c>
      <c r="P68" s="492" t="s">
        <v>185</v>
      </c>
      <c r="Q68" s="494">
        <v>39</v>
      </c>
      <c r="R68" s="494">
        <v>176</v>
      </c>
      <c r="U68" s="492" t="s">
        <v>199</v>
      </c>
      <c r="V68" s="492" t="s">
        <v>12</v>
      </c>
    </row>
    <row r="69" spans="1:22" x14ac:dyDescent="0.25">
      <c r="A69" s="492" t="s">
        <v>529</v>
      </c>
      <c r="B69" s="492" t="s">
        <v>112</v>
      </c>
      <c r="G69" s="492" t="s">
        <v>145</v>
      </c>
      <c r="H69" s="492" t="s">
        <v>143</v>
      </c>
      <c r="I69" s="492" t="s">
        <v>502</v>
      </c>
      <c r="J69" s="494">
        <v>11</v>
      </c>
      <c r="M69" s="492" t="s">
        <v>150</v>
      </c>
      <c r="N69" s="492" t="s">
        <v>152</v>
      </c>
      <c r="O69" s="492" t="s">
        <v>151</v>
      </c>
      <c r="P69" s="492" t="s">
        <v>151</v>
      </c>
      <c r="Q69" s="494">
        <v>221</v>
      </c>
      <c r="R69" s="494">
        <v>1003</v>
      </c>
      <c r="U69" s="492" t="s">
        <v>220</v>
      </c>
      <c r="V69" s="492" t="s">
        <v>12</v>
      </c>
    </row>
    <row r="70" spans="1:22" x14ac:dyDescent="0.25">
      <c r="A70" s="492" t="s">
        <v>529</v>
      </c>
      <c r="B70" s="492" t="s">
        <v>114</v>
      </c>
      <c r="G70" s="492" t="s">
        <v>518</v>
      </c>
      <c r="H70" s="492" t="s">
        <v>519</v>
      </c>
      <c r="I70" s="492" t="s">
        <v>849</v>
      </c>
      <c r="J70" s="494">
        <v>0</v>
      </c>
      <c r="M70" s="492" t="s">
        <v>305</v>
      </c>
      <c r="N70" s="492" t="s">
        <v>306</v>
      </c>
      <c r="O70" s="492" t="s">
        <v>1195</v>
      </c>
      <c r="P70" s="492" t="s">
        <v>302</v>
      </c>
      <c r="Q70" s="494">
        <v>83</v>
      </c>
      <c r="R70" s="494">
        <v>293</v>
      </c>
      <c r="U70" s="492" t="s">
        <v>150</v>
      </c>
      <c r="V70" s="492" t="s">
        <v>556</v>
      </c>
    </row>
    <row r="71" spans="1:22" x14ac:dyDescent="0.25">
      <c r="A71" s="492" t="s">
        <v>529</v>
      </c>
      <c r="B71" s="492" t="s">
        <v>118</v>
      </c>
      <c r="G71" s="492" t="s">
        <v>1262</v>
      </c>
      <c r="H71" s="492" t="s">
        <v>314</v>
      </c>
      <c r="I71" s="492" t="s">
        <v>849</v>
      </c>
      <c r="J71" s="494">
        <v>0</v>
      </c>
      <c r="M71" s="492" t="s">
        <v>307</v>
      </c>
      <c r="N71" s="492" t="s">
        <v>308</v>
      </c>
      <c r="O71" s="492" t="s">
        <v>1195</v>
      </c>
      <c r="P71" s="492" t="s">
        <v>302</v>
      </c>
      <c r="Q71" s="494">
        <v>41</v>
      </c>
      <c r="R71" s="494">
        <v>152</v>
      </c>
      <c r="U71" s="492" t="s">
        <v>305</v>
      </c>
      <c r="V71" s="492" t="s">
        <v>556</v>
      </c>
    </row>
    <row r="72" spans="1:22" x14ac:dyDescent="0.25">
      <c r="A72" s="492" t="s">
        <v>529</v>
      </c>
      <c r="B72" s="492" t="s">
        <v>122</v>
      </c>
      <c r="G72" s="492" t="s">
        <v>340</v>
      </c>
      <c r="H72" s="492" t="s">
        <v>339</v>
      </c>
      <c r="I72" s="492" t="s">
        <v>502</v>
      </c>
      <c r="J72" s="494">
        <v>355</v>
      </c>
      <c r="M72" s="492" t="s">
        <v>222</v>
      </c>
      <c r="N72" s="492" t="s">
        <v>223</v>
      </c>
      <c r="O72" s="492" t="s">
        <v>185</v>
      </c>
      <c r="P72" s="492" t="s">
        <v>185</v>
      </c>
      <c r="Q72" s="494">
        <v>124</v>
      </c>
      <c r="R72" s="494">
        <v>544</v>
      </c>
      <c r="U72" s="492" t="s">
        <v>307</v>
      </c>
      <c r="V72" s="492" t="s">
        <v>556</v>
      </c>
    </row>
    <row r="73" spans="1:22" x14ac:dyDescent="0.25">
      <c r="A73" s="492" t="s">
        <v>529</v>
      </c>
      <c r="B73" s="492" t="s">
        <v>124</v>
      </c>
      <c r="G73" s="492" t="s">
        <v>34</v>
      </c>
      <c r="H73" s="492" t="s">
        <v>33</v>
      </c>
      <c r="I73" s="492" t="s">
        <v>502</v>
      </c>
      <c r="J73" s="494"/>
      <c r="M73" s="492" t="s">
        <v>189</v>
      </c>
      <c r="N73" s="492" t="s">
        <v>190</v>
      </c>
      <c r="O73" s="492" t="s">
        <v>185</v>
      </c>
      <c r="P73" s="492" t="s">
        <v>185</v>
      </c>
      <c r="Q73" s="494">
        <v>188</v>
      </c>
      <c r="R73" s="494">
        <v>993</v>
      </c>
      <c r="U73" s="492" t="s">
        <v>222</v>
      </c>
      <c r="V73" s="492" t="s">
        <v>556</v>
      </c>
    </row>
    <row r="74" spans="1:22" x14ac:dyDescent="0.25">
      <c r="A74" s="492" t="s">
        <v>529</v>
      </c>
      <c r="B74" s="492" t="s">
        <v>96</v>
      </c>
      <c r="G74" s="492" t="s">
        <v>198</v>
      </c>
      <c r="H74" s="492" t="s">
        <v>197</v>
      </c>
      <c r="I74" s="492" t="s">
        <v>502</v>
      </c>
      <c r="J74" s="494">
        <v>545</v>
      </c>
      <c r="M74" s="492" t="s">
        <v>184</v>
      </c>
      <c r="N74" s="492" t="s">
        <v>186</v>
      </c>
      <c r="O74" s="492" t="s">
        <v>185</v>
      </c>
      <c r="P74" s="492" t="s">
        <v>185</v>
      </c>
      <c r="Q74" s="494">
        <v>29</v>
      </c>
      <c r="R74" s="494">
        <v>182</v>
      </c>
      <c r="U74" s="492" t="s">
        <v>189</v>
      </c>
      <c r="V74" s="492" t="s">
        <v>556</v>
      </c>
    </row>
    <row r="75" spans="1:22" x14ac:dyDescent="0.25">
      <c r="A75" s="492" t="s">
        <v>529</v>
      </c>
      <c r="B75" s="492" t="s">
        <v>132</v>
      </c>
      <c r="G75" s="492" t="s">
        <v>304</v>
      </c>
      <c r="H75" s="492" t="s">
        <v>303</v>
      </c>
      <c r="I75" s="492" t="s">
        <v>502</v>
      </c>
      <c r="J75" s="494">
        <v>375</v>
      </c>
      <c r="M75" s="492" t="s">
        <v>228</v>
      </c>
      <c r="N75" s="492" t="s">
        <v>229</v>
      </c>
      <c r="O75" s="492" t="s">
        <v>185</v>
      </c>
      <c r="P75" s="492" t="s">
        <v>185</v>
      </c>
      <c r="Q75" s="494">
        <v>50</v>
      </c>
      <c r="R75" s="494">
        <v>293</v>
      </c>
      <c r="U75" s="492" t="s">
        <v>184</v>
      </c>
      <c r="V75" s="492" t="s">
        <v>556</v>
      </c>
    </row>
    <row r="76" spans="1:22" x14ac:dyDescent="0.25">
      <c r="A76" s="492" t="s">
        <v>529</v>
      </c>
      <c r="B76" s="492" t="s">
        <v>134</v>
      </c>
      <c r="G76" s="492" t="s">
        <v>35</v>
      </c>
      <c r="H76" s="492" t="s">
        <v>362</v>
      </c>
      <c r="I76" s="492" t="s">
        <v>849</v>
      </c>
      <c r="J76" s="494">
        <v>0</v>
      </c>
      <c r="M76" s="492" t="s">
        <v>224</v>
      </c>
      <c r="N76" s="492" t="s">
        <v>225</v>
      </c>
      <c r="O76" s="492" t="s">
        <v>185</v>
      </c>
      <c r="P76" s="492" t="s">
        <v>185</v>
      </c>
      <c r="Q76" s="494">
        <v>45</v>
      </c>
      <c r="R76" s="494">
        <v>269</v>
      </c>
      <c r="U76" s="492" t="s">
        <v>228</v>
      </c>
      <c r="V76" s="492" t="s">
        <v>556</v>
      </c>
    </row>
    <row r="77" spans="1:22" x14ac:dyDescent="0.25">
      <c r="A77" s="492" t="s">
        <v>529</v>
      </c>
      <c r="B77" s="492" t="s">
        <v>64</v>
      </c>
      <c r="G77" s="492" t="s">
        <v>240</v>
      </c>
      <c r="H77" s="492" t="s">
        <v>239</v>
      </c>
      <c r="I77" s="492" t="s">
        <v>502</v>
      </c>
      <c r="J77" s="494">
        <v>108</v>
      </c>
      <c r="M77" s="492" t="s">
        <v>143</v>
      </c>
      <c r="N77" s="492" t="s">
        <v>145</v>
      </c>
      <c r="O77" s="492" t="s">
        <v>1195</v>
      </c>
      <c r="P77" s="492" t="s">
        <v>144</v>
      </c>
      <c r="Q77" s="494">
        <v>11</v>
      </c>
      <c r="R77" s="494">
        <v>17</v>
      </c>
      <c r="U77" s="492" t="s">
        <v>224</v>
      </c>
      <c r="V77" s="492" t="s">
        <v>556</v>
      </c>
    </row>
    <row r="78" spans="1:22" x14ac:dyDescent="0.25">
      <c r="A78" s="492" t="s">
        <v>529</v>
      </c>
      <c r="B78" s="492" t="s">
        <v>126</v>
      </c>
      <c r="G78" s="492" t="s">
        <v>285</v>
      </c>
      <c r="H78" s="492" t="s">
        <v>284</v>
      </c>
      <c r="I78" s="492" t="s">
        <v>502</v>
      </c>
      <c r="J78" s="494">
        <v>163</v>
      </c>
      <c r="M78" s="492" t="s">
        <v>299</v>
      </c>
      <c r="N78" s="492" t="s">
        <v>301</v>
      </c>
      <c r="O78" s="492" t="s">
        <v>1195</v>
      </c>
      <c r="P78" s="492" t="s">
        <v>300</v>
      </c>
      <c r="Q78" s="494">
        <v>14</v>
      </c>
      <c r="R78" s="494">
        <v>64</v>
      </c>
      <c r="U78" s="492" t="s">
        <v>143</v>
      </c>
      <c r="V78" s="492" t="s">
        <v>556</v>
      </c>
    </row>
    <row r="79" spans="1:22" x14ac:dyDescent="0.25">
      <c r="A79" s="492" t="s">
        <v>529</v>
      </c>
      <c r="B79" s="492" t="s">
        <v>74</v>
      </c>
      <c r="G79" s="492" t="s">
        <v>365</v>
      </c>
      <c r="H79" s="492" t="s">
        <v>378</v>
      </c>
      <c r="I79" s="492" t="s">
        <v>502</v>
      </c>
      <c r="J79" s="494">
        <v>144</v>
      </c>
      <c r="M79" s="492" t="s">
        <v>175</v>
      </c>
      <c r="N79" s="492" t="s">
        <v>176</v>
      </c>
      <c r="O79" s="492" t="s">
        <v>1195</v>
      </c>
      <c r="P79" s="492" t="s">
        <v>173</v>
      </c>
      <c r="Q79" s="494">
        <v>18</v>
      </c>
      <c r="R79" s="494">
        <v>79</v>
      </c>
      <c r="U79" s="492" t="s">
        <v>299</v>
      </c>
      <c r="V79" s="492" t="s">
        <v>12</v>
      </c>
    </row>
    <row r="80" spans="1:22" x14ac:dyDescent="0.25">
      <c r="A80" s="492" t="s">
        <v>529</v>
      </c>
      <c r="B80" s="492" t="s">
        <v>140</v>
      </c>
      <c r="G80" s="492" t="s">
        <v>90</v>
      </c>
      <c r="H80" s="492" t="s">
        <v>89</v>
      </c>
      <c r="I80" s="492" t="s">
        <v>502</v>
      </c>
      <c r="J80" s="494">
        <v>25</v>
      </c>
      <c r="M80" s="492" t="s">
        <v>172</v>
      </c>
      <c r="N80" s="492" t="s">
        <v>174</v>
      </c>
      <c r="O80" s="492" t="s">
        <v>1195</v>
      </c>
      <c r="P80" s="492" t="s">
        <v>173</v>
      </c>
      <c r="Q80" s="494">
        <v>16</v>
      </c>
      <c r="R80" s="494">
        <v>69</v>
      </c>
      <c r="U80" s="492" t="s">
        <v>175</v>
      </c>
      <c r="V80" s="492" t="s">
        <v>556</v>
      </c>
    </row>
    <row r="81" spans="1:22" x14ac:dyDescent="0.25">
      <c r="A81" s="492" t="s">
        <v>529</v>
      </c>
      <c r="B81" s="492" t="s">
        <v>516</v>
      </c>
      <c r="G81" s="492" t="s">
        <v>92</v>
      </c>
      <c r="H81" s="492" t="s">
        <v>91</v>
      </c>
      <c r="I81" s="492" t="s">
        <v>502</v>
      </c>
      <c r="J81" s="494">
        <v>15</v>
      </c>
      <c r="M81" s="492" t="s">
        <v>177</v>
      </c>
      <c r="N81" s="492" t="s">
        <v>178</v>
      </c>
      <c r="O81" s="492" t="s">
        <v>1195</v>
      </c>
      <c r="P81" s="492" t="s">
        <v>173</v>
      </c>
      <c r="Q81" s="494">
        <v>14</v>
      </c>
      <c r="R81" s="494">
        <v>44</v>
      </c>
      <c r="U81" s="492" t="s">
        <v>172</v>
      </c>
      <c r="V81" s="492" t="s">
        <v>556</v>
      </c>
    </row>
    <row r="82" spans="1:22" x14ac:dyDescent="0.25">
      <c r="A82" s="492" t="s">
        <v>529</v>
      </c>
      <c r="B82" s="492" t="s">
        <v>1072</v>
      </c>
      <c r="G82" s="492" t="s">
        <v>18</v>
      </c>
      <c r="H82" s="492" t="s">
        <v>17</v>
      </c>
      <c r="I82" s="492" t="s">
        <v>502</v>
      </c>
      <c r="J82" s="494">
        <v>116</v>
      </c>
      <c r="M82" s="492" t="s">
        <v>179</v>
      </c>
      <c r="N82" s="492" t="s">
        <v>181</v>
      </c>
      <c r="O82" s="492" t="s">
        <v>1195</v>
      </c>
      <c r="P82" s="492" t="s">
        <v>180</v>
      </c>
      <c r="Q82" s="494">
        <v>12</v>
      </c>
      <c r="R82" s="494">
        <v>55</v>
      </c>
      <c r="U82" s="492" t="s">
        <v>177</v>
      </c>
      <c r="V82" s="492" t="s">
        <v>556</v>
      </c>
    </row>
    <row r="83" spans="1:22" x14ac:dyDescent="0.25">
      <c r="A83" s="492" t="s">
        <v>529</v>
      </c>
      <c r="B83" s="492" t="s">
        <v>1127</v>
      </c>
      <c r="G83" s="492" t="s">
        <v>186</v>
      </c>
      <c r="H83" s="492" t="s">
        <v>184</v>
      </c>
      <c r="I83" s="492" t="s">
        <v>502</v>
      </c>
      <c r="J83" s="494">
        <v>29</v>
      </c>
      <c r="M83" s="492" t="s">
        <v>182</v>
      </c>
      <c r="N83" s="492" t="s">
        <v>183</v>
      </c>
      <c r="O83" s="492" t="s">
        <v>1195</v>
      </c>
      <c r="P83" s="492" t="s">
        <v>180</v>
      </c>
      <c r="Q83" s="494">
        <v>0</v>
      </c>
      <c r="R83" s="494">
        <v>0</v>
      </c>
      <c r="U83" s="492" t="s">
        <v>179</v>
      </c>
      <c r="V83" s="492" t="s">
        <v>556</v>
      </c>
    </row>
    <row r="84" spans="1:22" x14ac:dyDescent="0.25">
      <c r="A84" s="492" t="s">
        <v>784</v>
      </c>
      <c r="B84" s="492" t="s">
        <v>596</v>
      </c>
      <c r="G84" s="492" t="s">
        <v>223</v>
      </c>
      <c r="H84" s="492" t="s">
        <v>222</v>
      </c>
      <c r="I84" s="492" t="s">
        <v>502</v>
      </c>
      <c r="J84" s="494">
        <v>124</v>
      </c>
      <c r="M84" s="492" t="s">
        <v>109</v>
      </c>
      <c r="N84" s="492" t="s">
        <v>110</v>
      </c>
      <c r="O84" s="492" t="s">
        <v>529</v>
      </c>
      <c r="P84" s="492" t="s">
        <v>529</v>
      </c>
      <c r="Q84" s="494">
        <v>0</v>
      </c>
      <c r="R84" s="494">
        <v>0</v>
      </c>
      <c r="U84" s="492" t="s">
        <v>182</v>
      </c>
      <c r="V84" s="492" t="s">
        <v>556</v>
      </c>
    </row>
    <row r="85" spans="1:22" x14ac:dyDescent="0.25">
      <c r="A85" s="492" t="s">
        <v>784</v>
      </c>
      <c r="B85" s="492" t="s">
        <v>1295</v>
      </c>
      <c r="G85" s="492" t="s">
        <v>190</v>
      </c>
      <c r="H85" s="492" t="s">
        <v>189</v>
      </c>
      <c r="I85" s="492" t="s">
        <v>502</v>
      </c>
      <c r="J85" s="494">
        <v>188</v>
      </c>
      <c r="M85" s="492" t="s">
        <v>111</v>
      </c>
      <c r="N85" s="492" t="s">
        <v>112</v>
      </c>
      <c r="O85" s="492" t="s">
        <v>529</v>
      </c>
      <c r="P85" s="492" t="s">
        <v>529</v>
      </c>
      <c r="Q85" s="494">
        <v>0</v>
      </c>
      <c r="R85" s="494">
        <v>0</v>
      </c>
      <c r="U85" s="492" t="s">
        <v>109</v>
      </c>
      <c r="V85" s="492" t="s">
        <v>556</v>
      </c>
    </row>
    <row r="86" spans="1:22" x14ac:dyDescent="0.25">
      <c r="A86" s="492" t="s">
        <v>363</v>
      </c>
      <c r="B86" s="492" t="s">
        <v>35</v>
      </c>
      <c r="G86" s="492" t="s">
        <v>158</v>
      </c>
      <c r="H86" s="492" t="s">
        <v>157</v>
      </c>
      <c r="I86" s="492" t="s">
        <v>849</v>
      </c>
      <c r="J86" s="494">
        <v>0</v>
      </c>
      <c r="M86" s="492" t="s">
        <v>85</v>
      </c>
      <c r="N86" s="492" t="s">
        <v>86</v>
      </c>
      <c r="O86" s="492" t="s">
        <v>529</v>
      </c>
      <c r="P86" s="492" t="s">
        <v>529</v>
      </c>
      <c r="Q86" s="494">
        <v>0</v>
      </c>
      <c r="R86" s="494">
        <v>0</v>
      </c>
      <c r="U86" s="492" t="s">
        <v>111</v>
      </c>
      <c r="V86" s="492" t="s">
        <v>556</v>
      </c>
    </row>
    <row r="87" spans="1:22" x14ac:dyDescent="0.25">
      <c r="A87" s="492" t="s">
        <v>144</v>
      </c>
      <c r="B87" s="492" t="s">
        <v>145</v>
      </c>
      <c r="G87" s="492" t="s">
        <v>1279</v>
      </c>
      <c r="H87" s="492" t="s">
        <v>1278</v>
      </c>
      <c r="I87" s="492" t="s">
        <v>502</v>
      </c>
      <c r="J87" s="494">
        <v>58</v>
      </c>
      <c r="M87" s="492" t="s">
        <v>83</v>
      </c>
      <c r="N87" s="492" t="s">
        <v>84</v>
      </c>
      <c r="O87" s="492" t="s">
        <v>529</v>
      </c>
      <c r="P87" s="492" t="s">
        <v>529</v>
      </c>
      <c r="Q87" s="494">
        <v>0</v>
      </c>
      <c r="R87" s="494">
        <v>0</v>
      </c>
      <c r="U87" s="492" t="s">
        <v>85</v>
      </c>
      <c r="V87" s="492" t="s">
        <v>556</v>
      </c>
    </row>
    <row r="88" spans="1:22" x14ac:dyDescent="0.25">
      <c r="A88" s="492" t="s">
        <v>146</v>
      </c>
      <c r="B88" s="492" t="s">
        <v>937</v>
      </c>
      <c r="G88" s="492" t="s">
        <v>1288</v>
      </c>
      <c r="H88" s="492" t="s">
        <v>1291</v>
      </c>
      <c r="I88" s="492" t="s">
        <v>502</v>
      </c>
      <c r="J88" s="494">
        <v>9</v>
      </c>
      <c r="M88" s="492" t="s">
        <v>69</v>
      </c>
      <c r="N88" s="492" t="s">
        <v>70</v>
      </c>
      <c r="O88" s="492" t="s">
        <v>529</v>
      </c>
      <c r="P88" s="492" t="s">
        <v>529</v>
      </c>
      <c r="Q88" s="494">
        <v>0</v>
      </c>
      <c r="R88" s="494">
        <v>0</v>
      </c>
      <c r="U88" s="492" t="s">
        <v>83</v>
      </c>
      <c r="V88" s="492" t="s">
        <v>556</v>
      </c>
    </row>
    <row r="89" spans="1:22" x14ac:dyDescent="0.25">
      <c r="A89" s="492" t="s">
        <v>146</v>
      </c>
      <c r="B89" s="492" t="s">
        <v>939</v>
      </c>
      <c r="G89" s="492" t="s">
        <v>94</v>
      </c>
      <c r="H89" s="492" t="s">
        <v>93</v>
      </c>
      <c r="I89" s="492" t="s">
        <v>849</v>
      </c>
      <c r="J89" s="494">
        <v>0</v>
      </c>
      <c r="M89" s="492" t="s">
        <v>103</v>
      </c>
      <c r="N89" s="492" t="s">
        <v>104</v>
      </c>
      <c r="O89" s="492" t="s">
        <v>529</v>
      </c>
      <c r="P89" s="492" t="s">
        <v>529</v>
      </c>
      <c r="Q89" s="494">
        <v>0</v>
      </c>
      <c r="R89" s="494">
        <v>0</v>
      </c>
      <c r="U89" s="492" t="s">
        <v>69</v>
      </c>
      <c r="V89" s="492" t="s">
        <v>556</v>
      </c>
    </row>
    <row r="90" spans="1:22" x14ac:dyDescent="0.25">
      <c r="A90" s="492" t="s">
        <v>146</v>
      </c>
      <c r="B90" s="492" t="s">
        <v>372</v>
      </c>
      <c r="G90" s="492" t="s">
        <v>901</v>
      </c>
      <c r="H90" s="492" t="s">
        <v>902</v>
      </c>
      <c r="I90" s="492" t="s">
        <v>849</v>
      </c>
      <c r="J90" s="494">
        <v>0</v>
      </c>
      <c r="M90" s="492" t="s">
        <v>67</v>
      </c>
      <c r="N90" s="492" t="s">
        <v>68</v>
      </c>
      <c r="O90" s="492" t="s">
        <v>529</v>
      </c>
      <c r="P90" s="492" t="s">
        <v>529</v>
      </c>
      <c r="Q90" s="494">
        <v>0</v>
      </c>
      <c r="R90" s="494">
        <v>0</v>
      </c>
      <c r="U90" s="492" t="s">
        <v>103</v>
      </c>
      <c r="V90" s="492" t="s">
        <v>556</v>
      </c>
    </row>
    <row r="91" spans="1:22" x14ac:dyDescent="0.25">
      <c r="A91" s="492" t="s">
        <v>146</v>
      </c>
      <c r="B91" s="492" t="s">
        <v>369</v>
      </c>
      <c r="G91" s="492" t="s">
        <v>320</v>
      </c>
      <c r="H91" s="492" t="s">
        <v>319</v>
      </c>
      <c r="I91" s="492" t="s">
        <v>502</v>
      </c>
      <c r="J91" s="494">
        <v>25</v>
      </c>
      <c r="M91" s="492" t="s">
        <v>99</v>
      </c>
      <c r="N91" s="492" t="s">
        <v>100</v>
      </c>
      <c r="O91" s="492" t="s">
        <v>529</v>
      </c>
      <c r="P91" s="492" t="s">
        <v>529</v>
      </c>
      <c r="Q91" s="494">
        <v>5</v>
      </c>
      <c r="R91" s="494">
        <v>26</v>
      </c>
      <c r="U91" s="492" t="s">
        <v>67</v>
      </c>
      <c r="V91" s="492" t="s">
        <v>556</v>
      </c>
    </row>
    <row r="92" spans="1:22" x14ac:dyDescent="0.25">
      <c r="A92" s="492" t="s">
        <v>146</v>
      </c>
      <c r="B92" s="492" t="s">
        <v>370</v>
      </c>
      <c r="G92" s="492" t="s">
        <v>322</v>
      </c>
      <c r="H92" s="492" t="s">
        <v>321</v>
      </c>
      <c r="I92" s="492" t="s">
        <v>502</v>
      </c>
      <c r="J92" s="494">
        <v>608</v>
      </c>
      <c r="M92" s="492" t="s">
        <v>49</v>
      </c>
      <c r="N92" s="492" t="s">
        <v>50</v>
      </c>
      <c r="O92" s="492" t="s">
        <v>529</v>
      </c>
      <c r="P92" s="492" t="s">
        <v>529</v>
      </c>
      <c r="Q92" s="494">
        <v>0</v>
      </c>
      <c r="R92" s="494">
        <v>0</v>
      </c>
      <c r="U92" s="492" t="s">
        <v>99</v>
      </c>
      <c r="V92" s="492" t="s">
        <v>556</v>
      </c>
    </row>
    <row r="93" spans="1:22" x14ac:dyDescent="0.25">
      <c r="A93" s="492" t="s">
        <v>146</v>
      </c>
      <c r="B93" s="492" t="s">
        <v>368</v>
      </c>
      <c r="G93" s="492" t="s">
        <v>200</v>
      </c>
      <c r="H93" s="492" t="s">
        <v>199</v>
      </c>
      <c r="I93" s="492" t="s">
        <v>502</v>
      </c>
      <c r="J93" s="494">
        <v>2</v>
      </c>
      <c r="M93" s="492" t="s">
        <v>65</v>
      </c>
      <c r="N93" s="492" t="s">
        <v>66</v>
      </c>
      <c r="O93" s="492" t="s">
        <v>529</v>
      </c>
      <c r="P93" s="492" t="s">
        <v>529</v>
      </c>
      <c r="Q93" s="494">
        <v>0</v>
      </c>
      <c r="R93" s="494">
        <v>0</v>
      </c>
      <c r="U93" s="492" t="s">
        <v>49</v>
      </c>
      <c r="V93" s="492" t="s">
        <v>556</v>
      </c>
    </row>
    <row r="94" spans="1:22" x14ac:dyDescent="0.25">
      <c r="A94" s="492" t="s">
        <v>146</v>
      </c>
      <c r="B94" s="492" t="s">
        <v>371</v>
      </c>
      <c r="G94" s="492" t="s">
        <v>328</v>
      </c>
      <c r="H94" s="492" t="s">
        <v>327</v>
      </c>
      <c r="I94" s="492" t="s">
        <v>502</v>
      </c>
      <c r="J94" s="494">
        <v>135</v>
      </c>
      <c r="M94" s="492" t="s">
        <v>53</v>
      </c>
      <c r="N94" s="492" t="s">
        <v>54</v>
      </c>
      <c r="O94" s="492" t="s">
        <v>529</v>
      </c>
      <c r="P94" s="492" t="s">
        <v>529</v>
      </c>
      <c r="Q94" s="494">
        <v>0</v>
      </c>
      <c r="R94" s="494">
        <v>0</v>
      </c>
      <c r="U94" s="492" t="s">
        <v>65</v>
      </c>
      <c r="V94" s="492" t="s">
        <v>556</v>
      </c>
    </row>
    <row r="95" spans="1:22" x14ac:dyDescent="0.25">
      <c r="A95" s="492" t="s">
        <v>146</v>
      </c>
      <c r="B95" s="492" t="s">
        <v>367</v>
      </c>
      <c r="G95" s="492" t="s">
        <v>330</v>
      </c>
      <c r="H95" s="492" t="s">
        <v>329</v>
      </c>
      <c r="I95" s="492" t="s">
        <v>502</v>
      </c>
      <c r="J95" s="494">
        <v>227</v>
      </c>
      <c r="M95" s="492" t="s">
        <v>115</v>
      </c>
      <c r="N95" s="492" t="s">
        <v>116</v>
      </c>
      <c r="O95" s="492" t="s">
        <v>529</v>
      </c>
      <c r="P95" s="492" t="s">
        <v>529</v>
      </c>
      <c r="Q95" s="494">
        <v>0</v>
      </c>
      <c r="R95" s="494">
        <v>0</v>
      </c>
      <c r="U95" s="492" t="s">
        <v>53</v>
      </c>
      <c r="V95" s="492" t="s">
        <v>556</v>
      </c>
    </row>
    <row r="96" spans="1:22" x14ac:dyDescent="0.25">
      <c r="A96" s="492" t="s">
        <v>146</v>
      </c>
      <c r="B96" s="492" t="s">
        <v>149</v>
      </c>
      <c r="G96" s="492" t="s">
        <v>324</v>
      </c>
      <c r="H96" s="492" t="s">
        <v>323</v>
      </c>
      <c r="I96" s="492" t="s">
        <v>502</v>
      </c>
      <c r="J96" s="494">
        <v>428</v>
      </c>
      <c r="M96" s="492" t="s">
        <v>79</v>
      </c>
      <c r="N96" s="492" t="s">
        <v>80</v>
      </c>
      <c r="O96" s="492" t="s">
        <v>529</v>
      </c>
      <c r="P96" s="492" t="s">
        <v>529</v>
      </c>
      <c r="Q96" s="494">
        <v>0</v>
      </c>
      <c r="R96" s="494">
        <v>0</v>
      </c>
      <c r="U96" s="492" t="s">
        <v>115</v>
      </c>
      <c r="V96" s="492" t="s">
        <v>556</v>
      </c>
    </row>
    <row r="97" spans="1:22" x14ac:dyDescent="0.25">
      <c r="A97" s="492" t="s">
        <v>146</v>
      </c>
      <c r="B97" s="492" t="s">
        <v>373</v>
      </c>
      <c r="G97" s="492" t="s">
        <v>326</v>
      </c>
      <c r="H97" s="492" t="s">
        <v>325</v>
      </c>
      <c r="I97" s="492" t="s">
        <v>502</v>
      </c>
      <c r="J97" s="494">
        <v>48</v>
      </c>
      <c r="M97" s="492" t="s">
        <v>137</v>
      </c>
      <c r="N97" s="492" t="s">
        <v>138</v>
      </c>
      <c r="O97" s="492" t="s">
        <v>529</v>
      </c>
      <c r="P97" s="492" t="s">
        <v>529</v>
      </c>
      <c r="Q97" s="494">
        <v>0</v>
      </c>
      <c r="R97" s="494">
        <v>0</v>
      </c>
      <c r="U97" s="492" t="s">
        <v>79</v>
      </c>
      <c r="V97" s="492" t="s">
        <v>556</v>
      </c>
    </row>
    <row r="98" spans="1:22" x14ac:dyDescent="0.25">
      <c r="A98" s="492" t="s">
        <v>146</v>
      </c>
      <c r="B98" s="492" t="s">
        <v>1109</v>
      </c>
      <c r="G98" s="492" t="s">
        <v>891</v>
      </c>
      <c r="H98" s="492" t="s">
        <v>892</v>
      </c>
      <c r="I98" s="492" t="s">
        <v>502</v>
      </c>
      <c r="J98" s="494">
        <v>372</v>
      </c>
      <c r="M98" s="492" t="s">
        <v>101</v>
      </c>
      <c r="N98" s="492" t="s">
        <v>102</v>
      </c>
      <c r="O98" s="492" t="s">
        <v>529</v>
      </c>
      <c r="P98" s="492" t="s">
        <v>529</v>
      </c>
      <c r="Q98" s="494">
        <v>0</v>
      </c>
      <c r="R98" s="494">
        <v>0</v>
      </c>
      <c r="U98" s="492" t="s">
        <v>137</v>
      </c>
      <c r="V98" s="492" t="s">
        <v>556</v>
      </c>
    </row>
    <row r="99" spans="1:22" x14ac:dyDescent="0.25">
      <c r="A99" s="492" t="s">
        <v>146</v>
      </c>
      <c r="B99" s="492" t="s">
        <v>1350</v>
      </c>
      <c r="G99" s="492" t="s">
        <v>949</v>
      </c>
      <c r="H99" s="492" t="s">
        <v>948</v>
      </c>
      <c r="I99" s="492" t="s">
        <v>502</v>
      </c>
      <c r="J99" s="494">
        <v>123</v>
      </c>
      <c r="M99" s="492" t="s">
        <v>105</v>
      </c>
      <c r="N99" s="492" t="s">
        <v>106</v>
      </c>
      <c r="O99" s="492" t="s">
        <v>529</v>
      </c>
      <c r="P99" s="492" t="s">
        <v>529</v>
      </c>
      <c r="Q99" s="494">
        <v>0</v>
      </c>
      <c r="R99" s="494">
        <v>0</v>
      </c>
      <c r="U99" s="492" t="s">
        <v>101</v>
      </c>
      <c r="V99" s="492" t="s">
        <v>556</v>
      </c>
    </row>
    <row r="100" spans="1:22" x14ac:dyDescent="0.25">
      <c r="A100" s="492" t="s">
        <v>899</v>
      </c>
      <c r="B100" s="492" t="s">
        <v>901</v>
      </c>
      <c r="G100" s="492" t="s">
        <v>259</v>
      </c>
      <c r="H100" s="492" t="s">
        <v>258</v>
      </c>
      <c r="I100" s="492" t="s">
        <v>502</v>
      </c>
      <c r="J100" s="494">
        <v>72</v>
      </c>
      <c r="M100" s="492" t="s">
        <v>129</v>
      </c>
      <c r="N100" s="492" t="s">
        <v>130</v>
      </c>
      <c r="O100" s="492" t="s">
        <v>529</v>
      </c>
      <c r="P100" s="492" t="s">
        <v>529</v>
      </c>
      <c r="Q100" s="494">
        <v>0</v>
      </c>
      <c r="R100" s="494">
        <v>0</v>
      </c>
      <c r="U100" s="492" t="s">
        <v>105</v>
      </c>
      <c r="V100" s="492" t="s">
        <v>556</v>
      </c>
    </row>
    <row r="101" spans="1:22" x14ac:dyDescent="0.25">
      <c r="A101" s="492" t="s">
        <v>151</v>
      </c>
      <c r="B101" s="492" t="s">
        <v>888</v>
      </c>
      <c r="G101" s="492" t="s">
        <v>202</v>
      </c>
      <c r="H101" s="492" t="s">
        <v>201</v>
      </c>
      <c r="I101" s="492" t="s">
        <v>502</v>
      </c>
      <c r="J101" s="494">
        <v>261</v>
      </c>
      <c r="M101" s="492" t="s">
        <v>133</v>
      </c>
      <c r="N101" s="492" t="s">
        <v>134</v>
      </c>
      <c r="O101" s="492" t="s">
        <v>529</v>
      </c>
      <c r="P101" s="492" t="s">
        <v>529</v>
      </c>
      <c r="Q101" s="494">
        <v>0</v>
      </c>
      <c r="R101" s="494">
        <v>0</v>
      </c>
      <c r="U101" s="492" t="s">
        <v>129</v>
      </c>
      <c r="V101" s="492" t="s">
        <v>556</v>
      </c>
    </row>
    <row r="102" spans="1:22" x14ac:dyDescent="0.25">
      <c r="A102" s="492" t="s">
        <v>151</v>
      </c>
      <c r="B102" s="492" t="s">
        <v>883</v>
      </c>
      <c r="G102" s="492" t="s">
        <v>261</v>
      </c>
      <c r="H102" s="492" t="s">
        <v>260</v>
      </c>
      <c r="I102" s="492" t="s">
        <v>502</v>
      </c>
      <c r="J102" s="494">
        <v>96</v>
      </c>
      <c r="M102" s="492" t="s">
        <v>113</v>
      </c>
      <c r="N102" s="492" t="s">
        <v>114</v>
      </c>
      <c r="O102" s="492" t="s">
        <v>529</v>
      </c>
      <c r="P102" s="492" t="s">
        <v>529</v>
      </c>
      <c r="Q102" s="494">
        <v>0</v>
      </c>
      <c r="R102" s="494">
        <v>0</v>
      </c>
      <c r="U102" s="492" t="s">
        <v>133</v>
      </c>
      <c r="V102" s="492" t="s">
        <v>556</v>
      </c>
    </row>
    <row r="103" spans="1:22" x14ac:dyDescent="0.25">
      <c r="A103" s="492" t="s">
        <v>151</v>
      </c>
      <c r="B103" s="492" t="s">
        <v>884</v>
      </c>
      <c r="G103" s="492" t="s">
        <v>882</v>
      </c>
      <c r="H103" s="492" t="s">
        <v>876</v>
      </c>
      <c r="I103" s="492" t="s">
        <v>849</v>
      </c>
      <c r="J103" s="494">
        <v>0</v>
      </c>
      <c r="M103" s="492" t="s">
        <v>107</v>
      </c>
      <c r="N103" s="492" t="s">
        <v>108</v>
      </c>
      <c r="O103" s="492" t="s">
        <v>529</v>
      </c>
      <c r="P103" s="492" t="s">
        <v>529</v>
      </c>
      <c r="Q103" s="494">
        <v>54</v>
      </c>
      <c r="R103" s="494">
        <v>254</v>
      </c>
      <c r="U103" s="492" t="s">
        <v>113</v>
      </c>
      <c r="V103" s="492" t="s">
        <v>556</v>
      </c>
    </row>
    <row r="104" spans="1:22" x14ac:dyDescent="0.25">
      <c r="A104" s="492" t="s">
        <v>151</v>
      </c>
      <c r="B104" s="492" t="s">
        <v>188</v>
      </c>
      <c r="G104" s="492" t="s">
        <v>881</v>
      </c>
      <c r="H104" s="492" t="s">
        <v>880</v>
      </c>
      <c r="I104" s="492" t="s">
        <v>849</v>
      </c>
      <c r="J104" s="494">
        <v>0</v>
      </c>
      <c r="M104" s="492" t="s">
        <v>95</v>
      </c>
      <c r="N104" s="492" t="s">
        <v>96</v>
      </c>
      <c r="O104" s="492" t="s">
        <v>529</v>
      </c>
      <c r="P104" s="492" t="s">
        <v>529</v>
      </c>
      <c r="Q104" s="494">
        <v>0</v>
      </c>
      <c r="R104" s="494">
        <v>0</v>
      </c>
      <c r="U104" s="492" t="s">
        <v>107</v>
      </c>
      <c r="V104" s="492" t="s">
        <v>556</v>
      </c>
    </row>
    <row r="105" spans="1:22" x14ac:dyDescent="0.25">
      <c r="A105" s="492" t="s">
        <v>151</v>
      </c>
      <c r="B105" s="492" t="s">
        <v>12</v>
      </c>
      <c r="G105" s="492" t="s">
        <v>204</v>
      </c>
      <c r="H105" s="492" t="s">
        <v>203</v>
      </c>
      <c r="I105" s="492" t="s">
        <v>502</v>
      </c>
      <c r="J105" s="494">
        <v>28</v>
      </c>
      <c r="M105" s="492" t="s">
        <v>139</v>
      </c>
      <c r="N105" s="492" t="s">
        <v>140</v>
      </c>
      <c r="O105" s="492" t="s">
        <v>529</v>
      </c>
      <c r="P105" s="492" t="s">
        <v>529</v>
      </c>
      <c r="Q105" s="494">
        <v>20</v>
      </c>
      <c r="R105" s="494">
        <v>80</v>
      </c>
      <c r="U105" s="492" t="s">
        <v>95</v>
      </c>
      <c r="V105" s="492" t="s">
        <v>556</v>
      </c>
    </row>
    <row r="106" spans="1:22" x14ac:dyDescent="0.25">
      <c r="A106" s="492" t="s">
        <v>151</v>
      </c>
      <c r="B106" s="492" t="s">
        <v>890</v>
      </c>
      <c r="G106" s="492" t="s">
        <v>205</v>
      </c>
      <c r="H106" s="492" t="s">
        <v>393</v>
      </c>
      <c r="I106" s="492" t="s">
        <v>502</v>
      </c>
      <c r="J106" s="494"/>
      <c r="M106" s="492" t="s">
        <v>135</v>
      </c>
      <c r="N106" s="492" t="s">
        <v>136</v>
      </c>
      <c r="O106" s="492" t="s">
        <v>529</v>
      </c>
      <c r="P106" s="492" t="s">
        <v>529</v>
      </c>
      <c r="Q106" s="494">
        <v>0</v>
      </c>
      <c r="R106" s="494">
        <v>0</v>
      </c>
      <c r="U106" s="492" t="s">
        <v>139</v>
      </c>
      <c r="V106" s="492" t="s">
        <v>556</v>
      </c>
    </row>
    <row r="107" spans="1:22" x14ac:dyDescent="0.25">
      <c r="A107" s="492" t="s">
        <v>151</v>
      </c>
      <c r="B107" s="492" t="s">
        <v>518</v>
      </c>
      <c r="G107" s="492" t="s">
        <v>160</v>
      </c>
      <c r="H107" s="492" t="s">
        <v>159</v>
      </c>
      <c r="I107" s="492" t="s">
        <v>502</v>
      </c>
      <c r="J107" s="494">
        <v>114</v>
      </c>
      <c r="M107" s="492" t="s">
        <v>93</v>
      </c>
      <c r="N107" s="492" t="s">
        <v>94</v>
      </c>
      <c r="O107" s="492" t="s">
        <v>529</v>
      </c>
      <c r="P107" s="492" t="s">
        <v>529</v>
      </c>
      <c r="Q107" s="494">
        <v>0</v>
      </c>
      <c r="R107" s="494">
        <v>0</v>
      </c>
      <c r="U107" s="492" t="s">
        <v>135</v>
      </c>
      <c r="V107" s="492" t="s">
        <v>556</v>
      </c>
    </row>
    <row r="108" spans="1:22" x14ac:dyDescent="0.25">
      <c r="A108" s="492" t="s">
        <v>151</v>
      </c>
      <c r="B108" s="492" t="s">
        <v>198</v>
      </c>
      <c r="G108" s="492" t="s">
        <v>1102</v>
      </c>
      <c r="H108" s="492" t="s">
        <v>1103</v>
      </c>
      <c r="I108" s="492" t="s">
        <v>502</v>
      </c>
      <c r="J108" s="494">
        <v>114</v>
      </c>
      <c r="M108" s="492" t="s">
        <v>121</v>
      </c>
      <c r="N108" s="492" t="s">
        <v>122</v>
      </c>
      <c r="O108" s="492" t="s">
        <v>529</v>
      </c>
      <c r="P108" s="492" t="s">
        <v>529</v>
      </c>
      <c r="Q108" s="494">
        <v>0</v>
      </c>
      <c r="R108" s="494">
        <v>0</v>
      </c>
      <c r="U108" s="492" t="s">
        <v>93</v>
      </c>
      <c r="V108" s="492" t="s">
        <v>556</v>
      </c>
    </row>
    <row r="109" spans="1:22" x14ac:dyDescent="0.25">
      <c r="A109" s="492" t="s">
        <v>151</v>
      </c>
      <c r="B109" s="492" t="s">
        <v>158</v>
      </c>
      <c r="G109" s="492" t="s">
        <v>154</v>
      </c>
      <c r="H109" s="492" t="s">
        <v>153</v>
      </c>
      <c r="I109" s="492" t="s">
        <v>502</v>
      </c>
      <c r="J109" s="494">
        <v>458</v>
      </c>
      <c r="M109" s="492" t="s">
        <v>71</v>
      </c>
      <c r="N109" s="492" t="s">
        <v>72</v>
      </c>
      <c r="O109" s="492" t="s">
        <v>529</v>
      </c>
      <c r="P109" s="492" t="s">
        <v>529</v>
      </c>
      <c r="Q109" s="494">
        <v>6</v>
      </c>
      <c r="R109" s="494">
        <v>30</v>
      </c>
      <c r="U109" s="492" t="s">
        <v>121</v>
      </c>
      <c r="V109" s="492" t="s">
        <v>556</v>
      </c>
    </row>
    <row r="110" spans="1:22" x14ac:dyDescent="0.25">
      <c r="A110" s="492" t="s">
        <v>151</v>
      </c>
      <c r="B110" s="492" t="s">
        <v>891</v>
      </c>
      <c r="G110" s="492" t="s">
        <v>1068</v>
      </c>
      <c r="H110" s="492" t="s">
        <v>1069</v>
      </c>
      <c r="I110" s="492" t="s">
        <v>502</v>
      </c>
      <c r="J110" s="494">
        <v>123</v>
      </c>
      <c r="M110" s="492" t="s">
        <v>131</v>
      </c>
      <c r="N110" s="492" t="s">
        <v>132</v>
      </c>
      <c r="O110" s="492" t="s">
        <v>529</v>
      </c>
      <c r="P110" s="492" t="s">
        <v>529</v>
      </c>
      <c r="Q110" s="494">
        <v>0</v>
      </c>
      <c r="R110" s="494">
        <v>0</v>
      </c>
      <c r="U110" s="492" t="s">
        <v>71</v>
      </c>
      <c r="V110" s="492" t="s">
        <v>556</v>
      </c>
    </row>
    <row r="111" spans="1:22" x14ac:dyDescent="0.25">
      <c r="A111" s="492" t="s">
        <v>151</v>
      </c>
      <c r="B111" s="492" t="s">
        <v>882</v>
      </c>
      <c r="G111" s="492" t="s">
        <v>156</v>
      </c>
      <c r="H111" s="492" t="s">
        <v>155</v>
      </c>
      <c r="I111" s="492" t="s">
        <v>502</v>
      </c>
      <c r="J111" s="494">
        <v>175</v>
      </c>
      <c r="M111" s="492" t="s">
        <v>356</v>
      </c>
      <c r="N111" s="492" t="s">
        <v>1259</v>
      </c>
      <c r="O111" s="492" t="s">
        <v>310</v>
      </c>
      <c r="P111" s="492" t="s">
        <v>310</v>
      </c>
      <c r="Q111" s="494">
        <v>620</v>
      </c>
      <c r="R111" s="494">
        <v>2782</v>
      </c>
      <c r="U111" s="492" t="s">
        <v>131</v>
      </c>
      <c r="V111" s="492" t="s">
        <v>556</v>
      </c>
    </row>
    <row r="112" spans="1:22" x14ac:dyDescent="0.25">
      <c r="A112" s="492" t="s">
        <v>151</v>
      </c>
      <c r="B112" s="492" t="s">
        <v>881</v>
      </c>
      <c r="G112" s="492" t="s">
        <v>332</v>
      </c>
      <c r="H112" s="492" t="s">
        <v>331</v>
      </c>
      <c r="I112" s="492" t="s">
        <v>849</v>
      </c>
      <c r="J112" s="494">
        <v>0</v>
      </c>
      <c r="M112" s="492" t="s">
        <v>333</v>
      </c>
      <c r="N112" s="492" t="s">
        <v>334</v>
      </c>
      <c r="O112" s="492" t="s">
        <v>310</v>
      </c>
      <c r="P112" s="492" t="s">
        <v>310</v>
      </c>
      <c r="Q112" s="494">
        <v>155</v>
      </c>
      <c r="R112" s="494">
        <v>640</v>
      </c>
      <c r="U112" s="492" t="s">
        <v>356</v>
      </c>
      <c r="V112" s="492" t="s">
        <v>556</v>
      </c>
    </row>
    <row r="113" spans="1:22" x14ac:dyDescent="0.25">
      <c r="A113" s="492" t="s">
        <v>151</v>
      </c>
      <c r="B113" s="492" t="s">
        <v>160</v>
      </c>
      <c r="G113" s="492" t="s">
        <v>207</v>
      </c>
      <c r="H113" s="492" t="s">
        <v>206</v>
      </c>
      <c r="I113" s="492" t="s">
        <v>849</v>
      </c>
      <c r="J113" s="494"/>
      <c r="M113" s="492" t="s">
        <v>357</v>
      </c>
      <c r="N113" s="492" t="s">
        <v>358</v>
      </c>
      <c r="O113" s="492" t="s">
        <v>310</v>
      </c>
      <c r="P113" s="492" t="s">
        <v>310</v>
      </c>
      <c r="Q113" s="494">
        <v>0</v>
      </c>
      <c r="R113" s="494">
        <v>0</v>
      </c>
      <c r="U113" s="492" t="s">
        <v>333</v>
      </c>
      <c r="V113" s="492" t="s">
        <v>556</v>
      </c>
    </row>
    <row r="114" spans="1:22" x14ac:dyDescent="0.25">
      <c r="A114" s="492" t="s">
        <v>151</v>
      </c>
      <c r="B114" s="492" t="s">
        <v>154</v>
      </c>
      <c r="G114" s="492" t="s">
        <v>167</v>
      </c>
      <c r="H114" s="492" t="s">
        <v>165</v>
      </c>
      <c r="I114" s="492" t="s">
        <v>502</v>
      </c>
      <c r="J114" s="494">
        <v>38</v>
      </c>
      <c r="M114" s="492" t="s">
        <v>335</v>
      </c>
      <c r="N114" s="492" t="s">
        <v>336</v>
      </c>
      <c r="O114" s="492" t="s">
        <v>310</v>
      </c>
      <c r="P114" s="492" t="s">
        <v>310</v>
      </c>
      <c r="Q114" s="494">
        <v>154</v>
      </c>
      <c r="R114" s="494">
        <v>1153</v>
      </c>
      <c r="U114" s="492" t="s">
        <v>357</v>
      </c>
      <c r="V114" s="492" t="s">
        <v>556</v>
      </c>
    </row>
    <row r="115" spans="1:22" x14ac:dyDescent="0.25">
      <c r="A115" s="492" t="s">
        <v>151</v>
      </c>
      <c r="B115" s="492" t="s">
        <v>156</v>
      </c>
      <c r="G115" s="492" t="s">
        <v>828</v>
      </c>
      <c r="H115" s="492" t="s">
        <v>829</v>
      </c>
      <c r="I115" s="492" t="s">
        <v>502</v>
      </c>
      <c r="J115" s="494">
        <v>31</v>
      </c>
      <c r="M115" s="492" t="s">
        <v>352</v>
      </c>
      <c r="N115" s="492" t="s">
        <v>353</v>
      </c>
      <c r="O115" s="492" t="s">
        <v>310</v>
      </c>
      <c r="P115" s="492" t="s">
        <v>310</v>
      </c>
      <c r="Q115" s="494">
        <v>1348</v>
      </c>
      <c r="R115" s="494">
        <v>6839</v>
      </c>
      <c r="U115" s="492" t="s">
        <v>335</v>
      </c>
      <c r="V115" s="492" t="s">
        <v>556</v>
      </c>
    </row>
    <row r="116" spans="1:22" x14ac:dyDescent="0.25">
      <c r="A116" s="492" t="s">
        <v>151</v>
      </c>
      <c r="B116" s="492" t="s">
        <v>152</v>
      </c>
      <c r="G116" s="492" t="s">
        <v>176</v>
      </c>
      <c r="H116" s="492" t="s">
        <v>175</v>
      </c>
      <c r="I116" s="492" t="s">
        <v>502</v>
      </c>
      <c r="J116" s="494">
        <v>18</v>
      </c>
      <c r="M116" s="492" t="s">
        <v>314</v>
      </c>
      <c r="N116" s="492" t="s">
        <v>1262</v>
      </c>
      <c r="O116" s="492" t="s">
        <v>310</v>
      </c>
      <c r="P116" s="492" t="s">
        <v>310</v>
      </c>
      <c r="Q116" s="494">
        <v>0</v>
      </c>
      <c r="R116" s="494">
        <v>0</v>
      </c>
      <c r="U116" s="492" t="s">
        <v>352</v>
      </c>
      <c r="V116" s="492" t="s">
        <v>556</v>
      </c>
    </row>
    <row r="117" spans="1:22" x14ac:dyDescent="0.25">
      <c r="A117" s="492" t="s">
        <v>151</v>
      </c>
      <c r="B117" s="492" t="s">
        <v>296</v>
      </c>
      <c r="G117" s="492" t="s">
        <v>152</v>
      </c>
      <c r="H117" s="492" t="s">
        <v>150</v>
      </c>
      <c r="I117" s="492" t="s">
        <v>502</v>
      </c>
      <c r="J117" s="494">
        <v>221</v>
      </c>
      <c r="M117" s="492" t="s">
        <v>331</v>
      </c>
      <c r="N117" s="492" t="s">
        <v>332</v>
      </c>
      <c r="O117" s="492" t="s">
        <v>310</v>
      </c>
      <c r="P117" s="492" t="s">
        <v>310</v>
      </c>
      <c r="Q117" s="494">
        <v>0</v>
      </c>
      <c r="R117" s="494">
        <v>0</v>
      </c>
      <c r="U117" s="492" t="s">
        <v>314</v>
      </c>
      <c r="V117" s="492" t="s">
        <v>556</v>
      </c>
    </row>
    <row r="118" spans="1:22" x14ac:dyDescent="0.25">
      <c r="A118" s="492" t="s">
        <v>151</v>
      </c>
      <c r="B118" s="492" t="s">
        <v>520</v>
      </c>
      <c r="G118" s="492" t="s">
        <v>54</v>
      </c>
      <c r="H118" s="492" t="s">
        <v>53</v>
      </c>
      <c r="I118" s="492" t="s">
        <v>849</v>
      </c>
      <c r="J118" s="494">
        <v>0</v>
      </c>
      <c r="M118" s="492" t="s">
        <v>321</v>
      </c>
      <c r="N118" s="492" t="s">
        <v>322</v>
      </c>
      <c r="O118" s="492" t="s">
        <v>310</v>
      </c>
      <c r="P118" s="492" t="s">
        <v>310</v>
      </c>
      <c r="Q118" s="494">
        <v>608</v>
      </c>
      <c r="R118" s="494">
        <v>2636</v>
      </c>
      <c r="U118" s="492" t="s">
        <v>331</v>
      </c>
      <c r="V118" s="492" t="s">
        <v>556</v>
      </c>
    </row>
    <row r="119" spans="1:22" x14ac:dyDescent="0.25">
      <c r="A119" s="492" t="s">
        <v>151</v>
      </c>
      <c r="B119" s="492" t="s">
        <v>162</v>
      </c>
      <c r="G119" s="492" t="s">
        <v>66</v>
      </c>
      <c r="H119" s="492" t="s">
        <v>65</v>
      </c>
      <c r="I119" s="492" t="s">
        <v>849</v>
      </c>
      <c r="J119" s="494">
        <v>0</v>
      </c>
      <c r="M119" s="492" t="s">
        <v>345</v>
      </c>
      <c r="N119" s="492" t="s">
        <v>1257</v>
      </c>
      <c r="O119" s="492" t="s">
        <v>310</v>
      </c>
      <c r="P119" s="492" t="s">
        <v>310</v>
      </c>
      <c r="Q119" s="494">
        <v>191</v>
      </c>
      <c r="R119" s="494">
        <v>768</v>
      </c>
      <c r="U119" s="492" t="s">
        <v>321</v>
      </c>
      <c r="V119" s="492" t="s">
        <v>556</v>
      </c>
    </row>
    <row r="120" spans="1:22" x14ac:dyDescent="0.25">
      <c r="A120" s="492" t="s">
        <v>151</v>
      </c>
      <c r="B120" s="492" t="s">
        <v>871</v>
      </c>
      <c r="G120" s="492" t="s">
        <v>80</v>
      </c>
      <c r="H120" s="492" t="s">
        <v>79</v>
      </c>
      <c r="I120" s="492" t="s">
        <v>849</v>
      </c>
      <c r="J120" s="494">
        <v>0</v>
      </c>
      <c r="M120" s="492" t="s">
        <v>195</v>
      </c>
      <c r="N120" s="492" t="s">
        <v>196</v>
      </c>
      <c r="O120" s="492" t="s">
        <v>185</v>
      </c>
      <c r="P120" s="492" t="s">
        <v>185</v>
      </c>
      <c r="Q120" s="494">
        <v>1695</v>
      </c>
      <c r="R120" s="494">
        <v>8848</v>
      </c>
      <c r="U120" s="492" t="s">
        <v>345</v>
      </c>
      <c r="V120" s="492" t="s">
        <v>556</v>
      </c>
    </row>
    <row r="121" spans="1:22" x14ac:dyDescent="0.25">
      <c r="A121" s="492" t="s">
        <v>151</v>
      </c>
      <c r="B121" s="492" t="s">
        <v>872</v>
      </c>
      <c r="G121" s="492" t="s">
        <v>102</v>
      </c>
      <c r="H121" s="492" t="s">
        <v>101</v>
      </c>
      <c r="I121" s="492" t="s">
        <v>849</v>
      </c>
      <c r="J121" s="494">
        <v>0</v>
      </c>
      <c r="M121" s="492" t="s">
        <v>193</v>
      </c>
      <c r="N121" s="492" t="s">
        <v>194</v>
      </c>
      <c r="O121" s="492" t="s">
        <v>185</v>
      </c>
      <c r="P121" s="492" t="s">
        <v>185</v>
      </c>
      <c r="Q121" s="494">
        <v>614</v>
      </c>
      <c r="R121" s="494">
        <v>2915</v>
      </c>
      <c r="U121" s="492" t="s">
        <v>195</v>
      </c>
      <c r="V121" s="492" t="s">
        <v>556</v>
      </c>
    </row>
    <row r="122" spans="1:22" x14ac:dyDescent="0.25">
      <c r="A122" s="492" t="s">
        <v>151</v>
      </c>
      <c r="B122" s="492" t="s">
        <v>164</v>
      </c>
      <c r="G122" s="492" t="s">
        <v>106</v>
      </c>
      <c r="H122" s="492" t="s">
        <v>105</v>
      </c>
      <c r="I122" s="492" t="s">
        <v>849</v>
      </c>
      <c r="J122" s="494">
        <v>0</v>
      </c>
      <c r="M122" s="492" t="s">
        <v>191</v>
      </c>
      <c r="N122" s="492" t="s">
        <v>192</v>
      </c>
      <c r="O122" s="492" t="s">
        <v>185</v>
      </c>
      <c r="P122" s="492" t="s">
        <v>185</v>
      </c>
      <c r="Q122" s="494">
        <v>116</v>
      </c>
      <c r="R122" s="494">
        <v>595</v>
      </c>
      <c r="U122" s="492" t="s">
        <v>193</v>
      </c>
      <c r="V122" s="492" t="s">
        <v>556</v>
      </c>
    </row>
    <row r="123" spans="1:22" x14ac:dyDescent="0.25">
      <c r="A123" s="492" t="s">
        <v>151</v>
      </c>
      <c r="B123" s="492" t="s">
        <v>893</v>
      </c>
      <c r="G123" s="492" t="s">
        <v>116</v>
      </c>
      <c r="H123" s="492" t="s">
        <v>115</v>
      </c>
      <c r="I123" s="492" t="s">
        <v>849</v>
      </c>
      <c r="J123" s="494">
        <v>0</v>
      </c>
      <c r="M123" s="492" t="s">
        <v>218</v>
      </c>
      <c r="N123" s="492" t="s">
        <v>219</v>
      </c>
      <c r="O123" s="492" t="s">
        <v>185</v>
      </c>
      <c r="P123" s="492" t="s">
        <v>185</v>
      </c>
      <c r="Q123" s="494">
        <v>677</v>
      </c>
      <c r="R123" s="494">
        <v>3622</v>
      </c>
      <c r="U123" s="492" t="s">
        <v>191</v>
      </c>
      <c r="V123" s="492" t="s">
        <v>556</v>
      </c>
    </row>
    <row r="124" spans="1:22" x14ac:dyDescent="0.25">
      <c r="A124" s="492" t="s">
        <v>151</v>
      </c>
      <c r="B124" s="492" t="s">
        <v>949</v>
      </c>
      <c r="G124" s="492" t="s">
        <v>130</v>
      </c>
      <c r="H124" s="492" t="s">
        <v>129</v>
      </c>
      <c r="I124" s="492" t="s">
        <v>849</v>
      </c>
      <c r="J124" s="494">
        <v>0</v>
      </c>
      <c r="M124" s="492" t="s">
        <v>197</v>
      </c>
      <c r="N124" s="492" t="s">
        <v>198</v>
      </c>
      <c r="O124" s="492" t="s">
        <v>151</v>
      </c>
      <c r="P124" s="492" t="s">
        <v>151</v>
      </c>
      <c r="Q124" s="494">
        <v>545</v>
      </c>
      <c r="R124" s="494">
        <v>2560</v>
      </c>
      <c r="U124" s="492" t="s">
        <v>218</v>
      </c>
      <c r="V124" s="492" t="s">
        <v>556</v>
      </c>
    </row>
    <row r="125" spans="1:22" x14ac:dyDescent="0.25">
      <c r="A125" s="492" t="s">
        <v>151</v>
      </c>
      <c r="B125" s="492" t="s">
        <v>1041</v>
      </c>
      <c r="G125" s="492" t="s">
        <v>138</v>
      </c>
      <c r="H125" s="492" t="s">
        <v>137</v>
      </c>
      <c r="I125" s="492" t="s">
        <v>849</v>
      </c>
      <c r="J125" s="494">
        <v>0</v>
      </c>
      <c r="M125" s="492" t="s">
        <v>187</v>
      </c>
      <c r="N125" s="492" t="s">
        <v>188</v>
      </c>
      <c r="O125" s="492" t="s">
        <v>151</v>
      </c>
      <c r="P125" s="492" t="s">
        <v>151</v>
      </c>
      <c r="Q125" s="494">
        <v>245</v>
      </c>
      <c r="R125" s="494">
        <v>1232</v>
      </c>
      <c r="U125" s="492" t="s">
        <v>197</v>
      </c>
      <c r="V125" s="492" t="s">
        <v>556</v>
      </c>
    </row>
    <row r="126" spans="1:22" x14ac:dyDescent="0.25">
      <c r="A126" s="492" t="s">
        <v>151</v>
      </c>
      <c r="B126" s="492" t="s">
        <v>1068</v>
      </c>
      <c r="G126" s="492" t="s">
        <v>263</v>
      </c>
      <c r="H126" s="492" t="s">
        <v>262</v>
      </c>
      <c r="I126" s="492" t="s">
        <v>502</v>
      </c>
      <c r="J126" s="494">
        <v>22</v>
      </c>
      <c r="M126" s="492" t="s">
        <v>214</v>
      </c>
      <c r="N126" s="492" t="s">
        <v>215</v>
      </c>
      <c r="O126" s="492" t="s">
        <v>185</v>
      </c>
      <c r="P126" s="492" t="s">
        <v>185</v>
      </c>
      <c r="Q126" s="494">
        <v>375</v>
      </c>
      <c r="R126" s="494">
        <v>1598</v>
      </c>
      <c r="U126" s="492" t="s">
        <v>187</v>
      </c>
      <c r="V126" s="492" t="s">
        <v>556</v>
      </c>
    </row>
    <row r="127" spans="1:22" x14ac:dyDescent="0.25">
      <c r="A127" s="492" t="s">
        <v>151</v>
      </c>
      <c r="B127" s="492" t="s">
        <v>1102</v>
      </c>
      <c r="G127" s="492" t="s">
        <v>265</v>
      </c>
      <c r="H127" s="492" t="s">
        <v>264</v>
      </c>
      <c r="I127" s="492" t="s">
        <v>502</v>
      </c>
      <c r="J127" s="494">
        <v>14</v>
      </c>
      <c r="M127" s="492" t="s">
        <v>153</v>
      </c>
      <c r="N127" s="492" t="s">
        <v>154</v>
      </c>
      <c r="O127" s="492" t="s">
        <v>151</v>
      </c>
      <c r="P127" s="492" t="s">
        <v>151</v>
      </c>
      <c r="Q127" s="494">
        <v>458</v>
      </c>
      <c r="R127" s="494">
        <v>2139</v>
      </c>
      <c r="U127" s="492" t="s">
        <v>214</v>
      </c>
      <c r="V127" s="492" t="s">
        <v>556</v>
      </c>
    </row>
    <row r="128" spans="1:22" x14ac:dyDescent="0.25">
      <c r="A128" s="492" t="s">
        <v>166</v>
      </c>
      <c r="B128" s="492" t="s">
        <v>167</v>
      </c>
      <c r="G128" s="492" t="s">
        <v>136</v>
      </c>
      <c r="H128" s="492" t="s">
        <v>135</v>
      </c>
      <c r="I128" s="492" t="s">
        <v>849</v>
      </c>
      <c r="J128" s="494">
        <v>0</v>
      </c>
      <c r="M128" s="492" t="s">
        <v>159</v>
      </c>
      <c r="N128" s="492" t="s">
        <v>160</v>
      </c>
      <c r="O128" s="492" t="s">
        <v>151</v>
      </c>
      <c r="P128" s="492" t="s">
        <v>151</v>
      </c>
      <c r="Q128" s="494">
        <v>114</v>
      </c>
      <c r="R128" s="494">
        <v>539</v>
      </c>
      <c r="U128" s="492" t="s">
        <v>153</v>
      </c>
      <c r="V128" s="492" t="s">
        <v>556</v>
      </c>
    </row>
    <row r="129" spans="1:22" x14ac:dyDescent="0.25">
      <c r="A129" s="492" t="s">
        <v>166</v>
      </c>
      <c r="B129" s="492" t="s">
        <v>828</v>
      </c>
      <c r="G129" s="492" t="s">
        <v>68</v>
      </c>
      <c r="H129" s="492" t="s">
        <v>67</v>
      </c>
      <c r="I129" s="492" t="s">
        <v>849</v>
      </c>
      <c r="J129" s="494">
        <v>0</v>
      </c>
      <c r="M129" s="492" t="s">
        <v>155</v>
      </c>
      <c r="N129" s="492" t="s">
        <v>156</v>
      </c>
      <c r="O129" s="492" t="s">
        <v>151</v>
      </c>
      <c r="P129" s="492" t="s">
        <v>151</v>
      </c>
      <c r="Q129" s="494">
        <v>175</v>
      </c>
      <c r="R129" s="494">
        <v>834</v>
      </c>
      <c r="U129" s="492" t="s">
        <v>159</v>
      </c>
      <c r="V129" s="492" t="s">
        <v>556</v>
      </c>
    </row>
    <row r="130" spans="1:22" x14ac:dyDescent="0.25">
      <c r="A130" s="492" t="s">
        <v>173</v>
      </c>
      <c r="B130" s="492" t="s">
        <v>174</v>
      </c>
      <c r="G130" s="492" t="s">
        <v>84</v>
      </c>
      <c r="H130" s="492" t="s">
        <v>83</v>
      </c>
      <c r="I130" s="492" t="s">
        <v>849</v>
      </c>
      <c r="J130" s="494">
        <v>0</v>
      </c>
      <c r="M130" s="492" t="s">
        <v>157</v>
      </c>
      <c r="N130" s="492" t="s">
        <v>158</v>
      </c>
      <c r="O130" s="492" t="s">
        <v>151</v>
      </c>
      <c r="P130" s="492" t="s">
        <v>151</v>
      </c>
      <c r="Q130" s="494">
        <v>0</v>
      </c>
      <c r="R130" s="494">
        <v>0</v>
      </c>
      <c r="U130" s="492" t="s">
        <v>155</v>
      </c>
      <c r="V130" s="492" t="s">
        <v>12</v>
      </c>
    </row>
    <row r="131" spans="1:22" x14ac:dyDescent="0.25">
      <c r="A131" s="492" t="s">
        <v>173</v>
      </c>
      <c r="B131" s="492" t="s">
        <v>176</v>
      </c>
      <c r="G131" s="492" t="s">
        <v>86</v>
      </c>
      <c r="H131" s="492" t="s">
        <v>85</v>
      </c>
      <c r="I131" s="492" t="s">
        <v>849</v>
      </c>
      <c r="J131" s="494">
        <v>0</v>
      </c>
      <c r="M131" s="492" t="s">
        <v>161</v>
      </c>
      <c r="N131" s="492" t="s">
        <v>162</v>
      </c>
      <c r="O131" s="492" t="s">
        <v>151</v>
      </c>
      <c r="P131" s="492" t="s">
        <v>151</v>
      </c>
      <c r="Q131" s="494">
        <v>0</v>
      </c>
      <c r="R131" s="494">
        <v>0</v>
      </c>
      <c r="U131" s="492" t="s">
        <v>157</v>
      </c>
      <c r="V131" s="492" t="s">
        <v>556</v>
      </c>
    </row>
    <row r="132" spans="1:22" x14ac:dyDescent="0.25">
      <c r="A132" s="492" t="s">
        <v>173</v>
      </c>
      <c r="B132" s="492" t="s">
        <v>178</v>
      </c>
      <c r="G132" s="492" t="s">
        <v>100</v>
      </c>
      <c r="H132" s="492" t="s">
        <v>99</v>
      </c>
      <c r="I132" s="492" t="s">
        <v>502</v>
      </c>
      <c r="J132" s="494">
        <v>5</v>
      </c>
      <c r="M132" s="492" t="s">
        <v>163</v>
      </c>
      <c r="N132" s="492" t="s">
        <v>164</v>
      </c>
      <c r="O132" s="492" t="s">
        <v>151</v>
      </c>
      <c r="P132" s="492" t="s">
        <v>151</v>
      </c>
      <c r="Q132" s="494">
        <v>0</v>
      </c>
      <c r="R132" s="494">
        <v>0</v>
      </c>
      <c r="U132" s="492" t="s">
        <v>161</v>
      </c>
      <c r="V132" s="492" t="s">
        <v>556</v>
      </c>
    </row>
    <row r="133" spans="1:22" x14ac:dyDescent="0.25">
      <c r="A133" s="492" t="s">
        <v>173</v>
      </c>
      <c r="B133" s="492" t="s">
        <v>1298</v>
      </c>
      <c r="G133" s="492" t="s">
        <v>104</v>
      </c>
      <c r="H133" s="492" t="s">
        <v>103</v>
      </c>
      <c r="I133" s="492" t="s">
        <v>849</v>
      </c>
      <c r="J133" s="494">
        <v>0</v>
      </c>
      <c r="M133" s="492" t="s">
        <v>362</v>
      </c>
      <c r="N133" s="492" t="s">
        <v>35</v>
      </c>
      <c r="O133" s="492" t="s">
        <v>363</v>
      </c>
      <c r="P133" s="492" t="s">
        <v>363</v>
      </c>
      <c r="Q133" s="494">
        <v>0</v>
      </c>
      <c r="R133" s="494">
        <v>0</v>
      </c>
      <c r="U133" s="492" t="s">
        <v>163</v>
      </c>
      <c r="V133" s="492" t="s">
        <v>556</v>
      </c>
    </row>
    <row r="134" spans="1:22" x14ac:dyDescent="0.25">
      <c r="A134" s="492" t="s">
        <v>173</v>
      </c>
      <c r="B134" s="492" t="s">
        <v>1297</v>
      </c>
      <c r="G134" s="492" t="s">
        <v>98</v>
      </c>
      <c r="H134" s="492" t="s">
        <v>97</v>
      </c>
      <c r="I134" s="492" t="s">
        <v>849</v>
      </c>
      <c r="J134" s="494">
        <v>0</v>
      </c>
      <c r="M134" s="492" t="s">
        <v>303</v>
      </c>
      <c r="N134" s="492" t="s">
        <v>304</v>
      </c>
      <c r="O134" s="492" t="s">
        <v>1195</v>
      </c>
      <c r="P134" s="492" t="s">
        <v>302</v>
      </c>
      <c r="Q134" s="494">
        <v>375</v>
      </c>
      <c r="R134" s="494">
        <v>1691</v>
      </c>
      <c r="U134" s="492" t="s">
        <v>362</v>
      </c>
      <c r="V134" s="492" t="s">
        <v>556</v>
      </c>
    </row>
    <row r="135" spans="1:22" x14ac:dyDescent="0.25">
      <c r="A135" s="492" t="s">
        <v>173</v>
      </c>
      <c r="B135" s="492" t="s">
        <v>1288</v>
      </c>
      <c r="G135" s="492" t="s">
        <v>368</v>
      </c>
      <c r="H135" s="492" t="s">
        <v>385</v>
      </c>
      <c r="I135" s="492" t="s">
        <v>502</v>
      </c>
      <c r="J135" s="494">
        <v>79</v>
      </c>
      <c r="M135" s="492" t="s">
        <v>87</v>
      </c>
      <c r="N135" s="492" t="s">
        <v>88</v>
      </c>
      <c r="O135" s="492" t="s">
        <v>529</v>
      </c>
      <c r="P135" s="492" t="s">
        <v>529</v>
      </c>
      <c r="Q135" s="494">
        <v>12</v>
      </c>
      <c r="R135" s="494">
        <v>52</v>
      </c>
      <c r="U135" s="492" t="s">
        <v>303</v>
      </c>
      <c r="V135" s="492" t="s">
        <v>12</v>
      </c>
    </row>
    <row r="136" spans="1:22" x14ac:dyDescent="0.25">
      <c r="A136" s="492" t="s">
        <v>180</v>
      </c>
      <c r="B136" s="492" t="s">
        <v>183</v>
      </c>
      <c r="G136" s="492" t="s">
        <v>1171</v>
      </c>
      <c r="H136" s="492" t="s">
        <v>1173</v>
      </c>
      <c r="I136" s="492" t="s">
        <v>502</v>
      </c>
      <c r="J136" s="494">
        <v>16</v>
      </c>
      <c r="M136" s="492" t="s">
        <v>339</v>
      </c>
      <c r="N136" s="492" t="s">
        <v>340</v>
      </c>
      <c r="O136" s="492" t="s">
        <v>310</v>
      </c>
      <c r="P136" s="492" t="s">
        <v>310</v>
      </c>
      <c r="Q136" s="494">
        <v>355</v>
      </c>
      <c r="R136" s="494">
        <v>4450</v>
      </c>
      <c r="U136" s="492" t="s">
        <v>87</v>
      </c>
      <c r="V136" s="492" t="s">
        <v>556</v>
      </c>
    </row>
    <row r="137" spans="1:22" x14ac:dyDescent="0.25">
      <c r="A137" s="492" t="s">
        <v>180</v>
      </c>
      <c r="B137" s="492" t="s">
        <v>287</v>
      </c>
      <c r="G137" s="492" t="s">
        <v>1260</v>
      </c>
      <c r="H137" s="492" t="s">
        <v>359</v>
      </c>
      <c r="I137" s="492" t="s">
        <v>849</v>
      </c>
      <c r="J137" s="494">
        <v>0</v>
      </c>
      <c r="M137" s="492" t="s">
        <v>286</v>
      </c>
      <c r="N137" s="492" t="s">
        <v>287</v>
      </c>
      <c r="O137" s="492" t="s">
        <v>1195</v>
      </c>
      <c r="P137" s="492" t="s">
        <v>180</v>
      </c>
      <c r="Q137" s="494">
        <v>18</v>
      </c>
      <c r="R137" s="494">
        <v>141</v>
      </c>
      <c r="U137" s="492" t="s">
        <v>339</v>
      </c>
      <c r="V137" s="492" t="s">
        <v>1249</v>
      </c>
    </row>
    <row r="138" spans="1:22" x14ac:dyDescent="0.25">
      <c r="A138" s="492" t="s">
        <v>180</v>
      </c>
      <c r="B138" s="492" t="s">
        <v>181</v>
      </c>
      <c r="G138" s="492" t="s">
        <v>209</v>
      </c>
      <c r="H138" s="492" t="s">
        <v>208</v>
      </c>
      <c r="I138" s="492" t="s">
        <v>502</v>
      </c>
      <c r="J138" s="494">
        <v>207</v>
      </c>
      <c r="M138" s="492" t="s">
        <v>9</v>
      </c>
      <c r="N138" s="492" t="s">
        <v>10</v>
      </c>
      <c r="O138" s="492" t="s">
        <v>5</v>
      </c>
      <c r="P138" s="492" t="s">
        <v>5</v>
      </c>
      <c r="Q138" s="494">
        <v>0</v>
      </c>
      <c r="R138" s="494">
        <v>0</v>
      </c>
      <c r="U138" s="492" t="s">
        <v>286</v>
      </c>
      <c r="V138" s="492" t="s">
        <v>556</v>
      </c>
    </row>
    <row r="139" spans="1:22" x14ac:dyDescent="0.25">
      <c r="A139" s="492" t="s">
        <v>180</v>
      </c>
      <c r="B139" s="492" t="s">
        <v>1170</v>
      </c>
      <c r="G139" s="492" t="s">
        <v>211</v>
      </c>
      <c r="H139" s="492" t="s">
        <v>210</v>
      </c>
      <c r="I139" s="492" t="s">
        <v>849</v>
      </c>
      <c r="J139" s="494"/>
      <c r="M139" s="492" t="s">
        <v>354</v>
      </c>
      <c r="N139" s="492" t="s">
        <v>355</v>
      </c>
      <c r="O139" s="492" t="s">
        <v>310</v>
      </c>
      <c r="P139" s="492" t="s">
        <v>310</v>
      </c>
      <c r="Q139" s="494">
        <v>108</v>
      </c>
      <c r="R139" s="494">
        <v>647</v>
      </c>
      <c r="U139" s="492" t="s">
        <v>9</v>
      </c>
      <c r="V139" s="492" t="s">
        <v>12</v>
      </c>
    </row>
    <row r="140" spans="1:22" x14ac:dyDescent="0.25">
      <c r="A140" s="492" t="s">
        <v>180</v>
      </c>
      <c r="B140" s="492" t="s">
        <v>1171</v>
      </c>
      <c r="G140" s="492" t="s">
        <v>233</v>
      </c>
      <c r="H140" s="492" t="s">
        <v>232</v>
      </c>
      <c r="I140" s="492" t="s">
        <v>502</v>
      </c>
      <c r="J140" s="494">
        <v>9</v>
      </c>
      <c r="M140" s="492" t="s">
        <v>272</v>
      </c>
      <c r="N140" s="492" t="s">
        <v>273</v>
      </c>
      <c r="O140" s="492" t="s">
        <v>237</v>
      </c>
      <c r="P140" s="492" t="s">
        <v>237</v>
      </c>
      <c r="Q140" s="494">
        <v>45</v>
      </c>
      <c r="R140" s="494">
        <v>262</v>
      </c>
      <c r="U140" s="492" t="s">
        <v>354</v>
      </c>
      <c r="V140" s="492" t="s">
        <v>556</v>
      </c>
    </row>
    <row r="141" spans="1:22" x14ac:dyDescent="0.25">
      <c r="A141" s="492" t="s">
        <v>185</v>
      </c>
      <c r="B141" s="492" t="s">
        <v>192</v>
      </c>
      <c r="G141" s="492" t="s">
        <v>235</v>
      </c>
      <c r="H141" s="492" t="s">
        <v>234</v>
      </c>
      <c r="I141" s="492" t="s">
        <v>502</v>
      </c>
      <c r="J141" s="494">
        <v>123</v>
      </c>
      <c r="M141" s="492" t="s">
        <v>11</v>
      </c>
      <c r="N141" s="492" t="s">
        <v>12</v>
      </c>
      <c r="O141" s="492" t="s">
        <v>5</v>
      </c>
      <c r="P141" s="492" t="s">
        <v>5</v>
      </c>
      <c r="Q141" s="494">
        <v>211</v>
      </c>
      <c r="R141" s="494">
        <v>989</v>
      </c>
      <c r="U141" s="492" t="s">
        <v>272</v>
      </c>
      <c r="V141" s="492" t="s">
        <v>556</v>
      </c>
    </row>
    <row r="142" spans="1:22" x14ac:dyDescent="0.25">
      <c r="A142" s="492" t="s">
        <v>185</v>
      </c>
      <c r="B142" s="492" t="s">
        <v>12</v>
      </c>
      <c r="G142" s="492" t="s">
        <v>296</v>
      </c>
      <c r="H142" s="492" t="s">
        <v>389</v>
      </c>
      <c r="I142" s="492" t="s">
        <v>849</v>
      </c>
      <c r="J142" s="494">
        <v>0</v>
      </c>
      <c r="M142" s="492" t="s">
        <v>91</v>
      </c>
      <c r="N142" s="492" t="s">
        <v>92</v>
      </c>
      <c r="O142" s="492" t="s">
        <v>529</v>
      </c>
      <c r="P142" s="492" t="s">
        <v>529</v>
      </c>
      <c r="Q142" s="494">
        <v>15</v>
      </c>
      <c r="R142" s="494">
        <v>74</v>
      </c>
      <c r="U142" s="492" t="s">
        <v>11</v>
      </c>
      <c r="V142" s="492" t="s">
        <v>12</v>
      </c>
    </row>
    <row r="143" spans="1:22" x14ac:dyDescent="0.25">
      <c r="A143" s="492" t="s">
        <v>185</v>
      </c>
      <c r="B143" s="492" t="s">
        <v>194</v>
      </c>
      <c r="G143" s="492" t="s">
        <v>520</v>
      </c>
      <c r="H143" s="492" t="s">
        <v>521</v>
      </c>
      <c r="I143" s="492" t="s">
        <v>849</v>
      </c>
      <c r="J143" s="494">
        <v>0</v>
      </c>
      <c r="M143" s="492" t="s">
        <v>119</v>
      </c>
      <c r="N143" s="492" t="s">
        <v>120</v>
      </c>
      <c r="O143" s="492" t="s">
        <v>529</v>
      </c>
      <c r="P143" s="492" t="s">
        <v>529</v>
      </c>
      <c r="Q143" s="494">
        <v>75</v>
      </c>
      <c r="R143" s="494">
        <v>404</v>
      </c>
      <c r="U143" s="492" t="s">
        <v>91</v>
      </c>
      <c r="V143" s="492" t="s">
        <v>556</v>
      </c>
    </row>
    <row r="144" spans="1:22" x14ac:dyDescent="0.25">
      <c r="A144" s="492" t="s">
        <v>185</v>
      </c>
      <c r="B144" s="492" t="s">
        <v>196</v>
      </c>
      <c r="G144" s="492" t="s">
        <v>371</v>
      </c>
      <c r="H144" s="492" t="s">
        <v>147</v>
      </c>
      <c r="I144" s="492" t="s">
        <v>502</v>
      </c>
      <c r="J144" s="494">
        <v>51</v>
      </c>
      <c r="M144" s="492" t="s">
        <v>51</v>
      </c>
      <c r="N144" s="492" t="s">
        <v>52</v>
      </c>
      <c r="O144" s="492" t="s">
        <v>529</v>
      </c>
      <c r="P144" s="492" t="s">
        <v>529</v>
      </c>
      <c r="Q144" s="494">
        <v>35</v>
      </c>
      <c r="R144" s="494">
        <v>214</v>
      </c>
      <c r="U144" s="492" t="s">
        <v>119</v>
      </c>
      <c r="V144" s="492" t="s">
        <v>556</v>
      </c>
    </row>
    <row r="145" spans="1:22" x14ac:dyDescent="0.25">
      <c r="A145" s="492" t="s">
        <v>185</v>
      </c>
      <c r="B145" s="492" t="s">
        <v>523</v>
      </c>
      <c r="G145" s="492" t="s">
        <v>1109</v>
      </c>
      <c r="H145" s="492" t="s">
        <v>1108</v>
      </c>
      <c r="I145" s="492" t="s">
        <v>502</v>
      </c>
      <c r="J145" s="494">
        <v>23</v>
      </c>
      <c r="M145" s="492" t="s">
        <v>47</v>
      </c>
      <c r="N145" s="492" t="s">
        <v>48</v>
      </c>
      <c r="O145" s="492" t="s">
        <v>529</v>
      </c>
      <c r="P145" s="492" t="s">
        <v>529</v>
      </c>
      <c r="Q145" s="494">
        <v>0</v>
      </c>
      <c r="R145" s="494">
        <v>0</v>
      </c>
      <c r="U145" s="492" t="s">
        <v>51</v>
      </c>
      <c r="V145" s="492" t="s">
        <v>556</v>
      </c>
    </row>
    <row r="146" spans="1:22" x14ac:dyDescent="0.25">
      <c r="A146" s="492" t="s">
        <v>185</v>
      </c>
      <c r="B146" s="492" t="s">
        <v>186</v>
      </c>
      <c r="G146" s="492" t="s">
        <v>367</v>
      </c>
      <c r="H146" s="492" t="s">
        <v>386</v>
      </c>
      <c r="I146" s="492" t="s">
        <v>849</v>
      </c>
      <c r="J146" s="494">
        <v>0</v>
      </c>
      <c r="M146" s="492" t="s">
        <v>127</v>
      </c>
      <c r="N146" s="492" t="s">
        <v>128</v>
      </c>
      <c r="O146" s="492" t="s">
        <v>529</v>
      </c>
      <c r="P146" s="492" t="s">
        <v>529</v>
      </c>
      <c r="Q146" s="494">
        <v>0</v>
      </c>
      <c r="R146" s="494">
        <v>0</v>
      </c>
      <c r="U146" s="492" t="s">
        <v>47</v>
      </c>
      <c r="V146" s="492" t="s">
        <v>556</v>
      </c>
    </row>
    <row r="147" spans="1:22" x14ac:dyDescent="0.25">
      <c r="A147" s="492" t="s">
        <v>185</v>
      </c>
      <c r="B147" s="492" t="s">
        <v>223</v>
      </c>
      <c r="G147" s="492" t="s">
        <v>142</v>
      </c>
      <c r="H147" s="492" t="s">
        <v>141</v>
      </c>
      <c r="I147" s="492" t="s">
        <v>849</v>
      </c>
      <c r="J147" s="494">
        <v>0</v>
      </c>
      <c r="M147" s="492" t="s">
        <v>59</v>
      </c>
      <c r="N147" s="492" t="s">
        <v>60</v>
      </c>
      <c r="O147" s="492" t="s">
        <v>529</v>
      </c>
      <c r="P147" s="492" t="s">
        <v>529</v>
      </c>
      <c r="Q147" s="494">
        <v>0</v>
      </c>
      <c r="R147" s="494">
        <v>0</v>
      </c>
      <c r="U147" s="492" t="s">
        <v>127</v>
      </c>
      <c r="V147" s="492" t="s">
        <v>556</v>
      </c>
    </row>
    <row r="148" spans="1:22" x14ac:dyDescent="0.25">
      <c r="A148" s="492" t="s">
        <v>185</v>
      </c>
      <c r="B148" s="492" t="s">
        <v>190</v>
      </c>
      <c r="G148" s="492" t="s">
        <v>1060</v>
      </c>
      <c r="H148" s="492" t="s">
        <v>1061</v>
      </c>
      <c r="I148" s="492" t="s">
        <v>502</v>
      </c>
      <c r="J148" s="494">
        <v>55</v>
      </c>
      <c r="M148" s="492" t="s">
        <v>38</v>
      </c>
      <c r="N148" s="492" t="s">
        <v>39</v>
      </c>
      <c r="O148" s="492" t="s">
        <v>529</v>
      </c>
      <c r="P148" s="492" t="s">
        <v>529</v>
      </c>
      <c r="Q148" s="494">
        <v>0</v>
      </c>
      <c r="R148" s="494">
        <v>0</v>
      </c>
      <c r="U148" s="492" t="s">
        <v>59</v>
      </c>
      <c r="V148" s="492" t="s">
        <v>556</v>
      </c>
    </row>
    <row r="149" spans="1:22" x14ac:dyDescent="0.25">
      <c r="A149" s="492" t="s">
        <v>185</v>
      </c>
      <c r="B149" s="492" t="s">
        <v>200</v>
      </c>
      <c r="G149" s="492" t="s">
        <v>1070</v>
      </c>
      <c r="H149" s="492" t="s">
        <v>1071</v>
      </c>
      <c r="I149" s="492" t="s">
        <v>502</v>
      </c>
      <c r="J149" s="494">
        <v>26</v>
      </c>
      <c r="M149" s="492" t="s">
        <v>75</v>
      </c>
      <c r="N149" s="492" t="s">
        <v>76</v>
      </c>
      <c r="O149" s="492" t="s">
        <v>529</v>
      </c>
      <c r="P149" s="492" t="s">
        <v>529</v>
      </c>
      <c r="Q149" s="494">
        <v>65</v>
      </c>
      <c r="R149" s="494">
        <v>347</v>
      </c>
      <c r="U149" s="492" t="s">
        <v>38</v>
      </c>
      <c r="V149" s="492" t="s">
        <v>556</v>
      </c>
    </row>
    <row r="150" spans="1:22" x14ac:dyDescent="0.25">
      <c r="A150" s="492" t="s">
        <v>185</v>
      </c>
      <c r="B150" s="492" t="s">
        <v>202</v>
      </c>
      <c r="G150" s="492" t="s">
        <v>8</v>
      </c>
      <c r="H150" s="492" t="s">
        <v>7</v>
      </c>
      <c r="I150" s="492" t="s">
        <v>502</v>
      </c>
      <c r="J150" s="494">
        <v>23</v>
      </c>
      <c r="M150" s="492" t="s">
        <v>73</v>
      </c>
      <c r="N150" s="492" t="s">
        <v>74</v>
      </c>
      <c r="O150" s="492" t="s">
        <v>529</v>
      </c>
      <c r="P150" s="492" t="s">
        <v>529</v>
      </c>
      <c r="Q150" s="494">
        <v>0</v>
      </c>
      <c r="R150" s="494">
        <v>0</v>
      </c>
      <c r="U150" s="492" t="s">
        <v>75</v>
      </c>
      <c r="V150" s="492" t="s">
        <v>556</v>
      </c>
    </row>
    <row r="151" spans="1:22" x14ac:dyDescent="0.25">
      <c r="A151" s="492" t="s">
        <v>185</v>
      </c>
      <c r="B151" s="492" t="s">
        <v>204</v>
      </c>
      <c r="G151" s="492" t="s">
        <v>267</v>
      </c>
      <c r="H151" s="492" t="s">
        <v>266</v>
      </c>
      <c r="I151" s="492" t="s">
        <v>849</v>
      </c>
      <c r="J151" s="494">
        <v>0</v>
      </c>
      <c r="M151" s="492" t="s">
        <v>40</v>
      </c>
      <c r="N151" s="492" t="s">
        <v>41</v>
      </c>
      <c r="O151" s="492" t="s">
        <v>529</v>
      </c>
      <c r="P151" s="492" t="s">
        <v>529</v>
      </c>
      <c r="Q151" s="494">
        <v>67</v>
      </c>
      <c r="R151" s="494">
        <v>350</v>
      </c>
      <c r="U151" s="492" t="s">
        <v>73</v>
      </c>
      <c r="V151" s="492" t="s">
        <v>556</v>
      </c>
    </row>
    <row r="152" spans="1:22" x14ac:dyDescent="0.25">
      <c r="A152" s="492" t="s">
        <v>185</v>
      </c>
      <c r="B152" s="492" t="s">
        <v>205</v>
      </c>
      <c r="G152" s="492" t="s">
        <v>213</v>
      </c>
      <c r="H152" s="492" t="s">
        <v>212</v>
      </c>
      <c r="I152" s="492" t="s">
        <v>502</v>
      </c>
      <c r="J152" s="494">
        <v>13</v>
      </c>
      <c r="M152" s="492" t="s">
        <v>141</v>
      </c>
      <c r="N152" s="492" t="s">
        <v>142</v>
      </c>
      <c r="O152" s="492" t="s">
        <v>529</v>
      </c>
      <c r="P152" s="492" t="s">
        <v>529</v>
      </c>
      <c r="Q152" s="494">
        <v>0</v>
      </c>
      <c r="R152" s="494">
        <v>0</v>
      </c>
      <c r="U152" s="492" t="s">
        <v>40</v>
      </c>
      <c r="V152" s="492" t="s">
        <v>556</v>
      </c>
    </row>
    <row r="153" spans="1:22" x14ac:dyDescent="0.25">
      <c r="A153" s="492" t="s">
        <v>185</v>
      </c>
      <c r="B153" s="492" t="s">
        <v>207</v>
      </c>
      <c r="G153" s="492" t="s">
        <v>162</v>
      </c>
      <c r="H153" s="492" t="s">
        <v>161</v>
      </c>
      <c r="I153" s="492" t="s">
        <v>849</v>
      </c>
      <c r="J153" s="494">
        <v>0</v>
      </c>
      <c r="M153" s="492" t="s">
        <v>97</v>
      </c>
      <c r="N153" s="492" t="s">
        <v>98</v>
      </c>
      <c r="O153" s="492" t="s">
        <v>529</v>
      </c>
      <c r="P153" s="492" t="s">
        <v>529</v>
      </c>
      <c r="Q153" s="494">
        <v>0</v>
      </c>
      <c r="R153" s="494">
        <v>0</v>
      </c>
      <c r="U153" s="492" t="s">
        <v>141</v>
      </c>
      <c r="V153" s="492" t="s">
        <v>556</v>
      </c>
    </row>
    <row r="154" spans="1:22" x14ac:dyDescent="0.25">
      <c r="A154" s="492" t="s">
        <v>185</v>
      </c>
      <c r="B154" s="492" t="s">
        <v>209</v>
      </c>
      <c r="G154" s="492" t="s">
        <v>292</v>
      </c>
      <c r="H154" s="492" t="s">
        <v>291</v>
      </c>
      <c r="I154" s="492" t="s">
        <v>502</v>
      </c>
      <c r="J154" s="494">
        <v>82</v>
      </c>
      <c r="M154" s="492" t="s">
        <v>61</v>
      </c>
      <c r="N154" s="492" t="s">
        <v>62</v>
      </c>
      <c r="O154" s="492" t="s">
        <v>529</v>
      </c>
      <c r="P154" s="492" t="s">
        <v>529</v>
      </c>
      <c r="Q154" s="494">
        <v>76</v>
      </c>
      <c r="R154" s="494">
        <v>344</v>
      </c>
      <c r="U154" s="492" t="s">
        <v>97</v>
      </c>
      <c r="V154" s="492" t="s">
        <v>556</v>
      </c>
    </row>
    <row r="155" spans="1:22" x14ac:dyDescent="0.25">
      <c r="A155" s="492" t="s">
        <v>185</v>
      </c>
      <c r="B155" s="492" t="s">
        <v>211</v>
      </c>
      <c r="G155" s="492" t="s">
        <v>290</v>
      </c>
      <c r="H155" s="492" t="s">
        <v>288</v>
      </c>
      <c r="I155" s="492" t="s">
        <v>502</v>
      </c>
      <c r="J155" s="494">
        <v>68</v>
      </c>
      <c r="M155" s="492" t="s">
        <v>77</v>
      </c>
      <c r="N155" s="492" t="s">
        <v>78</v>
      </c>
      <c r="O155" s="492" t="s">
        <v>529</v>
      </c>
      <c r="P155" s="492" t="s">
        <v>529</v>
      </c>
      <c r="Q155" s="494">
        <v>0</v>
      </c>
      <c r="R155" s="494">
        <v>0</v>
      </c>
      <c r="U155" s="492" t="s">
        <v>61</v>
      </c>
      <c r="V155" s="492" t="s">
        <v>556</v>
      </c>
    </row>
    <row r="156" spans="1:22" x14ac:dyDescent="0.25">
      <c r="A156" s="492" t="s">
        <v>185</v>
      </c>
      <c r="B156" s="492" t="s">
        <v>213</v>
      </c>
      <c r="G156" s="492" t="s">
        <v>1062</v>
      </c>
      <c r="H156" s="492" t="s">
        <v>1063</v>
      </c>
      <c r="I156" s="492" t="s">
        <v>502</v>
      </c>
      <c r="J156" s="494">
        <v>41</v>
      </c>
      <c r="M156" s="492" t="s">
        <v>89</v>
      </c>
      <c r="N156" s="492" t="s">
        <v>90</v>
      </c>
      <c r="O156" s="492" t="s">
        <v>529</v>
      </c>
      <c r="P156" s="492" t="s">
        <v>529</v>
      </c>
      <c r="Q156" s="494">
        <v>25</v>
      </c>
      <c r="R156" s="494">
        <v>133</v>
      </c>
      <c r="U156" s="492" t="s">
        <v>77</v>
      </c>
      <c r="V156" s="492" t="s">
        <v>556</v>
      </c>
    </row>
    <row r="157" spans="1:22" x14ac:dyDescent="0.25">
      <c r="A157" s="492" t="s">
        <v>185</v>
      </c>
      <c r="B157" s="492" t="s">
        <v>215</v>
      </c>
      <c r="G157" s="492" t="s">
        <v>374</v>
      </c>
      <c r="H157" s="492" t="s">
        <v>295</v>
      </c>
      <c r="I157" s="492" t="s">
        <v>502</v>
      </c>
      <c r="J157" s="494">
        <v>48</v>
      </c>
      <c r="M157" s="492" t="s">
        <v>117</v>
      </c>
      <c r="N157" s="492" t="s">
        <v>118</v>
      </c>
      <c r="O157" s="492" t="s">
        <v>529</v>
      </c>
      <c r="P157" s="492" t="s">
        <v>529</v>
      </c>
      <c r="Q157" s="494">
        <v>10</v>
      </c>
      <c r="R157" s="494">
        <v>39</v>
      </c>
      <c r="U157" s="492" t="s">
        <v>89</v>
      </c>
      <c r="V157" s="492" t="s">
        <v>556</v>
      </c>
    </row>
    <row r="158" spans="1:22" x14ac:dyDescent="0.25">
      <c r="A158" s="492" t="s">
        <v>185</v>
      </c>
      <c r="B158" s="492" t="s">
        <v>217</v>
      </c>
      <c r="G158" s="492" t="s">
        <v>375</v>
      </c>
      <c r="H158" s="492" t="s">
        <v>390</v>
      </c>
      <c r="I158" s="492" t="s">
        <v>849</v>
      </c>
      <c r="J158" s="494">
        <v>0</v>
      </c>
      <c r="M158" s="492" t="s">
        <v>123</v>
      </c>
      <c r="N158" s="492" t="s">
        <v>124</v>
      </c>
      <c r="O158" s="492" t="s">
        <v>529</v>
      </c>
      <c r="P158" s="492" t="s">
        <v>529</v>
      </c>
      <c r="Q158" s="494">
        <v>8</v>
      </c>
      <c r="R158" s="494">
        <v>40</v>
      </c>
      <c r="U158" s="492" t="s">
        <v>117</v>
      </c>
      <c r="V158" s="492" t="s">
        <v>556</v>
      </c>
    </row>
    <row r="159" spans="1:22" x14ac:dyDescent="0.25">
      <c r="A159" s="492" t="s">
        <v>185</v>
      </c>
      <c r="B159" s="492" t="s">
        <v>229</v>
      </c>
      <c r="G159" s="492" t="s">
        <v>294</v>
      </c>
      <c r="H159" s="492" t="s">
        <v>293</v>
      </c>
      <c r="I159" s="492" t="s">
        <v>849</v>
      </c>
      <c r="J159" s="494">
        <v>0</v>
      </c>
      <c r="M159" s="492" t="s">
        <v>125</v>
      </c>
      <c r="N159" s="492" t="s">
        <v>126</v>
      </c>
      <c r="O159" s="492" t="s">
        <v>529</v>
      </c>
      <c r="P159" s="492" t="s">
        <v>529</v>
      </c>
      <c r="Q159" s="494">
        <v>41</v>
      </c>
      <c r="R159" s="494">
        <v>201</v>
      </c>
      <c r="U159" s="492" t="s">
        <v>123</v>
      </c>
      <c r="V159" s="492" t="s">
        <v>556</v>
      </c>
    </row>
    <row r="160" spans="1:22" x14ac:dyDescent="0.25">
      <c r="A160" s="492" t="s">
        <v>185</v>
      </c>
      <c r="B160" s="492" t="s">
        <v>219</v>
      </c>
      <c r="G160" s="492" t="s">
        <v>361</v>
      </c>
      <c r="H160" s="492" t="s">
        <v>843</v>
      </c>
      <c r="I160" s="492" t="s">
        <v>849</v>
      </c>
      <c r="J160" s="494"/>
      <c r="M160" s="492" t="s">
        <v>63</v>
      </c>
      <c r="N160" s="492" t="s">
        <v>64</v>
      </c>
      <c r="O160" s="492" t="s">
        <v>529</v>
      </c>
      <c r="P160" s="492" t="s">
        <v>529</v>
      </c>
      <c r="Q160" s="494">
        <v>0</v>
      </c>
      <c r="R160" s="494">
        <v>0</v>
      </c>
      <c r="U160" s="492" t="s">
        <v>125</v>
      </c>
      <c r="V160" s="492" t="s">
        <v>556</v>
      </c>
    </row>
    <row r="161" spans="1:22" x14ac:dyDescent="0.25">
      <c r="A161" s="492" t="s">
        <v>185</v>
      </c>
      <c r="B161" s="492" t="s">
        <v>221</v>
      </c>
      <c r="G161" s="492" t="s">
        <v>171</v>
      </c>
      <c r="H161" s="492" t="s">
        <v>170</v>
      </c>
      <c r="I161" s="492" t="s">
        <v>502</v>
      </c>
      <c r="J161" s="494">
        <v>6</v>
      </c>
      <c r="M161" s="492" t="s">
        <v>81</v>
      </c>
      <c r="N161" s="492" t="s">
        <v>82</v>
      </c>
      <c r="O161" s="492" t="s">
        <v>529</v>
      </c>
      <c r="P161" s="492" t="s">
        <v>529</v>
      </c>
      <c r="Q161" s="494">
        <v>0</v>
      </c>
      <c r="R161" s="494">
        <v>0</v>
      </c>
      <c r="U161" s="492" t="s">
        <v>63</v>
      </c>
      <c r="V161" s="492" t="s">
        <v>556</v>
      </c>
    </row>
    <row r="162" spans="1:22" x14ac:dyDescent="0.25">
      <c r="A162" s="492" t="s">
        <v>185</v>
      </c>
      <c r="B162" s="492" t="s">
        <v>225</v>
      </c>
      <c r="G162" s="492" t="s">
        <v>149</v>
      </c>
      <c r="H162" s="492" t="s">
        <v>148</v>
      </c>
      <c r="I162" s="492" t="s">
        <v>502</v>
      </c>
      <c r="J162" s="494">
        <v>71</v>
      </c>
      <c r="M162" s="492" t="s">
        <v>57</v>
      </c>
      <c r="N162" s="492" t="s">
        <v>58</v>
      </c>
      <c r="O162" s="492" t="s">
        <v>529</v>
      </c>
      <c r="P162" s="492" t="s">
        <v>529</v>
      </c>
      <c r="Q162" s="494">
        <v>0</v>
      </c>
      <c r="R162" s="494">
        <v>0</v>
      </c>
      <c r="U162" s="492" t="s">
        <v>81</v>
      </c>
      <c r="V162" s="492" t="s">
        <v>556</v>
      </c>
    </row>
    <row r="163" spans="1:22" x14ac:dyDescent="0.25">
      <c r="A163" s="492" t="s">
        <v>185</v>
      </c>
      <c r="B163" s="492" t="s">
        <v>227</v>
      </c>
      <c r="G163" s="492" t="s">
        <v>871</v>
      </c>
      <c r="H163" s="492" t="s">
        <v>522</v>
      </c>
      <c r="I163" s="492" t="s">
        <v>849</v>
      </c>
      <c r="J163" s="494">
        <v>0</v>
      </c>
      <c r="M163" s="492" t="s">
        <v>55</v>
      </c>
      <c r="N163" s="492" t="s">
        <v>56</v>
      </c>
      <c r="O163" s="492" t="s">
        <v>529</v>
      </c>
      <c r="P163" s="492" t="s">
        <v>529</v>
      </c>
      <c r="Q163" s="494">
        <v>0</v>
      </c>
      <c r="R163" s="494">
        <v>0</v>
      </c>
      <c r="U163" s="492" t="s">
        <v>57</v>
      </c>
      <c r="V163" s="492" t="s">
        <v>556</v>
      </c>
    </row>
    <row r="164" spans="1:22" x14ac:dyDescent="0.25">
      <c r="A164" s="492" t="s">
        <v>185</v>
      </c>
      <c r="B164" s="492" t="s">
        <v>1347</v>
      </c>
      <c r="G164" s="492" t="s">
        <v>872</v>
      </c>
      <c r="H164" s="492" t="s">
        <v>873</v>
      </c>
      <c r="I164" s="492" t="s">
        <v>849</v>
      </c>
      <c r="J164" s="494">
        <v>0</v>
      </c>
      <c r="M164" s="492" t="s">
        <v>42</v>
      </c>
      <c r="N164" s="492" t="s">
        <v>43</v>
      </c>
      <c r="O164" s="492" t="s">
        <v>529</v>
      </c>
      <c r="P164" s="492" t="s">
        <v>529</v>
      </c>
      <c r="Q164" s="494">
        <v>14</v>
      </c>
      <c r="R164" s="494">
        <v>83</v>
      </c>
      <c r="U164" s="492" t="s">
        <v>55</v>
      </c>
      <c r="V164" s="492" t="s">
        <v>556</v>
      </c>
    </row>
    <row r="165" spans="1:22" x14ac:dyDescent="0.25">
      <c r="A165" s="492" t="s">
        <v>230</v>
      </c>
      <c r="B165" s="492" t="s">
        <v>169</v>
      </c>
      <c r="G165" s="492" t="s">
        <v>164</v>
      </c>
      <c r="H165" s="492" t="s">
        <v>163</v>
      </c>
      <c r="I165" s="492" t="s">
        <v>849</v>
      </c>
      <c r="J165" s="494">
        <v>0</v>
      </c>
      <c r="M165" s="492" t="s">
        <v>45</v>
      </c>
      <c r="N165" s="492" t="s">
        <v>44</v>
      </c>
      <c r="O165" s="492" t="s">
        <v>529</v>
      </c>
      <c r="P165" s="492" t="s">
        <v>529</v>
      </c>
      <c r="Q165" s="494">
        <v>13</v>
      </c>
      <c r="R165" s="494">
        <v>75</v>
      </c>
      <c r="U165" s="492" t="s">
        <v>42</v>
      </c>
      <c r="V165" s="492" t="s">
        <v>556</v>
      </c>
    </row>
    <row r="166" spans="1:22" x14ac:dyDescent="0.25">
      <c r="A166" s="492" t="s">
        <v>230</v>
      </c>
      <c r="B166" s="492" t="s">
        <v>231</v>
      </c>
      <c r="G166" s="492" t="s">
        <v>613</v>
      </c>
      <c r="H166" s="492" t="s">
        <v>46</v>
      </c>
      <c r="I166" s="492" t="s">
        <v>502</v>
      </c>
      <c r="J166" s="494">
        <v>17</v>
      </c>
      <c r="M166" s="492" t="s">
        <v>46</v>
      </c>
      <c r="N166" s="492" t="s">
        <v>613</v>
      </c>
      <c r="O166" s="492" t="s">
        <v>529</v>
      </c>
      <c r="P166" s="492" t="s">
        <v>529</v>
      </c>
      <c r="Q166" s="494">
        <v>17</v>
      </c>
      <c r="R166" s="494">
        <v>64</v>
      </c>
      <c r="U166" s="492" t="s">
        <v>45</v>
      </c>
      <c r="V166" s="492" t="s">
        <v>556</v>
      </c>
    </row>
    <row r="167" spans="1:22" x14ac:dyDescent="0.25">
      <c r="A167" s="492" t="s">
        <v>230</v>
      </c>
      <c r="B167" s="492" t="s">
        <v>233</v>
      </c>
      <c r="G167" s="492" t="s">
        <v>1295</v>
      </c>
      <c r="H167" s="492" t="s">
        <v>1277</v>
      </c>
      <c r="I167" s="492" t="s">
        <v>502</v>
      </c>
      <c r="J167" s="494">
        <v>44</v>
      </c>
      <c r="M167" s="492" t="s">
        <v>376</v>
      </c>
      <c r="N167" s="492" t="s">
        <v>366</v>
      </c>
      <c r="O167" s="492" t="s">
        <v>5</v>
      </c>
      <c r="P167" s="492" t="s">
        <v>5</v>
      </c>
      <c r="Q167" s="494">
        <v>157</v>
      </c>
      <c r="R167" s="494">
        <v>761</v>
      </c>
      <c r="U167" s="492" t="s">
        <v>46</v>
      </c>
      <c r="V167" s="492" t="s">
        <v>556</v>
      </c>
    </row>
    <row r="168" spans="1:22" x14ac:dyDescent="0.25">
      <c r="A168" s="492" t="s">
        <v>230</v>
      </c>
      <c r="B168" s="492" t="s">
        <v>235</v>
      </c>
      <c r="G168" s="492" t="s">
        <v>827</v>
      </c>
      <c r="H168" s="492" t="s">
        <v>297</v>
      </c>
      <c r="I168" s="492" t="s">
        <v>502</v>
      </c>
      <c r="J168" s="494">
        <v>10</v>
      </c>
      <c r="M168" s="492" t="s">
        <v>377</v>
      </c>
      <c r="N168" s="492" t="s">
        <v>514</v>
      </c>
      <c r="O168" s="492" t="s">
        <v>5</v>
      </c>
      <c r="P168" s="492" t="s">
        <v>5</v>
      </c>
      <c r="Q168" s="494">
        <v>12</v>
      </c>
      <c r="R168" s="494">
        <v>52</v>
      </c>
      <c r="U168" s="492" t="s">
        <v>376</v>
      </c>
      <c r="V168" s="492" t="s">
        <v>556</v>
      </c>
    </row>
    <row r="169" spans="1:22" x14ac:dyDescent="0.25">
      <c r="A169" s="492" t="s">
        <v>230</v>
      </c>
      <c r="B169" s="492" t="s">
        <v>361</v>
      </c>
      <c r="G169" s="492" t="s">
        <v>595</v>
      </c>
      <c r="H169" s="492" t="s">
        <v>830</v>
      </c>
      <c r="I169" s="492" t="s">
        <v>502</v>
      </c>
      <c r="J169" s="494">
        <v>118</v>
      </c>
      <c r="M169" s="492" t="s">
        <v>378</v>
      </c>
      <c r="N169" s="492" t="s">
        <v>365</v>
      </c>
      <c r="O169" s="492" t="s">
        <v>27</v>
      </c>
      <c r="P169" s="492" t="s">
        <v>27</v>
      </c>
      <c r="Q169" s="494">
        <v>144</v>
      </c>
      <c r="R169" s="494">
        <v>645</v>
      </c>
      <c r="U169" s="492" t="s">
        <v>377</v>
      </c>
      <c r="V169" s="492" t="s">
        <v>556</v>
      </c>
    </row>
    <row r="170" spans="1:22" x14ac:dyDescent="0.25">
      <c r="A170" s="492" t="s">
        <v>230</v>
      </c>
      <c r="B170" s="492" t="s">
        <v>171</v>
      </c>
      <c r="G170" s="492" t="s">
        <v>1074</v>
      </c>
      <c r="H170" s="492" t="s">
        <v>1067</v>
      </c>
      <c r="I170" s="492" t="s">
        <v>502</v>
      </c>
      <c r="J170" s="494">
        <v>141</v>
      </c>
      <c r="M170" s="492" t="s">
        <v>391</v>
      </c>
      <c r="N170" s="492" t="s">
        <v>12</v>
      </c>
      <c r="O170" s="492" t="s">
        <v>151</v>
      </c>
      <c r="P170" s="492" t="s">
        <v>151</v>
      </c>
      <c r="Q170" s="494">
        <v>76</v>
      </c>
      <c r="R170" s="494">
        <v>256</v>
      </c>
      <c r="U170" s="492" t="s">
        <v>378</v>
      </c>
      <c r="V170" s="492" t="s">
        <v>556</v>
      </c>
    </row>
    <row r="171" spans="1:22" x14ac:dyDescent="0.25">
      <c r="A171" s="492" t="s">
        <v>230</v>
      </c>
      <c r="B171" s="492" t="s">
        <v>1060</v>
      </c>
      <c r="G171" s="492" t="s">
        <v>271</v>
      </c>
      <c r="H171" s="492" t="s">
        <v>270</v>
      </c>
      <c r="I171" s="492" t="s">
        <v>502</v>
      </c>
      <c r="J171" s="494">
        <v>69</v>
      </c>
      <c r="M171" s="492" t="s">
        <v>392</v>
      </c>
      <c r="N171" s="492" t="s">
        <v>12</v>
      </c>
      <c r="O171" s="492" t="s">
        <v>185</v>
      </c>
      <c r="P171" s="492" t="s">
        <v>185</v>
      </c>
      <c r="Q171" s="494">
        <v>320</v>
      </c>
      <c r="R171" s="494">
        <v>1125</v>
      </c>
      <c r="U171" s="492" t="s">
        <v>391</v>
      </c>
      <c r="V171" s="492" t="s">
        <v>12</v>
      </c>
    </row>
    <row r="172" spans="1:22" x14ac:dyDescent="0.25">
      <c r="A172" s="492" t="s">
        <v>230</v>
      </c>
      <c r="B172" s="492" t="s">
        <v>1070</v>
      </c>
      <c r="G172" s="492" t="s">
        <v>20</v>
      </c>
      <c r="H172" s="492" t="s">
        <v>19</v>
      </c>
      <c r="I172" s="492" t="s">
        <v>502</v>
      </c>
      <c r="J172" s="494">
        <v>20</v>
      </c>
      <c r="M172" s="492" t="s">
        <v>393</v>
      </c>
      <c r="N172" s="492" t="s">
        <v>205</v>
      </c>
      <c r="O172" s="492" t="s">
        <v>185</v>
      </c>
      <c r="P172" s="492" t="s">
        <v>185</v>
      </c>
      <c r="Q172" s="494"/>
      <c r="R172" s="494"/>
      <c r="U172" s="492" t="s">
        <v>392</v>
      </c>
      <c r="V172" s="492" t="s">
        <v>12</v>
      </c>
    </row>
    <row r="173" spans="1:22" x14ac:dyDescent="0.25">
      <c r="A173" s="492" t="s">
        <v>237</v>
      </c>
      <c r="B173" s="492" t="s">
        <v>243</v>
      </c>
      <c r="G173" s="492" t="s">
        <v>108</v>
      </c>
      <c r="H173" s="492" t="s">
        <v>107</v>
      </c>
      <c r="I173" s="492" t="s">
        <v>502</v>
      </c>
      <c r="J173" s="494">
        <v>54</v>
      </c>
      <c r="M173" s="492" t="s">
        <v>394</v>
      </c>
      <c r="N173" s="492" t="s">
        <v>12</v>
      </c>
      <c r="O173" s="492" t="s">
        <v>1195</v>
      </c>
      <c r="P173" s="492" t="s">
        <v>302</v>
      </c>
      <c r="Q173" s="494">
        <v>9</v>
      </c>
      <c r="R173" s="494">
        <v>30</v>
      </c>
      <c r="U173" s="492" t="s">
        <v>393</v>
      </c>
      <c r="V173" s="492" t="s">
        <v>12</v>
      </c>
    </row>
    <row r="174" spans="1:22" x14ac:dyDescent="0.25">
      <c r="A174" s="492" t="s">
        <v>237</v>
      </c>
      <c r="B174" s="492" t="s">
        <v>245</v>
      </c>
      <c r="G174" s="492" t="s">
        <v>183</v>
      </c>
      <c r="H174" s="492" t="s">
        <v>182</v>
      </c>
      <c r="I174" s="492" t="s">
        <v>849</v>
      </c>
      <c r="J174" s="494">
        <v>0</v>
      </c>
      <c r="M174" s="492" t="s">
        <v>524</v>
      </c>
      <c r="N174" s="492" t="s">
        <v>523</v>
      </c>
      <c r="O174" s="492" t="s">
        <v>185</v>
      </c>
      <c r="P174" s="492" t="s">
        <v>185</v>
      </c>
      <c r="Q174" s="494">
        <v>4</v>
      </c>
      <c r="R174" s="494">
        <v>26</v>
      </c>
      <c r="U174" s="492" t="s">
        <v>394</v>
      </c>
      <c r="V174" s="492" t="s">
        <v>12</v>
      </c>
    </row>
    <row r="175" spans="1:22" x14ac:dyDescent="0.25">
      <c r="A175" s="492" t="s">
        <v>237</v>
      </c>
      <c r="B175" s="492" t="s">
        <v>247</v>
      </c>
      <c r="G175" s="492" t="s">
        <v>596</v>
      </c>
      <c r="H175" s="492" t="s">
        <v>844</v>
      </c>
      <c r="I175" s="492" t="s">
        <v>502</v>
      </c>
      <c r="J175" s="494">
        <v>67</v>
      </c>
      <c r="M175" s="492" t="s">
        <v>517</v>
      </c>
      <c r="N175" s="492" t="s">
        <v>516</v>
      </c>
      <c r="O175" s="492" t="s">
        <v>529</v>
      </c>
      <c r="P175" s="492" t="s">
        <v>529</v>
      </c>
      <c r="Q175" s="494">
        <v>0</v>
      </c>
      <c r="R175" s="494">
        <v>0</v>
      </c>
      <c r="U175" s="492" t="s">
        <v>524</v>
      </c>
      <c r="V175" s="492" t="s">
        <v>12</v>
      </c>
    </row>
    <row r="176" spans="1:22" x14ac:dyDescent="0.25">
      <c r="A176" s="492" t="s">
        <v>237</v>
      </c>
      <c r="B176" s="492" t="s">
        <v>253</v>
      </c>
      <c r="G176" s="492" t="s">
        <v>178</v>
      </c>
      <c r="H176" s="492" t="s">
        <v>177</v>
      </c>
      <c r="I176" s="492" t="s">
        <v>502</v>
      </c>
      <c r="J176" s="494">
        <v>14</v>
      </c>
      <c r="M176" s="492" t="s">
        <v>519</v>
      </c>
      <c r="N176" s="492" t="s">
        <v>518</v>
      </c>
      <c r="O176" s="492" t="s">
        <v>151</v>
      </c>
      <c r="P176" s="492" t="s">
        <v>151</v>
      </c>
      <c r="Q176" s="494">
        <v>0</v>
      </c>
      <c r="R176" s="494">
        <v>0</v>
      </c>
      <c r="U176" s="492" t="s">
        <v>517</v>
      </c>
      <c r="V176" s="492" t="s">
        <v>556</v>
      </c>
    </row>
    <row r="177" spans="1:22" x14ac:dyDescent="0.25">
      <c r="A177" s="492" t="s">
        <v>237</v>
      </c>
      <c r="B177" s="492" t="s">
        <v>255</v>
      </c>
      <c r="G177" s="492" t="s">
        <v>897</v>
      </c>
      <c r="H177" s="492" t="s">
        <v>898</v>
      </c>
      <c r="I177" s="492" t="s">
        <v>849</v>
      </c>
      <c r="J177" s="494">
        <v>0</v>
      </c>
      <c r="M177" s="492" t="s">
        <v>521</v>
      </c>
      <c r="N177" s="492" t="s">
        <v>520</v>
      </c>
      <c r="O177" s="492" t="s">
        <v>151</v>
      </c>
      <c r="P177" s="492" t="s">
        <v>151</v>
      </c>
      <c r="Q177" s="494">
        <v>0</v>
      </c>
      <c r="R177" s="494">
        <v>0</v>
      </c>
      <c r="U177" s="492" t="s">
        <v>519</v>
      </c>
      <c r="V177" s="492" t="s">
        <v>556</v>
      </c>
    </row>
    <row r="178" spans="1:22" x14ac:dyDescent="0.25">
      <c r="A178" s="492" t="s">
        <v>237</v>
      </c>
      <c r="B178" s="492" t="s">
        <v>257</v>
      </c>
      <c r="G178" s="492" t="s">
        <v>344</v>
      </c>
      <c r="H178" s="492" t="s">
        <v>343</v>
      </c>
      <c r="I178" s="492" t="s">
        <v>502</v>
      </c>
      <c r="J178" s="494">
        <v>18</v>
      </c>
      <c r="M178" s="492" t="s">
        <v>522</v>
      </c>
      <c r="N178" s="492" t="s">
        <v>871</v>
      </c>
      <c r="O178" s="492" t="s">
        <v>151</v>
      </c>
      <c r="P178" s="492" t="s">
        <v>151</v>
      </c>
      <c r="Q178" s="494">
        <v>0</v>
      </c>
      <c r="R178" s="494">
        <v>0</v>
      </c>
      <c r="U178" s="492" t="s">
        <v>521</v>
      </c>
      <c r="V178" s="492" t="s">
        <v>556</v>
      </c>
    </row>
    <row r="179" spans="1:22" x14ac:dyDescent="0.25">
      <c r="A179" s="492" t="s">
        <v>237</v>
      </c>
      <c r="B179" s="492" t="s">
        <v>240</v>
      </c>
      <c r="G179" s="492" t="s">
        <v>287</v>
      </c>
      <c r="H179" s="492" t="s">
        <v>286</v>
      </c>
      <c r="I179" s="492" t="s">
        <v>502</v>
      </c>
      <c r="J179" s="494">
        <v>18</v>
      </c>
      <c r="M179" s="492" t="s">
        <v>817</v>
      </c>
      <c r="N179" s="492" t="s">
        <v>813</v>
      </c>
      <c r="O179" s="492" t="s">
        <v>1195</v>
      </c>
      <c r="P179" s="492" t="s">
        <v>813</v>
      </c>
      <c r="Q179" s="494">
        <v>5</v>
      </c>
      <c r="R179" s="494">
        <v>32</v>
      </c>
      <c r="U179" s="492" t="s">
        <v>522</v>
      </c>
      <c r="V179" s="492" t="s">
        <v>556</v>
      </c>
    </row>
    <row r="180" spans="1:22" x14ac:dyDescent="0.25">
      <c r="A180" s="492" t="s">
        <v>237</v>
      </c>
      <c r="B180" s="492" t="s">
        <v>285</v>
      </c>
      <c r="G180" s="492" t="s">
        <v>1261</v>
      </c>
      <c r="H180" s="492" t="s">
        <v>360</v>
      </c>
      <c r="I180" s="492" t="s">
        <v>849</v>
      </c>
      <c r="J180" s="494">
        <v>0</v>
      </c>
      <c r="M180" s="492" t="s">
        <v>819</v>
      </c>
      <c r="N180" s="492" t="s">
        <v>818</v>
      </c>
      <c r="O180" s="492" t="s">
        <v>310</v>
      </c>
      <c r="P180" s="492" t="s">
        <v>310</v>
      </c>
      <c r="Q180" s="494"/>
      <c r="R180" s="494">
        <v>1047</v>
      </c>
      <c r="U180" s="492" t="s">
        <v>817</v>
      </c>
      <c r="V180" s="492" t="s">
        <v>556</v>
      </c>
    </row>
    <row r="181" spans="1:22" x14ac:dyDescent="0.25">
      <c r="A181" s="492" t="s">
        <v>237</v>
      </c>
      <c r="B181" s="492" t="s">
        <v>259</v>
      </c>
      <c r="G181" s="492" t="s">
        <v>1320</v>
      </c>
      <c r="H181" s="492" t="s">
        <v>1321</v>
      </c>
      <c r="I181" s="492" t="s">
        <v>502</v>
      </c>
      <c r="J181" s="494">
        <v>161</v>
      </c>
      <c r="M181" s="492" t="s">
        <v>873</v>
      </c>
      <c r="N181" s="492" t="s">
        <v>872</v>
      </c>
      <c r="O181" s="492" t="s">
        <v>151</v>
      </c>
      <c r="P181" s="492" t="s">
        <v>151</v>
      </c>
      <c r="Q181" s="494">
        <v>0</v>
      </c>
      <c r="R181" s="494">
        <v>0</v>
      </c>
      <c r="U181" s="492" t="s">
        <v>819</v>
      </c>
      <c r="V181" s="492" t="s">
        <v>993</v>
      </c>
    </row>
    <row r="182" spans="1:22" x14ac:dyDescent="0.25">
      <c r="A182" s="492" t="s">
        <v>237</v>
      </c>
      <c r="B182" s="492" t="s">
        <v>261</v>
      </c>
      <c r="G182" s="492" t="s">
        <v>1350</v>
      </c>
      <c r="H182" s="492" t="s">
        <v>1351</v>
      </c>
      <c r="I182" s="492" t="s">
        <v>502</v>
      </c>
      <c r="J182" s="494">
        <v>105</v>
      </c>
      <c r="M182" s="492" t="s">
        <v>869</v>
      </c>
      <c r="N182" s="492" t="s">
        <v>870</v>
      </c>
      <c r="O182" s="492" t="s">
        <v>27</v>
      </c>
      <c r="P182" s="492" t="s">
        <v>27</v>
      </c>
      <c r="Q182" s="494">
        <v>65</v>
      </c>
      <c r="R182" s="494">
        <v>306</v>
      </c>
      <c r="U182" s="492" t="s">
        <v>873</v>
      </c>
      <c r="V182" s="492" t="s">
        <v>556</v>
      </c>
    </row>
    <row r="183" spans="1:22" x14ac:dyDescent="0.25">
      <c r="A183" s="492" t="s">
        <v>237</v>
      </c>
      <c r="B183" s="492" t="s">
        <v>263</v>
      </c>
      <c r="G183" s="492" t="s">
        <v>110</v>
      </c>
      <c r="H183" s="492" t="s">
        <v>109</v>
      </c>
      <c r="I183" s="492" t="s">
        <v>849</v>
      </c>
      <c r="J183" s="494">
        <v>0</v>
      </c>
      <c r="M183" s="492" t="s">
        <v>861</v>
      </c>
      <c r="N183" s="492" t="s">
        <v>875</v>
      </c>
      <c r="O183" s="492" t="s">
        <v>5</v>
      </c>
      <c r="P183" s="492" t="s">
        <v>5</v>
      </c>
      <c r="Q183" s="494">
        <v>0</v>
      </c>
      <c r="R183" s="494">
        <v>0</v>
      </c>
      <c r="U183" s="492" t="s">
        <v>869</v>
      </c>
      <c r="V183" s="492" t="s">
        <v>556</v>
      </c>
    </row>
    <row r="184" spans="1:22" x14ac:dyDescent="0.25">
      <c r="A184" s="492" t="s">
        <v>237</v>
      </c>
      <c r="B184" s="492" t="s">
        <v>265</v>
      </c>
      <c r="G184" s="492" t="s">
        <v>112</v>
      </c>
      <c r="H184" s="492" t="s">
        <v>111</v>
      </c>
      <c r="I184" s="492" t="s">
        <v>849</v>
      </c>
      <c r="J184" s="494">
        <v>0</v>
      </c>
      <c r="M184" s="492" t="s">
        <v>876</v>
      </c>
      <c r="N184" s="492" t="s">
        <v>882</v>
      </c>
      <c r="O184" s="492" t="s">
        <v>151</v>
      </c>
      <c r="P184" s="492" t="s">
        <v>151</v>
      </c>
      <c r="Q184" s="494">
        <v>0</v>
      </c>
      <c r="R184" s="494">
        <v>0</v>
      </c>
      <c r="U184" s="492" t="s">
        <v>861</v>
      </c>
      <c r="V184" s="492" t="s">
        <v>556</v>
      </c>
    </row>
    <row r="185" spans="1:22" x14ac:dyDescent="0.25">
      <c r="A185" s="492" t="s">
        <v>237</v>
      </c>
      <c r="B185" s="492" t="s">
        <v>267</v>
      </c>
      <c r="G185" s="492" t="s">
        <v>215</v>
      </c>
      <c r="H185" s="492" t="s">
        <v>214</v>
      </c>
      <c r="I185" s="492" t="s">
        <v>502</v>
      </c>
      <c r="J185" s="494">
        <v>375</v>
      </c>
      <c r="M185" s="492" t="s">
        <v>880</v>
      </c>
      <c r="N185" s="492" t="s">
        <v>881</v>
      </c>
      <c r="O185" s="492" t="s">
        <v>151</v>
      </c>
      <c r="P185" s="492" t="s">
        <v>151</v>
      </c>
      <c r="Q185" s="494">
        <v>0</v>
      </c>
      <c r="R185" s="494">
        <v>0</v>
      </c>
      <c r="U185" s="492" t="s">
        <v>876</v>
      </c>
      <c r="V185" s="492" t="s">
        <v>556</v>
      </c>
    </row>
    <row r="186" spans="1:22" x14ac:dyDescent="0.25">
      <c r="A186" s="492" t="s">
        <v>237</v>
      </c>
      <c r="B186" s="492" t="s">
        <v>271</v>
      </c>
      <c r="G186" s="492" t="s">
        <v>217</v>
      </c>
      <c r="H186" s="492" t="s">
        <v>216</v>
      </c>
      <c r="I186" s="492" t="s">
        <v>502</v>
      </c>
      <c r="J186" s="494">
        <v>24</v>
      </c>
      <c r="M186" s="492" t="s">
        <v>885</v>
      </c>
      <c r="N186" s="492" t="s">
        <v>884</v>
      </c>
      <c r="O186" s="492" t="s">
        <v>151</v>
      </c>
      <c r="P186" s="492" t="s">
        <v>151</v>
      </c>
      <c r="Q186" s="494">
        <v>0</v>
      </c>
      <c r="R186" s="494">
        <v>0</v>
      </c>
      <c r="U186" s="492" t="s">
        <v>880</v>
      </c>
      <c r="V186" s="492" t="s">
        <v>556</v>
      </c>
    </row>
    <row r="187" spans="1:22" x14ac:dyDescent="0.25">
      <c r="A187" s="492" t="s">
        <v>237</v>
      </c>
      <c r="B187" s="492" t="s">
        <v>269</v>
      </c>
      <c r="G187" s="492" t="s">
        <v>269</v>
      </c>
      <c r="H187" s="492" t="s">
        <v>268</v>
      </c>
      <c r="I187" s="492" t="s">
        <v>502</v>
      </c>
      <c r="J187" s="494">
        <v>57</v>
      </c>
      <c r="M187" s="492" t="s">
        <v>886</v>
      </c>
      <c r="N187" s="492" t="s">
        <v>888</v>
      </c>
      <c r="O187" s="492" t="s">
        <v>151</v>
      </c>
      <c r="P187" s="492" t="s">
        <v>151</v>
      </c>
      <c r="Q187" s="494">
        <v>0</v>
      </c>
      <c r="R187" s="494">
        <v>0</v>
      </c>
      <c r="U187" s="492" t="s">
        <v>885</v>
      </c>
      <c r="V187" s="492" t="s">
        <v>556</v>
      </c>
    </row>
    <row r="188" spans="1:22" x14ac:dyDescent="0.25">
      <c r="A188" s="492" t="s">
        <v>237</v>
      </c>
      <c r="B188" s="492" t="s">
        <v>273</v>
      </c>
      <c r="G188" s="492" t="s">
        <v>229</v>
      </c>
      <c r="H188" s="492" t="s">
        <v>228</v>
      </c>
      <c r="I188" s="492" t="s">
        <v>502</v>
      </c>
      <c r="J188" s="494">
        <v>50</v>
      </c>
      <c r="M188" s="492" t="s">
        <v>887</v>
      </c>
      <c r="N188" s="492" t="s">
        <v>883</v>
      </c>
      <c r="O188" s="492" t="s">
        <v>151</v>
      </c>
      <c r="P188" s="492" t="s">
        <v>151</v>
      </c>
      <c r="Q188" s="494">
        <v>0</v>
      </c>
      <c r="R188" s="494">
        <v>0</v>
      </c>
      <c r="U188" s="492" t="s">
        <v>886</v>
      </c>
      <c r="V188" s="492" t="s">
        <v>556</v>
      </c>
    </row>
    <row r="189" spans="1:22" x14ac:dyDescent="0.25">
      <c r="A189" s="492" t="s">
        <v>237</v>
      </c>
      <c r="B189" s="492" t="s">
        <v>277</v>
      </c>
      <c r="G189" s="492" t="s">
        <v>273</v>
      </c>
      <c r="H189" s="492" t="s">
        <v>272</v>
      </c>
      <c r="I189" s="492" t="s">
        <v>502</v>
      </c>
      <c r="J189" s="494">
        <v>45</v>
      </c>
      <c r="M189" s="492" t="s">
        <v>889</v>
      </c>
      <c r="N189" s="492" t="s">
        <v>890</v>
      </c>
      <c r="O189" s="492" t="s">
        <v>151</v>
      </c>
      <c r="P189" s="492" t="s">
        <v>151</v>
      </c>
      <c r="Q189" s="494">
        <v>0</v>
      </c>
      <c r="R189" s="494">
        <v>0</v>
      </c>
      <c r="U189" s="492" t="s">
        <v>887</v>
      </c>
      <c r="V189" s="492" t="s">
        <v>12</v>
      </c>
    </row>
    <row r="190" spans="1:22" x14ac:dyDescent="0.25">
      <c r="A190" s="492" t="s">
        <v>237</v>
      </c>
      <c r="B190" s="492" t="s">
        <v>279</v>
      </c>
      <c r="G190" s="492" t="s">
        <v>219</v>
      </c>
      <c r="H190" s="492" t="s">
        <v>218</v>
      </c>
      <c r="I190" s="492" t="s">
        <v>502</v>
      </c>
      <c r="J190" s="494">
        <v>677</v>
      </c>
      <c r="M190" s="492" t="s">
        <v>892</v>
      </c>
      <c r="N190" s="492" t="s">
        <v>891</v>
      </c>
      <c r="O190" s="492" t="s">
        <v>151</v>
      </c>
      <c r="P190" s="492" t="s">
        <v>151</v>
      </c>
      <c r="Q190" s="494">
        <v>372</v>
      </c>
      <c r="R190" s="494">
        <v>1443</v>
      </c>
      <c r="U190" s="492" t="s">
        <v>889</v>
      </c>
      <c r="V190" s="492" t="s">
        <v>862</v>
      </c>
    </row>
    <row r="191" spans="1:22" x14ac:dyDescent="0.25">
      <c r="A191" s="492" t="s">
        <v>237</v>
      </c>
      <c r="B191" s="492" t="s">
        <v>281</v>
      </c>
      <c r="G191" s="492" t="s">
        <v>1257</v>
      </c>
      <c r="H191" s="492" t="s">
        <v>345</v>
      </c>
      <c r="I191" s="492" t="s">
        <v>502</v>
      </c>
      <c r="J191" s="494">
        <v>191</v>
      </c>
      <c r="M191" s="492" t="s">
        <v>894</v>
      </c>
      <c r="N191" s="492" t="s">
        <v>893</v>
      </c>
      <c r="O191" s="492" t="s">
        <v>151</v>
      </c>
      <c r="P191" s="492" t="s">
        <v>151</v>
      </c>
      <c r="Q191" s="494">
        <v>0</v>
      </c>
      <c r="R191" s="494">
        <v>0</v>
      </c>
      <c r="U191" s="492" t="s">
        <v>892</v>
      </c>
      <c r="V191" s="492" t="s">
        <v>556</v>
      </c>
    </row>
    <row r="192" spans="1:22" x14ac:dyDescent="0.25">
      <c r="A192" s="492" t="s">
        <v>237</v>
      </c>
      <c r="B192" s="492" t="s">
        <v>238</v>
      </c>
      <c r="G192" s="492" t="s">
        <v>870</v>
      </c>
      <c r="H192" s="492" t="s">
        <v>869</v>
      </c>
      <c r="I192" s="492" t="s">
        <v>502</v>
      </c>
      <c r="J192" s="494">
        <v>65</v>
      </c>
      <c r="M192" s="492" t="s">
        <v>898</v>
      </c>
      <c r="N192" s="492" t="s">
        <v>897</v>
      </c>
      <c r="O192" s="492" t="s">
        <v>1195</v>
      </c>
      <c r="P192" s="492" t="s">
        <v>300</v>
      </c>
      <c r="Q192" s="494">
        <v>0</v>
      </c>
      <c r="R192" s="494">
        <v>0</v>
      </c>
      <c r="U192" s="492" t="s">
        <v>894</v>
      </c>
      <c r="V192" s="492" t="s">
        <v>556</v>
      </c>
    </row>
    <row r="193" spans="1:22" x14ac:dyDescent="0.25">
      <c r="A193" s="492" t="s">
        <v>237</v>
      </c>
      <c r="B193" s="492" t="s">
        <v>249</v>
      </c>
      <c r="G193" s="492" t="s">
        <v>114</v>
      </c>
      <c r="H193" s="492" t="s">
        <v>113</v>
      </c>
      <c r="I193" s="492" t="s">
        <v>849</v>
      </c>
      <c r="J193" s="494">
        <v>0</v>
      </c>
      <c r="M193" s="492" t="s">
        <v>902</v>
      </c>
      <c r="N193" s="492" t="s">
        <v>901</v>
      </c>
      <c r="O193" s="492" t="s">
        <v>1195</v>
      </c>
      <c r="P193" s="492" t="s">
        <v>899</v>
      </c>
      <c r="Q193" s="494">
        <v>0</v>
      </c>
      <c r="R193" s="494">
        <v>0</v>
      </c>
      <c r="U193" s="492" t="s">
        <v>898</v>
      </c>
      <c r="V193" s="492" t="s">
        <v>556</v>
      </c>
    </row>
    <row r="194" spans="1:22" x14ac:dyDescent="0.25">
      <c r="A194" s="492" t="s">
        <v>237</v>
      </c>
      <c r="B194" s="492" t="s">
        <v>251</v>
      </c>
      <c r="G194" s="492" t="s">
        <v>366</v>
      </c>
      <c r="H194" s="492" t="s">
        <v>376</v>
      </c>
      <c r="I194" s="492" t="s">
        <v>502</v>
      </c>
      <c r="J194" s="494">
        <v>157</v>
      </c>
      <c r="M194" s="492" t="s">
        <v>903</v>
      </c>
      <c r="N194" s="492" t="s">
        <v>904</v>
      </c>
      <c r="O194" s="492" t="s">
        <v>5</v>
      </c>
      <c r="P194" s="492" t="s">
        <v>5</v>
      </c>
      <c r="Q194" s="494">
        <v>0</v>
      </c>
      <c r="R194" s="494">
        <v>0</v>
      </c>
      <c r="U194" s="492" t="s">
        <v>902</v>
      </c>
      <c r="V194" s="492" t="s">
        <v>556</v>
      </c>
    </row>
    <row r="195" spans="1:22" x14ac:dyDescent="0.25">
      <c r="A195" s="492" t="s">
        <v>237</v>
      </c>
      <c r="B195" s="492" t="s">
        <v>275</v>
      </c>
      <c r="G195" s="492" t="s">
        <v>221</v>
      </c>
      <c r="H195" s="492" t="s">
        <v>220</v>
      </c>
      <c r="I195" s="492" t="s">
        <v>502</v>
      </c>
      <c r="J195" s="494">
        <v>39</v>
      </c>
      <c r="M195" s="492" t="s">
        <v>288</v>
      </c>
      <c r="N195" s="492" t="s">
        <v>290</v>
      </c>
      <c r="O195" s="492" t="s">
        <v>289</v>
      </c>
      <c r="P195" s="492" t="s">
        <v>289</v>
      </c>
      <c r="Q195" s="494">
        <v>68</v>
      </c>
      <c r="R195" s="494">
        <v>376</v>
      </c>
      <c r="U195" s="492" t="s">
        <v>903</v>
      </c>
      <c r="V195" s="492" t="s">
        <v>556</v>
      </c>
    </row>
    <row r="196" spans="1:22" x14ac:dyDescent="0.25">
      <c r="A196" s="492" t="s">
        <v>237</v>
      </c>
      <c r="B196" s="492" t="s">
        <v>283</v>
      </c>
      <c r="G196" s="492" t="s">
        <v>355</v>
      </c>
      <c r="H196" s="492" t="s">
        <v>354</v>
      </c>
      <c r="I196" s="492" t="s">
        <v>502</v>
      </c>
      <c r="J196" s="494">
        <v>108</v>
      </c>
      <c r="M196" s="492" t="s">
        <v>293</v>
      </c>
      <c r="N196" s="492" t="s">
        <v>294</v>
      </c>
      <c r="O196" s="492" t="s">
        <v>289</v>
      </c>
      <c r="P196" s="492" t="s">
        <v>289</v>
      </c>
      <c r="Q196" s="494">
        <v>0</v>
      </c>
      <c r="R196" s="494">
        <v>0</v>
      </c>
      <c r="U196" s="492" t="s">
        <v>948</v>
      </c>
      <c r="V196" s="492" t="s">
        <v>556</v>
      </c>
    </row>
    <row r="197" spans="1:22" x14ac:dyDescent="0.25">
      <c r="A197" s="492" t="s">
        <v>237</v>
      </c>
      <c r="B197" s="492" t="s">
        <v>1258</v>
      </c>
      <c r="G197" s="492" t="s">
        <v>318</v>
      </c>
      <c r="H197" s="492" t="s">
        <v>317</v>
      </c>
      <c r="I197" s="492" t="s">
        <v>502</v>
      </c>
      <c r="J197" s="494">
        <v>94</v>
      </c>
      <c r="M197" s="492" t="s">
        <v>295</v>
      </c>
      <c r="N197" s="492" t="s">
        <v>374</v>
      </c>
      <c r="O197" s="492" t="s">
        <v>289</v>
      </c>
      <c r="P197" s="492" t="s">
        <v>289</v>
      </c>
      <c r="Q197" s="494">
        <v>48</v>
      </c>
      <c r="R197" s="494">
        <v>218</v>
      </c>
      <c r="U197" s="492" t="s">
        <v>1025</v>
      </c>
      <c r="V197" s="492" t="s">
        <v>556</v>
      </c>
    </row>
    <row r="198" spans="1:22" x14ac:dyDescent="0.25">
      <c r="A198" s="492" t="s">
        <v>289</v>
      </c>
      <c r="B198" s="492" t="s">
        <v>292</v>
      </c>
      <c r="G198" s="492" t="s">
        <v>342</v>
      </c>
      <c r="H198" s="492" t="s">
        <v>341</v>
      </c>
      <c r="I198" s="492" t="s">
        <v>502</v>
      </c>
      <c r="J198" s="494">
        <v>65</v>
      </c>
      <c r="M198" s="492" t="s">
        <v>291</v>
      </c>
      <c r="N198" s="492" t="s">
        <v>292</v>
      </c>
      <c r="O198" s="492" t="s">
        <v>289</v>
      </c>
      <c r="P198" s="492" t="s">
        <v>289</v>
      </c>
      <c r="Q198" s="494">
        <v>82</v>
      </c>
      <c r="R198" s="494">
        <v>408</v>
      </c>
      <c r="U198" s="492" t="s">
        <v>1027</v>
      </c>
      <c r="V198" s="492" t="s">
        <v>556</v>
      </c>
    </row>
    <row r="199" spans="1:22" x14ac:dyDescent="0.25">
      <c r="A199" s="492" t="s">
        <v>289</v>
      </c>
      <c r="B199" s="492" t="s">
        <v>290</v>
      </c>
      <c r="G199" s="492" t="s">
        <v>338</v>
      </c>
      <c r="H199" s="492" t="s">
        <v>337</v>
      </c>
      <c r="I199" s="492" t="s">
        <v>502</v>
      </c>
      <c r="J199" s="494">
        <v>31</v>
      </c>
      <c r="M199" s="492" t="s">
        <v>234</v>
      </c>
      <c r="N199" s="492" t="s">
        <v>235</v>
      </c>
      <c r="O199" s="492" t="s">
        <v>1195</v>
      </c>
      <c r="P199" s="492" t="s">
        <v>230</v>
      </c>
      <c r="Q199" s="494">
        <v>123</v>
      </c>
      <c r="R199" s="494">
        <v>503</v>
      </c>
      <c r="U199" s="492" t="s">
        <v>1042</v>
      </c>
      <c r="V199" s="492" t="s">
        <v>556</v>
      </c>
    </row>
    <row r="200" spans="1:22" x14ac:dyDescent="0.25">
      <c r="A200" s="492" t="s">
        <v>289</v>
      </c>
      <c r="B200" s="492" t="s">
        <v>374</v>
      </c>
      <c r="G200" s="492" t="s">
        <v>351</v>
      </c>
      <c r="H200" s="492" t="s">
        <v>350</v>
      </c>
      <c r="I200" s="492" t="s">
        <v>502</v>
      </c>
      <c r="J200" s="494">
        <v>91</v>
      </c>
      <c r="M200" s="492" t="s">
        <v>147</v>
      </c>
      <c r="N200" s="492" t="s">
        <v>371</v>
      </c>
      <c r="O200" s="492" t="s">
        <v>146</v>
      </c>
      <c r="P200" s="492" t="s">
        <v>146</v>
      </c>
      <c r="Q200" s="494">
        <v>51</v>
      </c>
      <c r="R200" s="494">
        <v>261</v>
      </c>
      <c r="U200" s="492" t="s">
        <v>1050</v>
      </c>
      <c r="V200" s="492" t="s">
        <v>12</v>
      </c>
    </row>
    <row r="201" spans="1:22" x14ac:dyDescent="0.25">
      <c r="A201" s="492" t="s">
        <v>289</v>
      </c>
      <c r="B201" s="492" t="s">
        <v>375</v>
      </c>
      <c r="G201" s="492" t="s">
        <v>118</v>
      </c>
      <c r="H201" s="492" t="s">
        <v>117</v>
      </c>
      <c r="I201" s="492" t="s">
        <v>502</v>
      </c>
      <c r="J201" s="494">
        <v>10</v>
      </c>
      <c r="M201" s="492" t="s">
        <v>148</v>
      </c>
      <c r="N201" s="492" t="s">
        <v>149</v>
      </c>
      <c r="O201" s="492" t="s">
        <v>146</v>
      </c>
      <c r="P201" s="492" t="s">
        <v>146</v>
      </c>
      <c r="Q201" s="494">
        <v>71</v>
      </c>
      <c r="R201" s="494">
        <v>278</v>
      </c>
      <c r="U201" s="492" t="s">
        <v>1069</v>
      </c>
      <c r="V201" s="492" t="s">
        <v>556</v>
      </c>
    </row>
    <row r="202" spans="1:22" x14ac:dyDescent="0.25">
      <c r="A202" s="492" t="s">
        <v>289</v>
      </c>
      <c r="B202" s="492" t="s">
        <v>294</v>
      </c>
      <c r="G202" s="492" t="s">
        <v>22</v>
      </c>
      <c r="H202" s="492" t="s">
        <v>21</v>
      </c>
      <c r="I202" s="492" t="s">
        <v>502</v>
      </c>
      <c r="J202" s="494">
        <v>652</v>
      </c>
      <c r="M202" s="492" t="s">
        <v>165</v>
      </c>
      <c r="N202" s="492" t="s">
        <v>167</v>
      </c>
      <c r="O202" s="492" t="s">
        <v>1195</v>
      </c>
      <c r="P202" s="492" t="s">
        <v>166</v>
      </c>
      <c r="Q202" s="494">
        <v>38</v>
      </c>
      <c r="R202" s="494">
        <v>164</v>
      </c>
      <c r="U202" s="492" t="s">
        <v>1073</v>
      </c>
      <c r="V202" s="492" t="s">
        <v>556</v>
      </c>
    </row>
    <row r="203" spans="1:22" x14ac:dyDescent="0.25">
      <c r="A203" s="492" t="s">
        <v>289</v>
      </c>
      <c r="B203" s="492" t="s">
        <v>1062</v>
      </c>
      <c r="G203" s="492" t="s">
        <v>122</v>
      </c>
      <c r="H203" s="492" t="s">
        <v>121</v>
      </c>
      <c r="I203" s="492" t="s">
        <v>849</v>
      </c>
      <c r="J203" s="494">
        <v>0</v>
      </c>
      <c r="M203" s="492" t="s">
        <v>168</v>
      </c>
      <c r="N203" s="492" t="s">
        <v>169</v>
      </c>
      <c r="O203" s="492" t="s">
        <v>1195</v>
      </c>
      <c r="P203" s="492" t="s">
        <v>230</v>
      </c>
      <c r="Q203" s="494">
        <v>32</v>
      </c>
      <c r="R203" s="494"/>
      <c r="U203" s="492" t="s">
        <v>288</v>
      </c>
      <c r="V203" s="492" t="s">
        <v>556</v>
      </c>
    </row>
    <row r="204" spans="1:22" x14ac:dyDescent="0.25">
      <c r="A204" s="492" t="s">
        <v>289</v>
      </c>
      <c r="B204" s="492" t="s">
        <v>1074</v>
      </c>
      <c r="G204" s="492" t="s">
        <v>124</v>
      </c>
      <c r="H204" s="492" t="s">
        <v>123</v>
      </c>
      <c r="I204" s="492" t="s">
        <v>502</v>
      </c>
      <c r="J204" s="494">
        <v>8</v>
      </c>
      <c r="M204" s="492" t="s">
        <v>170</v>
      </c>
      <c r="N204" s="492" t="s">
        <v>171</v>
      </c>
      <c r="O204" s="492" t="s">
        <v>1195</v>
      </c>
      <c r="P204" s="492" t="s">
        <v>230</v>
      </c>
      <c r="Q204" s="494">
        <v>6</v>
      </c>
      <c r="R204" s="494"/>
      <c r="U204" s="492" t="s">
        <v>293</v>
      </c>
      <c r="V204" s="492" t="s">
        <v>556</v>
      </c>
    </row>
    <row r="205" spans="1:22" x14ac:dyDescent="0.25">
      <c r="A205" s="492" t="s">
        <v>298</v>
      </c>
      <c r="B205" s="492" t="s">
        <v>827</v>
      </c>
      <c r="G205" s="492" t="s">
        <v>1323</v>
      </c>
      <c r="H205" s="492" t="s">
        <v>1324</v>
      </c>
      <c r="I205" s="492" t="s">
        <v>502</v>
      </c>
      <c r="J205" s="494"/>
      <c r="M205" s="492" t="s">
        <v>232</v>
      </c>
      <c r="N205" s="492" t="s">
        <v>233</v>
      </c>
      <c r="O205" s="492" t="s">
        <v>1195</v>
      </c>
      <c r="P205" s="492" t="s">
        <v>230</v>
      </c>
      <c r="Q205" s="494">
        <v>9</v>
      </c>
      <c r="R205" s="494">
        <v>52</v>
      </c>
      <c r="U205" s="492" t="s">
        <v>295</v>
      </c>
      <c r="V205" s="492" t="s">
        <v>556</v>
      </c>
    </row>
    <row r="206" spans="1:22" x14ac:dyDescent="0.25">
      <c r="A206" s="492" t="s">
        <v>298</v>
      </c>
      <c r="B206" s="492" t="s">
        <v>595</v>
      </c>
      <c r="G206" s="492" t="s">
        <v>96</v>
      </c>
      <c r="H206" s="492" t="s">
        <v>95</v>
      </c>
      <c r="I206" s="492" t="s">
        <v>849</v>
      </c>
      <c r="J206" s="494">
        <v>0</v>
      </c>
      <c r="M206" s="492" t="s">
        <v>297</v>
      </c>
      <c r="N206" s="492" t="s">
        <v>827</v>
      </c>
      <c r="O206" s="492" t="s">
        <v>1195</v>
      </c>
      <c r="P206" s="492" t="s">
        <v>298</v>
      </c>
      <c r="Q206" s="494">
        <v>10</v>
      </c>
      <c r="R206" s="494">
        <v>41</v>
      </c>
      <c r="U206" s="492" t="s">
        <v>291</v>
      </c>
      <c r="V206" s="492" t="s">
        <v>556</v>
      </c>
    </row>
    <row r="207" spans="1:22" x14ac:dyDescent="0.25">
      <c r="A207" s="492" t="s">
        <v>300</v>
      </c>
      <c r="B207" s="492" t="s">
        <v>897</v>
      </c>
      <c r="G207" s="492" t="s">
        <v>1298</v>
      </c>
      <c r="H207" s="492" t="s">
        <v>1289</v>
      </c>
      <c r="I207" s="492" t="s">
        <v>502</v>
      </c>
      <c r="J207" s="494">
        <v>24</v>
      </c>
      <c r="M207" s="492" t="s">
        <v>382</v>
      </c>
      <c r="N207" s="492" t="s">
        <v>372</v>
      </c>
      <c r="O207" s="492" t="s">
        <v>146</v>
      </c>
      <c r="P207" s="492" t="s">
        <v>146</v>
      </c>
      <c r="Q207" s="494">
        <v>87</v>
      </c>
      <c r="R207" s="494">
        <v>488</v>
      </c>
      <c r="U207" s="492" t="s">
        <v>234</v>
      </c>
      <c r="V207" s="492" t="s">
        <v>12</v>
      </c>
    </row>
    <row r="208" spans="1:22" x14ac:dyDescent="0.25">
      <c r="A208" s="492" t="s">
        <v>300</v>
      </c>
      <c r="B208" s="492" t="s">
        <v>301</v>
      </c>
      <c r="G208" s="492" t="s">
        <v>1297</v>
      </c>
      <c r="H208" s="492" t="s">
        <v>1290</v>
      </c>
      <c r="I208" s="492" t="s">
        <v>502</v>
      </c>
      <c r="J208" s="494">
        <v>39</v>
      </c>
      <c r="M208" s="492" t="s">
        <v>383</v>
      </c>
      <c r="N208" s="492" t="s">
        <v>369</v>
      </c>
      <c r="O208" s="492" t="s">
        <v>146</v>
      </c>
      <c r="P208" s="492" t="s">
        <v>146</v>
      </c>
      <c r="Q208" s="494">
        <v>64</v>
      </c>
      <c r="R208" s="494">
        <v>305</v>
      </c>
      <c r="U208" s="492" t="s">
        <v>147</v>
      </c>
      <c r="V208" s="492" t="s">
        <v>556</v>
      </c>
    </row>
    <row r="209" spans="1:22" x14ac:dyDescent="0.25">
      <c r="A209" s="492" t="s">
        <v>300</v>
      </c>
      <c r="B209" s="492" t="s">
        <v>1048</v>
      </c>
      <c r="G209" s="492" t="s">
        <v>1026</v>
      </c>
      <c r="H209" s="492" t="s">
        <v>1027</v>
      </c>
      <c r="I209" s="492" t="s">
        <v>502</v>
      </c>
      <c r="J209" s="494">
        <v>30</v>
      </c>
      <c r="M209" s="492" t="s">
        <v>384</v>
      </c>
      <c r="N209" s="492" t="s">
        <v>370</v>
      </c>
      <c r="O209" s="492" t="s">
        <v>146</v>
      </c>
      <c r="P209" s="492" t="s">
        <v>146</v>
      </c>
      <c r="Q209" s="494">
        <v>31</v>
      </c>
      <c r="R209" s="494">
        <v>144</v>
      </c>
      <c r="U209" s="492" t="s">
        <v>148</v>
      </c>
      <c r="V209" s="492" t="s">
        <v>556</v>
      </c>
    </row>
    <row r="210" spans="1:22" x14ac:dyDescent="0.25">
      <c r="A210" s="492" t="s">
        <v>300</v>
      </c>
      <c r="B210" s="492" t="s">
        <v>1279</v>
      </c>
      <c r="G210" s="492" t="s">
        <v>225</v>
      </c>
      <c r="H210" s="492" t="s">
        <v>224</v>
      </c>
      <c r="I210" s="492" t="s">
        <v>502</v>
      </c>
      <c r="J210" s="494">
        <v>45</v>
      </c>
      <c r="M210" s="492" t="s">
        <v>385</v>
      </c>
      <c r="N210" s="492" t="s">
        <v>368</v>
      </c>
      <c r="O210" s="492" t="s">
        <v>146</v>
      </c>
      <c r="P210" s="492" t="s">
        <v>146</v>
      </c>
      <c r="Q210" s="494">
        <v>79</v>
      </c>
      <c r="R210" s="494">
        <v>318</v>
      </c>
      <c r="U210" s="492" t="s">
        <v>165</v>
      </c>
      <c r="V210" s="492" t="s">
        <v>556</v>
      </c>
    </row>
    <row r="211" spans="1:22" x14ac:dyDescent="0.25">
      <c r="A211" s="492" t="s">
        <v>302</v>
      </c>
      <c r="B211" s="492" t="s">
        <v>12</v>
      </c>
      <c r="G211" s="492" t="s">
        <v>277</v>
      </c>
      <c r="H211" s="492" t="s">
        <v>276</v>
      </c>
      <c r="I211" s="492" t="s">
        <v>502</v>
      </c>
      <c r="J211" s="494">
        <v>95</v>
      </c>
      <c r="M211" s="492" t="s">
        <v>386</v>
      </c>
      <c r="N211" s="492" t="s">
        <v>367</v>
      </c>
      <c r="O211" s="492" t="s">
        <v>146</v>
      </c>
      <c r="P211" s="492" t="s">
        <v>146</v>
      </c>
      <c r="Q211" s="494">
        <v>0</v>
      </c>
      <c r="R211" s="494">
        <v>0</v>
      </c>
      <c r="U211" s="492" t="s">
        <v>168</v>
      </c>
      <c r="V211" s="492" t="s">
        <v>12</v>
      </c>
    </row>
    <row r="212" spans="1:22" x14ac:dyDescent="0.25">
      <c r="A212" s="492" t="s">
        <v>302</v>
      </c>
      <c r="B212" s="492" t="s">
        <v>304</v>
      </c>
      <c r="G212" s="492" t="s">
        <v>279</v>
      </c>
      <c r="H212" s="492" t="s">
        <v>278</v>
      </c>
      <c r="I212" s="492" t="s">
        <v>502</v>
      </c>
      <c r="J212" s="494">
        <v>28</v>
      </c>
      <c r="M212" s="492" t="s">
        <v>387</v>
      </c>
      <c r="N212" s="492" t="s">
        <v>373</v>
      </c>
      <c r="O212" s="492" t="s">
        <v>146</v>
      </c>
      <c r="P212" s="492" t="s">
        <v>146</v>
      </c>
      <c r="Q212" s="494">
        <v>189</v>
      </c>
      <c r="R212" s="494">
        <v>935</v>
      </c>
      <c r="U212" s="492" t="s">
        <v>170</v>
      </c>
      <c r="V212" s="492" t="s">
        <v>12</v>
      </c>
    </row>
    <row r="213" spans="1:22" x14ac:dyDescent="0.25">
      <c r="A213" s="492" t="s">
        <v>302</v>
      </c>
      <c r="B213" s="492" t="s">
        <v>306</v>
      </c>
      <c r="G213" s="492" t="s">
        <v>347</v>
      </c>
      <c r="H213" s="492" t="s">
        <v>346</v>
      </c>
      <c r="I213" s="492" t="s">
        <v>502</v>
      </c>
      <c r="J213" s="494">
        <v>183</v>
      </c>
      <c r="M213" s="492" t="s">
        <v>388</v>
      </c>
      <c r="N213" s="492" t="s">
        <v>231</v>
      </c>
      <c r="O213" s="492" t="s">
        <v>1195</v>
      </c>
      <c r="P213" s="492" t="s">
        <v>230</v>
      </c>
      <c r="Q213" s="494">
        <v>32</v>
      </c>
      <c r="R213" s="494">
        <v>187</v>
      </c>
      <c r="U213" s="492" t="s">
        <v>232</v>
      </c>
      <c r="V213" s="492" t="s">
        <v>556</v>
      </c>
    </row>
    <row r="214" spans="1:22" x14ac:dyDescent="0.25">
      <c r="A214" s="492" t="s">
        <v>302</v>
      </c>
      <c r="B214" s="492" t="s">
        <v>308</v>
      </c>
      <c r="G214" s="492" t="s">
        <v>306</v>
      </c>
      <c r="H214" s="492" t="s">
        <v>305</v>
      </c>
      <c r="I214" s="492" t="s">
        <v>502</v>
      </c>
      <c r="J214" s="494">
        <v>83</v>
      </c>
      <c r="M214" s="492" t="s">
        <v>389</v>
      </c>
      <c r="N214" s="492" t="s">
        <v>296</v>
      </c>
      <c r="O214" s="492" t="s">
        <v>151</v>
      </c>
      <c r="P214" s="492" t="s">
        <v>151</v>
      </c>
      <c r="Q214" s="494">
        <v>0</v>
      </c>
      <c r="R214" s="494">
        <v>0</v>
      </c>
      <c r="U214" s="492" t="s">
        <v>297</v>
      </c>
      <c r="V214" s="492" t="s">
        <v>556</v>
      </c>
    </row>
    <row r="215" spans="1:22" x14ac:dyDescent="0.25">
      <c r="A215" s="492" t="s">
        <v>813</v>
      </c>
      <c r="B215" s="492" t="s">
        <v>813</v>
      </c>
      <c r="G215" s="492" t="s">
        <v>308</v>
      </c>
      <c r="H215" s="492" t="s">
        <v>307</v>
      </c>
      <c r="I215" s="492" t="s">
        <v>502</v>
      </c>
      <c r="J215" s="494">
        <v>41</v>
      </c>
      <c r="M215" s="492" t="s">
        <v>390</v>
      </c>
      <c r="N215" s="492" t="s">
        <v>375</v>
      </c>
      <c r="O215" s="492" t="s">
        <v>289</v>
      </c>
      <c r="P215" s="492" t="s">
        <v>289</v>
      </c>
      <c r="Q215" s="494">
        <v>0</v>
      </c>
      <c r="R215" s="494">
        <v>0</v>
      </c>
      <c r="U215" s="492" t="s">
        <v>382</v>
      </c>
      <c r="V215" s="492" t="s">
        <v>556</v>
      </c>
    </row>
    <row r="216" spans="1:22" x14ac:dyDescent="0.25">
      <c r="A216" s="492" t="s">
        <v>813</v>
      </c>
      <c r="B216" s="492" t="s">
        <v>1320</v>
      </c>
      <c r="G216" s="492" t="s">
        <v>281</v>
      </c>
      <c r="H216" s="492" t="s">
        <v>280</v>
      </c>
      <c r="I216" s="492" t="s">
        <v>502</v>
      </c>
      <c r="J216" s="494">
        <v>90</v>
      </c>
      <c r="M216" s="492" t="s">
        <v>843</v>
      </c>
      <c r="N216" s="492" t="s">
        <v>361</v>
      </c>
      <c r="O216" s="492" t="s">
        <v>1195</v>
      </c>
      <c r="P216" s="492" t="s">
        <v>230</v>
      </c>
      <c r="Q216" s="494"/>
      <c r="R216" s="494"/>
      <c r="U216" s="492" t="s">
        <v>383</v>
      </c>
      <c r="V216" s="492" t="s">
        <v>556</v>
      </c>
    </row>
    <row r="217" spans="1:22" x14ac:dyDescent="0.25">
      <c r="A217" s="492" t="s">
        <v>813</v>
      </c>
      <c r="B217" s="492" t="s">
        <v>1323</v>
      </c>
      <c r="G217" s="492" t="s">
        <v>893</v>
      </c>
      <c r="H217" s="492" t="s">
        <v>894</v>
      </c>
      <c r="I217" s="492" t="s">
        <v>849</v>
      </c>
      <c r="J217" s="494">
        <v>0</v>
      </c>
      <c r="M217" s="492" t="s">
        <v>844</v>
      </c>
      <c r="N217" s="492" t="s">
        <v>596</v>
      </c>
      <c r="O217" s="492" t="s">
        <v>784</v>
      </c>
      <c r="P217" s="492" t="s">
        <v>784</v>
      </c>
      <c r="Q217" s="494">
        <v>67</v>
      </c>
      <c r="R217" s="494">
        <v>392</v>
      </c>
      <c r="U217" s="492" t="s">
        <v>384</v>
      </c>
      <c r="V217" s="492" t="s">
        <v>556</v>
      </c>
    </row>
    <row r="218" spans="1:22" x14ac:dyDescent="0.25">
      <c r="A218" s="492" t="s">
        <v>310</v>
      </c>
      <c r="B218" s="492" t="s">
        <v>358</v>
      </c>
      <c r="G218" s="492" t="s">
        <v>181</v>
      </c>
      <c r="H218" s="492" t="s">
        <v>179</v>
      </c>
      <c r="I218" s="492" t="s">
        <v>502</v>
      </c>
      <c r="J218" s="494">
        <v>12</v>
      </c>
      <c r="M218" s="492" t="s">
        <v>829</v>
      </c>
      <c r="N218" s="492" t="s">
        <v>828</v>
      </c>
      <c r="O218" s="492" t="s">
        <v>1195</v>
      </c>
      <c r="P218" s="492" t="s">
        <v>166</v>
      </c>
      <c r="Q218" s="494">
        <v>31</v>
      </c>
      <c r="R218" s="494">
        <v>183</v>
      </c>
      <c r="U218" s="492" t="s">
        <v>385</v>
      </c>
      <c r="V218" s="492" t="s">
        <v>556</v>
      </c>
    </row>
    <row r="219" spans="1:22" x14ac:dyDescent="0.25">
      <c r="A219" s="492" t="s">
        <v>310</v>
      </c>
      <c r="B219" s="492" t="s">
        <v>334</v>
      </c>
      <c r="G219" s="492" t="s">
        <v>904</v>
      </c>
      <c r="H219" s="492" t="s">
        <v>903</v>
      </c>
      <c r="I219" s="492" t="s">
        <v>849</v>
      </c>
      <c r="J219" s="494">
        <v>0</v>
      </c>
      <c r="M219" s="492" t="s">
        <v>830</v>
      </c>
      <c r="N219" s="492" t="s">
        <v>595</v>
      </c>
      <c r="O219" s="492" t="s">
        <v>1195</v>
      </c>
      <c r="P219" s="492" t="s">
        <v>298</v>
      </c>
      <c r="Q219" s="494">
        <v>118</v>
      </c>
      <c r="R219" s="494">
        <v>520</v>
      </c>
      <c r="U219" s="492" t="s">
        <v>386</v>
      </c>
      <c r="V219" s="492" t="s">
        <v>556</v>
      </c>
    </row>
    <row r="220" spans="1:22" x14ac:dyDescent="0.25">
      <c r="A220" s="492" t="s">
        <v>310</v>
      </c>
      <c r="B220" s="492" t="s">
        <v>313</v>
      </c>
      <c r="G220" s="492" t="s">
        <v>813</v>
      </c>
      <c r="H220" s="492" t="s">
        <v>817</v>
      </c>
      <c r="I220" s="492" t="s">
        <v>502</v>
      </c>
      <c r="J220" s="494">
        <v>5</v>
      </c>
      <c r="M220" s="492" t="s">
        <v>938</v>
      </c>
      <c r="N220" s="492" t="s">
        <v>937</v>
      </c>
      <c r="O220" s="492" t="s">
        <v>146</v>
      </c>
      <c r="P220" s="492" t="s">
        <v>146</v>
      </c>
      <c r="Q220" s="494">
        <v>0</v>
      </c>
      <c r="R220" s="494">
        <v>0</v>
      </c>
      <c r="U220" s="492" t="s">
        <v>387</v>
      </c>
      <c r="V220" s="492" t="s">
        <v>556</v>
      </c>
    </row>
    <row r="221" spans="1:22" x14ac:dyDescent="0.25">
      <c r="A221" s="492" t="s">
        <v>310</v>
      </c>
      <c r="B221" s="492" t="s">
        <v>336</v>
      </c>
      <c r="G221" s="492" t="s">
        <v>24</v>
      </c>
      <c r="H221" s="492" t="s">
        <v>23</v>
      </c>
      <c r="I221" s="492" t="s">
        <v>502</v>
      </c>
      <c r="J221" s="494">
        <v>25</v>
      </c>
      <c r="M221" s="492" t="s">
        <v>940</v>
      </c>
      <c r="N221" s="492" t="s">
        <v>939</v>
      </c>
      <c r="O221" s="492" t="s">
        <v>146</v>
      </c>
      <c r="P221" s="492" t="s">
        <v>146</v>
      </c>
      <c r="Q221" s="494">
        <v>0</v>
      </c>
      <c r="R221" s="494">
        <v>0</v>
      </c>
      <c r="U221" s="492" t="s">
        <v>388</v>
      </c>
      <c r="V221" s="492" t="s">
        <v>12</v>
      </c>
    </row>
    <row r="222" spans="1:22" x14ac:dyDescent="0.25">
      <c r="A222" s="492" t="s">
        <v>310</v>
      </c>
      <c r="B222" s="492" t="s">
        <v>818</v>
      </c>
      <c r="G222" s="492" t="s">
        <v>132</v>
      </c>
      <c r="H222" s="492" t="s">
        <v>131</v>
      </c>
      <c r="I222" s="492" t="s">
        <v>849</v>
      </c>
      <c r="J222" s="494">
        <v>0</v>
      </c>
      <c r="M222" s="492" t="s">
        <v>948</v>
      </c>
      <c r="N222" s="492" t="s">
        <v>949</v>
      </c>
      <c r="O222" s="492" t="s">
        <v>151</v>
      </c>
      <c r="P222" s="492" t="s">
        <v>151</v>
      </c>
      <c r="Q222" s="494">
        <v>123</v>
      </c>
      <c r="R222" s="494">
        <v>582</v>
      </c>
      <c r="U222" s="492" t="s">
        <v>389</v>
      </c>
      <c r="V222" s="492" t="s">
        <v>556</v>
      </c>
    </row>
    <row r="223" spans="1:22" x14ac:dyDescent="0.25">
      <c r="A223" s="492" t="s">
        <v>310</v>
      </c>
      <c r="B223" s="492" t="s">
        <v>340</v>
      </c>
      <c r="G223" s="492" t="s">
        <v>227</v>
      </c>
      <c r="H223" s="492" t="s">
        <v>226</v>
      </c>
      <c r="I223" s="492" t="s">
        <v>502</v>
      </c>
      <c r="J223" s="494">
        <v>10</v>
      </c>
      <c r="M223" s="492" t="s">
        <v>1025</v>
      </c>
      <c r="N223" s="492" t="s">
        <v>1028</v>
      </c>
      <c r="O223" s="492" t="s">
        <v>5</v>
      </c>
      <c r="P223" s="492" t="s">
        <v>5</v>
      </c>
      <c r="Q223" s="494">
        <v>0</v>
      </c>
      <c r="R223" s="494">
        <v>0</v>
      </c>
      <c r="U223" s="492" t="s">
        <v>390</v>
      </c>
      <c r="V223" s="492" t="s">
        <v>556</v>
      </c>
    </row>
    <row r="224" spans="1:22" x14ac:dyDescent="0.25">
      <c r="A224" s="492" t="s">
        <v>310</v>
      </c>
      <c r="B224" s="492" t="s">
        <v>320</v>
      </c>
      <c r="G224" s="492" t="s">
        <v>238</v>
      </c>
      <c r="H224" s="492" t="s">
        <v>236</v>
      </c>
      <c r="I224" s="492" t="s">
        <v>502</v>
      </c>
      <c r="J224" s="494">
        <v>70</v>
      </c>
      <c r="M224" s="492" t="s">
        <v>1027</v>
      </c>
      <c r="N224" s="492" t="s">
        <v>1026</v>
      </c>
      <c r="O224" s="492" t="s">
        <v>27</v>
      </c>
      <c r="P224" s="492" t="s">
        <v>27</v>
      </c>
      <c r="Q224" s="494">
        <v>30</v>
      </c>
      <c r="R224" s="494">
        <v>181</v>
      </c>
      <c r="U224" s="492" t="s">
        <v>843</v>
      </c>
      <c r="V224" s="492" t="s">
        <v>556</v>
      </c>
    </row>
    <row r="225" spans="1:22" x14ac:dyDescent="0.25">
      <c r="A225" s="492" t="s">
        <v>310</v>
      </c>
      <c r="B225" s="492" t="s">
        <v>322</v>
      </c>
      <c r="G225" s="492" t="s">
        <v>1258</v>
      </c>
      <c r="H225" s="492" t="s">
        <v>241</v>
      </c>
      <c r="I225" s="492" t="s">
        <v>502</v>
      </c>
      <c r="J225" s="494">
        <v>68</v>
      </c>
      <c r="M225" s="492" t="s">
        <v>1042</v>
      </c>
      <c r="N225" s="492" t="s">
        <v>1041</v>
      </c>
      <c r="O225" s="492" t="s">
        <v>151</v>
      </c>
      <c r="P225" s="492" t="s">
        <v>151</v>
      </c>
      <c r="Q225" s="494">
        <v>219</v>
      </c>
      <c r="R225" s="494">
        <v>891</v>
      </c>
      <c r="U225" s="492" t="s">
        <v>844</v>
      </c>
      <c r="V225" s="492" t="s">
        <v>12</v>
      </c>
    </row>
    <row r="226" spans="1:22" x14ac:dyDescent="0.25">
      <c r="A226" s="492" t="s">
        <v>310</v>
      </c>
      <c r="B226" s="492" t="s">
        <v>328</v>
      </c>
      <c r="G226" s="492" t="s">
        <v>249</v>
      </c>
      <c r="H226" s="492" t="s">
        <v>248</v>
      </c>
      <c r="I226" s="492" t="s">
        <v>502</v>
      </c>
      <c r="J226" s="494">
        <v>12</v>
      </c>
      <c r="M226" s="492" t="s">
        <v>1050</v>
      </c>
      <c r="N226" s="492" t="s">
        <v>1048</v>
      </c>
      <c r="O226" s="492" t="s">
        <v>1195</v>
      </c>
      <c r="P226" s="492" t="s">
        <v>300</v>
      </c>
      <c r="Q226" s="494">
        <v>10</v>
      </c>
      <c r="R226" s="494">
        <v>56</v>
      </c>
      <c r="U226" s="492" t="s">
        <v>829</v>
      </c>
      <c r="V226" s="492" t="s">
        <v>556</v>
      </c>
    </row>
    <row r="227" spans="1:22" x14ac:dyDescent="0.25">
      <c r="A227" s="492" t="s">
        <v>310</v>
      </c>
      <c r="B227" s="492" t="s">
        <v>330</v>
      </c>
      <c r="G227" s="492" t="s">
        <v>251</v>
      </c>
      <c r="H227" s="492" t="s">
        <v>250</v>
      </c>
      <c r="I227" s="492" t="s">
        <v>502</v>
      </c>
      <c r="J227" s="494">
        <v>32</v>
      </c>
      <c r="M227" s="492" t="s">
        <v>1061</v>
      </c>
      <c r="N227" s="492" t="s">
        <v>1060</v>
      </c>
      <c r="O227" s="492" t="s">
        <v>1195</v>
      </c>
      <c r="P227" s="492" t="s">
        <v>230</v>
      </c>
      <c r="Q227" s="494">
        <v>55</v>
      </c>
      <c r="R227" s="494">
        <v>237</v>
      </c>
      <c r="U227" s="492" t="s">
        <v>830</v>
      </c>
      <c r="V227" s="492" t="s">
        <v>12</v>
      </c>
    </row>
    <row r="228" spans="1:22" x14ac:dyDescent="0.25">
      <c r="A228" s="492" t="s">
        <v>310</v>
      </c>
      <c r="B228" s="492" t="s">
        <v>324</v>
      </c>
      <c r="G228" s="492" t="s">
        <v>275</v>
      </c>
      <c r="H228" s="492" t="s">
        <v>274</v>
      </c>
      <c r="I228" s="492" t="s">
        <v>502</v>
      </c>
      <c r="J228" s="494">
        <v>44</v>
      </c>
      <c r="M228" s="492" t="s">
        <v>1063</v>
      </c>
      <c r="N228" s="492" t="s">
        <v>1062</v>
      </c>
      <c r="O228" s="492" t="s">
        <v>289</v>
      </c>
      <c r="P228" s="492" t="s">
        <v>289</v>
      </c>
      <c r="Q228" s="494">
        <v>41</v>
      </c>
      <c r="R228" s="494">
        <v>225</v>
      </c>
      <c r="U228" s="492" t="s">
        <v>938</v>
      </c>
      <c r="V228" s="492" t="s">
        <v>556</v>
      </c>
    </row>
    <row r="229" spans="1:22" x14ac:dyDescent="0.25">
      <c r="A229" s="492" t="s">
        <v>310</v>
      </c>
      <c r="B229" s="492" t="s">
        <v>326</v>
      </c>
      <c r="G229" s="492" t="s">
        <v>349</v>
      </c>
      <c r="H229" s="492" t="s">
        <v>348</v>
      </c>
      <c r="I229" s="492" t="s">
        <v>502</v>
      </c>
      <c r="J229" s="494">
        <v>44</v>
      </c>
      <c r="M229" s="492" t="s">
        <v>1067</v>
      </c>
      <c r="N229" s="492" t="s">
        <v>1074</v>
      </c>
      <c r="O229" s="492" t="s">
        <v>289</v>
      </c>
      <c r="P229" s="492" t="s">
        <v>289</v>
      </c>
      <c r="Q229" s="494">
        <v>141</v>
      </c>
      <c r="R229" s="494">
        <v>669</v>
      </c>
      <c r="U229" s="492" t="s">
        <v>940</v>
      </c>
      <c r="V229" s="492" t="s">
        <v>556</v>
      </c>
    </row>
    <row r="230" spans="1:22" x14ac:dyDescent="0.25">
      <c r="A230" s="492" t="s">
        <v>310</v>
      </c>
      <c r="B230" s="492" t="s">
        <v>332</v>
      </c>
      <c r="G230" s="492" t="s">
        <v>1028</v>
      </c>
      <c r="H230" s="492" t="s">
        <v>1025</v>
      </c>
      <c r="I230" s="492" t="s">
        <v>849</v>
      </c>
      <c r="J230" s="494">
        <v>0</v>
      </c>
      <c r="M230" s="492" t="s">
        <v>1069</v>
      </c>
      <c r="N230" s="492" t="s">
        <v>1068</v>
      </c>
      <c r="O230" s="492" t="s">
        <v>151</v>
      </c>
      <c r="P230" s="492" t="s">
        <v>151</v>
      </c>
      <c r="Q230" s="494">
        <v>123</v>
      </c>
      <c r="R230" s="494">
        <v>555</v>
      </c>
      <c r="U230" s="492" t="s">
        <v>1061</v>
      </c>
      <c r="V230" s="492" t="s">
        <v>556</v>
      </c>
    </row>
    <row r="231" spans="1:22" x14ac:dyDescent="0.25">
      <c r="A231" s="492" t="s">
        <v>310</v>
      </c>
      <c r="B231" s="492" t="s">
        <v>344</v>
      </c>
      <c r="G231" s="492" t="s">
        <v>134</v>
      </c>
      <c r="H231" s="492" t="s">
        <v>133</v>
      </c>
      <c r="I231" s="492" t="s">
        <v>849</v>
      </c>
      <c r="J231" s="494">
        <v>0</v>
      </c>
      <c r="M231" s="492" t="s">
        <v>1071</v>
      </c>
      <c r="N231" s="492" t="s">
        <v>1070</v>
      </c>
      <c r="O231" s="492" t="s">
        <v>1195</v>
      </c>
      <c r="P231" s="492" t="s">
        <v>230</v>
      </c>
      <c r="Q231" s="494">
        <v>26</v>
      </c>
      <c r="R231" s="494">
        <v>111</v>
      </c>
      <c r="U231" s="492" t="s">
        <v>1063</v>
      </c>
      <c r="V231" s="492" t="s">
        <v>556</v>
      </c>
    </row>
    <row r="232" spans="1:22" x14ac:dyDescent="0.25">
      <c r="A232" s="492" t="s">
        <v>310</v>
      </c>
      <c r="B232" s="492" t="s">
        <v>355</v>
      </c>
      <c r="G232" s="492" t="s">
        <v>875</v>
      </c>
      <c r="H232" s="492" t="s">
        <v>861</v>
      </c>
      <c r="I232" s="492" t="s">
        <v>849</v>
      </c>
      <c r="J232" s="494">
        <v>0</v>
      </c>
      <c r="M232" s="492" t="s">
        <v>1073</v>
      </c>
      <c r="N232" s="492" t="s">
        <v>1072</v>
      </c>
      <c r="O232" s="492" t="s">
        <v>529</v>
      </c>
      <c r="P232" s="492" t="s">
        <v>529</v>
      </c>
      <c r="Q232" s="494">
        <v>116</v>
      </c>
      <c r="R232" s="494">
        <v>530</v>
      </c>
      <c r="U232" s="492" t="s">
        <v>1067</v>
      </c>
      <c r="V232" s="492" t="s">
        <v>556</v>
      </c>
    </row>
    <row r="233" spans="1:22" x14ac:dyDescent="0.25">
      <c r="A233" s="492" t="s">
        <v>310</v>
      </c>
      <c r="B233" s="492" t="s">
        <v>318</v>
      </c>
      <c r="G233" s="492" t="s">
        <v>301</v>
      </c>
      <c r="H233" s="492" t="s">
        <v>299</v>
      </c>
      <c r="I233" s="492" t="s">
        <v>502</v>
      </c>
      <c r="J233" s="494">
        <v>14</v>
      </c>
      <c r="M233" s="492" t="s">
        <v>1103</v>
      </c>
      <c r="N233" s="492" t="s">
        <v>1102</v>
      </c>
      <c r="O233" s="492" t="s">
        <v>151</v>
      </c>
      <c r="P233" s="492" t="s">
        <v>151</v>
      </c>
      <c r="Q233" s="494">
        <v>114</v>
      </c>
      <c r="R233" s="494">
        <v>524</v>
      </c>
      <c r="U233" s="492" t="s">
        <v>1071</v>
      </c>
      <c r="V233" s="492" t="s">
        <v>556</v>
      </c>
    </row>
    <row r="234" spans="1:22" x14ac:dyDescent="0.25">
      <c r="A234" s="492" t="s">
        <v>310</v>
      </c>
      <c r="B234" s="492" t="s">
        <v>342</v>
      </c>
      <c r="G234" s="492" t="s">
        <v>316</v>
      </c>
      <c r="H234" s="492" t="s">
        <v>315</v>
      </c>
      <c r="I234" s="492" t="s">
        <v>502</v>
      </c>
      <c r="J234" s="494">
        <v>90</v>
      </c>
      <c r="M234" s="492" t="s">
        <v>1108</v>
      </c>
      <c r="N234" s="492" t="s">
        <v>1109</v>
      </c>
      <c r="O234" s="492" t="s">
        <v>146</v>
      </c>
      <c r="P234" s="492" t="s">
        <v>146</v>
      </c>
      <c r="Q234" s="494">
        <v>23</v>
      </c>
      <c r="R234" s="494">
        <v>112</v>
      </c>
      <c r="U234" s="492" t="s">
        <v>1103</v>
      </c>
      <c r="V234" s="492" t="s">
        <v>556</v>
      </c>
    </row>
    <row r="235" spans="1:22" x14ac:dyDescent="0.25">
      <c r="A235" s="492" t="s">
        <v>310</v>
      </c>
      <c r="B235" s="492" t="s">
        <v>338</v>
      </c>
      <c r="G235" s="492" t="s">
        <v>311</v>
      </c>
      <c r="H235" s="492" t="s">
        <v>309</v>
      </c>
      <c r="I235" s="492" t="s">
        <v>849</v>
      </c>
      <c r="J235" s="494"/>
      <c r="M235" s="492" t="s">
        <v>1128</v>
      </c>
      <c r="N235" s="492" t="s">
        <v>1127</v>
      </c>
      <c r="O235" s="492" t="s">
        <v>529</v>
      </c>
      <c r="P235" s="492" t="s">
        <v>529</v>
      </c>
      <c r="Q235" s="494">
        <v>50</v>
      </c>
      <c r="R235" s="494">
        <v>226</v>
      </c>
      <c r="U235" s="492" t="s">
        <v>1108</v>
      </c>
      <c r="V235" s="492" t="s">
        <v>556</v>
      </c>
    </row>
    <row r="236" spans="1:22" x14ac:dyDescent="0.25">
      <c r="A236" s="492" t="s">
        <v>310</v>
      </c>
      <c r="B236" s="492" t="s">
        <v>351</v>
      </c>
      <c r="G236" s="492" t="s">
        <v>64</v>
      </c>
      <c r="H236" s="492" t="s">
        <v>63</v>
      </c>
      <c r="I236" s="492" t="s">
        <v>849</v>
      </c>
      <c r="J236" s="494">
        <v>0</v>
      </c>
      <c r="M236" s="492" t="s">
        <v>1172</v>
      </c>
      <c r="N236" s="492" t="s">
        <v>1170</v>
      </c>
      <c r="O236" s="492" t="s">
        <v>1195</v>
      </c>
      <c r="P236" s="492" t="s">
        <v>180</v>
      </c>
      <c r="Q236" s="494">
        <v>36</v>
      </c>
      <c r="R236" s="494">
        <v>153</v>
      </c>
      <c r="U236" s="492" t="s">
        <v>1128</v>
      </c>
      <c r="V236" s="492" t="s">
        <v>556</v>
      </c>
    </row>
    <row r="237" spans="1:22" x14ac:dyDescent="0.25">
      <c r="A237" s="492" t="s">
        <v>310</v>
      </c>
      <c r="B237" s="492" t="s">
        <v>347</v>
      </c>
      <c r="G237" s="492" t="s">
        <v>126</v>
      </c>
      <c r="H237" s="492" t="s">
        <v>125</v>
      </c>
      <c r="I237" s="492" t="s">
        <v>502</v>
      </c>
      <c r="J237" s="494">
        <v>41</v>
      </c>
      <c r="M237" s="492" t="s">
        <v>1173</v>
      </c>
      <c r="N237" s="492" t="s">
        <v>1171</v>
      </c>
      <c r="O237" s="492" t="s">
        <v>1195</v>
      </c>
      <c r="P237" s="492" t="s">
        <v>180</v>
      </c>
      <c r="Q237" s="494">
        <v>16</v>
      </c>
      <c r="R237" s="494">
        <v>67</v>
      </c>
      <c r="U237" s="492" t="s">
        <v>1172</v>
      </c>
      <c r="V237" s="492" t="s">
        <v>12</v>
      </c>
    </row>
    <row r="238" spans="1:22" x14ac:dyDescent="0.25">
      <c r="A238" s="492" t="s">
        <v>310</v>
      </c>
      <c r="B238" s="492" t="s">
        <v>349</v>
      </c>
      <c r="G238" s="492" t="s">
        <v>353</v>
      </c>
      <c r="H238" s="492" t="s">
        <v>352</v>
      </c>
      <c r="I238" s="492" t="s">
        <v>502</v>
      </c>
      <c r="J238" s="494">
        <v>1348</v>
      </c>
      <c r="M238" s="492" t="s">
        <v>1277</v>
      </c>
      <c r="N238" s="492" t="s">
        <v>1295</v>
      </c>
      <c r="O238" s="492" t="s">
        <v>784</v>
      </c>
      <c r="P238" s="492" t="s">
        <v>784</v>
      </c>
      <c r="Q238" s="494">
        <v>44</v>
      </c>
      <c r="R238" s="494">
        <v>273</v>
      </c>
      <c r="U238" s="492" t="s">
        <v>1173</v>
      </c>
      <c r="V238" s="492" t="s">
        <v>12</v>
      </c>
    </row>
    <row r="239" spans="1:22" x14ac:dyDescent="0.25">
      <c r="A239" s="492" t="s">
        <v>310</v>
      </c>
      <c r="B239" s="492" t="s">
        <v>316</v>
      </c>
      <c r="G239" s="492" t="s">
        <v>37</v>
      </c>
      <c r="H239" s="492" t="s">
        <v>36</v>
      </c>
      <c r="I239" s="492" t="s">
        <v>849</v>
      </c>
      <c r="J239" s="494">
        <v>0</v>
      </c>
      <c r="M239" s="492" t="s">
        <v>1278</v>
      </c>
      <c r="N239" s="492" t="s">
        <v>1279</v>
      </c>
      <c r="O239" s="492" t="s">
        <v>1195</v>
      </c>
      <c r="P239" s="492" t="s">
        <v>300</v>
      </c>
      <c r="Q239" s="494">
        <v>58</v>
      </c>
      <c r="R239" s="494">
        <v>224</v>
      </c>
      <c r="U239" s="492" t="s">
        <v>1277</v>
      </c>
      <c r="V239" s="492" t="s">
        <v>556</v>
      </c>
    </row>
    <row r="240" spans="1:22" x14ac:dyDescent="0.25">
      <c r="A240" s="492" t="s">
        <v>310</v>
      </c>
      <c r="B240" s="492" t="s">
        <v>311</v>
      </c>
      <c r="G240" s="492" t="s">
        <v>74</v>
      </c>
      <c r="H240" s="492" t="s">
        <v>73</v>
      </c>
      <c r="I240" s="492" t="s">
        <v>849</v>
      </c>
      <c r="J240" s="494">
        <v>0</v>
      </c>
      <c r="M240" s="492" t="s">
        <v>1289</v>
      </c>
      <c r="N240" s="492" t="s">
        <v>1298</v>
      </c>
      <c r="O240" s="492" t="s">
        <v>1195</v>
      </c>
      <c r="P240" s="492" t="s">
        <v>173</v>
      </c>
      <c r="Q240" s="494">
        <v>24</v>
      </c>
      <c r="R240" s="494">
        <v>83</v>
      </c>
      <c r="U240" s="492" t="s">
        <v>1278</v>
      </c>
      <c r="V240" s="492" t="s">
        <v>556</v>
      </c>
    </row>
    <row r="241" spans="1:22" x14ac:dyDescent="0.25">
      <c r="A241" s="492" t="s">
        <v>310</v>
      </c>
      <c r="B241" s="492" t="s">
        <v>353</v>
      </c>
      <c r="G241" s="492" t="s">
        <v>283</v>
      </c>
      <c r="H241" s="492" t="s">
        <v>282</v>
      </c>
      <c r="I241" s="492" t="s">
        <v>502</v>
      </c>
      <c r="J241" s="494">
        <v>7</v>
      </c>
      <c r="M241" s="492" t="s">
        <v>1290</v>
      </c>
      <c r="N241" s="492" t="s">
        <v>1297</v>
      </c>
      <c r="O241" s="492" t="s">
        <v>1195</v>
      </c>
      <c r="P241" s="492" t="s">
        <v>173</v>
      </c>
      <c r="Q241" s="494">
        <v>39</v>
      </c>
      <c r="R241" s="494">
        <v>163</v>
      </c>
      <c r="U241" s="492" t="s">
        <v>1289</v>
      </c>
      <c r="V241" s="492" t="s">
        <v>12</v>
      </c>
    </row>
    <row r="242" spans="1:22" x14ac:dyDescent="0.25">
      <c r="A242" s="492" t="s">
        <v>310</v>
      </c>
      <c r="B242" s="492" t="s">
        <v>1260</v>
      </c>
      <c r="G242" s="492" t="s">
        <v>26</v>
      </c>
      <c r="H242" s="492" t="s">
        <v>25</v>
      </c>
      <c r="I242" s="492" t="s">
        <v>502</v>
      </c>
      <c r="J242" s="494">
        <v>15</v>
      </c>
      <c r="M242" s="492" t="s">
        <v>1291</v>
      </c>
      <c r="N242" s="492" t="s">
        <v>1288</v>
      </c>
      <c r="O242" s="492" t="s">
        <v>1195</v>
      </c>
      <c r="P242" s="492" t="s">
        <v>173</v>
      </c>
      <c r="Q242" s="494">
        <v>9</v>
      </c>
      <c r="R242" s="494">
        <v>39</v>
      </c>
      <c r="U242" s="492" t="s">
        <v>1290</v>
      </c>
      <c r="V242" s="492" t="s">
        <v>12</v>
      </c>
    </row>
    <row r="243" spans="1:22" x14ac:dyDescent="0.25">
      <c r="A243" s="492" t="s">
        <v>310</v>
      </c>
      <c r="B243" s="492" t="s">
        <v>1261</v>
      </c>
      <c r="G243" s="492" t="s">
        <v>140</v>
      </c>
      <c r="H243" s="492" t="s">
        <v>139</v>
      </c>
      <c r="I243" s="492" t="s">
        <v>502</v>
      </c>
      <c r="J243" s="494">
        <v>20</v>
      </c>
      <c r="M243" s="492" t="s">
        <v>1321</v>
      </c>
      <c r="N243" s="492" t="s">
        <v>1320</v>
      </c>
      <c r="O243" s="492" t="s">
        <v>1195</v>
      </c>
      <c r="P243" s="492" t="s">
        <v>813</v>
      </c>
      <c r="Q243" s="494">
        <v>161</v>
      </c>
      <c r="R243" s="494">
        <v>711</v>
      </c>
      <c r="U243" s="492" t="s">
        <v>1291</v>
      </c>
      <c r="V243" s="492" t="s">
        <v>556</v>
      </c>
    </row>
    <row r="244" spans="1:22" x14ac:dyDescent="0.25">
      <c r="A244" s="492" t="s">
        <v>310</v>
      </c>
      <c r="B244" s="492" t="s">
        <v>1262</v>
      </c>
      <c r="G244" s="492" t="s">
        <v>1259</v>
      </c>
      <c r="H244" s="492" t="s">
        <v>356</v>
      </c>
      <c r="I244" s="492" t="s">
        <v>502</v>
      </c>
      <c r="J244" s="494">
        <v>620</v>
      </c>
      <c r="M244" s="492" t="s">
        <v>1324</v>
      </c>
      <c r="N244" s="492" t="s">
        <v>1323</v>
      </c>
      <c r="O244" s="492" t="s">
        <v>1195</v>
      </c>
      <c r="P244" s="492" t="s">
        <v>813</v>
      </c>
      <c r="Q244" s="494"/>
      <c r="R244" s="494">
        <v>489</v>
      </c>
      <c r="U244" s="492" t="s">
        <v>1321</v>
      </c>
      <c r="V244" s="492" t="s">
        <v>556</v>
      </c>
    </row>
    <row r="245" spans="1:22" x14ac:dyDescent="0.25">
      <c r="A245" s="492" t="s">
        <v>310</v>
      </c>
      <c r="B245" s="492" t="s">
        <v>1257</v>
      </c>
      <c r="G245" s="492" t="s">
        <v>516</v>
      </c>
      <c r="H245" s="492" t="s">
        <v>517</v>
      </c>
      <c r="I245" s="492" t="s">
        <v>849</v>
      </c>
      <c r="J245" s="494">
        <v>0</v>
      </c>
      <c r="M245" s="492" t="s">
        <v>1348</v>
      </c>
      <c r="N245" s="492" t="s">
        <v>1347</v>
      </c>
      <c r="O245" s="492" t="s">
        <v>185</v>
      </c>
      <c r="P245" s="492" t="s">
        <v>185</v>
      </c>
      <c r="Q245" s="494"/>
      <c r="R245" s="494">
        <v>49</v>
      </c>
      <c r="U245" s="492" t="s">
        <v>1324</v>
      </c>
      <c r="V245" s="492" t="s">
        <v>556</v>
      </c>
    </row>
    <row r="246" spans="1:22" x14ac:dyDescent="0.25">
      <c r="A246" s="492" t="s">
        <v>310</v>
      </c>
      <c r="B246" s="492" t="s">
        <v>1259</v>
      </c>
      <c r="G246" s="492" t="s">
        <v>373</v>
      </c>
      <c r="H246" s="492" t="s">
        <v>387</v>
      </c>
      <c r="I246" s="492" t="s">
        <v>502</v>
      </c>
      <c r="J246" s="494">
        <v>189</v>
      </c>
      <c r="M246" s="492" t="s">
        <v>1351</v>
      </c>
      <c r="N246" s="492" t="s">
        <v>1350</v>
      </c>
      <c r="O246" s="492" t="s">
        <v>146</v>
      </c>
      <c r="P246" s="492" t="s">
        <v>146</v>
      </c>
      <c r="Q246" s="494">
        <v>105</v>
      </c>
      <c r="R246" s="494">
        <v>568</v>
      </c>
      <c r="U246" s="492" t="s">
        <v>1348</v>
      </c>
      <c r="V246" s="492" t="s">
        <v>993</v>
      </c>
    </row>
    <row r="247" spans="1:22" x14ac:dyDescent="0.25">
      <c r="M247"/>
      <c r="N247"/>
      <c r="O247"/>
      <c r="P247"/>
      <c r="U247" s="492" t="s">
        <v>1351</v>
      </c>
      <c r="V247" s="492" t="s">
        <v>556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sheetPr>
  <dimension ref="A1:M13"/>
  <sheetViews>
    <sheetView workbookViewId="0">
      <selection activeCell="J19" sqref="J19"/>
    </sheetView>
  </sheetViews>
  <sheetFormatPr defaultColWidth="9.140625" defaultRowHeight="15" x14ac:dyDescent="0.25"/>
  <cols>
    <col min="1" max="1" width="6.7109375" style="129" customWidth="1"/>
    <col min="2" max="2" width="34.42578125" style="129" customWidth="1"/>
    <col min="3" max="3" width="22.5703125" style="129" customWidth="1"/>
    <col min="4" max="16384" width="9.140625" style="129"/>
  </cols>
  <sheetData>
    <row r="1" spans="1:13" x14ac:dyDescent="0.25">
      <c r="A1" s="137"/>
      <c r="B1" s="138"/>
      <c r="E1" s="129" t="s">
        <v>952</v>
      </c>
      <c r="K1" s="129" t="s">
        <v>953</v>
      </c>
      <c r="L1" s="129" t="s">
        <v>954</v>
      </c>
    </row>
    <row r="2" spans="1:13" ht="44.25" customHeight="1" x14ac:dyDescent="0.25">
      <c r="A2" s="137"/>
      <c r="B2" s="138" t="s">
        <v>955</v>
      </c>
      <c r="C2" s="138" t="str">
        <f>CONCATENATE("d:\",C3,".kml")</f>
        <v>d:\Kachin_CampList_20160101.kml</v>
      </c>
      <c r="G2" s="129" t="s">
        <v>956</v>
      </c>
      <c r="H2" s="129" t="s">
        <v>957</v>
      </c>
      <c r="K2" s="129" t="s">
        <v>958</v>
      </c>
      <c r="L2" s="129" t="s">
        <v>959</v>
      </c>
      <c r="M2" s="129" t="s">
        <v>960</v>
      </c>
    </row>
    <row r="3" spans="1:13" x14ac:dyDescent="0.25">
      <c r="A3" s="137"/>
      <c r="B3" s="139" t="s">
        <v>961</v>
      </c>
      <c r="C3" s="129" t="str">
        <f>CONCATENATE("Kachin_CampList_",TEXT(Report_Date,"yyyymmdd"))</f>
        <v>Kachin_CampList_20160101</v>
      </c>
      <c r="G3" s="129" t="s">
        <v>962</v>
      </c>
      <c r="H3" s="129" t="s">
        <v>963</v>
      </c>
      <c r="K3" s="129" t="s">
        <v>964</v>
      </c>
      <c r="L3" s="129" t="s">
        <v>965</v>
      </c>
      <c r="M3" s="129" t="s">
        <v>966</v>
      </c>
    </row>
    <row r="4" spans="1:13" x14ac:dyDescent="0.25">
      <c r="A4" s="137"/>
      <c r="B4" s="139"/>
      <c r="G4" s="129" t="s">
        <v>967</v>
      </c>
      <c r="H4" s="129" t="s">
        <v>968</v>
      </c>
      <c r="K4" s="129" t="s">
        <v>969</v>
      </c>
      <c r="L4" s="129" t="s">
        <v>970</v>
      </c>
      <c r="M4" s="129" t="s">
        <v>971</v>
      </c>
    </row>
    <row r="5" spans="1:13" x14ac:dyDescent="0.25">
      <c r="B5" s="129" t="s">
        <v>972</v>
      </c>
      <c r="C5" s="129" t="s">
        <v>973</v>
      </c>
      <c r="K5" s="129" t="s">
        <v>974</v>
      </c>
      <c r="L5" s="129" t="s">
        <v>975</v>
      </c>
      <c r="M5" s="129" t="s">
        <v>976</v>
      </c>
    </row>
    <row r="6" spans="1:13" x14ac:dyDescent="0.25">
      <c r="B6" s="129" t="s">
        <v>977</v>
      </c>
      <c r="C6" s="129" t="s">
        <v>978</v>
      </c>
      <c r="K6" s="129" t="s">
        <v>979</v>
      </c>
      <c r="L6" s="129" t="s">
        <v>980</v>
      </c>
      <c r="M6" s="129" t="s">
        <v>981</v>
      </c>
    </row>
    <row r="8" spans="1:13" x14ac:dyDescent="0.25">
      <c r="B8" s="129" t="s">
        <v>982</v>
      </c>
      <c r="C8" s="129" t="s">
        <v>983</v>
      </c>
    </row>
    <row r="9" spans="1:13" x14ac:dyDescent="0.25">
      <c r="B9" s="129" t="s">
        <v>984</v>
      </c>
      <c r="C9" s="129" t="s">
        <v>985</v>
      </c>
      <c r="D9" s="129" t="s">
        <v>986</v>
      </c>
    </row>
    <row r="10" spans="1:13" x14ac:dyDescent="0.25">
      <c r="B10" s="129" t="s">
        <v>987</v>
      </c>
      <c r="C10" s="129" t="s">
        <v>988</v>
      </c>
    </row>
    <row r="11" spans="1:13" x14ac:dyDescent="0.25">
      <c r="B11" s="129" t="s">
        <v>989</v>
      </c>
      <c r="C11" s="129" t="s">
        <v>990</v>
      </c>
    </row>
    <row r="13" spans="1:13" x14ac:dyDescent="0.25">
      <c r="B13" s="129" t="s">
        <v>991</v>
      </c>
      <c r="C13" s="129" t="s">
        <v>992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pageSetUpPr fitToPage="1"/>
  </sheetPr>
  <dimension ref="A1:S24"/>
  <sheetViews>
    <sheetView showZeros="0" workbookViewId="0">
      <selection activeCell="B23" sqref="B23"/>
    </sheetView>
  </sheetViews>
  <sheetFormatPr defaultRowHeight="15" x14ac:dyDescent="0.25"/>
  <cols>
    <col min="1" max="1" width="22.7109375" bestFit="1" customWidth="1"/>
    <col min="2" max="2" width="33.85546875" bestFit="1" customWidth="1"/>
    <col min="3" max="3" width="34" bestFit="1" customWidth="1"/>
    <col min="4" max="4" width="36.7109375" bestFit="1" customWidth="1"/>
    <col min="5" max="5" width="18" bestFit="1" customWidth="1"/>
    <col min="6" max="6" width="3.5703125" bestFit="1" customWidth="1"/>
    <col min="10" max="10" width="14" customWidth="1"/>
    <col min="11" max="11" width="14" style="129" customWidth="1"/>
    <col min="12" max="12" width="15.28515625" customWidth="1"/>
    <col min="13" max="13" width="15.28515625" style="129" customWidth="1"/>
    <col min="14" max="14" width="14.85546875" customWidth="1"/>
    <col min="16" max="16" width="22.5703125" customWidth="1"/>
    <col min="17" max="17" width="21.42578125" customWidth="1"/>
  </cols>
  <sheetData>
    <row r="1" spans="1:19" s="41" customFormat="1" x14ac:dyDescent="0.25">
      <c r="A1" s="41" t="s">
        <v>487</v>
      </c>
      <c r="B1" s="41" t="s">
        <v>489</v>
      </c>
      <c r="C1" s="41" t="s">
        <v>488</v>
      </c>
      <c r="D1" s="41" t="s">
        <v>411</v>
      </c>
      <c r="E1" s="41" t="s">
        <v>491</v>
      </c>
      <c r="F1" s="41" t="s">
        <v>490</v>
      </c>
      <c r="J1" s="2" t="s">
        <v>396</v>
      </c>
      <c r="K1" s="2"/>
      <c r="L1" s="2" t="s">
        <v>380</v>
      </c>
      <c r="M1" s="2"/>
      <c r="N1" s="2" t="s">
        <v>555</v>
      </c>
      <c r="O1" s="2"/>
      <c r="P1" s="2" t="s">
        <v>402</v>
      </c>
      <c r="Q1" s="2" t="s">
        <v>501</v>
      </c>
      <c r="R1"/>
      <c r="S1" s="2" t="s">
        <v>1325</v>
      </c>
    </row>
    <row r="2" spans="1:19" x14ac:dyDescent="0.25">
      <c r="A2" t="s">
        <v>436</v>
      </c>
      <c r="B2" t="s">
        <v>478</v>
      </c>
      <c r="C2" t="s">
        <v>468</v>
      </c>
      <c r="D2" t="s">
        <v>471</v>
      </c>
      <c r="E2" s="129">
        <v>12</v>
      </c>
      <c r="F2">
        <v>2</v>
      </c>
      <c r="J2" s="47" t="s">
        <v>380</v>
      </c>
      <c r="K2" s="47"/>
      <c r="L2" s="47" t="s">
        <v>5</v>
      </c>
      <c r="M2" s="47"/>
      <c r="N2" s="47" t="s">
        <v>146</v>
      </c>
      <c r="O2" s="47"/>
      <c r="P2" s="47" t="s">
        <v>397</v>
      </c>
      <c r="Q2" s="47" t="s">
        <v>496</v>
      </c>
      <c r="S2" t="s">
        <v>1327</v>
      </c>
    </row>
    <row r="3" spans="1:19" x14ac:dyDescent="0.25">
      <c r="A3" t="s">
        <v>1232</v>
      </c>
      <c r="B3" t="s">
        <v>1234</v>
      </c>
      <c r="C3" t="s">
        <v>1235</v>
      </c>
      <c r="D3" t="s">
        <v>1236</v>
      </c>
      <c r="E3" s="129">
        <v>12</v>
      </c>
      <c r="F3">
        <v>1</v>
      </c>
      <c r="J3" s="47" t="s">
        <v>381</v>
      </c>
      <c r="K3" s="47"/>
      <c r="L3" s="47" t="s">
        <v>27</v>
      </c>
      <c r="M3" s="47"/>
      <c r="N3" s="47" t="s">
        <v>166</v>
      </c>
      <c r="O3" s="47"/>
      <c r="P3" s="47" t="s">
        <v>398</v>
      </c>
      <c r="Q3" s="47" t="s">
        <v>497</v>
      </c>
      <c r="S3" t="s">
        <v>1328</v>
      </c>
    </row>
    <row r="4" spans="1:19" x14ac:dyDescent="0.25">
      <c r="A4" t="s">
        <v>457</v>
      </c>
      <c r="B4" t="s">
        <v>479</v>
      </c>
      <c r="C4" t="s">
        <v>464</v>
      </c>
      <c r="D4" t="s">
        <v>474</v>
      </c>
      <c r="E4" s="129">
        <v>12</v>
      </c>
      <c r="F4">
        <v>1</v>
      </c>
      <c r="J4" s="47" t="s">
        <v>555</v>
      </c>
      <c r="K4" s="47"/>
      <c r="L4" s="47" t="s">
        <v>529</v>
      </c>
      <c r="M4" s="47"/>
      <c r="N4" s="47" t="s">
        <v>230</v>
      </c>
      <c r="O4" s="47"/>
      <c r="P4" s="47" t="s">
        <v>399</v>
      </c>
      <c r="Q4" s="47" t="s">
        <v>495</v>
      </c>
    </row>
    <row r="5" spans="1:19" x14ac:dyDescent="0.25">
      <c r="A5" t="s">
        <v>437</v>
      </c>
      <c r="B5" t="s">
        <v>480</v>
      </c>
      <c r="C5" t="s">
        <v>469</v>
      </c>
      <c r="D5" t="s">
        <v>472</v>
      </c>
      <c r="E5" s="129">
        <v>12</v>
      </c>
      <c r="F5">
        <v>1</v>
      </c>
      <c r="J5" s="2"/>
      <c r="K5" s="2"/>
      <c r="L5" s="47" t="s">
        <v>363</v>
      </c>
      <c r="M5" s="47"/>
      <c r="N5" s="47" t="s">
        <v>289</v>
      </c>
      <c r="O5" s="47"/>
      <c r="P5" s="47" t="s">
        <v>400</v>
      </c>
      <c r="Q5" s="47"/>
    </row>
    <row r="6" spans="1:19" x14ac:dyDescent="0.25">
      <c r="A6" t="s">
        <v>597</v>
      </c>
      <c r="B6" t="s">
        <v>481</v>
      </c>
      <c r="C6" t="s">
        <v>473</v>
      </c>
      <c r="D6" t="s">
        <v>477</v>
      </c>
      <c r="E6" s="129">
        <v>12</v>
      </c>
      <c r="F6">
        <v>2</v>
      </c>
      <c r="J6" s="47"/>
      <c r="K6" s="47"/>
      <c r="L6" s="47" t="s">
        <v>144</v>
      </c>
      <c r="M6" s="47"/>
      <c r="N6" s="47" t="s">
        <v>298</v>
      </c>
      <c r="O6" s="47"/>
      <c r="P6" s="47" t="s">
        <v>401</v>
      </c>
      <c r="Q6" s="47"/>
    </row>
    <row r="7" spans="1:19" x14ac:dyDescent="0.25">
      <c r="A7" t="s">
        <v>405</v>
      </c>
      <c r="B7" t="s">
        <v>482</v>
      </c>
      <c r="C7" t="s">
        <v>465</v>
      </c>
      <c r="D7" t="s">
        <v>475</v>
      </c>
      <c r="E7" s="129">
        <v>12</v>
      </c>
      <c r="F7">
        <v>1</v>
      </c>
      <c r="J7" s="47"/>
      <c r="K7" s="47"/>
      <c r="L7" s="129" t="s">
        <v>899</v>
      </c>
      <c r="N7" s="47" t="s">
        <v>784</v>
      </c>
      <c r="O7" s="47"/>
      <c r="P7" s="47"/>
      <c r="Q7" s="47"/>
    </row>
    <row r="8" spans="1:19" x14ac:dyDescent="0.25">
      <c r="A8" t="s">
        <v>458</v>
      </c>
      <c r="B8" t="s">
        <v>483</v>
      </c>
      <c r="C8" t="s">
        <v>466</v>
      </c>
      <c r="D8" t="s">
        <v>476</v>
      </c>
      <c r="E8" s="129">
        <v>12</v>
      </c>
      <c r="F8">
        <v>1</v>
      </c>
      <c r="J8" s="47"/>
      <c r="K8" s="47"/>
      <c r="L8" s="47" t="s">
        <v>151</v>
      </c>
      <c r="M8" s="47"/>
      <c r="O8" s="47"/>
      <c r="P8" s="47"/>
      <c r="Q8" s="47"/>
    </row>
    <row r="9" spans="1:19" x14ac:dyDescent="0.25">
      <c r="A9" t="s">
        <v>459</v>
      </c>
      <c r="B9" t="s">
        <v>484</v>
      </c>
      <c r="C9" t="s">
        <v>467</v>
      </c>
      <c r="D9" t="s">
        <v>470</v>
      </c>
      <c r="E9" s="129">
        <v>12</v>
      </c>
      <c r="F9">
        <v>1</v>
      </c>
      <c r="J9" s="47"/>
      <c r="K9" s="47"/>
      <c r="L9" s="47" t="s">
        <v>173</v>
      </c>
      <c r="M9" s="47"/>
      <c r="N9" s="47"/>
      <c r="O9" s="47"/>
      <c r="P9" s="47"/>
      <c r="Q9" s="47"/>
    </row>
    <row r="10" spans="1:19" x14ac:dyDescent="0.25">
      <c r="A10" t="s">
        <v>579</v>
      </c>
      <c r="B10" s="82" t="s">
        <v>581</v>
      </c>
      <c r="C10" s="82" t="s">
        <v>583</v>
      </c>
      <c r="D10" s="82" t="s">
        <v>585</v>
      </c>
      <c r="E10" s="129">
        <v>12</v>
      </c>
      <c r="F10" s="82">
        <v>1</v>
      </c>
      <c r="J10" s="47"/>
      <c r="K10" s="47"/>
      <c r="L10" s="47" t="s">
        <v>180</v>
      </c>
      <c r="M10" s="47"/>
      <c r="N10" s="47"/>
      <c r="O10" s="47"/>
      <c r="P10" s="47"/>
      <c r="Q10" s="47"/>
    </row>
    <row r="11" spans="1:19" x14ac:dyDescent="0.25">
      <c r="A11" t="s">
        <v>580</v>
      </c>
      <c r="B11" s="82" t="s">
        <v>582</v>
      </c>
      <c r="C11" s="82" t="s">
        <v>584</v>
      </c>
      <c r="D11" s="82" t="s">
        <v>586</v>
      </c>
      <c r="E11" s="129">
        <v>12</v>
      </c>
      <c r="F11" s="82">
        <v>5</v>
      </c>
      <c r="J11" s="47"/>
      <c r="K11" s="47"/>
      <c r="L11" s="47" t="s">
        <v>185</v>
      </c>
      <c r="M11" s="47"/>
      <c r="N11" s="47"/>
      <c r="O11" s="47"/>
      <c r="P11" s="47"/>
      <c r="Q11" s="47"/>
    </row>
    <row r="12" spans="1:19" x14ac:dyDescent="0.25">
      <c r="A12" t="s">
        <v>994</v>
      </c>
      <c r="B12" s="129" t="s">
        <v>995</v>
      </c>
      <c r="C12" s="129" t="s">
        <v>996</v>
      </c>
      <c r="D12" s="129" t="s">
        <v>997</v>
      </c>
      <c r="E12" s="129">
        <v>12</v>
      </c>
      <c r="F12">
        <v>2</v>
      </c>
      <c r="J12" s="47"/>
      <c r="K12" s="47"/>
      <c r="L12" s="47" t="s">
        <v>379</v>
      </c>
      <c r="M12" s="47"/>
      <c r="N12" s="47"/>
      <c r="O12" s="47"/>
      <c r="P12" s="47"/>
      <c r="Q12" s="47"/>
    </row>
    <row r="13" spans="1:19" x14ac:dyDescent="0.25">
      <c r="A13" s="129" t="s">
        <v>998</v>
      </c>
      <c r="B13" s="129" t="s">
        <v>999</v>
      </c>
      <c r="C13" s="129" t="s">
        <v>1000</v>
      </c>
      <c r="D13" s="129" t="s">
        <v>1001</v>
      </c>
      <c r="E13" s="129">
        <v>12</v>
      </c>
      <c r="F13">
        <v>3</v>
      </c>
      <c r="J13" s="47"/>
      <c r="K13" s="47"/>
      <c r="L13" s="47" t="s">
        <v>237</v>
      </c>
      <c r="M13" s="47"/>
      <c r="N13" s="47"/>
      <c r="O13" s="47"/>
      <c r="P13" s="47"/>
      <c r="Q13" s="47"/>
    </row>
    <row r="14" spans="1:19" x14ac:dyDescent="0.25">
      <c r="A14" t="s">
        <v>1002</v>
      </c>
      <c r="B14" s="129" t="s">
        <v>1003</v>
      </c>
      <c r="C14" s="129" t="s">
        <v>1004</v>
      </c>
      <c r="D14" s="129" t="s">
        <v>1005</v>
      </c>
      <c r="E14" s="129">
        <v>12</v>
      </c>
      <c r="F14">
        <v>10</v>
      </c>
      <c r="J14" s="47"/>
      <c r="K14" s="47"/>
      <c r="L14" s="47" t="s">
        <v>300</v>
      </c>
      <c r="M14" s="47"/>
      <c r="N14" s="47"/>
      <c r="O14" s="47"/>
      <c r="P14" s="47"/>
      <c r="Q14" s="47"/>
    </row>
    <row r="15" spans="1:19" x14ac:dyDescent="0.25">
      <c r="A15" t="s">
        <v>1118</v>
      </c>
      <c r="B15" t="s">
        <v>1119</v>
      </c>
      <c r="C15" s="129" t="s">
        <v>1120</v>
      </c>
      <c r="D15" s="129" t="s">
        <v>1121</v>
      </c>
      <c r="E15" s="129">
        <v>24</v>
      </c>
      <c r="F15">
        <v>2</v>
      </c>
      <c r="J15" s="47"/>
      <c r="K15" s="47"/>
      <c r="L15" s="47" t="s">
        <v>302</v>
      </c>
      <c r="M15" s="47"/>
      <c r="N15" s="47"/>
      <c r="O15" s="47"/>
      <c r="P15" s="47"/>
      <c r="Q15" s="47"/>
    </row>
    <row r="16" spans="1:19" x14ac:dyDescent="0.25">
      <c r="A16" t="s">
        <v>1334</v>
      </c>
      <c r="B16" t="s">
        <v>1336</v>
      </c>
      <c r="C16" t="s">
        <v>1337</v>
      </c>
      <c r="D16" t="s">
        <v>1338</v>
      </c>
      <c r="E16">
        <v>12</v>
      </c>
      <c r="F16">
        <v>1</v>
      </c>
      <c r="J16" s="47"/>
      <c r="K16" s="47"/>
      <c r="L16" s="47" t="s">
        <v>813</v>
      </c>
      <c r="M16" s="47"/>
      <c r="N16" s="47"/>
      <c r="O16" s="47"/>
      <c r="P16" s="47"/>
      <c r="Q16" s="47"/>
    </row>
    <row r="17" spans="1:17" x14ac:dyDescent="0.25">
      <c r="J17" s="47"/>
      <c r="K17" s="47"/>
      <c r="L17" s="47" t="s">
        <v>310</v>
      </c>
      <c r="M17" s="47"/>
      <c r="N17" s="47"/>
      <c r="O17" s="47"/>
      <c r="P17" s="47"/>
      <c r="Q17" s="47"/>
    </row>
    <row r="18" spans="1:17" x14ac:dyDescent="0.25">
      <c r="J18" s="47"/>
      <c r="K18" s="47"/>
      <c r="L18" s="47"/>
      <c r="M18" s="47"/>
      <c r="N18" s="47"/>
      <c r="O18" s="47"/>
      <c r="P18" s="47"/>
      <c r="Q18" s="47"/>
    </row>
    <row r="19" spans="1:17" x14ac:dyDescent="0.25">
      <c r="J19" s="47"/>
      <c r="K19" s="47"/>
      <c r="L19" s="47"/>
      <c r="M19" s="47"/>
      <c r="N19" s="47"/>
      <c r="O19" s="47"/>
      <c r="P19" s="47"/>
      <c r="Q19" s="47"/>
    </row>
    <row r="20" spans="1:17" x14ac:dyDescent="0.25">
      <c r="A20" s="2"/>
      <c r="J20" s="47"/>
      <c r="K20" s="47"/>
      <c r="L20" s="47"/>
      <c r="M20" s="47"/>
      <c r="N20" s="47"/>
      <c r="O20" s="47"/>
      <c r="P20" s="47"/>
      <c r="Q20" s="47"/>
    </row>
    <row r="23" spans="1:17" x14ac:dyDescent="0.25">
      <c r="A23" t="s">
        <v>1162</v>
      </c>
      <c r="B23" s="64">
        <v>42370</v>
      </c>
    </row>
    <row r="24" spans="1:17" x14ac:dyDescent="0.25">
      <c r="A24" t="s">
        <v>1163</v>
      </c>
      <c r="B24" s="188">
        <v>41640</v>
      </c>
    </row>
  </sheetData>
  <sortState ref="J2:M17">
    <sortCondition ref="L11"/>
  </sortState>
  <printOptions gridLines="1"/>
  <pageMargins left="0.25" right="0.25" top="0.75" bottom="0.75" header="0.3" footer="0.3"/>
  <pageSetup paperSize="9" orientation="landscape"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Props1.xml><?xml version="1.0" encoding="utf-8"?>
<ds:datastoreItem xmlns:ds="http://schemas.openxmlformats.org/officeDocument/2006/customXml" ds:itemID="{813269B1-46E6-446B-AAFD-6C3C2E019447}">
  <ds:schemaRefs/>
</ds:datastoreItem>
</file>

<file path=customXml/itemProps2.xml><?xml version="1.0" encoding="utf-8"?>
<ds:datastoreItem xmlns:ds="http://schemas.openxmlformats.org/officeDocument/2006/customXml" ds:itemID="{69B4A3EE-0A3F-4462-99AB-FF7F45263C2E}">
  <ds:schemaRefs/>
</ds:datastoreItem>
</file>

<file path=customXml/itemProps3.xml><?xml version="1.0" encoding="utf-8"?>
<ds:datastoreItem xmlns:ds="http://schemas.openxmlformats.org/officeDocument/2006/customXml" ds:itemID="{29F038A7-53D4-43C9-BA81-F04FA320B26C}">
  <ds:schemaRefs/>
</ds:datastoreItem>
</file>

<file path=customXml/itemProps4.xml><?xml version="1.0" encoding="utf-8"?>
<ds:datastoreItem xmlns:ds="http://schemas.openxmlformats.org/officeDocument/2006/customXml" ds:itemID="{EFDD4649-07B9-495C-8FFA-CE327D4258B8}">
  <ds:schemaRefs/>
</ds:datastoreItem>
</file>

<file path=customXml/itemProps5.xml><?xml version="1.0" encoding="utf-8"?>
<ds:datastoreItem xmlns:ds="http://schemas.openxmlformats.org/officeDocument/2006/customXml" ds:itemID="{54F841B6-B55C-4835-A603-634668231C4E}">
  <ds:schemaRefs/>
</ds:datastoreItem>
</file>

<file path=customXml/itemProps6.xml><?xml version="1.0" encoding="utf-8"?>
<ds:datastoreItem xmlns:ds="http://schemas.openxmlformats.org/officeDocument/2006/customXml" ds:itemID="{21F44420-13F1-4F50-9105-F761EFC3AFFE}">
  <ds:schemaRefs/>
</ds:datastoreItem>
</file>

<file path=customXml/itemProps7.xml><?xml version="1.0" encoding="utf-8"?>
<ds:datastoreItem xmlns:ds="http://schemas.openxmlformats.org/officeDocument/2006/customXml" ds:itemID="{DB9160EE-0167-41E4-AC28-973692AB29DA}">
  <ds:schemaRefs/>
</ds:datastoreItem>
</file>

<file path=customXml/itemProps8.xml><?xml version="1.0" encoding="utf-8"?>
<ds:datastoreItem xmlns:ds="http://schemas.openxmlformats.org/officeDocument/2006/customXml" ds:itemID="{D50E7055-9622-4A96-82B8-EBACB5B39629}">
  <ds:schemaRefs/>
</ds:datastoreItem>
</file>

<file path=customXml/itemProps9.xml><?xml version="1.0" encoding="utf-8"?>
<ds:datastoreItem xmlns:ds="http://schemas.openxmlformats.org/officeDocument/2006/customXml" ds:itemID="{C2BE83A5-448A-4B18-BB34-D729CAA9F86F}">
  <ds:schemaRefs/>
</ds:datastoreItem>
</file>

<file path=customXml/itemProps10.xml><?xml version="1.0" encoding="utf-8"?>
<ds:datastoreItem xmlns:ds="http://schemas.openxmlformats.org/officeDocument/2006/customXml" ds:itemID="{3957C5D7-EFF0-44A3-9298-445924399827}">
  <ds:schemaRefs/>
</ds:datastoreItem>
</file>

<file path=customXml/itemProps11.xml><?xml version="1.0" encoding="utf-8"?>
<ds:datastoreItem xmlns:ds="http://schemas.openxmlformats.org/officeDocument/2006/customXml" ds:itemID="{56F54182-A2E7-46D3-9B50-3EE12C2ED1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102</vt:i4>
      </vt:variant>
    </vt:vector>
  </HeadingPairs>
  <TitlesOfParts>
    <vt:vector size="125" baseType="lpstr">
      <vt:lpstr>Home</vt:lpstr>
      <vt:lpstr>Camp List</vt:lpstr>
      <vt:lpstr>DistanceToCamp</vt:lpstr>
      <vt:lpstr>Camp Analysis</vt:lpstr>
      <vt:lpstr>Camp List (printable)</vt:lpstr>
      <vt:lpstr>CCCM Dashboard</vt:lpstr>
      <vt:lpstr>ForGIS</vt:lpstr>
      <vt:lpstr>Shelter Cross Check</vt:lpstr>
      <vt:lpstr>Shelter Tracking</vt:lpstr>
      <vt:lpstr>Shelter Progress</vt:lpstr>
      <vt:lpstr>Shelter Summary (by Agency)</vt:lpstr>
      <vt:lpstr>Shelter Coverage Camp</vt:lpstr>
      <vt:lpstr>Shelter Coverage &amp; Gaps</vt:lpstr>
      <vt:lpstr>NFI Tracking</vt:lpstr>
      <vt:lpstr>NFI Pipeline</vt:lpstr>
      <vt:lpstr>Sheet2</vt:lpstr>
      <vt:lpstr>NFI Distribution (by Tship)</vt:lpstr>
      <vt:lpstr>Winter Item</vt:lpstr>
      <vt:lpstr>NFI Summary</vt:lpstr>
      <vt:lpstr>Map</vt:lpstr>
      <vt:lpstr>Define_TCL</vt:lpstr>
      <vt:lpstr>File_Details</vt:lpstr>
      <vt:lpstr>Definition</vt:lpstr>
      <vt:lpstr>Map!AllData_Camplist</vt:lpstr>
      <vt:lpstr>'Shelter Coverage &amp; Gaps'!AllData_Camplist</vt:lpstr>
      <vt:lpstr>AllData_Camplist</vt:lpstr>
      <vt:lpstr>Camp_Accessibility</vt:lpstr>
      <vt:lpstr>Camp_List</vt:lpstr>
      <vt:lpstr>Camplist_HH</vt:lpstr>
      <vt:lpstr>Camplist_Popl</vt:lpstr>
      <vt:lpstr>CampList_Status</vt:lpstr>
      <vt:lpstr>Camplist_Township</vt:lpstr>
      <vt:lpstr>Camplist_Type_Of_Acc</vt:lpstr>
      <vt:lpstr>CL</vt:lpstr>
      <vt:lpstr>Col_Shelter_org</vt:lpstr>
      <vt:lpstr>Col_Shelter_Perm_B</vt:lpstr>
      <vt:lpstr>Col_Shelter_Perm_P</vt:lpstr>
      <vt:lpstr>Col_Shelter_Perm_U</vt:lpstr>
      <vt:lpstr>Col_Shelter_State</vt:lpstr>
      <vt:lpstr>Col_Shelter_Temp_B</vt:lpstr>
      <vt:lpstr>Col_Shelter_Temp_P</vt:lpstr>
      <vt:lpstr>Col_Shelter_Temp_U</vt:lpstr>
      <vt:lpstr>Col_Shelter_Tent_Dist</vt:lpstr>
      <vt:lpstr>Col_Shelter_Township</vt:lpstr>
      <vt:lpstr>Kachin</vt:lpstr>
      <vt:lpstr>Kashin</vt:lpstr>
      <vt:lpstr>Map!Kyauk_Phyu_G</vt:lpstr>
      <vt:lpstr>NameTSPOP</vt:lpstr>
      <vt:lpstr>NFI</vt:lpstr>
      <vt:lpstr>NFI_Blanket_Pipeline</vt:lpstr>
      <vt:lpstr>NFI_Blanket_Stock</vt:lpstr>
      <vt:lpstr>NFI_Blanket_Track</vt:lpstr>
      <vt:lpstr>NFI_Clothes_Pipeline</vt:lpstr>
      <vt:lpstr>NFI_Clothes_Stock</vt:lpstr>
      <vt:lpstr>NFI_Clothes_Track</vt:lpstr>
      <vt:lpstr>NFI_Core_Pipeline</vt:lpstr>
      <vt:lpstr>NFI_Core_Stock</vt:lpstr>
      <vt:lpstr>NFI_Core_Track</vt:lpstr>
      <vt:lpstr>NFI_Expiration</vt:lpstr>
      <vt:lpstr>NFI_Hygiene_Pipeline</vt:lpstr>
      <vt:lpstr>NFI_Hygiene_Stock</vt:lpstr>
      <vt:lpstr>NFI_Hygiene_Track</vt:lpstr>
      <vt:lpstr>NFI_Kitchen_Pipeline</vt:lpstr>
      <vt:lpstr>NFI_Kitchen_Stock</vt:lpstr>
      <vt:lpstr>NFI_Kitchen_Track</vt:lpstr>
      <vt:lpstr>NFI_Monitor_Date</vt:lpstr>
      <vt:lpstr>NFI_Month</vt:lpstr>
      <vt:lpstr>NFI_Mosquito_Pipeline</vt:lpstr>
      <vt:lpstr>NFI_Mosquito_Stock</vt:lpstr>
      <vt:lpstr>NFI_Mosquito_Track</vt:lpstr>
      <vt:lpstr>NFI_Org</vt:lpstr>
      <vt:lpstr>NFI_Pipeline_State</vt:lpstr>
      <vt:lpstr>NFI_Pipeline_Township</vt:lpstr>
      <vt:lpstr>NFI_Plastic_Bucket_Pipeline</vt:lpstr>
      <vt:lpstr>NFI_Plastic_Bucket_Stock</vt:lpstr>
      <vt:lpstr>NFI_Plastic_Bucket_Track</vt:lpstr>
      <vt:lpstr>NFI_Plastic_Mat_Pipeline</vt:lpstr>
      <vt:lpstr>NFI_Plastic_Mat_Stock</vt:lpstr>
      <vt:lpstr>NFI_Plastic_Mat_Track</vt:lpstr>
      <vt:lpstr>NFI_Sanitary_Pipeline</vt:lpstr>
      <vt:lpstr>NFI_Sanitary_Stock</vt:lpstr>
      <vt:lpstr>NFI_Sanitary_Track</vt:lpstr>
      <vt:lpstr>NFI_State</vt:lpstr>
      <vt:lpstr>NFI_Tarpaulin_Pipeline</vt:lpstr>
      <vt:lpstr>NFI_Tarpaulin_Stock</vt:lpstr>
      <vt:lpstr>NFI_Tarpaulin_Track</vt:lpstr>
      <vt:lpstr>NFI_Township</vt:lpstr>
      <vt:lpstr>NFI_Winter_Blanket_Pipeline</vt:lpstr>
      <vt:lpstr>NFI_Winter_Blanket_Stock</vt:lpstr>
      <vt:lpstr>NFI_Winter_Blanket_Track</vt:lpstr>
      <vt:lpstr>NFI_Winter_Clothes_Adult_Pipeline</vt:lpstr>
      <vt:lpstr>NFI_Winter_Clothes_Adult_Stock</vt:lpstr>
      <vt:lpstr>NFI_Winter_Clothes_Adult_Track</vt:lpstr>
      <vt:lpstr>NFI_Winter_Clothes_Children_Pipeline</vt:lpstr>
      <vt:lpstr>NFI_Winter_Clothes_Children_Stock</vt:lpstr>
      <vt:lpstr>NFI_Winter_Clothes_Children_Track</vt:lpstr>
      <vt:lpstr>NFI_Winter_Items_Other_Pipeline</vt:lpstr>
      <vt:lpstr>NFI_Winter_Items_Other_Stock</vt:lpstr>
      <vt:lpstr>NFI_Winter_Items_Other_Track</vt:lpstr>
      <vt:lpstr>Pcode_Priority</vt:lpstr>
      <vt:lpstr>'Camp Analysis'!Print_Area</vt:lpstr>
      <vt:lpstr>'Camp List'!Print_Area</vt:lpstr>
      <vt:lpstr>'CCCM Dashboard'!Print_Area</vt:lpstr>
      <vt:lpstr>Map!Print_Area</vt:lpstr>
      <vt:lpstr>'NFI Distribution (by Tship)'!Print_Area</vt:lpstr>
      <vt:lpstr>'NFI Pipeline'!Print_Area</vt:lpstr>
      <vt:lpstr>'NFI Summary'!Print_Area</vt:lpstr>
      <vt:lpstr>'NFI Tracking'!Print_Area</vt:lpstr>
      <vt:lpstr>'Shelter Coverage &amp; Gaps'!Print_Area</vt:lpstr>
      <vt:lpstr>'Shelter Progress'!Print_Area</vt:lpstr>
      <vt:lpstr>'Shelter Summary (by Agency)'!Print_Area</vt:lpstr>
      <vt:lpstr>'Camp List (printable)'!Print_Titles</vt:lpstr>
      <vt:lpstr>'Shelter Cross Check'!Print_Titles</vt:lpstr>
      <vt:lpstr>PriorityCampWin</vt:lpstr>
      <vt:lpstr>Map!Rakhine_DB</vt:lpstr>
      <vt:lpstr>Report_Date</vt:lpstr>
      <vt:lpstr>Shan_North</vt:lpstr>
      <vt:lpstr>Shelter_Draw_Ratio</vt:lpstr>
      <vt:lpstr>Shelter_HH_Covered</vt:lpstr>
      <vt:lpstr>Stat01</vt:lpstr>
      <vt:lpstr>State</vt:lpstr>
      <vt:lpstr>TCL_C</vt:lpstr>
      <vt:lpstr>TCL_T</vt:lpstr>
      <vt:lpstr>TCL_T1</vt:lpstr>
      <vt:lpstr>WinAccomo</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UNHCRuser</dc:creator>
  <cp:lastModifiedBy>Thi Thi Lwin</cp:lastModifiedBy>
  <cp:lastPrinted>2016-02-26T06:19:18Z</cp:lastPrinted>
  <dcterms:created xsi:type="dcterms:W3CDTF">2013-03-18T02:36:38Z</dcterms:created>
  <dcterms:modified xsi:type="dcterms:W3CDTF">2016-12-14T03:27:24Z</dcterms:modified>
</cp:coreProperties>
</file>